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735" windowWidth="14820" windowHeight="8085" tabRatio="878" activeTab="1"/>
  </bookViews>
  <sheets>
    <sheet name="CDPS" sheetId="15" r:id="rId1"/>
    <sheet name="TH" sheetId="34" r:id="rId2"/>
    <sheet name="Sheet1" sheetId="66" r:id="rId3"/>
    <sheet name="SC-I" sheetId="48" r:id="rId4"/>
    <sheet name="SC-II" sheetId="49" r:id="rId5"/>
    <sheet name="SC-III" sheetId="50" r:id="rId6"/>
    <sheet name="SC-IV" sheetId="51" r:id="rId7"/>
    <sheet name="CTTK" sheetId="47" r:id="rId8"/>
    <sheet name="IN-TC" sheetId="39" r:id="rId9"/>
    <sheet name="111" sheetId="42" r:id="rId10"/>
    <sheet name="112" sheetId="43" r:id="rId11"/>
    <sheet name="131" sheetId="62" r:id="rId12"/>
    <sheet name="131-CT" sheetId="63" r:id="rId13"/>
    <sheet name="1331" sheetId="44" r:id="rId14"/>
    <sheet name="1332" sheetId="65" r:id="rId15"/>
    <sheet name="331" sheetId="12" r:id="rId16"/>
    <sheet name="331-CT" sheetId="14" r:id="rId17"/>
    <sheet name="341" sheetId="45" r:id="rId18"/>
    <sheet name="341-CT" sheetId="52" r:id="rId19"/>
    <sheet name="411" sheetId="54" r:id="rId20"/>
    <sheet name="NXT" sheetId="55" r:id="rId21"/>
    <sheet name="IN-NX" sheetId="56" r:id="rId22"/>
    <sheet name="152-CT" sheetId="57" r:id="rId23"/>
    <sheet name="THE KHO" sheetId="58" r:id="rId24"/>
    <sheet name="BK NL" sheetId="59" r:id="rId25"/>
    <sheet name="BTGT" sheetId="60" r:id="rId26"/>
    <sheet name="THEGT" sheetId="61" r:id="rId27"/>
    <sheet name="Sheet2" sheetId="53" r:id="rId28"/>
  </sheets>
  <externalReferences>
    <externalReference r:id="rId29"/>
  </externalReferences>
  <definedNames>
    <definedName name="_C111">TH!$T$11:$T$882</definedName>
    <definedName name="_C112">TH!$W$11:$W$882</definedName>
    <definedName name="_C133">TH!$AA$11:$AA$882</definedName>
    <definedName name="_C1332">TH!$AD$11:$AD$882</definedName>
    <definedName name="_Fill" localSheetId="10" hidden="1">#REF!</definedName>
    <definedName name="_Fill" localSheetId="12" hidden="1">#REF!</definedName>
    <definedName name="_Fill" localSheetId="18" hidden="1">#REF!</definedName>
    <definedName name="_Fill" localSheetId="19" hidden="1">#REF!</definedName>
    <definedName name="_Fill" localSheetId="7" hidden="1">#REF!</definedName>
    <definedName name="_Fill" localSheetId="27" hidden="1">#REF!</definedName>
    <definedName name="_Fill" hidden="1">#REF!</definedName>
    <definedName name="_xlnm._FilterDatabase" localSheetId="9" hidden="1">'111'!$A$12:$J$103</definedName>
    <definedName name="_xlnm._FilterDatabase" localSheetId="10" hidden="1">'112'!$A$10:$K$200</definedName>
    <definedName name="_xlnm._FilterDatabase" localSheetId="11" hidden="1">'131'!$A$1:$N$17</definedName>
    <definedName name="_xlnm._FilterDatabase" localSheetId="16" hidden="1">'331-CT'!$A$12:$J$25</definedName>
    <definedName name="_xlnm._FilterDatabase" localSheetId="24" hidden="1">'BK NL'!$A$13:$CH$44</definedName>
    <definedName name="_xlnm._FilterDatabase" localSheetId="7" hidden="1">CTTK!$A$13:$I$52</definedName>
    <definedName name="_xlnm._FilterDatabase" localSheetId="20" hidden="1">NXT!$B$11:$O$11</definedName>
    <definedName name="_xlnm._FilterDatabase" localSheetId="3" hidden="1">'SC-I'!$A$9:$BG$453</definedName>
    <definedName name="_xlnm._FilterDatabase" localSheetId="4" hidden="1">'SC-II'!$A$9:$BA$157</definedName>
    <definedName name="_xlnm._FilterDatabase" localSheetId="5" hidden="1">'SC-III'!$A$9:$BA$245</definedName>
    <definedName name="_xlnm._FilterDatabase" localSheetId="6" hidden="1">'SC-IV'!$A$9:$BA$358</definedName>
    <definedName name="_xlnm._FilterDatabase" localSheetId="1" hidden="1">TH!$A$9:$AM$760</definedName>
    <definedName name="_xlnm._FilterDatabase" localSheetId="23" hidden="1">'THE KHO'!$A$1:$J$1</definedName>
    <definedName name="_N111">TH!$S$11:$S$882</definedName>
    <definedName name="_N112">TH!$V$11:$V$882</definedName>
    <definedName name="_N133">TH!$Z$11:$Z$882</definedName>
    <definedName name="_N1332">TH!$AC$11:$AC$882</definedName>
    <definedName name="_TH">TH!$K$11:$K$882</definedName>
    <definedName name="_TM1">IF('IN-TC'!$S$4=1,1,IF('IN-TC'!$S$4=2,4,IF('IN-TC'!$S$4=3,7,10)))</definedName>
    <definedName name="_TM2">IF('IN-TC'!$S$4=1,3,IF('IN-TC'!$S$4=2,6,IF('IN-TC'!$S$4=3,9,12)))</definedName>
    <definedName name="DG">TH!$J$11:$J$882</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32">IF(!Loai32="x",ROW(Loai32)-1,"")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'131'!$B$5:$B$16</definedName>
    <definedName name="DSGT1">BTGT!$B$7:$B$10</definedName>
    <definedName name="DSGT10">BTGT!$B$214:$B$220</definedName>
    <definedName name="DSGT11">BTGT!$B$240:$B$246</definedName>
    <definedName name="DSGT12">BTGT!$B$265:$B$271</definedName>
    <definedName name="DSGT2">BTGT!$B$28:$B$30</definedName>
    <definedName name="DSGT3">BTGT!$B$46:$B$49</definedName>
    <definedName name="DSGT4">BTGT!$B$67:$B$69</definedName>
    <definedName name="DSGT5">BTGT!$B$89:$B$91</definedName>
    <definedName name="DSGT6">BTGT!$B$109:$B$113</definedName>
    <definedName name="DSGT7">BTGT!$B$137:$B$140</definedName>
    <definedName name="DSGT8">BTGT!$B$160:$B$164</definedName>
    <definedName name="DSGT9">BTGT!$B$187:$B$192</definedName>
    <definedName name="DSKH">'331'!$B$4:$B$29</definedName>
    <definedName name="DSKU">'341'!$B$5:$B$22</definedName>
    <definedName name="DSNL">NXT!$N$12:$S$553</definedName>
    <definedName name="DSSP1">BTGT!$B$7:$P$10</definedName>
    <definedName name="DSSP10">BTGT!$B$214:$P$220</definedName>
    <definedName name="DSSP11">BTGT!$B$240:$P$246</definedName>
    <definedName name="DSSP12">BTGT!$B$265:$P$271</definedName>
    <definedName name="DSSP2">BTGT!$B$28:$P$30</definedName>
    <definedName name="DSSP3">BTGT!$B$46:$P$49</definedName>
    <definedName name="DSSP4">BTGT!$B$67:$P$69</definedName>
    <definedName name="DSSP5">BTGT!$B$89:$P$91</definedName>
    <definedName name="DSSP6">BTGT!$B$109:$P$112</definedName>
    <definedName name="DSSP7">BTGT!$B$137:$P$140</definedName>
    <definedName name="DSSP8">BTGT!$B$160:$P$164</definedName>
    <definedName name="DSSP9">BTGT!$B$187:$P$192</definedName>
    <definedName name="DSTK">CDPS!$A$10:$D$65</definedName>
    <definedName name="KH">TH!$H$11:$H$882</definedName>
    <definedName name="KHC">TH!$P$11:$P$882</definedName>
    <definedName name="KHN">TH!$O$11:$O$882</definedName>
    <definedName name="Loai">OFFSET(TH!$Q$5,,,COUNTA(TH!$Q$5:$Q$39192))</definedName>
    <definedName name="Loai1">OFFSET(TH!$R$5,,,COUNTA(TH!$R$5:$R$39192))</definedName>
    <definedName name="Loai10">OFFSET(TH!$AK$5,,,COUNTA(TH!$AK$5:$AK$39192))</definedName>
    <definedName name="Loai11">OFFSET(TH!$X$5,,,COUNTA(TH!$X$5:$X$39192))</definedName>
    <definedName name="Loai2">OFFSET(TH!$U$5,,,COUNTA(TH!$U$5:$U$39192))</definedName>
    <definedName name="Loai3">OFFSET(TH!$Y$5,,,COUNTA(TH!$Y$5:$Y$39192))</definedName>
    <definedName name="Loai32">OFFSET(TH!$AB$5,,,COUNTA(TH!$AB$5:$AB$39192))</definedName>
    <definedName name="Loai4">OFFSET(TH!$AE$5,,,COUNTA(TH!$AE$5:$AE$39192))</definedName>
    <definedName name="Loai5">OFFSET(TH!$AF$5,,,COUNTA(TH!$AF$5:$AF$39192))</definedName>
    <definedName name="Loai6">OFFSET(TH!$AG$5,,,COUNTA(TH!$AG$5:$AG$39192))</definedName>
    <definedName name="Loai7">OFFSET(TH!$AH$5,,,COUNTA(TH!$AH$5:$AH$39192))</definedName>
    <definedName name="Loai8">OFFSET(TH!$AI$5,,,COUNTA(TH!$AI$5:$AI$39192))</definedName>
    <definedName name="Loai9">OFFSET(TH!$AJ$5,,,COUNTA(TH!$AJ$5:$AJ$39192))</definedName>
    <definedName name="MH">TH!$F$11:$F$882</definedName>
    <definedName name="NXT">NXT!$A$12:$A$377</definedName>
    <definedName name="_xlnm.Print_Area" localSheetId="9">'111'!$A$1:$J$116</definedName>
    <definedName name="_xlnm.Print_Area" localSheetId="10">'112'!$A$1:$I$210</definedName>
    <definedName name="_xlnm.Print_Area" localSheetId="13">'1331'!$A$1:$E$83</definedName>
    <definedName name="_xlnm.Print_Area" localSheetId="14">'1332'!$A$1:$E$74</definedName>
    <definedName name="_xlnm.Print_Area" localSheetId="22">'152-CT'!$B$2:$M$37</definedName>
    <definedName name="_xlnm.Print_Area" localSheetId="15">'331'!$A$1:$H$30</definedName>
    <definedName name="_xlnm.Print_Area" localSheetId="16">'331-CT'!$A$1:$J$54</definedName>
    <definedName name="_xlnm.Print_Area" localSheetId="17">'341'!$A$1:$P$23</definedName>
    <definedName name="_xlnm.Print_Area" localSheetId="18">'341-CT'!$A$1:$N$35</definedName>
    <definedName name="_xlnm.Print_Area" localSheetId="24">'BK NL'!$A$1:$K$44</definedName>
    <definedName name="_xlnm.Print_Area" localSheetId="7">CTTK!$A$2:$I$65</definedName>
    <definedName name="_xlnm.Print_Area" localSheetId="21">'IN-NX'!$A$1:$I$36</definedName>
    <definedName name="_xlnm.Print_Area" localSheetId="8">'IN-TC'!$B$1:$O$28</definedName>
    <definedName name="_xlnm.Print_Area" localSheetId="6">'SC-IV'!$A$1:$BA$369</definedName>
    <definedName name="_xlnm.Print_Area" localSheetId="27">Sheet2!$A$1:$G$21</definedName>
    <definedName name="_xlnm.Print_Area" localSheetId="23">'THE KHO'!$A$1:$J$38</definedName>
    <definedName name="_xlnm.Print_Titles" localSheetId="9">'111'!$10:$12</definedName>
    <definedName name="_xlnm.Print_Titles" localSheetId="10">'112'!$8:$10</definedName>
    <definedName name="_xlnm.Print_Titles" localSheetId="13">'1331'!$8:$10</definedName>
    <definedName name="_xlnm.Print_Titles" localSheetId="16">'331-CT'!$10:$12</definedName>
    <definedName name="_xlnm.Print_Titles" localSheetId="24">'BK NL'!$11:$13</definedName>
    <definedName name="_xlnm.Print_Titles" localSheetId="7">CTTK!$11:$13</definedName>
    <definedName name="_xlnm.Print_Titles" localSheetId="3">'SC-I'!$A:$A,'SC-I'!$7:$9</definedName>
    <definedName name="_xlnm.Print_Titles" localSheetId="4">'SC-II'!$A:$A,'SC-II'!$7:$9</definedName>
    <definedName name="_xlnm.Print_Titles" localSheetId="5">'SC-III'!$A:$A,'SC-III'!$7:$9</definedName>
    <definedName name="_xlnm.Print_Titles" localSheetId="6">'SC-IV'!$A:$A,'SC-IV'!$7:$9</definedName>
    <definedName name="SL">TH!$I$11:$I$882</definedName>
    <definedName name="TH">TH!$M$11:$M$882</definedName>
    <definedName name="TM">TH!$A$11:$P$882</definedName>
  </definedNames>
  <calcPr calcId="124519"/>
</workbook>
</file>

<file path=xl/calcChain.xml><?xml version="1.0" encoding="utf-8"?>
<calcChain xmlns="http://schemas.openxmlformats.org/spreadsheetml/2006/main">
  <c r="M715" i="34"/>
  <c r="B706"/>
  <c r="AJ706"/>
  <c r="AI706"/>
  <c r="AF706"/>
  <c r="AE706"/>
  <c r="X706"/>
  <c r="Q706"/>
  <c r="AK706"/>
  <c r="B702" l="1"/>
  <c r="AH702" s="1"/>
  <c r="AJ702"/>
  <c r="AI702"/>
  <c r="AE702"/>
  <c r="X702"/>
  <c r="Q702"/>
  <c r="AK702"/>
  <c r="M12"/>
  <c r="AJ13"/>
  <c r="AI13"/>
  <c r="AE13"/>
  <c r="X13"/>
  <c r="Q13"/>
  <c r="C13"/>
  <c r="AK13" s="1"/>
  <c r="B645"/>
  <c r="AH645" s="1"/>
  <c r="AK645"/>
  <c r="AJ645"/>
  <c r="AI645"/>
  <c r="AE645"/>
  <c r="X645"/>
  <c r="Q645"/>
  <c r="AK726"/>
  <c r="AJ726"/>
  <c r="AI726"/>
  <c r="AE726"/>
  <c r="X726"/>
  <c r="Q726"/>
  <c r="B726"/>
  <c r="AH726" s="1"/>
  <c r="M725"/>
  <c r="M644"/>
  <c r="M722"/>
  <c r="AK730"/>
  <c r="AJ730"/>
  <c r="AI730"/>
  <c r="AE730"/>
  <c r="X730"/>
  <c r="Q730"/>
  <c r="B730"/>
  <c r="AH730" s="1"/>
  <c r="AK729"/>
  <c r="AJ729"/>
  <c r="AI729"/>
  <c r="AE729"/>
  <c r="X729"/>
  <c r="Q729"/>
  <c r="B729"/>
  <c r="AH729" s="1"/>
  <c r="AK728"/>
  <c r="AJ728"/>
  <c r="AI728"/>
  <c r="AE728"/>
  <c r="X728"/>
  <c r="Q728"/>
  <c r="B728"/>
  <c r="AH728" s="1"/>
  <c r="AK649"/>
  <c r="AJ649"/>
  <c r="AI649"/>
  <c r="AE649"/>
  <c r="X649"/>
  <c r="Q649"/>
  <c r="B649"/>
  <c r="AH649" s="1"/>
  <c r="AK648"/>
  <c r="AJ648"/>
  <c r="AI648"/>
  <c r="AE648"/>
  <c r="X648"/>
  <c r="Q648"/>
  <c r="B648"/>
  <c r="AD648" s="1"/>
  <c r="AK647"/>
  <c r="AJ647"/>
  <c r="AI647"/>
  <c r="AE647"/>
  <c r="X647"/>
  <c r="Q647"/>
  <c r="B647"/>
  <c r="AH647" s="1"/>
  <c r="M727"/>
  <c r="M720"/>
  <c r="M719"/>
  <c r="M718"/>
  <c r="M724"/>
  <c r="M723"/>
  <c r="M721"/>
  <c r="M717"/>
  <c r="AK713"/>
  <c r="AJ713"/>
  <c r="AI713"/>
  <c r="AE713"/>
  <c r="X713"/>
  <c r="Q713"/>
  <c r="B713"/>
  <c r="AH713" s="1"/>
  <c r="AK712"/>
  <c r="AJ712"/>
  <c r="AI712"/>
  <c r="AE712"/>
  <c r="X712"/>
  <c r="Q712"/>
  <c r="B712"/>
  <c r="AK727"/>
  <c r="AJ727"/>
  <c r="AI727"/>
  <c r="AE727"/>
  <c r="X727"/>
  <c r="Q727"/>
  <c r="B727"/>
  <c r="AH727" s="1"/>
  <c r="AK725"/>
  <c r="AJ725"/>
  <c r="AI725"/>
  <c r="AE725"/>
  <c r="X725"/>
  <c r="Q725"/>
  <c r="B725"/>
  <c r="AK724"/>
  <c r="AJ724"/>
  <c r="AI724"/>
  <c r="AE724"/>
  <c r="X724"/>
  <c r="Q724"/>
  <c r="B724"/>
  <c r="AH724" s="1"/>
  <c r="AK723"/>
  <c r="AJ723"/>
  <c r="AI723"/>
  <c r="AE723"/>
  <c r="X723"/>
  <c r="Q723"/>
  <c r="B723"/>
  <c r="AK722"/>
  <c r="AJ722"/>
  <c r="AI722"/>
  <c r="AE722"/>
  <c r="X722"/>
  <c r="Q722"/>
  <c r="B722"/>
  <c r="AH722" s="1"/>
  <c r="AK721"/>
  <c r="AJ721"/>
  <c r="AI721"/>
  <c r="AE721"/>
  <c r="X721"/>
  <c r="Q721"/>
  <c r="B721"/>
  <c r="A721" s="1"/>
  <c r="AK720"/>
  <c r="AJ720"/>
  <c r="AI720"/>
  <c r="AE720"/>
  <c r="X720"/>
  <c r="Q720"/>
  <c r="B720"/>
  <c r="AK719"/>
  <c r="AJ719"/>
  <c r="AI719"/>
  <c r="AE719"/>
  <c r="X719"/>
  <c r="Q719"/>
  <c r="B719"/>
  <c r="AH719" s="1"/>
  <c r="AK718"/>
  <c r="AJ718"/>
  <c r="AI718"/>
  <c r="AE718"/>
  <c r="X718"/>
  <c r="Q718"/>
  <c r="B718"/>
  <c r="AK717"/>
  <c r="AJ717"/>
  <c r="AI717"/>
  <c r="AE717"/>
  <c r="X717"/>
  <c r="Q717"/>
  <c r="B717"/>
  <c r="AK716"/>
  <c r="AJ716"/>
  <c r="AI716"/>
  <c r="AE716"/>
  <c r="X716"/>
  <c r="Q716"/>
  <c r="B716"/>
  <c r="AH716" s="1"/>
  <c r="AK715"/>
  <c r="AJ715"/>
  <c r="AI715"/>
  <c r="AE715"/>
  <c r="X715"/>
  <c r="Q715"/>
  <c r="B715"/>
  <c r="AK714"/>
  <c r="AJ714"/>
  <c r="AI714"/>
  <c r="AE714"/>
  <c r="X714"/>
  <c r="Q714"/>
  <c r="B714"/>
  <c r="AK711"/>
  <c r="AJ711"/>
  <c r="AI711"/>
  <c r="AE711"/>
  <c r="X711"/>
  <c r="Q711"/>
  <c r="B711"/>
  <c r="AK710"/>
  <c r="AJ710"/>
  <c r="AI710"/>
  <c r="AE710"/>
  <c r="X710"/>
  <c r="Q710"/>
  <c r="B710"/>
  <c r="AH710" s="1"/>
  <c r="E682"/>
  <c r="B508"/>
  <c r="A508" s="1"/>
  <c r="M538"/>
  <c r="M476"/>
  <c r="AK661"/>
  <c r="AJ661"/>
  <c r="AI661"/>
  <c r="AE661"/>
  <c r="X661"/>
  <c r="Q661"/>
  <c r="B661"/>
  <c r="A661" s="1"/>
  <c r="AK660"/>
  <c r="AJ660"/>
  <c r="AI660"/>
  <c r="AE660"/>
  <c r="X660"/>
  <c r="Q660"/>
  <c r="B660"/>
  <c r="AK705"/>
  <c r="AJ705"/>
  <c r="AI705"/>
  <c r="AE705"/>
  <c r="X705"/>
  <c r="Q705"/>
  <c r="B705"/>
  <c r="A705" s="1"/>
  <c r="AK704"/>
  <c r="AJ704"/>
  <c r="AI704"/>
  <c r="AE704"/>
  <c r="X704"/>
  <c r="Q704"/>
  <c r="B704"/>
  <c r="A28" i="12"/>
  <c r="AK703" i="34"/>
  <c r="AJ703"/>
  <c r="AI703"/>
  <c r="AE703"/>
  <c r="X703"/>
  <c r="Q703"/>
  <c r="B703"/>
  <c r="A703" s="1"/>
  <c r="AJ709"/>
  <c r="AI709"/>
  <c r="AE709"/>
  <c r="X709"/>
  <c r="Q709"/>
  <c r="AK709"/>
  <c r="B709"/>
  <c r="A709" s="1"/>
  <c r="AJ708"/>
  <c r="AI708"/>
  <c r="AE708"/>
  <c r="X708"/>
  <c r="Q708"/>
  <c r="AK708"/>
  <c r="AK701"/>
  <c r="AJ701"/>
  <c r="AI701"/>
  <c r="AE701"/>
  <c r="X701"/>
  <c r="Q701"/>
  <c r="B701"/>
  <c r="A701" s="1"/>
  <c r="AK699"/>
  <c r="AJ699"/>
  <c r="AI699"/>
  <c r="AE699"/>
  <c r="X699"/>
  <c r="Q699"/>
  <c r="B699"/>
  <c r="A699" s="1"/>
  <c r="AK697"/>
  <c r="AJ697"/>
  <c r="AI697"/>
  <c r="AE697"/>
  <c r="X697"/>
  <c r="Q697"/>
  <c r="B697"/>
  <c r="AK695"/>
  <c r="AJ695"/>
  <c r="AI695"/>
  <c r="AE695"/>
  <c r="X695"/>
  <c r="Q695"/>
  <c r="B695"/>
  <c r="AK694"/>
  <c r="AJ694"/>
  <c r="AI694"/>
  <c r="AE694"/>
  <c r="X694"/>
  <c r="Q694"/>
  <c r="B694"/>
  <c r="AK691"/>
  <c r="AJ691"/>
  <c r="AI691"/>
  <c r="AE691"/>
  <c r="X691"/>
  <c r="Q691"/>
  <c r="B691"/>
  <c r="AK690"/>
  <c r="AJ690"/>
  <c r="AI690"/>
  <c r="AE690"/>
  <c r="X690"/>
  <c r="Q690"/>
  <c r="B690"/>
  <c r="A690" s="1"/>
  <c r="AK689"/>
  <c r="AJ689"/>
  <c r="AI689"/>
  <c r="AE689"/>
  <c r="X689"/>
  <c r="Q689"/>
  <c r="B689"/>
  <c r="A689" s="1"/>
  <c r="AK688"/>
  <c r="AJ688"/>
  <c r="AI688"/>
  <c r="AE688"/>
  <c r="X688"/>
  <c r="Q688"/>
  <c r="B688"/>
  <c r="AK687"/>
  <c r="AJ687"/>
  <c r="AI687"/>
  <c r="AE687"/>
  <c r="X687"/>
  <c r="Q687"/>
  <c r="B687"/>
  <c r="AK686"/>
  <c r="AJ686"/>
  <c r="AI686"/>
  <c r="AE686"/>
  <c r="X686"/>
  <c r="Q686"/>
  <c r="B686"/>
  <c r="A686" s="1"/>
  <c r="AK683"/>
  <c r="AJ683"/>
  <c r="AI683"/>
  <c r="AE683"/>
  <c r="X683"/>
  <c r="Q683"/>
  <c r="E683"/>
  <c r="B683"/>
  <c r="A683" s="1"/>
  <c r="AK682"/>
  <c r="AJ682"/>
  <c r="AI682"/>
  <c r="AE682"/>
  <c r="X682"/>
  <c r="Q682"/>
  <c r="B682"/>
  <c r="AK685"/>
  <c r="AJ685"/>
  <c r="AI685"/>
  <c r="AE685"/>
  <c r="X685"/>
  <c r="Q685"/>
  <c r="E685"/>
  <c r="B685"/>
  <c r="A685" s="1"/>
  <c r="AK684"/>
  <c r="AJ684"/>
  <c r="AI684"/>
  <c r="AE684"/>
  <c r="X684"/>
  <c r="Q684"/>
  <c r="E684"/>
  <c r="B684"/>
  <c r="AK681"/>
  <c r="AJ681"/>
  <c r="AI681"/>
  <c r="AE681"/>
  <c r="X681"/>
  <c r="Q681"/>
  <c r="B681"/>
  <c r="A681" s="1"/>
  <c r="AK680"/>
  <c r="AJ680"/>
  <c r="AI680"/>
  <c r="AE680"/>
  <c r="X680"/>
  <c r="Q680"/>
  <c r="B680"/>
  <c r="A680" s="1"/>
  <c r="AK679"/>
  <c r="AJ679"/>
  <c r="AI679"/>
  <c r="AE679"/>
  <c r="X679"/>
  <c r="Q679"/>
  <c r="B679"/>
  <c r="AK678"/>
  <c r="AJ678"/>
  <c r="AI678"/>
  <c r="AE678"/>
  <c r="X678"/>
  <c r="Q678"/>
  <c r="B678"/>
  <c r="AK677"/>
  <c r="AJ677"/>
  <c r="AI677"/>
  <c r="AE677"/>
  <c r="X677"/>
  <c r="Q677"/>
  <c r="B677"/>
  <c r="AJ698"/>
  <c r="AI698"/>
  <c r="AE698"/>
  <c r="X698"/>
  <c r="Q698"/>
  <c r="AK698"/>
  <c r="B698"/>
  <c r="A698" s="1"/>
  <c r="AJ696"/>
  <c r="AI696"/>
  <c r="AE696"/>
  <c r="X696"/>
  <c r="Q696"/>
  <c r="AK696"/>
  <c r="AJ693"/>
  <c r="AI693"/>
  <c r="AE693"/>
  <c r="X693"/>
  <c r="Q693"/>
  <c r="AK693"/>
  <c r="B693"/>
  <c r="A693" s="1"/>
  <c r="AJ692"/>
  <c r="AI692"/>
  <c r="AE692"/>
  <c r="X692"/>
  <c r="Q692"/>
  <c r="AK692"/>
  <c r="B692"/>
  <c r="AJ700"/>
  <c r="AI700"/>
  <c r="AE700"/>
  <c r="X700"/>
  <c r="Q700"/>
  <c r="AK700"/>
  <c r="B700"/>
  <c r="A700" s="1"/>
  <c r="AJ676"/>
  <c r="AI676"/>
  <c r="AE676"/>
  <c r="X676"/>
  <c r="Q676"/>
  <c r="AK676"/>
  <c r="B676"/>
  <c r="AJ675"/>
  <c r="AI675"/>
  <c r="AE675"/>
  <c r="X675"/>
  <c r="Q675"/>
  <c r="AK675"/>
  <c r="B675"/>
  <c r="A675" s="1"/>
  <c r="AJ674"/>
  <c r="AI674"/>
  <c r="AE674"/>
  <c r="X674"/>
  <c r="Q674"/>
  <c r="AK674"/>
  <c r="B674"/>
  <c r="AJ673"/>
  <c r="AI673"/>
  <c r="AE673"/>
  <c r="X673"/>
  <c r="Q673"/>
  <c r="AK673"/>
  <c r="B673"/>
  <c r="A673" s="1"/>
  <c r="AJ672"/>
  <c r="AI672"/>
  <c r="AE672"/>
  <c r="X672"/>
  <c r="Q672"/>
  <c r="AK672"/>
  <c r="B672"/>
  <c r="AJ671"/>
  <c r="AI671"/>
  <c r="AE671"/>
  <c r="X671"/>
  <c r="Q671"/>
  <c r="AK671"/>
  <c r="B671"/>
  <c r="A671" s="1"/>
  <c r="AJ670"/>
  <c r="AI670"/>
  <c r="AE670"/>
  <c r="X670"/>
  <c r="Q670"/>
  <c r="AK670"/>
  <c r="B670"/>
  <c r="AJ669"/>
  <c r="AI669"/>
  <c r="AE669"/>
  <c r="X669"/>
  <c r="Q669"/>
  <c r="AK669"/>
  <c r="B669"/>
  <c r="A669" s="1"/>
  <c r="AJ668"/>
  <c r="AI668"/>
  <c r="AE668"/>
  <c r="X668"/>
  <c r="Q668"/>
  <c r="AK668"/>
  <c r="B668"/>
  <c r="AK667"/>
  <c r="AJ667"/>
  <c r="AI667"/>
  <c r="AE667"/>
  <c r="X667"/>
  <c r="Q667"/>
  <c r="B667"/>
  <c r="A667" s="1"/>
  <c r="D45" i="15"/>
  <c r="C45"/>
  <c r="M22" i="34"/>
  <c r="M21"/>
  <c r="M24"/>
  <c r="M23"/>
  <c r="M20"/>
  <c r="M19"/>
  <c r="M18"/>
  <c r="C24"/>
  <c r="C23"/>
  <c r="C22"/>
  <c r="C21"/>
  <c r="C20"/>
  <c r="C19"/>
  <c r="C18"/>
  <c r="C17"/>
  <c r="C16"/>
  <c r="C15"/>
  <c r="C14"/>
  <c r="C12"/>
  <c r="C11"/>
  <c r="C10"/>
  <c r="AK24"/>
  <c r="AJ24"/>
  <c r="AI24"/>
  <c r="AE24"/>
  <c r="X24"/>
  <c r="Q24"/>
  <c r="B24"/>
  <c r="AK23"/>
  <c r="AJ23"/>
  <c r="AI23"/>
  <c r="AE23"/>
  <c r="X23"/>
  <c r="Q23"/>
  <c r="B23"/>
  <c r="AK22"/>
  <c r="AJ22"/>
  <c r="AI22"/>
  <c r="AE22"/>
  <c r="X22"/>
  <c r="Q22"/>
  <c r="B22"/>
  <c r="AK21"/>
  <c r="AJ21"/>
  <c r="AI21"/>
  <c r="AE21"/>
  <c r="X21"/>
  <c r="Q21"/>
  <c r="B21"/>
  <c r="AK20"/>
  <c r="AJ20"/>
  <c r="AI20"/>
  <c r="AE20"/>
  <c r="X20"/>
  <c r="Q20"/>
  <c r="B20"/>
  <c r="AK19"/>
  <c r="AJ19"/>
  <c r="AI19"/>
  <c r="AE19"/>
  <c r="X19"/>
  <c r="Q19"/>
  <c r="B19"/>
  <c r="AK18"/>
  <c r="AJ18"/>
  <c r="AI18"/>
  <c r="AE18"/>
  <c r="X18"/>
  <c r="Q18"/>
  <c r="B18"/>
  <c r="M646"/>
  <c r="M643"/>
  <c r="M642"/>
  <c r="M641"/>
  <c r="M640"/>
  <c r="M639"/>
  <c r="M638"/>
  <c r="M637"/>
  <c r="M636"/>
  <c r="M635"/>
  <c r="M630"/>
  <c r="M631" s="1"/>
  <c r="M624"/>
  <c r="M625" s="1"/>
  <c r="C610"/>
  <c r="M609"/>
  <c r="C609"/>
  <c r="C605"/>
  <c r="C600"/>
  <c r="C599"/>
  <c r="C598"/>
  <c r="C597"/>
  <c r="C596"/>
  <c r="C595"/>
  <c r="C594"/>
  <c r="C593"/>
  <c r="C592"/>
  <c r="C591"/>
  <c r="C590"/>
  <c r="C589"/>
  <c r="C588"/>
  <c r="C587"/>
  <c r="C586"/>
  <c r="C585"/>
  <c r="C583"/>
  <c r="C582"/>
  <c r="C581"/>
  <c r="C580"/>
  <c r="C579"/>
  <c r="C578"/>
  <c r="C577"/>
  <c r="C576"/>
  <c r="C575"/>
  <c r="C574"/>
  <c r="C573"/>
  <c r="C571"/>
  <c r="C570"/>
  <c r="C569"/>
  <c r="C568"/>
  <c r="C567"/>
  <c r="C566"/>
  <c r="C565"/>
  <c r="C564"/>
  <c r="C563"/>
  <c r="C559"/>
  <c r="C558"/>
  <c r="C557"/>
  <c r="C562"/>
  <c r="C561"/>
  <c r="C560"/>
  <c r="C556"/>
  <c r="C555"/>
  <c r="C554"/>
  <c r="C553"/>
  <c r="C552"/>
  <c r="C551"/>
  <c r="C550"/>
  <c r="C547"/>
  <c r="C543"/>
  <c r="C542"/>
  <c r="C541"/>
  <c r="C540"/>
  <c r="C539"/>
  <c r="M533"/>
  <c r="M532"/>
  <c r="M531"/>
  <c r="M530"/>
  <c r="M529"/>
  <c r="M528"/>
  <c r="M527"/>
  <c r="M526"/>
  <c r="M525"/>
  <c r="M524"/>
  <c r="M523"/>
  <c r="M509"/>
  <c r="C507"/>
  <c r="C506"/>
  <c r="C505"/>
  <c r="C504"/>
  <c r="C502"/>
  <c r="C501"/>
  <c r="C500"/>
  <c r="C499"/>
  <c r="C498"/>
  <c r="C497"/>
  <c r="C496"/>
  <c r="C495"/>
  <c r="C494"/>
  <c r="C493"/>
  <c r="C492"/>
  <c r="C491"/>
  <c r="C490"/>
  <c r="C489"/>
  <c r="C488"/>
  <c r="C487"/>
  <c r="C486"/>
  <c r="C480"/>
  <c r="C479"/>
  <c r="C478"/>
  <c r="C477"/>
  <c r="M474"/>
  <c r="C471"/>
  <c r="C470"/>
  <c r="C469"/>
  <c r="C468"/>
  <c r="C459"/>
  <c r="C458"/>
  <c r="M451"/>
  <c r="C451"/>
  <c r="M450"/>
  <c r="C450"/>
  <c r="M449"/>
  <c r="C449"/>
  <c r="M448"/>
  <c r="C448"/>
  <c r="M447"/>
  <c r="C447"/>
  <c r="M446"/>
  <c r="C446"/>
  <c r="M445"/>
  <c r="C445"/>
  <c r="M444"/>
  <c r="C444"/>
  <c r="M443"/>
  <c r="C443"/>
  <c r="C442"/>
  <c r="M441"/>
  <c r="M14" s="1"/>
  <c r="M17" s="1"/>
  <c r="C441"/>
  <c r="M440"/>
  <c r="C440"/>
  <c r="M439"/>
  <c r="C439"/>
  <c r="E438"/>
  <c r="C426"/>
  <c r="C425"/>
  <c r="C424"/>
  <c r="M423"/>
  <c r="C423"/>
  <c r="C422"/>
  <c r="C421"/>
  <c r="M420"/>
  <c r="M421" s="1"/>
  <c r="C420"/>
  <c r="C419"/>
  <c r="C418"/>
  <c r="C417"/>
  <c r="C416"/>
  <c r="C415"/>
  <c r="C414"/>
  <c r="C413"/>
  <c r="C412"/>
  <c r="C411"/>
  <c r="C410"/>
  <c r="C409"/>
  <c r="C406"/>
  <c r="C404"/>
  <c r="C403"/>
  <c r="C402"/>
  <c r="C401"/>
  <c r="C400"/>
  <c r="C399"/>
  <c r="M398"/>
  <c r="C398"/>
  <c r="C397"/>
  <c r="C396"/>
  <c r="C395"/>
  <c r="C394"/>
  <c r="C393"/>
  <c r="C392"/>
  <c r="C391"/>
  <c r="C390"/>
  <c r="C389"/>
  <c r="C388"/>
  <c r="C387"/>
  <c r="C386"/>
  <c r="C385"/>
  <c r="C384"/>
  <c r="C383"/>
  <c r="C382"/>
  <c r="M381"/>
  <c r="C381"/>
  <c r="C380"/>
  <c r="M379"/>
  <c r="C379"/>
  <c r="M378"/>
  <c r="C378"/>
  <c r="M377"/>
  <c r="C377"/>
  <c r="C376"/>
  <c r="C375"/>
  <c r="M374"/>
  <c r="C374"/>
  <c r="C373"/>
  <c r="C372"/>
  <c r="C371"/>
  <c r="C370"/>
  <c r="C369"/>
  <c r="C368"/>
  <c r="C367"/>
  <c r="C366"/>
  <c r="C365"/>
  <c r="C364"/>
  <c r="C363"/>
  <c r="C362"/>
  <c r="C355"/>
  <c r="C354"/>
  <c r="C353"/>
  <c r="C352"/>
  <c r="C351"/>
  <c r="C350"/>
  <c r="C349"/>
  <c r="C348"/>
  <c r="C347"/>
  <c r="C346"/>
  <c r="C345"/>
  <c r="C344"/>
  <c r="C343"/>
  <c r="C342"/>
  <c r="C341"/>
  <c r="C340"/>
  <c r="C339"/>
  <c r="C338"/>
  <c r="C337"/>
  <c r="C336"/>
  <c r="C335"/>
  <c r="C334"/>
  <c r="C333"/>
  <c r="C332"/>
  <c r="M331"/>
  <c r="C331"/>
  <c r="M330"/>
  <c r="C330"/>
  <c r="C329"/>
  <c r="C328"/>
  <c r="C327"/>
  <c r="C326"/>
  <c r="C325"/>
  <c r="C324"/>
  <c r="C323"/>
  <c r="C322"/>
  <c r="C321"/>
  <c r="C320"/>
  <c r="C319"/>
  <c r="C318"/>
  <c r="C317"/>
  <c r="C316"/>
  <c r="C315"/>
  <c r="C314"/>
  <c r="C309"/>
  <c r="C308"/>
  <c r="C307"/>
  <c r="C306"/>
  <c r="C305"/>
  <c r="C304"/>
  <c r="C303"/>
  <c r="C302"/>
  <c r="C301"/>
  <c r="C300"/>
  <c r="C299"/>
  <c r="C298"/>
  <c r="C297"/>
  <c r="C296"/>
  <c r="C295"/>
  <c r="C294"/>
  <c r="C293"/>
  <c r="C292"/>
  <c r="C291"/>
  <c r="C290"/>
  <c r="C289"/>
  <c r="C288"/>
  <c r="C287"/>
  <c r="C286"/>
  <c r="C285"/>
  <c r="C284"/>
  <c r="C283"/>
  <c r="C282"/>
  <c r="M281"/>
  <c r="C281"/>
  <c r="M280"/>
  <c r="C280"/>
  <c r="E279"/>
  <c r="E278"/>
  <c r="E277"/>
  <c r="M276"/>
  <c r="E276"/>
  <c r="M275"/>
  <c r="E275"/>
  <c r="E274"/>
  <c r="E273"/>
  <c r="E272"/>
  <c r="E271"/>
  <c r="E270"/>
  <c r="E269"/>
  <c r="E268"/>
  <c r="M267"/>
  <c r="E267"/>
  <c r="E266"/>
  <c r="E249"/>
  <c r="E248"/>
  <c r="E247"/>
  <c r="E246"/>
  <c r="E245"/>
  <c r="E244"/>
  <c r="E243"/>
  <c r="E242"/>
  <c r="E241"/>
  <c r="E240"/>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71"/>
  <c r="E170"/>
  <c r="AH706" l="1"/>
  <c r="AC706"/>
  <c r="AA706"/>
  <c r="Y706"/>
  <c r="W706"/>
  <c r="U706"/>
  <c r="S706"/>
  <c r="AD706"/>
  <c r="AB706"/>
  <c r="Z706"/>
  <c r="V706"/>
  <c r="T706"/>
  <c r="R706"/>
  <c r="A706"/>
  <c r="F39" i="15" a="1"/>
  <c r="F39" s="1"/>
  <c r="E39" a="1"/>
  <c r="E39" s="1"/>
  <c r="A702" i="34"/>
  <c r="R702"/>
  <c r="T702"/>
  <c r="V702"/>
  <c r="Z702"/>
  <c r="AB702"/>
  <c r="AD702"/>
  <c r="S702"/>
  <c r="U702"/>
  <c r="W702"/>
  <c r="Y702"/>
  <c r="AA702"/>
  <c r="AC702"/>
  <c r="A645"/>
  <c r="B13"/>
  <c r="AH13" s="1"/>
  <c r="AH717"/>
  <c r="V645"/>
  <c r="Z645"/>
  <c r="AB645"/>
  <c r="AD645"/>
  <c r="U645"/>
  <c r="W645"/>
  <c r="Y645"/>
  <c r="AA645"/>
  <c r="AC645"/>
  <c r="A726"/>
  <c r="V726"/>
  <c r="Z726"/>
  <c r="AB726"/>
  <c r="AD726"/>
  <c r="U726"/>
  <c r="W726"/>
  <c r="Y726"/>
  <c r="AA726"/>
  <c r="AC726"/>
  <c r="V728"/>
  <c r="Z728"/>
  <c r="AB728"/>
  <c r="AD728"/>
  <c r="V729"/>
  <c r="Z729"/>
  <c r="AB729"/>
  <c r="AD729"/>
  <c r="V730"/>
  <c r="Z730"/>
  <c r="AB730"/>
  <c r="AD730"/>
  <c r="A728"/>
  <c r="U728"/>
  <c r="W728"/>
  <c r="Y728"/>
  <c r="AA728"/>
  <c r="AC728"/>
  <c r="A729"/>
  <c r="U729"/>
  <c r="W729"/>
  <c r="Y729"/>
  <c r="AA729"/>
  <c r="AC729"/>
  <c r="A730"/>
  <c r="U730"/>
  <c r="W730"/>
  <c r="Y730"/>
  <c r="AA730"/>
  <c r="AC730"/>
  <c r="A647"/>
  <c r="V647"/>
  <c r="Z647"/>
  <c r="AB647"/>
  <c r="AD647"/>
  <c r="U648"/>
  <c r="W648"/>
  <c r="Y648"/>
  <c r="AA648"/>
  <c r="AC648"/>
  <c r="AH648"/>
  <c r="A649"/>
  <c r="V649"/>
  <c r="Z649"/>
  <c r="AB649"/>
  <c r="AD649"/>
  <c r="U647"/>
  <c r="W647"/>
  <c r="Y647"/>
  <c r="AA647"/>
  <c r="AC647"/>
  <c r="A648"/>
  <c r="V648"/>
  <c r="Z648"/>
  <c r="AB648"/>
  <c r="U649"/>
  <c r="W649"/>
  <c r="Y649"/>
  <c r="AA649"/>
  <c r="AC649"/>
  <c r="A713"/>
  <c r="V713"/>
  <c r="U712"/>
  <c r="W712"/>
  <c r="AH712"/>
  <c r="A712"/>
  <c r="V712"/>
  <c r="U713"/>
  <c r="W713"/>
  <c r="V717"/>
  <c r="AH711"/>
  <c r="A717"/>
  <c r="AH718"/>
  <c r="AH720"/>
  <c r="AH721"/>
  <c r="V721"/>
  <c r="AH723"/>
  <c r="A725"/>
  <c r="A711"/>
  <c r="V711"/>
  <c r="A719"/>
  <c r="V719"/>
  <c r="A723"/>
  <c r="V723"/>
  <c r="A710"/>
  <c r="V710"/>
  <c r="U711"/>
  <c r="W711"/>
  <c r="A714"/>
  <c r="U714"/>
  <c r="W714"/>
  <c r="AH714"/>
  <c r="A715"/>
  <c r="U715"/>
  <c r="W715"/>
  <c r="AH715"/>
  <c r="A716"/>
  <c r="V716"/>
  <c r="U717"/>
  <c r="W717"/>
  <c r="A718"/>
  <c r="V718"/>
  <c r="U719"/>
  <c r="W719"/>
  <c r="A720"/>
  <c r="V720"/>
  <c r="U721"/>
  <c r="W721"/>
  <c r="A722"/>
  <c r="V722"/>
  <c r="U723"/>
  <c r="W723"/>
  <c r="A724"/>
  <c r="V724"/>
  <c r="U725"/>
  <c r="W725"/>
  <c r="AH725"/>
  <c r="A727"/>
  <c r="V727"/>
  <c r="U710"/>
  <c r="W710"/>
  <c r="V714"/>
  <c r="V715"/>
  <c r="U716"/>
  <c r="W716"/>
  <c r="U718"/>
  <c r="W718"/>
  <c r="U720"/>
  <c r="W720"/>
  <c r="U722"/>
  <c r="W722"/>
  <c r="U724"/>
  <c r="W724"/>
  <c r="V725"/>
  <c r="U727"/>
  <c r="W727"/>
  <c r="A704"/>
  <c r="A692"/>
  <c r="A697"/>
  <c r="A694"/>
  <c r="A688"/>
  <c r="A684"/>
  <c r="A682"/>
  <c r="A678"/>
  <c r="A676"/>
  <c r="A674"/>
  <c r="A672"/>
  <c r="A670"/>
  <c r="A668"/>
  <c r="A660"/>
  <c r="A695"/>
  <c r="A691"/>
  <c r="A687"/>
  <c r="A679"/>
  <c r="A677"/>
  <c r="B708"/>
  <c r="A708" s="1"/>
  <c r="B696"/>
  <c r="A696" s="1"/>
  <c r="A18"/>
  <c r="A20"/>
  <c r="A22"/>
  <c r="A24"/>
  <c r="A19"/>
  <c r="A21"/>
  <c r="A23"/>
  <c r="W13" l="1"/>
  <c r="AA13"/>
  <c r="AD13"/>
  <c r="AC13"/>
  <c r="Y13"/>
  <c r="U13"/>
  <c r="Z13"/>
  <c r="H39" i="15"/>
  <c r="I39"/>
  <c r="G39"/>
  <c r="A13" i="34"/>
  <c r="AB13"/>
  <c r="V13"/>
  <c r="P3" i="56"/>
  <c r="Q3"/>
  <c r="AH669" i="34" l="1"/>
  <c r="AH673"/>
  <c r="AH700"/>
  <c r="AH681"/>
  <c r="AH699"/>
  <c r="AH703"/>
  <c r="AH660"/>
  <c r="AH22"/>
  <c r="AH680"/>
  <c r="AH683"/>
  <c r="AH690"/>
  <c r="AH709"/>
  <c r="AH691"/>
  <c r="AH694"/>
  <c r="AH679"/>
  <c r="AH678"/>
  <c r="AH668"/>
  <c r="AH670"/>
  <c r="AH672"/>
  <c r="AH674"/>
  <c r="AH676"/>
  <c r="AH692"/>
  <c r="AH20"/>
  <c r="AH667"/>
  <c r="AH671"/>
  <c r="AH675"/>
  <c r="AH693"/>
  <c r="AH689"/>
  <c r="AH705"/>
  <c r="AH661"/>
  <c r="AH698"/>
  <c r="AH685"/>
  <c r="AH686"/>
  <c r="AH701"/>
  <c r="AH704"/>
  <c r="AH24"/>
  <c r="AH695"/>
  <c r="AH697"/>
  <c r="AH677"/>
  <c r="AH688"/>
  <c r="AH687"/>
  <c r="AH682"/>
  <c r="AH684"/>
  <c r="AH18"/>
  <c r="AH19"/>
  <c r="AH21"/>
  <c r="AH23"/>
  <c r="AH696"/>
  <c r="AH708"/>
  <c r="AE12"/>
  <c r="AI12"/>
  <c r="AJ12"/>
  <c r="AK12"/>
  <c r="AE14"/>
  <c r="AI14"/>
  <c r="AJ14"/>
  <c r="AK14"/>
  <c r="AE15"/>
  <c r="AI15"/>
  <c r="AJ15"/>
  <c r="AK15"/>
  <c r="AE16"/>
  <c r="AI16"/>
  <c r="AJ16"/>
  <c r="AK16"/>
  <c r="AE17"/>
  <c r="AI17"/>
  <c r="AJ17"/>
  <c r="AK17"/>
  <c r="AE25"/>
  <c r="AI25"/>
  <c r="AJ25"/>
  <c r="AK25"/>
  <c r="AE26"/>
  <c r="AI26"/>
  <c r="AJ26"/>
  <c r="AK26"/>
  <c r="AE27"/>
  <c r="AI27"/>
  <c r="AJ27"/>
  <c r="AK27"/>
  <c r="AE28"/>
  <c r="AI28"/>
  <c r="AJ28"/>
  <c r="AK28"/>
  <c r="AE29"/>
  <c r="AI29"/>
  <c r="AJ29"/>
  <c r="AK29"/>
  <c r="AE30"/>
  <c r="AI30"/>
  <c r="AJ30"/>
  <c r="AK30"/>
  <c r="AE31"/>
  <c r="AI31"/>
  <c r="AJ31"/>
  <c r="AK31"/>
  <c r="AE32"/>
  <c r="AI32"/>
  <c r="AJ32"/>
  <c r="AK32"/>
  <c r="AE33"/>
  <c r="AI33"/>
  <c r="AJ33"/>
  <c r="AK33"/>
  <c r="AE34"/>
  <c r="AI34"/>
  <c r="AJ34"/>
  <c r="AK34"/>
  <c r="AE35"/>
  <c r="AI35"/>
  <c r="AJ35"/>
  <c r="AK35"/>
  <c r="AE36"/>
  <c r="AI36"/>
  <c r="AJ36"/>
  <c r="AK36"/>
  <c r="AE37"/>
  <c r="AI37"/>
  <c r="AJ37"/>
  <c r="AK37"/>
  <c r="AE38"/>
  <c r="AI38"/>
  <c r="AJ38"/>
  <c r="AK38"/>
  <c r="AE39"/>
  <c r="AI39"/>
  <c r="AJ39"/>
  <c r="AK39"/>
  <c r="AE40"/>
  <c r="AI40"/>
  <c r="AJ40"/>
  <c r="AK40"/>
  <c r="AE41"/>
  <c r="AI41"/>
  <c r="AJ41"/>
  <c r="AK41"/>
  <c r="AE42"/>
  <c r="AI42"/>
  <c r="AJ42"/>
  <c r="AK42"/>
  <c r="AE43"/>
  <c r="AI43"/>
  <c r="AJ43"/>
  <c r="AK43"/>
  <c r="AE44"/>
  <c r="AI44"/>
  <c r="AJ44"/>
  <c r="AK44"/>
  <c r="AE45"/>
  <c r="AI45"/>
  <c r="AJ45"/>
  <c r="AK45"/>
  <c r="AE46"/>
  <c r="AI46"/>
  <c r="AJ46"/>
  <c r="AK46"/>
  <c r="AE47"/>
  <c r="AI47"/>
  <c r="AJ47"/>
  <c r="AK47"/>
  <c r="AE48"/>
  <c r="AI48"/>
  <c r="AJ48"/>
  <c r="AK48"/>
  <c r="AE49"/>
  <c r="AI49"/>
  <c r="AJ49"/>
  <c r="AK49"/>
  <c r="AE50"/>
  <c r="AI50"/>
  <c r="AJ50"/>
  <c r="AK50"/>
  <c r="AE51"/>
  <c r="AI51"/>
  <c r="AJ51"/>
  <c r="AK51"/>
  <c r="AE52"/>
  <c r="AI52"/>
  <c r="AJ52"/>
  <c r="AK52"/>
  <c r="AE53"/>
  <c r="AI53"/>
  <c r="AJ53"/>
  <c r="AK53"/>
  <c r="AE54"/>
  <c r="AI54"/>
  <c r="AJ54"/>
  <c r="AK54"/>
  <c r="AE55"/>
  <c r="AI55"/>
  <c r="AJ55"/>
  <c r="AK55"/>
  <c r="AE56"/>
  <c r="AI56"/>
  <c r="AJ56"/>
  <c r="AK56"/>
  <c r="AE57"/>
  <c r="AI57"/>
  <c r="AJ57"/>
  <c r="AK57"/>
  <c r="AE58"/>
  <c r="AI58"/>
  <c r="AJ58"/>
  <c r="AK58"/>
  <c r="AE59"/>
  <c r="AI59"/>
  <c r="AJ59"/>
  <c r="AK59"/>
  <c r="AE60"/>
  <c r="AI60"/>
  <c r="AJ60"/>
  <c r="AK60"/>
  <c r="AE61"/>
  <c r="AI61"/>
  <c r="AJ61"/>
  <c r="AK61"/>
  <c r="AE62"/>
  <c r="AI62"/>
  <c r="AJ62"/>
  <c r="AK62"/>
  <c r="AE63"/>
  <c r="AI63"/>
  <c r="AJ63"/>
  <c r="AK63"/>
  <c r="AE64"/>
  <c r="AI64"/>
  <c r="AJ64"/>
  <c r="AK64"/>
  <c r="AE65"/>
  <c r="AI65"/>
  <c r="AJ65"/>
  <c r="AK65"/>
  <c r="AE66"/>
  <c r="AI66"/>
  <c r="AJ66"/>
  <c r="AK66"/>
  <c r="AE67"/>
  <c r="AI67"/>
  <c r="AJ67"/>
  <c r="AK67"/>
  <c r="AE68"/>
  <c r="AI68"/>
  <c r="AJ68"/>
  <c r="AK68"/>
  <c r="AE69"/>
  <c r="AI69"/>
  <c r="AJ69"/>
  <c r="AK69"/>
  <c r="AE70"/>
  <c r="AI70"/>
  <c r="AJ70"/>
  <c r="AK70"/>
  <c r="AE71"/>
  <c r="AI71"/>
  <c r="AJ71"/>
  <c r="AK71"/>
  <c r="AE72"/>
  <c r="AI72"/>
  <c r="AJ72"/>
  <c r="AK72"/>
  <c r="AE73"/>
  <c r="AI73"/>
  <c r="AJ73"/>
  <c r="AK73"/>
  <c r="AE74"/>
  <c r="AI74"/>
  <c r="AJ74"/>
  <c r="AK74"/>
  <c r="AE75"/>
  <c r="AI75"/>
  <c r="AJ75"/>
  <c r="AK75"/>
  <c r="AE76"/>
  <c r="AI76"/>
  <c r="AJ76"/>
  <c r="AK76"/>
  <c r="AE77"/>
  <c r="AI77"/>
  <c r="AJ77"/>
  <c r="AK77"/>
  <c r="AE78"/>
  <c r="AI78"/>
  <c r="AJ78"/>
  <c r="AK78"/>
  <c r="AE79"/>
  <c r="AI79"/>
  <c r="AJ79"/>
  <c r="AK79"/>
  <c r="AE80"/>
  <c r="AI80"/>
  <c r="AJ80"/>
  <c r="AK80"/>
  <c r="AE81"/>
  <c r="AI81"/>
  <c r="AJ81"/>
  <c r="AK81"/>
  <c r="AE82"/>
  <c r="AI82"/>
  <c r="AJ82"/>
  <c r="AK82"/>
  <c r="AE83"/>
  <c r="AI83"/>
  <c r="AJ83"/>
  <c r="AK83"/>
  <c r="AE84"/>
  <c r="AI84"/>
  <c r="AJ84"/>
  <c r="AK84"/>
  <c r="AE85"/>
  <c r="AI85"/>
  <c r="AJ85"/>
  <c r="AK85"/>
  <c r="AE86"/>
  <c r="AI86"/>
  <c r="AJ86"/>
  <c r="AK86"/>
  <c r="AE87"/>
  <c r="AI87"/>
  <c r="AJ87"/>
  <c r="AK87"/>
  <c r="AE88"/>
  <c r="AI88"/>
  <c r="AJ88"/>
  <c r="AK88"/>
  <c r="AE89"/>
  <c r="AI89"/>
  <c r="AJ89"/>
  <c r="AK89"/>
  <c r="AE90"/>
  <c r="AI90"/>
  <c r="AJ90"/>
  <c r="AK90"/>
  <c r="AE91"/>
  <c r="AI91"/>
  <c r="AJ91"/>
  <c r="AK91"/>
  <c r="AE92"/>
  <c r="AI92"/>
  <c r="AJ92"/>
  <c r="AK92"/>
  <c r="AE93"/>
  <c r="AI93"/>
  <c r="AJ93"/>
  <c r="AK93"/>
  <c r="AE94"/>
  <c r="AI94"/>
  <c r="AJ94"/>
  <c r="AK94"/>
  <c r="AE95"/>
  <c r="AI95"/>
  <c r="AJ95"/>
  <c r="AK95"/>
  <c r="AE96"/>
  <c r="AI96"/>
  <c r="AJ96"/>
  <c r="AK96"/>
  <c r="AE97"/>
  <c r="AI97"/>
  <c r="AJ97"/>
  <c r="AK97"/>
  <c r="AE98"/>
  <c r="AI98"/>
  <c r="AJ98"/>
  <c r="AK98"/>
  <c r="AE99"/>
  <c r="AI99"/>
  <c r="AJ99"/>
  <c r="AK99"/>
  <c r="AE100"/>
  <c r="AI100"/>
  <c r="AJ100"/>
  <c r="AK100"/>
  <c r="AE101"/>
  <c r="AI101"/>
  <c r="AJ101"/>
  <c r="AK101"/>
  <c r="AE102"/>
  <c r="AI102"/>
  <c r="AJ102"/>
  <c r="AK102"/>
  <c r="AE103"/>
  <c r="AI103"/>
  <c r="AJ103"/>
  <c r="AK103"/>
  <c r="AE104"/>
  <c r="AI104"/>
  <c r="AJ104"/>
  <c r="AK104"/>
  <c r="AE105"/>
  <c r="AI105"/>
  <c r="AJ105"/>
  <c r="AK105"/>
  <c r="AE106"/>
  <c r="AI106"/>
  <c r="AJ106"/>
  <c r="AK106"/>
  <c r="AE107"/>
  <c r="AI107"/>
  <c r="AJ107"/>
  <c r="AK107"/>
  <c r="AE108"/>
  <c r="AI108"/>
  <c r="AJ108"/>
  <c r="AK108"/>
  <c r="AE109"/>
  <c r="AI109"/>
  <c r="AJ109"/>
  <c r="AK109"/>
  <c r="AE110"/>
  <c r="AI110"/>
  <c r="AJ110"/>
  <c r="AK110"/>
  <c r="AE111"/>
  <c r="AI111"/>
  <c r="AJ111"/>
  <c r="AK111"/>
  <c r="AE112"/>
  <c r="AI112"/>
  <c r="AJ112"/>
  <c r="AK112"/>
  <c r="AE113"/>
  <c r="AI113"/>
  <c r="AJ113"/>
  <c r="AK113"/>
  <c r="AE114"/>
  <c r="AI114"/>
  <c r="AJ114"/>
  <c r="AK114"/>
  <c r="AE115"/>
  <c r="AI115"/>
  <c r="AJ115"/>
  <c r="AK115"/>
  <c r="AE116"/>
  <c r="AI116"/>
  <c r="AJ116"/>
  <c r="AK116"/>
  <c r="AE117"/>
  <c r="AI117"/>
  <c r="AJ117"/>
  <c r="AK117"/>
  <c r="AE118"/>
  <c r="AI118"/>
  <c r="AJ118"/>
  <c r="AK118"/>
  <c r="AE119"/>
  <c r="AI119"/>
  <c r="AJ119"/>
  <c r="AK119"/>
  <c r="AE120"/>
  <c r="AI120"/>
  <c r="AJ120"/>
  <c r="AK120"/>
  <c r="AE121"/>
  <c r="AI121"/>
  <c r="AJ121"/>
  <c r="AK121"/>
  <c r="AE122"/>
  <c r="AI122"/>
  <c r="AJ122"/>
  <c r="AK122"/>
  <c r="AE123"/>
  <c r="AI123"/>
  <c r="AJ123"/>
  <c r="AK123"/>
  <c r="AE124"/>
  <c r="AI124"/>
  <c r="AJ124"/>
  <c r="AK124"/>
  <c r="AE125"/>
  <c r="AI125"/>
  <c r="AJ125"/>
  <c r="AK125"/>
  <c r="AE126"/>
  <c r="AI126"/>
  <c r="AJ126"/>
  <c r="AK126"/>
  <c r="AE127"/>
  <c r="AI127"/>
  <c r="AJ127"/>
  <c r="AK127"/>
  <c r="AE128"/>
  <c r="AI128"/>
  <c r="AJ128"/>
  <c r="AK128"/>
  <c r="AE129"/>
  <c r="AI129"/>
  <c r="AJ129"/>
  <c r="AK129"/>
  <c r="AE130"/>
  <c r="AI130"/>
  <c r="AJ130"/>
  <c r="AK130"/>
  <c r="AE131"/>
  <c r="AI131"/>
  <c r="AJ131"/>
  <c r="AK131"/>
  <c r="AE132"/>
  <c r="AI132"/>
  <c r="AJ132"/>
  <c r="AK132"/>
  <c r="AE133"/>
  <c r="AI133"/>
  <c r="AJ133"/>
  <c r="AK133"/>
  <c r="AE134"/>
  <c r="AI134"/>
  <c r="AJ134"/>
  <c r="AK134"/>
  <c r="AE135"/>
  <c r="AI135"/>
  <c r="AJ135"/>
  <c r="AK135"/>
  <c r="AE136"/>
  <c r="AI136"/>
  <c r="AJ136"/>
  <c r="AK136"/>
  <c r="AE137"/>
  <c r="AI137"/>
  <c r="AJ137"/>
  <c r="AK137"/>
  <c r="AE138"/>
  <c r="AI138"/>
  <c r="AJ138"/>
  <c r="AK138"/>
  <c r="AE139"/>
  <c r="AI139"/>
  <c r="AJ139"/>
  <c r="AK139"/>
  <c r="AE140"/>
  <c r="AI140"/>
  <c r="AJ140"/>
  <c r="AK140"/>
  <c r="AE141"/>
  <c r="AI141"/>
  <c r="AJ141"/>
  <c r="AK141"/>
  <c r="AE142"/>
  <c r="AI142"/>
  <c r="AJ142"/>
  <c r="AK142"/>
  <c r="AE143"/>
  <c r="AI143"/>
  <c r="AJ143"/>
  <c r="AK143"/>
  <c r="AE144"/>
  <c r="AI144"/>
  <c r="AJ144"/>
  <c r="AK144"/>
  <c r="AE145"/>
  <c r="AI145"/>
  <c r="AJ145"/>
  <c r="AK145"/>
  <c r="AE146"/>
  <c r="AI146"/>
  <c r="AJ146"/>
  <c r="AK146"/>
  <c r="AE147"/>
  <c r="AI147"/>
  <c r="AJ147"/>
  <c r="AK147"/>
  <c r="AE148"/>
  <c r="AI148"/>
  <c r="AJ148"/>
  <c r="AK148"/>
  <c r="AE149"/>
  <c r="AI149"/>
  <c r="AJ149"/>
  <c r="AK149"/>
  <c r="AE150"/>
  <c r="AI150"/>
  <c r="AJ150"/>
  <c r="AK150"/>
  <c r="AE151"/>
  <c r="AI151"/>
  <c r="AJ151"/>
  <c r="AK151"/>
  <c r="AE152"/>
  <c r="AI152"/>
  <c r="AJ152"/>
  <c r="AK152"/>
  <c r="AE153"/>
  <c r="AI153"/>
  <c r="AJ153"/>
  <c r="AK153"/>
  <c r="AE154"/>
  <c r="AI154"/>
  <c r="AJ154"/>
  <c r="AK154"/>
  <c r="AE155"/>
  <c r="AI155"/>
  <c r="AJ155"/>
  <c r="AK155"/>
  <c r="AE156"/>
  <c r="AI156"/>
  <c r="AJ156"/>
  <c r="AK156"/>
  <c r="AE157"/>
  <c r="AI157"/>
  <c r="AJ157"/>
  <c r="AK157"/>
  <c r="AE158"/>
  <c r="AI158"/>
  <c r="AJ158"/>
  <c r="AK158"/>
  <c r="AE159"/>
  <c r="AI159"/>
  <c r="AJ159"/>
  <c r="AK159"/>
  <c r="AE160"/>
  <c r="AI160"/>
  <c r="AJ160"/>
  <c r="AK160"/>
  <c r="AE161"/>
  <c r="AI161"/>
  <c r="AJ161"/>
  <c r="AK161"/>
  <c r="AE162"/>
  <c r="AI162"/>
  <c r="AJ162"/>
  <c r="AK162"/>
  <c r="AE163"/>
  <c r="AI163"/>
  <c r="AJ163"/>
  <c r="AK163"/>
  <c r="AE164"/>
  <c r="AI164"/>
  <c r="AJ164"/>
  <c r="AK164"/>
  <c r="AE165"/>
  <c r="AI165"/>
  <c r="AJ165"/>
  <c r="AK165"/>
  <c r="AE166"/>
  <c r="AI166"/>
  <c r="AJ166"/>
  <c r="AK166"/>
  <c r="AE167"/>
  <c r="AI167"/>
  <c r="AJ167"/>
  <c r="AK167"/>
  <c r="AE168"/>
  <c r="AI168"/>
  <c r="AJ168"/>
  <c r="AK168"/>
  <c r="AE169"/>
  <c r="AI169"/>
  <c r="AJ169"/>
  <c r="AK169"/>
  <c r="AE170"/>
  <c r="AI170"/>
  <c r="AJ170"/>
  <c r="AK170"/>
  <c r="AE171"/>
  <c r="AI171"/>
  <c r="AJ171"/>
  <c r="AK171"/>
  <c r="AE172"/>
  <c r="AI172"/>
  <c r="AJ172"/>
  <c r="AK172"/>
  <c r="AE173"/>
  <c r="AI173"/>
  <c r="AJ173"/>
  <c r="AK173"/>
  <c r="AE174"/>
  <c r="AI174"/>
  <c r="AJ174"/>
  <c r="AK174"/>
  <c r="AE175"/>
  <c r="AI175"/>
  <c r="AJ175"/>
  <c r="AK175"/>
  <c r="AE176"/>
  <c r="AI176"/>
  <c r="AJ176"/>
  <c r="AK176"/>
  <c r="AE177"/>
  <c r="AI177"/>
  <c r="AJ177"/>
  <c r="AK177"/>
  <c r="AE178"/>
  <c r="AI178"/>
  <c r="AJ178"/>
  <c r="AK178"/>
  <c r="AE179"/>
  <c r="AI179"/>
  <c r="AJ179"/>
  <c r="AK179"/>
  <c r="AE180"/>
  <c r="AI180"/>
  <c r="AJ180"/>
  <c r="AK180"/>
  <c r="AE181"/>
  <c r="AI181"/>
  <c r="AJ181"/>
  <c r="AK181"/>
  <c r="AE182"/>
  <c r="AI182"/>
  <c r="AJ182"/>
  <c r="AK182"/>
  <c r="AE183"/>
  <c r="AI183"/>
  <c r="AJ183"/>
  <c r="AK183"/>
  <c r="AE184"/>
  <c r="AI184"/>
  <c r="AJ184"/>
  <c r="AK184"/>
  <c r="AE185"/>
  <c r="AI185"/>
  <c r="AJ185"/>
  <c r="AK185"/>
  <c r="AE186"/>
  <c r="AI186"/>
  <c r="AJ186"/>
  <c r="AK186"/>
  <c r="AE187"/>
  <c r="AI187"/>
  <c r="AJ187"/>
  <c r="AK187"/>
  <c r="AE188"/>
  <c r="AI188"/>
  <c r="AJ188"/>
  <c r="AK188"/>
  <c r="AE189"/>
  <c r="AI189"/>
  <c r="AJ189"/>
  <c r="AK189"/>
  <c r="AE190"/>
  <c r="AI190"/>
  <c r="AJ190"/>
  <c r="AK190"/>
  <c r="AE191"/>
  <c r="AI191"/>
  <c r="AJ191"/>
  <c r="AK191"/>
  <c r="AE192"/>
  <c r="AI192"/>
  <c r="AJ192"/>
  <c r="AK192"/>
  <c r="AE193"/>
  <c r="AI193"/>
  <c r="AJ193"/>
  <c r="AK193"/>
  <c r="AE194"/>
  <c r="AI194"/>
  <c r="AJ194"/>
  <c r="AK194"/>
  <c r="AE195"/>
  <c r="AI195"/>
  <c r="AJ195"/>
  <c r="AK195"/>
  <c r="AE196"/>
  <c r="AI196"/>
  <c r="AJ196"/>
  <c r="AK196"/>
  <c r="AE197"/>
  <c r="AI197"/>
  <c r="AJ197"/>
  <c r="AK197"/>
  <c r="AE198"/>
  <c r="AI198"/>
  <c r="AJ198"/>
  <c r="AK198"/>
  <c r="AE199"/>
  <c r="AI199"/>
  <c r="AJ199"/>
  <c r="AK199"/>
  <c r="AE200"/>
  <c r="AI200"/>
  <c r="AJ200"/>
  <c r="AK200"/>
  <c r="AE201"/>
  <c r="AI201"/>
  <c r="AJ201"/>
  <c r="AK201"/>
  <c r="AE202"/>
  <c r="AI202"/>
  <c r="AJ202"/>
  <c r="AK202"/>
  <c r="AE203"/>
  <c r="AI203"/>
  <c r="AJ203"/>
  <c r="AK203"/>
  <c r="AE204"/>
  <c r="AI204"/>
  <c r="AJ204"/>
  <c r="AK204"/>
  <c r="AE205"/>
  <c r="AI205"/>
  <c r="AJ205"/>
  <c r="AK205"/>
  <c r="AE206"/>
  <c r="AI206"/>
  <c r="AJ206"/>
  <c r="AK206"/>
  <c r="AE207"/>
  <c r="AI207"/>
  <c r="AJ207"/>
  <c r="AK207"/>
  <c r="AE208"/>
  <c r="AI208"/>
  <c r="AJ208"/>
  <c r="AK208"/>
  <c r="AE209"/>
  <c r="AI209"/>
  <c r="AJ209"/>
  <c r="AK209"/>
  <c r="AE210"/>
  <c r="AI210"/>
  <c r="AJ210"/>
  <c r="AK210"/>
  <c r="AE211"/>
  <c r="AI211"/>
  <c r="AJ211"/>
  <c r="AK211"/>
  <c r="AE212"/>
  <c r="AI212"/>
  <c r="AJ212"/>
  <c r="AK212"/>
  <c r="AE213"/>
  <c r="AI213"/>
  <c r="AJ213"/>
  <c r="AK213"/>
  <c r="AE214"/>
  <c r="AI214"/>
  <c r="AJ214"/>
  <c r="AK214"/>
  <c r="AE215"/>
  <c r="AI215"/>
  <c r="AJ215"/>
  <c r="AK215"/>
  <c r="AE216"/>
  <c r="AI216"/>
  <c r="AJ216"/>
  <c r="AK216"/>
  <c r="AE217"/>
  <c r="AI217"/>
  <c r="AJ217"/>
  <c r="AK217"/>
  <c r="AE218"/>
  <c r="AI218"/>
  <c r="AJ218"/>
  <c r="AK218"/>
  <c r="AE219"/>
  <c r="AI219"/>
  <c r="AJ219"/>
  <c r="AK219"/>
  <c r="AE220"/>
  <c r="AI220"/>
  <c r="AJ220"/>
  <c r="AK220"/>
  <c r="AE221"/>
  <c r="AI221"/>
  <c r="AJ221"/>
  <c r="AK221"/>
  <c r="AE222"/>
  <c r="AI222"/>
  <c r="AJ222"/>
  <c r="AK222"/>
  <c r="AE223"/>
  <c r="AI223"/>
  <c r="AJ223"/>
  <c r="AK223"/>
  <c r="AE224"/>
  <c r="AI224"/>
  <c r="AJ224"/>
  <c r="AK224"/>
  <c r="AE225"/>
  <c r="AI225"/>
  <c r="AJ225"/>
  <c r="AK225"/>
  <c r="AE226"/>
  <c r="AI226"/>
  <c r="AJ226"/>
  <c r="AK226"/>
  <c r="AE227"/>
  <c r="AI227"/>
  <c r="AJ227"/>
  <c r="AK227"/>
  <c r="AE228"/>
  <c r="AI228"/>
  <c r="AJ228"/>
  <c r="AK228"/>
  <c r="AE229"/>
  <c r="AI229"/>
  <c r="AJ229"/>
  <c r="AK229"/>
  <c r="AE230"/>
  <c r="AI230"/>
  <c r="AJ230"/>
  <c r="AK230"/>
  <c r="AE231"/>
  <c r="AI231"/>
  <c r="AJ231"/>
  <c r="AK231"/>
  <c r="AE232"/>
  <c r="AI232"/>
  <c r="AJ232"/>
  <c r="AK232"/>
  <c r="AE233"/>
  <c r="AI233"/>
  <c r="AJ233"/>
  <c r="AK233"/>
  <c r="AE234"/>
  <c r="AI234"/>
  <c r="AJ234"/>
  <c r="AK234"/>
  <c r="AE235"/>
  <c r="AI235"/>
  <c r="AJ235"/>
  <c r="AK235"/>
  <c r="AE236"/>
  <c r="AI236"/>
  <c r="AJ236"/>
  <c r="AK236"/>
  <c r="AE237"/>
  <c r="AI237"/>
  <c r="AJ237"/>
  <c r="AK237"/>
  <c r="AE238"/>
  <c r="AI238"/>
  <c r="AJ238"/>
  <c r="AK238"/>
  <c r="AE239"/>
  <c r="AI239"/>
  <c r="AJ239"/>
  <c r="AK239"/>
  <c r="AE240"/>
  <c r="AI240"/>
  <c r="AJ240"/>
  <c r="AK240"/>
  <c r="AE241"/>
  <c r="AI241"/>
  <c r="AJ241"/>
  <c r="AK241"/>
  <c r="AE242"/>
  <c r="AI242"/>
  <c r="AJ242"/>
  <c r="AK242"/>
  <c r="AE243"/>
  <c r="AI243"/>
  <c r="AJ243"/>
  <c r="AK243"/>
  <c r="AE244"/>
  <c r="AI244"/>
  <c r="AJ244"/>
  <c r="AK244"/>
  <c r="AE245"/>
  <c r="AI245"/>
  <c r="AJ245"/>
  <c r="AK245"/>
  <c r="AE246"/>
  <c r="AI246"/>
  <c r="AJ246"/>
  <c r="AK246"/>
  <c r="AE247"/>
  <c r="AI247"/>
  <c r="AJ247"/>
  <c r="AK247"/>
  <c r="AE248"/>
  <c r="AI248"/>
  <c r="AJ248"/>
  <c r="AK248"/>
  <c r="AE249"/>
  <c r="AI249"/>
  <c r="AJ249"/>
  <c r="AK249"/>
  <c r="AE250"/>
  <c r="AI250"/>
  <c r="AJ250"/>
  <c r="AK250"/>
  <c r="AE251"/>
  <c r="AI251"/>
  <c r="AJ251"/>
  <c r="AK251"/>
  <c r="AE252"/>
  <c r="AI252"/>
  <c r="AJ252"/>
  <c r="AK252"/>
  <c r="AE253"/>
  <c r="AI253"/>
  <c r="AJ253"/>
  <c r="AK253"/>
  <c r="AE254"/>
  <c r="AI254"/>
  <c r="AJ254"/>
  <c r="AK254"/>
  <c r="AE255"/>
  <c r="AI255"/>
  <c r="AJ255"/>
  <c r="AK255"/>
  <c r="AE256"/>
  <c r="AI256"/>
  <c r="AJ256"/>
  <c r="AK256"/>
  <c r="AE257"/>
  <c r="AI257"/>
  <c r="AJ257"/>
  <c r="AK257"/>
  <c r="AE258"/>
  <c r="AI258"/>
  <c r="AJ258"/>
  <c r="AK258"/>
  <c r="AE259"/>
  <c r="AI259"/>
  <c r="AJ259"/>
  <c r="AK259"/>
  <c r="AE260"/>
  <c r="AI260"/>
  <c r="AJ260"/>
  <c r="AK260"/>
  <c r="AE261"/>
  <c r="AI261"/>
  <c r="AJ261"/>
  <c r="AK261"/>
  <c r="AE262"/>
  <c r="AI262"/>
  <c r="AJ262"/>
  <c r="AK262"/>
  <c r="AE263"/>
  <c r="AI263"/>
  <c r="AJ263"/>
  <c r="AK263"/>
  <c r="AE264"/>
  <c r="AI264"/>
  <c r="AJ264"/>
  <c r="AK264"/>
  <c r="AE265"/>
  <c r="AI265"/>
  <c r="AJ265"/>
  <c r="AK265"/>
  <c r="AE266"/>
  <c r="AI266"/>
  <c r="AJ266"/>
  <c r="AK266"/>
  <c r="AE267"/>
  <c r="AI267"/>
  <c r="AJ267"/>
  <c r="AK267"/>
  <c r="AE268"/>
  <c r="AI268"/>
  <c r="AJ268"/>
  <c r="AK268"/>
  <c r="AE269"/>
  <c r="AI269"/>
  <c r="AJ269"/>
  <c r="AK269"/>
  <c r="AE270"/>
  <c r="AI270"/>
  <c r="AJ270"/>
  <c r="AK270"/>
  <c r="AE271"/>
  <c r="AI271"/>
  <c r="AJ271"/>
  <c r="AK271"/>
  <c r="AE272"/>
  <c r="AI272"/>
  <c r="AJ272"/>
  <c r="AK272"/>
  <c r="AE273"/>
  <c r="AI273"/>
  <c r="AJ273"/>
  <c r="AK273"/>
  <c r="AE274"/>
  <c r="AI274"/>
  <c r="AJ274"/>
  <c r="AK274"/>
  <c r="AE275"/>
  <c r="AI275"/>
  <c r="AJ275"/>
  <c r="AK275"/>
  <c r="AE276"/>
  <c r="AI276"/>
  <c r="AJ276"/>
  <c r="AK276"/>
  <c r="AE277"/>
  <c r="AI277"/>
  <c r="AJ277"/>
  <c r="AK277"/>
  <c r="AE278"/>
  <c r="AI278"/>
  <c r="AJ278"/>
  <c r="AK278"/>
  <c r="AE279"/>
  <c r="AI279"/>
  <c r="AJ279"/>
  <c r="AK279"/>
  <c r="AE280"/>
  <c r="AI280"/>
  <c r="AJ280"/>
  <c r="AE281"/>
  <c r="AI281"/>
  <c r="AJ281"/>
  <c r="AE282"/>
  <c r="AI282"/>
  <c r="AJ282"/>
  <c r="AE283"/>
  <c r="AI283"/>
  <c r="AJ283"/>
  <c r="AE284"/>
  <c r="AI284"/>
  <c r="AJ284"/>
  <c r="AE285"/>
  <c r="AI285"/>
  <c r="AJ285"/>
  <c r="AE286"/>
  <c r="AI286"/>
  <c r="AJ286"/>
  <c r="AE287"/>
  <c r="AI287"/>
  <c r="AJ287"/>
  <c r="AE288"/>
  <c r="AI288"/>
  <c r="AJ288"/>
  <c r="AE289"/>
  <c r="AI289"/>
  <c r="AJ289"/>
  <c r="AE290"/>
  <c r="AI290"/>
  <c r="AJ290"/>
  <c r="AE291"/>
  <c r="AI291"/>
  <c r="AJ291"/>
  <c r="AE292"/>
  <c r="AI292"/>
  <c r="AJ292"/>
  <c r="AE293"/>
  <c r="AI293"/>
  <c r="AJ293"/>
  <c r="AE294"/>
  <c r="AI294"/>
  <c r="AJ294"/>
  <c r="AE295"/>
  <c r="AI295"/>
  <c r="AJ295"/>
  <c r="AE296"/>
  <c r="AI296"/>
  <c r="AJ296"/>
  <c r="AE297"/>
  <c r="AI297"/>
  <c r="AJ297"/>
  <c r="AE298"/>
  <c r="AI298"/>
  <c r="AJ298"/>
  <c r="AE299"/>
  <c r="AI299"/>
  <c r="AJ299"/>
  <c r="AE300"/>
  <c r="AI300"/>
  <c r="AJ300"/>
  <c r="AE301"/>
  <c r="AI301"/>
  <c r="AJ301"/>
  <c r="AE302"/>
  <c r="AI302"/>
  <c r="AJ302"/>
  <c r="AE303"/>
  <c r="AI303"/>
  <c r="AJ303"/>
  <c r="AE304"/>
  <c r="AI304"/>
  <c r="AJ304"/>
  <c r="AE305"/>
  <c r="AI305"/>
  <c r="AJ305"/>
  <c r="AE306"/>
  <c r="AI306"/>
  <c r="AJ306"/>
  <c r="AE307"/>
  <c r="AI307"/>
  <c r="AJ307"/>
  <c r="AE308"/>
  <c r="AI308"/>
  <c r="AJ308"/>
  <c r="AE309"/>
  <c r="AI309"/>
  <c r="AJ309"/>
  <c r="AE310"/>
  <c r="AI310"/>
  <c r="AJ310"/>
  <c r="AK310"/>
  <c r="AE311"/>
  <c r="AI311"/>
  <c r="AJ311"/>
  <c r="AK311"/>
  <c r="AE312"/>
  <c r="AI312"/>
  <c r="AJ312"/>
  <c r="AK312"/>
  <c r="AE313"/>
  <c r="AI313"/>
  <c r="AJ313"/>
  <c r="AK313"/>
  <c r="AE314"/>
  <c r="AI314"/>
  <c r="AJ314"/>
  <c r="AE315"/>
  <c r="AI315"/>
  <c r="AJ315"/>
  <c r="AE316"/>
  <c r="AI316"/>
  <c r="AJ316"/>
  <c r="AE317"/>
  <c r="AI317"/>
  <c r="AJ317"/>
  <c r="AE318"/>
  <c r="AI318"/>
  <c r="AJ318"/>
  <c r="AE319"/>
  <c r="AI319"/>
  <c r="AJ319"/>
  <c r="AE320"/>
  <c r="AI320"/>
  <c r="AJ320"/>
  <c r="AE321"/>
  <c r="AI321"/>
  <c r="AJ321"/>
  <c r="AE322"/>
  <c r="AI322"/>
  <c r="AJ322"/>
  <c r="AE323"/>
  <c r="AI323"/>
  <c r="AJ323"/>
  <c r="AE324"/>
  <c r="AI324"/>
  <c r="AJ324"/>
  <c r="AE325"/>
  <c r="AI325"/>
  <c r="AJ325"/>
  <c r="AE326"/>
  <c r="AI326"/>
  <c r="AJ326"/>
  <c r="AE327"/>
  <c r="AI327"/>
  <c r="AJ327"/>
  <c r="AE328"/>
  <c r="AI328"/>
  <c r="AJ328"/>
  <c r="AE329"/>
  <c r="AI329"/>
  <c r="AJ329"/>
  <c r="AE330"/>
  <c r="AI330"/>
  <c r="AJ330"/>
  <c r="AE331"/>
  <c r="AI331"/>
  <c r="AJ331"/>
  <c r="AE332"/>
  <c r="AI332"/>
  <c r="AJ332"/>
  <c r="AE333"/>
  <c r="AI333"/>
  <c r="AJ333"/>
  <c r="AE334"/>
  <c r="AI334"/>
  <c r="AJ334"/>
  <c r="AE335"/>
  <c r="AI335"/>
  <c r="AJ335"/>
  <c r="AE336"/>
  <c r="AI336"/>
  <c r="AJ336"/>
  <c r="AE337"/>
  <c r="AI337"/>
  <c r="AJ337"/>
  <c r="AE338"/>
  <c r="AI338"/>
  <c r="AJ338"/>
  <c r="AE339"/>
  <c r="AI339"/>
  <c r="AJ339"/>
  <c r="AE340"/>
  <c r="AI340"/>
  <c r="AJ340"/>
  <c r="AE341"/>
  <c r="AI341"/>
  <c r="AJ341"/>
  <c r="AE342"/>
  <c r="AI342"/>
  <c r="AJ342"/>
  <c r="AE343"/>
  <c r="AI343"/>
  <c r="AJ343"/>
  <c r="AE344"/>
  <c r="AI344"/>
  <c r="AJ344"/>
  <c r="AE345"/>
  <c r="AI345"/>
  <c r="AJ345"/>
  <c r="AE346"/>
  <c r="AI346"/>
  <c r="AJ346"/>
  <c r="AE347"/>
  <c r="AI347"/>
  <c r="AJ347"/>
  <c r="AE348"/>
  <c r="AI348"/>
  <c r="AJ348"/>
  <c r="AE349"/>
  <c r="AI349"/>
  <c r="AJ349"/>
  <c r="AE350"/>
  <c r="AI350"/>
  <c r="AJ350"/>
  <c r="AE351"/>
  <c r="AI351"/>
  <c r="AJ351"/>
  <c r="AE352"/>
  <c r="AI352"/>
  <c r="AJ352"/>
  <c r="AE353"/>
  <c r="AI353"/>
  <c r="AJ353"/>
  <c r="AE354"/>
  <c r="AI354"/>
  <c r="AJ354"/>
  <c r="AE355"/>
  <c r="AI355"/>
  <c r="AJ355"/>
  <c r="AE356"/>
  <c r="AI356"/>
  <c r="AJ356"/>
  <c r="AK356"/>
  <c r="AE357"/>
  <c r="AI357"/>
  <c r="AJ357"/>
  <c r="AK357"/>
  <c r="AE358"/>
  <c r="AI358"/>
  <c r="AJ358"/>
  <c r="AK358"/>
  <c r="AE359"/>
  <c r="AI359"/>
  <c r="AJ359"/>
  <c r="AK359"/>
  <c r="AE360"/>
  <c r="AI360"/>
  <c r="AJ360"/>
  <c r="AK360"/>
  <c r="AE361"/>
  <c r="AI361"/>
  <c r="AJ361"/>
  <c r="AK361"/>
  <c r="AE362"/>
  <c r="AI362"/>
  <c r="AJ362"/>
  <c r="AE363"/>
  <c r="AI363"/>
  <c r="AJ363"/>
  <c r="AE364"/>
  <c r="AI364"/>
  <c r="AJ364"/>
  <c r="AE365"/>
  <c r="AI365"/>
  <c r="AJ365"/>
  <c r="AE366"/>
  <c r="AI366"/>
  <c r="AJ366"/>
  <c r="AE367"/>
  <c r="AI367"/>
  <c r="AJ367"/>
  <c r="AE368"/>
  <c r="AI368"/>
  <c r="AJ368"/>
  <c r="AE369"/>
  <c r="AI369"/>
  <c r="AJ369"/>
  <c r="AE370"/>
  <c r="AI370"/>
  <c r="AJ370"/>
  <c r="AE371"/>
  <c r="AI371"/>
  <c r="AJ371"/>
  <c r="AE372"/>
  <c r="AI372"/>
  <c r="AJ372"/>
  <c r="AE373"/>
  <c r="AI373"/>
  <c r="AJ373"/>
  <c r="AE374"/>
  <c r="AI374"/>
  <c r="AJ374"/>
  <c r="AE375"/>
  <c r="AI375"/>
  <c r="AJ375"/>
  <c r="AE376"/>
  <c r="AI376"/>
  <c r="AJ376"/>
  <c r="AE377"/>
  <c r="AI377"/>
  <c r="AJ377"/>
  <c r="AE378"/>
  <c r="AI378"/>
  <c r="AJ378"/>
  <c r="AE379"/>
  <c r="AI379"/>
  <c r="AJ379"/>
  <c r="AE380"/>
  <c r="AI380"/>
  <c r="AJ380"/>
  <c r="AE381"/>
  <c r="AI381"/>
  <c r="AJ381"/>
  <c r="AE382"/>
  <c r="AI382"/>
  <c r="AJ382"/>
  <c r="AE383"/>
  <c r="AI383"/>
  <c r="AJ383"/>
  <c r="AE384"/>
  <c r="AI384"/>
  <c r="AJ384"/>
  <c r="AE385"/>
  <c r="AI385"/>
  <c r="AJ385"/>
  <c r="AE386"/>
  <c r="AI386"/>
  <c r="AJ386"/>
  <c r="AE387"/>
  <c r="AI387"/>
  <c r="AJ387"/>
  <c r="AE388"/>
  <c r="AI388"/>
  <c r="AJ388"/>
  <c r="AE389"/>
  <c r="AI389"/>
  <c r="AJ389"/>
  <c r="AE390"/>
  <c r="AI390"/>
  <c r="AJ390"/>
  <c r="AE391"/>
  <c r="AI391"/>
  <c r="AJ391"/>
  <c r="AE392"/>
  <c r="AI392"/>
  <c r="AJ392"/>
  <c r="AE393"/>
  <c r="AI393"/>
  <c r="AJ393"/>
  <c r="AE394"/>
  <c r="AI394"/>
  <c r="AJ394"/>
  <c r="AE395"/>
  <c r="AI395"/>
  <c r="AJ395"/>
  <c r="AE396"/>
  <c r="AI396"/>
  <c r="AJ396"/>
  <c r="AE397"/>
  <c r="AI397"/>
  <c r="AJ397"/>
  <c r="AE398"/>
  <c r="AI398"/>
  <c r="AJ398"/>
  <c r="AE399"/>
  <c r="AI399"/>
  <c r="AJ399"/>
  <c r="AE400"/>
  <c r="AI400"/>
  <c r="AJ400"/>
  <c r="AE401"/>
  <c r="AI401"/>
  <c r="AJ401"/>
  <c r="AE402"/>
  <c r="AI402"/>
  <c r="AJ402"/>
  <c r="AE403"/>
  <c r="AI403"/>
  <c r="AJ403"/>
  <c r="AE404"/>
  <c r="AI404"/>
  <c r="AJ404"/>
  <c r="AE405"/>
  <c r="AI405"/>
  <c r="AJ405"/>
  <c r="AK405"/>
  <c r="AE406"/>
  <c r="AI406"/>
  <c r="AJ406"/>
  <c r="AE407"/>
  <c r="AI407"/>
  <c r="AJ407"/>
  <c r="AK407"/>
  <c r="AE408"/>
  <c r="AI408"/>
  <c r="AJ408"/>
  <c r="AK408"/>
  <c r="AE409"/>
  <c r="AI409"/>
  <c r="AJ409"/>
  <c r="AE410"/>
  <c r="AI410"/>
  <c r="AJ410"/>
  <c r="AE411"/>
  <c r="AI411"/>
  <c r="AJ411"/>
  <c r="AE412"/>
  <c r="AI412"/>
  <c r="AJ412"/>
  <c r="AE413"/>
  <c r="AI413"/>
  <c r="AJ413"/>
  <c r="AE414"/>
  <c r="AI414"/>
  <c r="AJ414"/>
  <c r="AE415"/>
  <c r="AI415"/>
  <c r="AJ415"/>
  <c r="AE416"/>
  <c r="AI416"/>
  <c r="AJ416"/>
  <c r="AE417"/>
  <c r="AI417"/>
  <c r="AJ417"/>
  <c r="AE418"/>
  <c r="AI418"/>
  <c r="AJ418"/>
  <c r="AE419"/>
  <c r="AI419"/>
  <c r="AJ419"/>
  <c r="AE420"/>
  <c r="AI420"/>
  <c r="AJ420"/>
  <c r="AE421"/>
  <c r="AI421"/>
  <c r="AJ421"/>
  <c r="AE422"/>
  <c r="AI422"/>
  <c r="AJ422"/>
  <c r="AE423"/>
  <c r="AI423"/>
  <c r="AJ423"/>
  <c r="AE424"/>
  <c r="AI424"/>
  <c r="AJ424"/>
  <c r="AE425"/>
  <c r="AI425"/>
  <c r="AJ425"/>
  <c r="AE426"/>
  <c r="AI426"/>
  <c r="AJ426"/>
  <c r="AE427"/>
  <c r="AI427"/>
  <c r="AJ427"/>
  <c r="AK427"/>
  <c r="AE428"/>
  <c r="AI428"/>
  <c r="AJ428"/>
  <c r="AK428"/>
  <c r="AE429"/>
  <c r="AI429"/>
  <c r="AJ429"/>
  <c r="AK429"/>
  <c r="AE430"/>
  <c r="AI430"/>
  <c r="AJ430"/>
  <c r="AK430"/>
  <c r="AE431"/>
  <c r="AI431"/>
  <c r="AJ431"/>
  <c r="AK431"/>
  <c r="AE432"/>
  <c r="AI432"/>
  <c r="AJ432"/>
  <c r="AK432"/>
  <c r="AE512"/>
  <c r="AI512"/>
  <c r="AJ512"/>
  <c r="AK512"/>
  <c r="AE513"/>
  <c r="AI513"/>
  <c r="AJ513"/>
  <c r="AK513"/>
  <c r="AE433"/>
  <c r="AI433"/>
  <c r="AJ433"/>
  <c r="AK433"/>
  <c r="AE434"/>
  <c r="AI434"/>
  <c r="AJ434"/>
  <c r="AK434"/>
  <c r="AE435"/>
  <c r="AI435"/>
  <c r="AJ435"/>
  <c r="AK435"/>
  <c r="AE436"/>
  <c r="AI436"/>
  <c r="AJ436"/>
  <c r="AK436"/>
  <c r="AE437"/>
  <c r="AI437"/>
  <c r="AJ437"/>
  <c r="AK437"/>
  <c r="AE438"/>
  <c r="AI438"/>
  <c r="AJ438"/>
  <c r="AK438"/>
  <c r="AE439"/>
  <c r="AI439"/>
  <c r="AJ439"/>
  <c r="AE440"/>
  <c r="AI440"/>
  <c r="AJ440"/>
  <c r="AE441"/>
  <c r="AI441"/>
  <c r="AJ441"/>
  <c r="AE442"/>
  <c r="AI442"/>
  <c r="AJ442"/>
  <c r="AE443"/>
  <c r="AI443"/>
  <c r="AJ443"/>
  <c r="AE444"/>
  <c r="AI444"/>
  <c r="AJ444"/>
  <c r="AE445"/>
  <c r="AI445"/>
  <c r="AJ445"/>
  <c r="AE446"/>
  <c r="AI446"/>
  <c r="AJ446"/>
  <c r="AE447"/>
  <c r="AI447"/>
  <c r="AJ447"/>
  <c r="AE448"/>
  <c r="AI448"/>
  <c r="AJ448"/>
  <c r="AE449"/>
  <c r="AI449"/>
  <c r="AJ449"/>
  <c r="AE450"/>
  <c r="AI450"/>
  <c r="AJ450"/>
  <c r="AE451"/>
  <c r="AI451"/>
  <c r="AJ451"/>
  <c r="AE452"/>
  <c r="AI452"/>
  <c r="AJ452"/>
  <c r="AK452"/>
  <c r="AE453"/>
  <c r="AI453"/>
  <c r="AJ453"/>
  <c r="AK453"/>
  <c r="AE454"/>
  <c r="AI454"/>
  <c r="AJ454"/>
  <c r="AK454"/>
  <c r="AE455"/>
  <c r="AI455"/>
  <c r="AJ455"/>
  <c r="AK455"/>
  <c r="AE456"/>
  <c r="AI456"/>
  <c r="AJ456"/>
  <c r="AK456"/>
  <c r="AE457"/>
  <c r="AI457"/>
  <c r="AJ457"/>
  <c r="AK457"/>
  <c r="AE458"/>
  <c r="AI458"/>
  <c r="AJ458"/>
  <c r="AK458"/>
  <c r="AE459"/>
  <c r="AI459"/>
  <c r="AJ459"/>
  <c r="AK459"/>
  <c r="AE460"/>
  <c r="AI460"/>
  <c r="AJ460"/>
  <c r="AK460"/>
  <c r="AE461"/>
  <c r="AI461"/>
  <c r="AJ461"/>
  <c r="AK461"/>
  <c r="AE462"/>
  <c r="AI462"/>
  <c r="AJ462"/>
  <c r="AK462"/>
  <c r="AE463"/>
  <c r="AI463"/>
  <c r="AJ463"/>
  <c r="AK463"/>
  <c r="AE464"/>
  <c r="AI464"/>
  <c r="AJ464"/>
  <c r="AK464"/>
  <c r="AE465"/>
  <c r="AI465"/>
  <c r="AJ465"/>
  <c r="AK465"/>
  <c r="AE466"/>
  <c r="AI466"/>
  <c r="AJ466"/>
  <c r="AK466"/>
  <c r="AE467"/>
  <c r="AI467"/>
  <c r="AJ467"/>
  <c r="AK467"/>
  <c r="AE468"/>
  <c r="AI468"/>
  <c r="AJ468"/>
  <c r="AK468"/>
  <c r="AE469"/>
  <c r="AI469"/>
  <c r="AJ469"/>
  <c r="AK469"/>
  <c r="AE470"/>
  <c r="AI470"/>
  <c r="AJ470"/>
  <c r="AK470"/>
  <c r="AE471"/>
  <c r="AI471"/>
  <c r="AJ471"/>
  <c r="AK471"/>
  <c r="AE472"/>
  <c r="AI472"/>
  <c r="AJ472"/>
  <c r="AK472"/>
  <c r="AE473"/>
  <c r="AI473"/>
  <c r="AJ473"/>
  <c r="AK473"/>
  <c r="AE474"/>
  <c r="AI474"/>
  <c r="AJ474"/>
  <c r="AK474"/>
  <c r="AE475"/>
  <c r="AI475"/>
  <c r="AJ475"/>
  <c r="AK475"/>
  <c r="AE476"/>
  <c r="AI476"/>
  <c r="AJ476"/>
  <c r="AK476"/>
  <c r="AE477"/>
  <c r="AI477"/>
  <c r="AJ477"/>
  <c r="AK477"/>
  <c r="AE478"/>
  <c r="AI478"/>
  <c r="AJ478"/>
  <c r="AK478"/>
  <c r="AE479"/>
  <c r="AI479"/>
  <c r="AJ479"/>
  <c r="AK479"/>
  <c r="AE480"/>
  <c r="AI480"/>
  <c r="AJ480"/>
  <c r="AK480"/>
  <c r="AE481"/>
  <c r="AI481"/>
  <c r="AJ481"/>
  <c r="AK481"/>
  <c r="AE482"/>
  <c r="AI482"/>
  <c r="AJ482"/>
  <c r="AK482"/>
  <c r="AE483"/>
  <c r="AI483"/>
  <c r="AJ483"/>
  <c r="AK483"/>
  <c r="AE484"/>
  <c r="AI484"/>
  <c r="AJ484"/>
  <c r="AK484"/>
  <c r="AE485"/>
  <c r="AI485"/>
  <c r="AJ485"/>
  <c r="AK485"/>
  <c r="AE486"/>
  <c r="AI486"/>
  <c r="AJ486"/>
  <c r="AK486"/>
  <c r="AE487"/>
  <c r="AI487"/>
  <c r="AJ487"/>
  <c r="AK487"/>
  <c r="AE488"/>
  <c r="AI488"/>
  <c r="AJ488"/>
  <c r="AK488"/>
  <c r="AE489"/>
  <c r="AI489"/>
  <c r="AJ489"/>
  <c r="AK489"/>
  <c r="AE490"/>
  <c r="AI490"/>
  <c r="AJ490"/>
  <c r="AK490"/>
  <c r="AE491"/>
  <c r="AI491"/>
  <c r="AJ491"/>
  <c r="AK491"/>
  <c r="AE492"/>
  <c r="AI492"/>
  <c r="AJ492"/>
  <c r="AK492"/>
  <c r="AE493"/>
  <c r="AI493"/>
  <c r="AJ493"/>
  <c r="AK493"/>
  <c r="AE494"/>
  <c r="AI494"/>
  <c r="AJ494"/>
  <c r="AK494"/>
  <c r="AE495"/>
  <c r="AI495"/>
  <c r="AJ495"/>
  <c r="AK495"/>
  <c r="AE496"/>
  <c r="AI496"/>
  <c r="AJ496"/>
  <c r="AK496"/>
  <c r="AE497"/>
  <c r="AI497"/>
  <c r="AJ497"/>
  <c r="AK497"/>
  <c r="AE498"/>
  <c r="AI498"/>
  <c r="AJ498"/>
  <c r="AK498"/>
  <c r="AE499"/>
  <c r="AI499"/>
  <c r="AJ499"/>
  <c r="AK499"/>
  <c r="AE500"/>
  <c r="AI500"/>
  <c r="AJ500"/>
  <c r="AK500"/>
  <c r="AE501"/>
  <c r="AI501"/>
  <c r="AJ501"/>
  <c r="AK501"/>
  <c r="AE502"/>
  <c r="AI502"/>
  <c r="AJ502"/>
  <c r="AK502"/>
  <c r="AE503"/>
  <c r="AI503"/>
  <c r="AJ503"/>
  <c r="AK503"/>
  <c r="AE504"/>
  <c r="AI504"/>
  <c r="AJ504"/>
  <c r="AK504"/>
  <c r="AE505"/>
  <c r="AI505"/>
  <c r="AJ505"/>
  <c r="AK505"/>
  <c r="AE506"/>
  <c r="AI506"/>
  <c r="AJ506"/>
  <c r="AK506"/>
  <c r="AE507"/>
  <c r="AI507"/>
  <c r="AJ507"/>
  <c r="AK507"/>
  <c r="AE509"/>
  <c r="AI509"/>
  <c r="AJ509"/>
  <c r="AK509"/>
  <c r="AE510"/>
  <c r="AI510"/>
  <c r="AJ510"/>
  <c r="AK510"/>
  <c r="AE511"/>
  <c r="AI511"/>
  <c r="AJ511"/>
  <c r="AK511"/>
  <c r="AE514"/>
  <c r="AI514"/>
  <c r="AJ514"/>
  <c r="AK514"/>
  <c r="AE515"/>
  <c r="AI515"/>
  <c r="AJ515"/>
  <c r="AK515"/>
  <c r="AE516"/>
  <c r="AI516"/>
  <c r="AJ516"/>
  <c r="AK516"/>
  <c r="AE517"/>
  <c r="AI517"/>
  <c r="AJ517"/>
  <c r="AK517"/>
  <c r="AE518"/>
  <c r="AI518"/>
  <c r="AJ518"/>
  <c r="AK518"/>
  <c r="AE519"/>
  <c r="AI519"/>
  <c r="AJ519"/>
  <c r="AK519"/>
  <c r="AE520"/>
  <c r="AI520"/>
  <c r="AJ520"/>
  <c r="AK520"/>
  <c r="AE521"/>
  <c r="AI521"/>
  <c r="AJ521"/>
  <c r="AK521"/>
  <c r="AE522"/>
  <c r="AI522"/>
  <c r="AJ522"/>
  <c r="AK522"/>
  <c r="AE523"/>
  <c r="AI523"/>
  <c r="AJ523"/>
  <c r="AK523"/>
  <c r="AE524"/>
  <c r="AI524"/>
  <c r="AJ524"/>
  <c r="AK524"/>
  <c r="AE525"/>
  <c r="AI525"/>
  <c r="AJ525"/>
  <c r="AK525"/>
  <c r="AE526"/>
  <c r="AI526"/>
  <c r="AJ526"/>
  <c r="AK526"/>
  <c r="AE527"/>
  <c r="AI527"/>
  <c r="AJ527"/>
  <c r="AK527"/>
  <c r="AE528"/>
  <c r="AI528"/>
  <c r="AJ528"/>
  <c r="AK528"/>
  <c r="AE529"/>
  <c r="AI529"/>
  <c r="AJ529"/>
  <c r="AK529"/>
  <c r="AE530"/>
  <c r="AI530"/>
  <c r="AJ530"/>
  <c r="AK530"/>
  <c r="AE531"/>
  <c r="AI531"/>
  <c r="AJ531"/>
  <c r="AK531"/>
  <c r="AE532"/>
  <c r="AI532"/>
  <c r="AJ532"/>
  <c r="AK532"/>
  <c r="AE533"/>
  <c r="AI533"/>
  <c r="AJ533"/>
  <c r="AK533"/>
  <c r="AE534"/>
  <c r="AI534"/>
  <c r="AJ534"/>
  <c r="AK534"/>
  <c r="AE535"/>
  <c r="AI535"/>
  <c r="AJ535"/>
  <c r="AK535"/>
  <c r="AE536"/>
  <c r="AI536"/>
  <c r="AJ536"/>
  <c r="AK536"/>
  <c r="AE537"/>
  <c r="AI537"/>
  <c r="AJ537"/>
  <c r="AK537"/>
  <c r="AE538"/>
  <c r="AI538"/>
  <c r="AJ538"/>
  <c r="AK538"/>
  <c r="AE539"/>
  <c r="AI539"/>
  <c r="AJ539"/>
  <c r="AK539"/>
  <c r="AE540"/>
  <c r="AI540"/>
  <c r="AJ540"/>
  <c r="AK540"/>
  <c r="AE541"/>
  <c r="AI541"/>
  <c r="AJ541"/>
  <c r="AK541"/>
  <c r="AE542"/>
  <c r="AI542"/>
  <c r="AJ542"/>
  <c r="AK542"/>
  <c r="AE543"/>
  <c r="AI543"/>
  <c r="AJ543"/>
  <c r="AK543"/>
  <c r="AE544"/>
  <c r="AI544"/>
  <c r="AJ544"/>
  <c r="AK544"/>
  <c r="AE545"/>
  <c r="AI545"/>
  <c r="AJ545"/>
  <c r="AK545"/>
  <c r="AE546"/>
  <c r="AI546"/>
  <c r="AJ546"/>
  <c r="AK546"/>
  <c r="AE547"/>
  <c r="AI547"/>
  <c r="AJ547"/>
  <c r="AK547"/>
  <c r="AE548"/>
  <c r="AI548"/>
  <c r="AJ548"/>
  <c r="AK548"/>
  <c r="AE549"/>
  <c r="AI549"/>
  <c r="AJ549"/>
  <c r="AK549"/>
  <c r="AE550"/>
  <c r="AI550"/>
  <c r="AJ550"/>
  <c r="AK550"/>
  <c r="AE551"/>
  <c r="AI551"/>
  <c r="AJ551"/>
  <c r="AK551"/>
  <c r="AE552"/>
  <c r="AI552"/>
  <c r="AJ552"/>
  <c r="AK552"/>
  <c r="AE553"/>
  <c r="AI553"/>
  <c r="AJ553"/>
  <c r="AK553"/>
  <c r="AE554"/>
  <c r="AI554"/>
  <c r="AJ554"/>
  <c r="AK554"/>
  <c r="AE555"/>
  <c r="AI555"/>
  <c r="AJ555"/>
  <c r="AK555"/>
  <c r="AE556"/>
  <c r="AI556"/>
  <c r="AJ556"/>
  <c r="AK556"/>
  <c r="AE560"/>
  <c r="AI560"/>
  <c r="AJ560"/>
  <c r="AK560"/>
  <c r="AE561"/>
  <c r="AI561"/>
  <c r="AJ561"/>
  <c r="AK561"/>
  <c r="AE562"/>
  <c r="AI562"/>
  <c r="AJ562"/>
  <c r="AK562"/>
  <c r="AE557"/>
  <c r="AI557"/>
  <c r="AJ557"/>
  <c r="AK557"/>
  <c r="AE558"/>
  <c r="AI558"/>
  <c r="AJ558"/>
  <c r="AK558"/>
  <c r="AE559"/>
  <c r="AI559"/>
  <c r="AJ559"/>
  <c r="AK559"/>
  <c r="AE563"/>
  <c r="AI563"/>
  <c r="AJ563"/>
  <c r="AK563"/>
  <c r="AE564"/>
  <c r="AI564"/>
  <c r="AJ564"/>
  <c r="AK564"/>
  <c r="AE565"/>
  <c r="AI565"/>
  <c r="AJ565"/>
  <c r="AK565"/>
  <c r="AE566"/>
  <c r="AI566"/>
  <c r="AJ566"/>
  <c r="AK566"/>
  <c r="AE567"/>
  <c r="AI567"/>
  <c r="AJ567"/>
  <c r="AK567"/>
  <c r="AE568"/>
  <c r="AI568"/>
  <c r="AJ568"/>
  <c r="AK568"/>
  <c r="AE569"/>
  <c r="AI569"/>
  <c r="AJ569"/>
  <c r="AK569"/>
  <c r="AE570"/>
  <c r="AI570"/>
  <c r="AJ570"/>
  <c r="AK570"/>
  <c r="AE571"/>
  <c r="AI571"/>
  <c r="AJ571"/>
  <c r="AK571"/>
  <c r="AE572"/>
  <c r="AI572"/>
  <c r="AJ572"/>
  <c r="AK572"/>
  <c r="AE573"/>
  <c r="AI573"/>
  <c r="AJ573"/>
  <c r="AK573"/>
  <c r="AE574"/>
  <c r="AI574"/>
  <c r="AJ574"/>
  <c r="AK574"/>
  <c r="Q12"/>
  <c r="X12"/>
  <c r="Q14"/>
  <c r="X14"/>
  <c r="Q15"/>
  <c r="X15"/>
  <c r="Q16"/>
  <c r="X16"/>
  <c r="Q17"/>
  <c r="X17"/>
  <c r="Q25"/>
  <c r="X25"/>
  <c r="Q26"/>
  <c r="X26"/>
  <c r="Q27"/>
  <c r="X27"/>
  <c r="Q28"/>
  <c r="X28"/>
  <c r="Q29"/>
  <c r="X29"/>
  <c r="Q30"/>
  <c r="X30"/>
  <c r="Q31"/>
  <c r="X31"/>
  <c r="Q32"/>
  <c r="X32"/>
  <c r="Q33"/>
  <c r="X33"/>
  <c r="Q34"/>
  <c r="X34"/>
  <c r="Q35"/>
  <c r="X35"/>
  <c r="Q36"/>
  <c r="X36"/>
  <c r="Q37"/>
  <c r="X37"/>
  <c r="Q38"/>
  <c r="X38"/>
  <c r="Q39"/>
  <c r="X39"/>
  <c r="Q40"/>
  <c r="X40"/>
  <c r="Q41"/>
  <c r="X41"/>
  <c r="Q42"/>
  <c r="X42"/>
  <c r="Q43"/>
  <c r="X43"/>
  <c r="Q44"/>
  <c r="X44"/>
  <c r="Q45"/>
  <c r="X45"/>
  <c r="Q46"/>
  <c r="X46"/>
  <c r="Q47"/>
  <c r="X47"/>
  <c r="Q48"/>
  <c r="X48"/>
  <c r="Q49"/>
  <c r="X49"/>
  <c r="Q50"/>
  <c r="X50"/>
  <c r="Q51"/>
  <c r="X51"/>
  <c r="Q52"/>
  <c r="X52"/>
  <c r="Q53"/>
  <c r="X53"/>
  <c r="Q54"/>
  <c r="X54"/>
  <c r="Q55"/>
  <c r="X55"/>
  <c r="Q56"/>
  <c r="X56"/>
  <c r="Q57"/>
  <c r="X57"/>
  <c r="Q58"/>
  <c r="X58"/>
  <c r="Q59"/>
  <c r="X59"/>
  <c r="Q60"/>
  <c r="X60"/>
  <c r="Q61"/>
  <c r="X61"/>
  <c r="Q62"/>
  <c r="X62"/>
  <c r="Q63"/>
  <c r="X63"/>
  <c r="Q64"/>
  <c r="X64"/>
  <c r="Q65"/>
  <c r="X65"/>
  <c r="Q66"/>
  <c r="X66"/>
  <c r="Q67"/>
  <c r="X67"/>
  <c r="Q68"/>
  <c r="X68"/>
  <c r="Q69"/>
  <c r="X69"/>
  <c r="Q70"/>
  <c r="X70"/>
  <c r="Q71"/>
  <c r="X71"/>
  <c r="Q72"/>
  <c r="X72"/>
  <c r="Q73"/>
  <c r="X73"/>
  <c r="Q74"/>
  <c r="X74"/>
  <c r="Q75"/>
  <c r="X75"/>
  <c r="Q76"/>
  <c r="X76"/>
  <c r="Q77"/>
  <c r="X77"/>
  <c r="Q78"/>
  <c r="X78"/>
  <c r="Q79"/>
  <c r="X79"/>
  <c r="Q80"/>
  <c r="X80"/>
  <c r="Q81"/>
  <c r="X81"/>
  <c r="Q82"/>
  <c r="X82"/>
  <c r="Q83"/>
  <c r="X83"/>
  <c r="Q84"/>
  <c r="X84"/>
  <c r="Q85"/>
  <c r="X85"/>
  <c r="Q86"/>
  <c r="X86"/>
  <c r="Q87"/>
  <c r="X87"/>
  <c r="Q88"/>
  <c r="X88"/>
  <c r="Q89"/>
  <c r="X89"/>
  <c r="Q90"/>
  <c r="X90"/>
  <c r="Q91"/>
  <c r="X91"/>
  <c r="Q92"/>
  <c r="X92"/>
  <c r="Q93"/>
  <c r="X93"/>
  <c r="Q94"/>
  <c r="X94"/>
  <c r="Q95"/>
  <c r="X95"/>
  <c r="Q96"/>
  <c r="X96"/>
  <c r="Q97"/>
  <c r="X97"/>
  <c r="Q98"/>
  <c r="X98"/>
  <c r="Q99"/>
  <c r="X99"/>
  <c r="Q100"/>
  <c r="X100"/>
  <c r="Q101"/>
  <c r="X101"/>
  <c r="Q102"/>
  <c r="X102"/>
  <c r="Q103"/>
  <c r="X103"/>
  <c r="Q104"/>
  <c r="X104"/>
  <c r="Q105"/>
  <c r="X105"/>
  <c r="Q106"/>
  <c r="X106"/>
  <c r="Q107"/>
  <c r="X107"/>
  <c r="Q108"/>
  <c r="X108"/>
  <c r="Q109"/>
  <c r="X109"/>
  <c r="Q110"/>
  <c r="X110"/>
  <c r="Q111"/>
  <c r="X111"/>
  <c r="Q112"/>
  <c r="X112"/>
  <c r="Q113"/>
  <c r="X113"/>
  <c r="Q114"/>
  <c r="X114"/>
  <c r="Q115"/>
  <c r="X115"/>
  <c r="Q116"/>
  <c r="X116"/>
  <c r="Q117"/>
  <c r="X117"/>
  <c r="Q118"/>
  <c r="X118"/>
  <c r="Q119"/>
  <c r="X119"/>
  <c r="Q120"/>
  <c r="X120"/>
  <c r="Q121"/>
  <c r="X121"/>
  <c r="Q122"/>
  <c r="X122"/>
  <c r="Q123"/>
  <c r="X123"/>
  <c r="Q124"/>
  <c r="X124"/>
  <c r="Q125"/>
  <c r="X125"/>
  <c r="Q126"/>
  <c r="X126"/>
  <c r="Q127"/>
  <c r="X127"/>
  <c r="Q128"/>
  <c r="X128"/>
  <c r="Q129"/>
  <c r="X129"/>
  <c r="Q130"/>
  <c r="X130"/>
  <c r="Q131"/>
  <c r="X131"/>
  <c r="Q132"/>
  <c r="X132"/>
  <c r="Q133"/>
  <c r="X133"/>
  <c r="Q134"/>
  <c r="X134"/>
  <c r="Q135"/>
  <c r="X135"/>
  <c r="Q136"/>
  <c r="X136"/>
  <c r="Q137"/>
  <c r="X137"/>
  <c r="Q138"/>
  <c r="X138"/>
  <c r="Q139"/>
  <c r="X139"/>
  <c r="Q140"/>
  <c r="X140"/>
  <c r="Q141"/>
  <c r="X141"/>
  <c r="Q142"/>
  <c r="X142"/>
  <c r="Q143"/>
  <c r="X143"/>
  <c r="Q144"/>
  <c r="X144"/>
  <c r="Q145"/>
  <c r="X145"/>
  <c r="Q146"/>
  <c r="X146"/>
  <c r="Q147"/>
  <c r="X147"/>
  <c r="Q148"/>
  <c r="X148"/>
  <c r="Q149"/>
  <c r="X149"/>
  <c r="Q150"/>
  <c r="X150"/>
  <c r="Q151"/>
  <c r="X151"/>
  <c r="Q152"/>
  <c r="X152"/>
  <c r="Q153"/>
  <c r="X153"/>
  <c r="Q154"/>
  <c r="X154"/>
  <c r="Q155"/>
  <c r="X155"/>
  <c r="Q156"/>
  <c r="X156"/>
  <c r="Q157"/>
  <c r="X157"/>
  <c r="Q158"/>
  <c r="X158"/>
  <c r="Q159"/>
  <c r="X159"/>
  <c r="Q160"/>
  <c r="X160"/>
  <c r="Q161"/>
  <c r="X161"/>
  <c r="Q162"/>
  <c r="X162"/>
  <c r="Q163"/>
  <c r="X163"/>
  <c r="Q164"/>
  <c r="X164"/>
  <c r="Q165"/>
  <c r="X165"/>
  <c r="Q166"/>
  <c r="X166"/>
  <c r="Q167"/>
  <c r="X167"/>
  <c r="Q168"/>
  <c r="X168"/>
  <c r="Q169"/>
  <c r="X169"/>
  <c r="Q170"/>
  <c r="X170"/>
  <c r="Q171"/>
  <c r="X171"/>
  <c r="Q172"/>
  <c r="X172"/>
  <c r="Q173"/>
  <c r="X173"/>
  <c r="Q174"/>
  <c r="X174"/>
  <c r="Q175"/>
  <c r="X175"/>
  <c r="Q176"/>
  <c r="X176"/>
  <c r="Q177"/>
  <c r="X177"/>
  <c r="Q178"/>
  <c r="X178"/>
  <c r="Q179"/>
  <c r="X179"/>
  <c r="Q180"/>
  <c r="X180"/>
  <c r="Q181"/>
  <c r="X181"/>
  <c r="Q182"/>
  <c r="X182"/>
  <c r="Q183"/>
  <c r="X183"/>
  <c r="Q184"/>
  <c r="X184"/>
  <c r="Q185"/>
  <c r="X185"/>
  <c r="Q186"/>
  <c r="X186"/>
  <c r="Q187"/>
  <c r="X187"/>
  <c r="Q188"/>
  <c r="X188"/>
  <c r="Q189"/>
  <c r="X189"/>
  <c r="Q190"/>
  <c r="X190"/>
  <c r="Q191"/>
  <c r="X191"/>
  <c r="Q192"/>
  <c r="X192"/>
  <c r="Q193"/>
  <c r="X193"/>
  <c r="Q194"/>
  <c r="X194"/>
  <c r="Q195"/>
  <c r="X195"/>
  <c r="Q196"/>
  <c r="X196"/>
  <c r="Q197"/>
  <c r="X197"/>
  <c r="Q198"/>
  <c r="X198"/>
  <c r="Q199"/>
  <c r="X199"/>
  <c r="Q200"/>
  <c r="X200"/>
  <c r="Q201"/>
  <c r="X201"/>
  <c r="Q202"/>
  <c r="X202"/>
  <c r="Q203"/>
  <c r="X203"/>
  <c r="Q204"/>
  <c r="X204"/>
  <c r="Q205"/>
  <c r="X205"/>
  <c r="Q206"/>
  <c r="X206"/>
  <c r="Q207"/>
  <c r="X207"/>
  <c r="Q208"/>
  <c r="X208"/>
  <c r="Q209"/>
  <c r="X209"/>
  <c r="Q210"/>
  <c r="X210"/>
  <c r="Q211"/>
  <c r="X211"/>
  <c r="Q212"/>
  <c r="X212"/>
  <c r="Q213"/>
  <c r="X213"/>
  <c r="Q214"/>
  <c r="X214"/>
  <c r="Q215"/>
  <c r="X215"/>
  <c r="Q216"/>
  <c r="X216"/>
  <c r="Q217"/>
  <c r="X217"/>
  <c r="Q218"/>
  <c r="X218"/>
  <c r="Q219"/>
  <c r="X219"/>
  <c r="Q220"/>
  <c r="X220"/>
  <c r="Q221"/>
  <c r="X221"/>
  <c r="Q222"/>
  <c r="X222"/>
  <c r="Q223"/>
  <c r="X223"/>
  <c r="Q224"/>
  <c r="X224"/>
  <c r="Q225"/>
  <c r="X225"/>
  <c r="Q226"/>
  <c r="X226"/>
  <c r="Q227"/>
  <c r="X227"/>
  <c r="Q228"/>
  <c r="X228"/>
  <c r="Q229"/>
  <c r="X229"/>
  <c r="Q230"/>
  <c r="X230"/>
  <c r="Q231"/>
  <c r="X231"/>
  <c r="Q232"/>
  <c r="X232"/>
  <c r="Q233"/>
  <c r="X233"/>
  <c r="Q234"/>
  <c r="X234"/>
  <c r="Q235"/>
  <c r="X235"/>
  <c r="Q236"/>
  <c r="X236"/>
  <c r="Q237"/>
  <c r="X237"/>
  <c r="Q238"/>
  <c r="X238"/>
  <c r="Q239"/>
  <c r="X239"/>
  <c r="Q240"/>
  <c r="X240"/>
  <c r="Q241"/>
  <c r="X241"/>
  <c r="Q242"/>
  <c r="X242"/>
  <c r="Q243"/>
  <c r="X243"/>
  <c r="Q244"/>
  <c r="X244"/>
  <c r="Q245"/>
  <c r="X245"/>
  <c r="Q246"/>
  <c r="X246"/>
  <c r="Q247"/>
  <c r="X247"/>
  <c r="Q248"/>
  <c r="X248"/>
  <c r="Q249"/>
  <c r="X249"/>
  <c r="Q250"/>
  <c r="X250"/>
  <c r="Q251"/>
  <c r="X251"/>
  <c r="Q252"/>
  <c r="X252"/>
  <c r="Q253"/>
  <c r="X253"/>
  <c r="Q254"/>
  <c r="X254"/>
  <c r="Q255"/>
  <c r="X255"/>
  <c r="Q256"/>
  <c r="X256"/>
  <c r="Q257"/>
  <c r="X257"/>
  <c r="Q258"/>
  <c r="X258"/>
  <c r="Q259"/>
  <c r="X259"/>
  <c r="Q260"/>
  <c r="X260"/>
  <c r="Q261"/>
  <c r="X261"/>
  <c r="Q262"/>
  <c r="X262"/>
  <c r="Q263"/>
  <c r="X263"/>
  <c r="Q264"/>
  <c r="X264"/>
  <c r="Q265"/>
  <c r="X265"/>
  <c r="Q266"/>
  <c r="X266"/>
  <c r="Q267"/>
  <c r="X267"/>
  <c r="Q268"/>
  <c r="X268"/>
  <c r="Q269"/>
  <c r="X269"/>
  <c r="Q270"/>
  <c r="X270"/>
  <c r="Q271"/>
  <c r="X271"/>
  <c r="Q272"/>
  <c r="X272"/>
  <c r="Q273"/>
  <c r="X273"/>
  <c r="Q274"/>
  <c r="X274"/>
  <c r="Q275"/>
  <c r="X275"/>
  <c r="Q276"/>
  <c r="X276"/>
  <c r="Q277"/>
  <c r="X277"/>
  <c r="Q278"/>
  <c r="X278"/>
  <c r="Q279"/>
  <c r="X279"/>
  <c r="Q280"/>
  <c r="X280"/>
  <c r="Q281"/>
  <c r="X281"/>
  <c r="Q282"/>
  <c r="X282"/>
  <c r="Q283"/>
  <c r="X283"/>
  <c r="Q284"/>
  <c r="X284"/>
  <c r="Q285"/>
  <c r="X285"/>
  <c r="Q286"/>
  <c r="X286"/>
  <c r="Q287"/>
  <c r="X287"/>
  <c r="Q288"/>
  <c r="X288"/>
  <c r="Q289"/>
  <c r="X289"/>
  <c r="Q290"/>
  <c r="X290"/>
  <c r="Q291"/>
  <c r="X291"/>
  <c r="Q292"/>
  <c r="X292"/>
  <c r="Q293"/>
  <c r="X293"/>
  <c r="Q294"/>
  <c r="X294"/>
  <c r="Q295"/>
  <c r="X295"/>
  <c r="Q296"/>
  <c r="X296"/>
  <c r="Q297"/>
  <c r="X297"/>
  <c r="Q298"/>
  <c r="X298"/>
  <c r="Q299"/>
  <c r="X299"/>
  <c r="Q300"/>
  <c r="X300"/>
  <c r="Q301"/>
  <c r="X301"/>
  <c r="Q302"/>
  <c r="X302"/>
  <c r="Q303"/>
  <c r="X303"/>
  <c r="Q304"/>
  <c r="X304"/>
  <c r="Q305"/>
  <c r="X305"/>
  <c r="Q306"/>
  <c r="X306"/>
  <c r="Q307"/>
  <c r="X307"/>
  <c r="Q308"/>
  <c r="X308"/>
  <c r="Q309"/>
  <c r="X309"/>
  <c r="Q310"/>
  <c r="X310"/>
  <c r="Q311"/>
  <c r="X311"/>
  <c r="Q312"/>
  <c r="X312"/>
  <c r="Q313"/>
  <c r="X313"/>
  <c r="Q314"/>
  <c r="X314"/>
  <c r="Q315"/>
  <c r="X315"/>
  <c r="Q316"/>
  <c r="X316"/>
  <c r="Q317"/>
  <c r="X317"/>
  <c r="Q318"/>
  <c r="X318"/>
  <c r="Q319"/>
  <c r="X319"/>
  <c r="Q320"/>
  <c r="X320"/>
  <c r="Q321"/>
  <c r="X321"/>
  <c r="Q322"/>
  <c r="X322"/>
  <c r="Q323"/>
  <c r="X323"/>
  <c r="Q324"/>
  <c r="X324"/>
  <c r="Q325"/>
  <c r="X325"/>
  <c r="Q326"/>
  <c r="X326"/>
  <c r="Q327"/>
  <c r="X327"/>
  <c r="Q328"/>
  <c r="X328"/>
  <c r="Q329"/>
  <c r="X329"/>
  <c r="Q330"/>
  <c r="X330"/>
  <c r="Q331"/>
  <c r="X331"/>
  <c r="Q332"/>
  <c r="X332"/>
  <c r="Q333"/>
  <c r="X333"/>
  <c r="Q334"/>
  <c r="X334"/>
  <c r="Q335"/>
  <c r="X335"/>
  <c r="Q336"/>
  <c r="X336"/>
  <c r="Q337"/>
  <c r="X337"/>
  <c r="Q338"/>
  <c r="X338"/>
  <c r="Q339"/>
  <c r="X339"/>
  <c r="Q340"/>
  <c r="X340"/>
  <c r="Q341"/>
  <c r="X341"/>
  <c r="Q342"/>
  <c r="X342"/>
  <c r="Q343"/>
  <c r="X343"/>
  <c r="Q344"/>
  <c r="X344"/>
  <c r="Q345"/>
  <c r="X345"/>
  <c r="Q346"/>
  <c r="X346"/>
  <c r="Q347"/>
  <c r="X347"/>
  <c r="Q348"/>
  <c r="X348"/>
  <c r="Q349"/>
  <c r="X349"/>
  <c r="Q350"/>
  <c r="X350"/>
  <c r="Q351"/>
  <c r="X351"/>
  <c r="Q352"/>
  <c r="X352"/>
  <c r="Q353"/>
  <c r="X353"/>
  <c r="Q354"/>
  <c r="X354"/>
  <c r="Q355"/>
  <c r="X355"/>
  <c r="Q356"/>
  <c r="X356"/>
  <c r="Q357"/>
  <c r="X357"/>
  <c r="Q358"/>
  <c r="X358"/>
  <c r="Q359"/>
  <c r="X359"/>
  <c r="Q360"/>
  <c r="X360"/>
  <c r="Q361"/>
  <c r="X361"/>
  <c r="Q362"/>
  <c r="X362"/>
  <c r="Q363"/>
  <c r="X363"/>
  <c r="Q364"/>
  <c r="X364"/>
  <c r="Q365"/>
  <c r="X365"/>
  <c r="Q366"/>
  <c r="X366"/>
  <c r="Q367"/>
  <c r="X367"/>
  <c r="Q368"/>
  <c r="X368"/>
  <c r="Q369"/>
  <c r="X369"/>
  <c r="Q370"/>
  <c r="X370"/>
  <c r="Q371"/>
  <c r="X371"/>
  <c r="Q372"/>
  <c r="X372"/>
  <c r="Q373"/>
  <c r="X373"/>
  <c r="Q374"/>
  <c r="X374"/>
  <c r="Q375"/>
  <c r="X375"/>
  <c r="Q376"/>
  <c r="X376"/>
  <c r="Q377"/>
  <c r="X377"/>
  <c r="Q378"/>
  <c r="X378"/>
  <c r="Q379"/>
  <c r="X379"/>
  <c r="Q380"/>
  <c r="X380"/>
  <c r="Q381"/>
  <c r="X381"/>
  <c r="Q382"/>
  <c r="X382"/>
  <c r="Q383"/>
  <c r="X383"/>
  <c r="Q384"/>
  <c r="X384"/>
  <c r="Q385"/>
  <c r="X385"/>
  <c r="Q386"/>
  <c r="X386"/>
  <c r="Q387"/>
  <c r="X387"/>
  <c r="Q388"/>
  <c r="X388"/>
  <c r="Q389"/>
  <c r="X389"/>
  <c r="Q390"/>
  <c r="X390"/>
  <c r="Q391"/>
  <c r="X391"/>
  <c r="Q392"/>
  <c r="X392"/>
  <c r="Q393"/>
  <c r="X393"/>
  <c r="Q394"/>
  <c r="X394"/>
  <c r="Q395"/>
  <c r="X395"/>
  <c r="Q396"/>
  <c r="X396"/>
  <c r="Q397"/>
  <c r="X397"/>
  <c r="Q398"/>
  <c r="X398"/>
  <c r="Q399"/>
  <c r="X399"/>
  <c r="Q400"/>
  <c r="X400"/>
  <c r="Q401"/>
  <c r="X401"/>
  <c r="Q402"/>
  <c r="X402"/>
  <c r="Q403"/>
  <c r="X403"/>
  <c r="Q404"/>
  <c r="X404"/>
  <c r="Q405"/>
  <c r="X405"/>
  <c r="Q406"/>
  <c r="X406"/>
  <c r="Q407"/>
  <c r="X407"/>
  <c r="Q408"/>
  <c r="X408"/>
  <c r="Q409"/>
  <c r="X409"/>
  <c r="Q410"/>
  <c r="X410"/>
  <c r="Q411"/>
  <c r="X411"/>
  <c r="Q412"/>
  <c r="X412"/>
  <c r="Q413"/>
  <c r="X413"/>
  <c r="Q414"/>
  <c r="X414"/>
  <c r="Q415"/>
  <c r="X415"/>
  <c r="Q416"/>
  <c r="X416"/>
  <c r="Q417"/>
  <c r="X417"/>
  <c r="Q418"/>
  <c r="X418"/>
  <c r="Q419"/>
  <c r="X419"/>
  <c r="Q420"/>
  <c r="X420"/>
  <c r="Q421"/>
  <c r="X421"/>
  <c r="Q422"/>
  <c r="X422"/>
  <c r="Q423"/>
  <c r="X423"/>
  <c r="Q424"/>
  <c r="X424"/>
  <c r="Q425"/>
  <c r="X425"/>
  <c r="Q426"/>
  <c r="X426"/>
  <c r="Q427"/>
  <c r="X427"/>
  <c r="Q428"/>
  <c r="X428"/>
  <c r="Q429"/>
  <c r="X429"/>
  <c r="Q430"/>
  <c r="X430"/>
  <c r="Q431"/>
  <c r="X431"/>
  <c r="Q432"/>
  <c r="X432"/>
  <c r="Q512"/>
  <c r="X512"/>
  <c r="Q513"/>
  <c r="X513"/>
  <c r="Q433"/>
  <c r="X433"/>
  <c r="Q434"/>
  <c r="X434"/>
  <c r="Q435"/>
  <c r="X435"/>
  <c r="Q436"/>
  <c r="X436"/>
  <c r="Q437"/>
  <c r="X437"/>
  <c r="Q438"/>
  <c r="X438"/>
  <c r="Q439"/>
  <c r="X439"/>
  <c r="Q440"/>
  <c r="X440"/>
  <c r="Q441"/>
  <c r="X441"/>
  <c r="Q442"/>
  <c r="X442"/>
  <c r="Q443"/>
  <c r="X443"/>
  <c r="Q444"/>
  <c r="X444"/>
  <c r="Q445"/>
  <c r="X445"/>
  <c r="Q446"/>
  <c r="X446"/>
  <c r="Q447"/>
  <c r="X447"/>
  <c r="Q448"/>
  <c r="X448"/>
  <c r="Q449"/>
  <c r="X449"/>
  <c r="Q450"/>
  <c r="X450"/>
  <c r="Q451"/>
  <c r="X451"/>
  <c r="Q452"/>
  <c r="X452"/>
  <c r="Q453"/>
  <c r="X453"/>
  <c r="Q454"/>
  <c r="X454"/>
  <c r="Q455"/>
  <c r="X455"/>
  <c r="Q456"/>
  <c r="X456"/>
  <c r="Q457"/>
  <c r="X457"/>
  <c r="Q458"/>
  <c r="X458"/>
  <c r="Q459"/>
  <c r="X459"/>
  <c r="Q460"/>
  <c r="X460"/>
  <c r="Q461"/>
  <c r="X461"/>
  <c r="Q462"/>
  <c r="X462"/>
  <c r="Q463"/>
  <c r="X463"/>
  <c r="Q464"/>
  <c r="X464"/>
  <c r="Q465"/>
  <c r="X465"/>
  <c r="Q466"/>
  <c r="X466"/>
  <c r="Q467"/>
  <c r="X467"/>
  <c r="Q468"/>
  <c r="X468"/>
  <c r="Q469"/>
  <c r="X469"/>
  <c r="Q470"/>
  <c r="X470"/>
  <c r="Q471"/>
  <c r="X471"/>
  <c r="Q472"/>
  <c r="X472"/>
  <c r="Q473"/>
  <c r="X473"/>
  <c r="Q474"/>
  <c r="X474"/>
  <c r="Q475"/>
  <c r="X475"/>
  <c r="Q476"/>
  <c r="X476"/>
  <c r="Q477"/>
  <c r="X477"/>
  <c r="Q478"/>
  <c r="X478"/>
  <c r="Q479"/>
  <c r="X479"/>
  <c r="Q480"/>
  <c r="X480"/>
  <c r="Q481"/>
  <c r="X481"/>
  <c r="Q482"/>
  <c r="X482"/>
  <c r="Q483"/>
  <c r="X483"/>
  <c r="Q484"/>
  <c r="X484"/>
  <c r="Q485"/>
  <c r="X485"/>
  <c r="Q486"/>
  <c r="X486"/>
  <c r="Q487"/>
  <c r="X487"/>
  <c r="Q488"/>
  <c r="X488"/>
  <c r="Q489"/>
  <c r="X489"/>
  <c r="Q490"/>
  <c r="X490"/>
  <c r="Q491"/>
  <c r="X491"/>
  <c r="Q492"/>
  <c r="X492"/>
  <c r="Q493"/>
  <c r="X493"/>
  <c r="Q494"/>
  <c r="X494"/>
  <c r="Q495"/>
  <c r="X495"/>
  <c r="Q496"/>
  <c r="X496"/>
  <c r="Q497"/>
  <c r="X497"/>
  <c r="Q498"/>
  <c r="X498"/>
  <c r="Q499"/>
  <c r="X499"/>
  <c r="Q500"/>
  <c r="X500"/>
  <c r="Q501"/>
  <c r="X501"/>
  <c r="Q502"/>
  <c r="X502"/>
  <c r="Q503"/>
  <c r="X503"/>
  <c r="Q504"/>
  <c r="X504"/>
  <c r="Q505"/>
  <c r="X505"/>
  <c r="Q506"/>
  <c r="X506"/>
  <c r="Q507"/>
  <c r="X507"/>
  <c r="Q509"/>
  <c r="X509"/>
  <c r="Q510"/>
  <c r="X510"/>
  <c r="Q511"/>
  <c r="X511"/>
  <c r="Q514"/>
  <c r="X514"/>
  <c r="Q515"/>
  <c r="X515"/>
  <c r="Q516"/>
  <c r="X516"/>
  <c r="Q517"/>
  <c r="X517"/>
  <c r="Q518"/>
  <c r="X518"/>
  <c r="Q519"/>
  <c r="X519"/>
  <c r="Q520"/>
  <c r="X520"/>
  <c r="Q521"/>
  <c r="X521"/>
  <c r="Q522"/>
  <c r="X522"/>
  <c r="Q523"/>
  <c r="X523"/>
  <c r="Q524"/>
  <c r="X524"/>
  <c r="Q525"/>
  <c r="X525"/>
  <c r="Q526"/>
  <c r="X526"/>
  <c r="Q527"/>
  <c r="X527"/>
  <c r="Q528"/>
  <c r="X528"/>
  <c r="Q529"/>
  <c r="X529"/>
  <c r="Q530"/>
  <c r="X530"/>
  <c r="Q531"/>
  <c r="X531"/>
  <c r="Q532"/>
  <c r="X532"/>
  <c r="Q533"/>
  <c r="X533"/>
  <c r="Q534"/>
  <c r="X534"/>
  <c r="Q535"/>
  <c r="X535"/>
  <c r="Q536"/>
  <c r="X536"/>
  <c r="Q537"/>
  <c r="X537"/>
  <c r="Q538"/>
  <c r="X538"/>
  <c r="Q539"/>
  <c r="X539"/>
  <c r="Q540"/>
  <c r="X540"/>
  <c r="Q541"/>
  <c r="X541"/>
  <c r="Q542"/>
  <c r="X542"/>
  <c r="Q543"/>
  <c r="X543"/>
  <c r="Q544"/>
  <c r="X544"/>
  <c r="Q545"/>
  <c r="X545"/>
  <c r="Q546"/>
  <c r="X546"/>
  <c r="Q547"/>
  <c r="X547"/>
  <c r="Q548"/>
  <c r="X548"/>
  <c r="Q549"/>
  <c r="X549"/>
  <c r="Q550"/>
  <c r="X550"/>
  <c r="Q551"/>
  <c r="X551"/>
  <c r="Q552"/>
  <c r="X552"/>
  <c r="Q553"/>
  <c r="X553"/>
  <c r="Q554"/>
  <c r="X554"/>
  <c r="Q555"/>
  <c r="X555"/>
  <c r="Q556"/>
  <c r="X556"/>
  <c r="Q560"/>
  <c r="X560"/>
  <c r="Q561"/>
  <c r="X561"/>
  <c r="Q562"/>
  <c r="X562"/>
  <c r="Q557"/>
  <c r="X557"/>
  <c r="Q558"/>
  <c r="X558"/>
  <c r="Q559"/>
  <c r="X559"/>
  <c r="Q563"/>
  <c r="X563"/>
  <c r="Q564"/>
  <c r="X564"/>
  <c r="Q565"/>
  <c r="X565"/>
  <c r="Q566"/>
  <c r="X566"/>
  <c r="Q567"/>
  <c r="X567"/>
  <c r="Q568"/>
  <c r="X568"/>
  <c r="Q569"/>
  <c r="X569"/>
  <c r="Q570"/>
  <c r="X570"/>
  <c r="Q571"/>
  <c r="X571"/>
  <c r="Q572"/>
  <c r="X572"/>
  <c r="Q573"/>
  <c r="X573"/>
  <c r="Q574"/>
  <c r="X574"/>
  <c r="Q575"/>
  <c r="X575"/>
  <c r="AE575"/>
  <c r="AI575"/>
  <c r="AJ575"/>
  <c r="AK575"/>
  <c r="Q576"/>
  <c r="X576"/>
  <c r="AE576"/>
  <c r="AI576"/>
  <c r="AJ576"/>
  <c r="AK576"/>
  <c r="Q577"/>
  <c r="X577"/>
  <c r="AE577"/>
  <c r="AI577"/>
  <c r="AJ577"/>
  <c r="AK577"/>
  <c r="Q578"/>
  <c r="X578"/>
  <c r="AE578"/>
  <c r="AI578"/>
  <c r="AJ578"/>
  <c r="AK578"/>
  <c r="Q579"/>
  <c r="X579"/>
  <c r="AE579"/>
  <c r="AI579"/>
  <c r="AJ579"/>
  <c r="AK579"/>
  <c r="Q580"/>
  <c r="X580"/>
  <c r="AE580"/>
  <c r="AI580"/>
  <c r="AJ580"/>
  <c r="AK580"/>
  <c r="Q581"/>
  <c r="X581"/>
  <c r="AE581"/>
  <c r="AI581"/>
  <c r="AJ581"/>
  <c r="AK581"/>
  <c r="Q582"/>
  <c r="X582"/>
  <c r="AE582"/>
  <c r="AI582"/>
  <c r="AJ582"/>
  <c r="AK582"/>
  <c r="Q583"/>
  <c r="X583"/>
  <c r="AE583"/>
  <c r="AI583"/>
  <c r="AJ583"/>
  <c r="AK583"/>
  <c r="Q606"/>
  <c r="X606"/>
  <c r="AE606"/>
  <c r="AI606"/>
  <c r="AJ606"/>
  <c r="AK606"/>
  <c r="Q607"/>
  <c r="X607"/>
  <c r="AE607"/>
  <c r="AI607"/>
  <c r="AJ607"/>
  <c r="AK607"/>
  <c r="Q608"/>
  <c r="X608"/>
  <c r="AE608"/>
  <c r="AI608"/>
  <c r="AJ608"/>
  <c r="AK608"/>
  <c r="Q584"/>
  <c r="X584"/>
  <c r="AE584"/>
  <c r="AI584"/>
  <c r="AJ584"/>
  <c r="AK584"/>
  <c r="Q585"/>
  <c r="X585"/>
  <c r="AE585"/>
  <c r="AI585"/>
  <c r="AJ585"/>
  <c r="AK585"/>
  <c r="Q586"/>
  <c r="X586"/>
  <c r="AE586"/>
  <c r="AI586"/>
  <c r="AJ586"/>
  <c r="AK586"/>
  <c r="Q587"/>
  <c r="X587"/>
  <c r="AE587"/>
  <c r="AI587"/>
  <c r="AJ587"/>
  <c r="AK587"/>
  <c r="Q588"/>
  <c r="X588"/>
  <c r="AE588"/>
  <c r="AI588"/>
  <c r="AJ588"/>
  <c r="AK588"/>
  <c r="Q589"/>
  <c r="X589"/>
  <c r="AE589"/>
  <c r="AI589"/>
  <c r="AJ589"/>
  <c r="AK589"/>
  <c r="Q590"/>
  <c r="X590"/>
  <c r="AE590"/>
  <c r="AI590"/>
  <c r="AJ590"/>
  <c r="AK590"/>
  <c r="Q591"/>
  <c r="X591"/>
  <c r="AE591"/>
  <c r="AI591"/>
  <c r="AJ591"/>
  <c r="AK591"/>
  <c r="Q592"/>
  <c r="X592"/>
  <c r="AE592"/>
  <c r="AI592"/>
  <c r="AJ592"/>
  <c r="AK592"/>
  <c r="Q593"/>
  <c r="X593"/>
  <c r="AE593"/>
  <c r="AI593"/>
  <c r="AJ593"/>
  <c r="AK593"/>
  <c r="Q594"/>
  <c r="X594"/>
  <c r="AE594"/>
  <c r="AI594"/>
  <c r="AJ594"/>
  <c r="AK594"/>
  <c r="Q595"/>
  <c r="X595"/>
  <c r="AE595"/>
  <c r="AI595"/>
  <c r="AJ595"/>
  <c r="AK595"/>
  <c r="Q596"/>
  <c r="X596"/>
  <c r="AE596"/>
  <c r="AI596"/>
  <c r="AJ596"/>
  <c r="AK596"/>
  <c r="Q597"/>
  <c r="X597"/>
  <c r="AE597"/>
  <c r="AI597"/>
  <c r="AJ597"/>
  <c r="AK597"/>
  <c r="Q598"/>
  <c r="X598"/>
  <c r="AE598"/>
  <c r="AI598"/>
  <c r="AJ598"/>
  <c r="AK598"/>
  <c r="Q599"/>
  <c r="X599"/>
  <c r="AE599"/>
  <c r="AI599"/>
  <c r="AJ599"/>
  <c r="AK599"/>
  <c r="Q600"/>
  <c r="X600"/>
  <c r="AE600"/>
  <c r="AI600"/>
  <c r="AJ600"/>
  <c r="AK600"/>
  <c r="Q601"/>
  <c r="X601"/>
  <c r="AE601"/>
  <c r="AI601"/>
  <c r="AJ601"/>
  <c r="AK601"/>
  <c r="Q602"/>
  <c r="X602"/>
  <c r="AE602"/>
  <c r="AI602"/>
  <c r="AJ602"/>
  <c r="AK602"/>
  <c r="Q603"/>
  <c r="X603"/>
  <c r="AE603"/>
  <c r="AI603"/>
  <c r="AJ603"/>
  <c r="AK603"/>
  <c r="Q604"/>
  <c r="X604"/>
  <c r="AE604"/>
  <c r="AI604"/>
  <c r="AJ604"/>
  <c r="AK604"/>
  <c r="Q605"/>
  <c r="X605"/>
  <c r="AE605"/>
  <c r="AI605"/>
  <c r="AJ605"/>
  <c r="AK605"/>
  <c r="Q609"/>
  <c r="X609"/>
  <c r="AE609"/>
  <c r="AI609"/>
  <c r="AJ609"/>
  <c r="AK609"/>
  <c r="Q610"/>
  <c r="X610"/>
  <c r="AE610"/>
  <c r="AI610"/>
  <c r="AJ610"/>
  <c r="AK610"/>
  <c r="Q611"/>
  <c r="X611"/>
  <c r="AE611"/>
  <c r="AI611"/>
  <c r="AJ611"/>
  <c r="AK611"/>
  <c r="Q612"/>
  <c r="X612"/>
  <c r="AE612"/>
  <c r="AI612"/>
  <c r="AJ612"/>
  <c r="AK612"/>
  <c r="Q613"/>
  <c r="X613"/>
  <c r="AE613"/>
  <c r="AI613"/>
  <c r="AJ613"/>
  <c r="AK613"/>
  <c r="Q614"/>
  <c r="X614"/>
  <c r="AE614"/>
  <c r="AI614"/>
  <c r="AJ614"/>
  <c r="AK614"/>
  <c r="Q615"/>
  <c r="X615"/>
  <c r="AE615"/>
  <c r="AI615"/>
  <c r="AJ615"/>
  <c r="AK615"/>
  <c r="Q616"/>
  <c r="X616"/>
  <c r="AE616"/>
  <c r="AI616"/>
  <c r="AJ616"/>
  <c r="AK616"/>
  <c r="Q617"/>
  <c r="X617"/>
  <c r="AE617"/>
  <c r="AI617"/>
  <c r="AJ617"/>
  <c r="AK617"/>
  <c r="Q618"/>
  <c r="X618"/>
  <c r="AE618"/>
  <c r="AI618"/>
  <c r="AJ618"/>
  <c r="AK618"/>
  <c r="Q619"/>
  <c r="X619"/>
  <c r="AE619"/>
  <c r="AI619"/>
  <c r="AJ619"/>
  <c r="AK619"/>
  <c r="Q620"/>
  <c r="X620"/>
  <c r="AE620"/>
  <c r="AI620"/>
  <c r="AJ620"/>
  <c r="AK620"/>
  <c r="Q621"/>
  <c r="X621"/>
  <c r="AE621"/>
  <c r="AI621"/>
  <c r="AJ621"/>
  <c r="AK621"/>
  <c r="Q622"/>
  <c r="X622"/>
  <c r="AE622"/>
  <c r="AI622"/>
  <c r="AJ622"/>
  <c r="AK622"/>
  <c r="Q623"/>
  <c r="X623"/>
  <c r="AE623"/>
  <c r="AI623"/>
  <c r="AJ623"/>
  <c r="AK623"/>
  <c r="Q624"/>
  <c r="X624"/>
  <c r="AE624"/>
  <c r="AI624"/>
  <c r="AJ624"/>
  <c r="AK624"/>
  <c r="Q625"/>
  <c r="X625"/>
  <c r="AE625"/>
  <c r="AI625"/>
  <c r="AJ625"/>
  <c r="AK625"/>
  <c r="Q626"/>
  <c r="X626"/>
  <c r="AE626"/>
  <c r="AI626"/>
  <c r="AJ626"/>
  <c r="AK626"/>
  <c r="Q627"/>
  <c r="X627"/>
  <c r="AE627"/>
  <c r="AI627"/>
  <c r="AJ627"/>
  <c r="AK627"/>
  <c r="Q628"/>
  <c r="X628"/>
  <c r="AE628"/>
  <c r="AI628"/>
  <c r="AJ628"/>
  <c r="AK628"/>
  <c r="Q629"/>
  <c r="X629"/>
  <c r="AE629"/>
  <c r="AI629"/>
  <c r="AJ629"/>
  <c r="AK629"/>
  <c r="Q630"/>
  <c r="X630"/>
  <c r="AE630"/>
  <c r="AI630"/>
  <c r="AJ630"/>
  <c r="AK630"/>
  <c r="Q631"/>
  <c r="X631"/>
  <c r="AE631"/>
  <c r="AI631"/>
  <c r="AJ631"/>
  <c r="AK631"/>
  <c r="Q632"/>
  <c r="X632"/>
  <c r="AE632"/>
  <c r="AI632"/>
  <c r="AJ632"/>
  <c r="AK632"/>
  <c r="Q633"/>
  <c r="X633"/>
  <c r="AE633"/>
  <c r="AI633"/>
  <c r="AJ633"/>
  <c r="AK633"/>
  <c r="Q634"/>
  <c r="X634"/>
  <c r="AE634"/>
  <c r="AI634"/>
  <c r="AJ634"/>
  <c r="AK634"/>
  <c r="Q635"/>
  <c r="X635"/>
  <c r="AE635"/>
  <c r="AI635"/>
  <c r="AJ635"/>
  <c r="AK635"/>
  <c r="Q636"/>
  <c r="X636"/>
  <c r="AE636"/>
  <c r="AI636"/>
  <c r="AJ636"/>
  <c r="AK636"/>
  <c r="Q637"/>
  <c r="X637"/>
  <c r="AE637"/>
  <c r="AI637"/>
  <c r="AJ637"/>
  <c r="AK637"/>
  <c r="Q638"/>
  <c r="X638"/>
  <c r="AE638"/>
  <c r="AI638"/>
  <c r="AJ638"/>
  <c r="AK638"/>
  <c r="Q639"/>
  <c r="X639"/>
  <c r="AE639"/>
  <c r="AI639"/>
  <c r="AJ639"/>
  <c r="AK639"/>
  <c r="Q640"/>
  <c r="X640"/>
  <c r="AE640"/>
  <c r="AI640"/>
  <c r="AJ640"/>
  <c r="AK640"/>
  <c r="Q641"/>
  <c r="X641"/>
  <c r="AE641"/>
  <c r="AI641"/>
  <c r="AJ641"/>
  <c r="AK641"/>
  <c r="Q642"/>
  <c r="X642"/>
  <c r="AE642"/>
  <c r="AI642"/>
  <c r="AJ642"/>
  <c r="AK642"/>
  <c r="Q643"/>
  <c r="X643"/>
  <c r="AE643"/>
  <c r="AI643"/>
  <c r="AJ643"/>
  <c r="AK643"/>
  <c r="Q644"/>
  <c r="X644"/>
  <c r="AE644"/>
  <c r="AI644"/>
  <c r="AJ644"/>
  <c r="AK644"/>
  <c r="Q646"/>
  <c r="X646"/>
  <c r="AE646"/>
  <c r="AI646"/>
  <c r="AJ646"/>
  <c r="AK646"/>
  <c r="Q650"/>
  <c r="X650"/>
  <c r="AE650"/>
  <c r="AI650"/>
  <c r="AJ650"/>
  <c r="AK650"/>
  <c r="Q651"/>
  <c r="X651"/>
  <c r="AE651"/>
  <c r="AI651"/>
  <c r="AJ651"/>
  <c r="AK651"/>
  <c r="Q652"/>
  <c r="X652"/>
  <c r="AE652"/>
  <c r="AI652"/>
  <c r="AJ652"/>
  <c r="AK652"/>
  <c r="Q653"/>
  <c r="X653"/>
  <c r="AE653"/>
  <c r="AI653"/>
  <c r="AJ653"/>
  <c r="AK653"/>
  <c r="Q654"/>
  <c r="X654"/>
  <c r="AE654"/>
  <c r="AI654"/>
  <c r="AJ654"/>
  <c r="AK654"/>
  <c r="Q655"/>
  <c r="X655"/>
  <c r="AE655"/>
  <c r="AI655"/>
  <c r="AJ655"/>
  <c r="AK655"/>
  <c r="Q656"/>
  <c r="X656"/>
  <c r="AE656"/>
  <c r="AI656"/>
  <c r="AJ656"/>
  <c r="AK656"/>
  <c r="Q657"/>
  <c r="X657"/>
  <c r="AE657"/>
  <c r="AI657"/>
  <c r="AJ657"/>
  <c r="AK657"/>
  <c r="Q658"/>
  <c r="X658"/>
  <c r="AE658"/>
  <c r="AI658"/>
  <c r="AJ658"/>
  <c r="AK658"/>
  <c r="Q659"/>
  <c r="X659"/>
  <c r="AE659"/>
  <c r="AI659"/>
  <c r="AJ659"/>
  <c r="AK659"/>
  <c r="Q662"/>
  <c r="X662"/>
  <c r="AE662"/>
  <c r="AI662"/>
  <c r="AJ662"/>
  <c r="AK662"/>
  <c r="Q663"/>
  <c r="X663"/>
  <c r="AE663"/>
  <c r="AI663"/>
  <c r="AJ663"/>
  <c r="AK663"/>
  <c r="Q664"/>
  <c r="X664"/>
  <c r="AE664"/>
  <c r="AI664"/>
  <c r="AJ664"/>
  <c r="AK664"/>
  <c r="Q665"/>
  <c r="X665"/>
  <c r="AE665"/>
  <c r="AI665"/>
  <c r="AJ665"/>
  <c r="AK665"/>
  <c r="Q666"/>
  <c r="X666"/>
  <c r="AE666"/>
  <c r="AI666"/>
  <c r="AJ666"/>
  <c r="AK666"/>
  <c r="Q707"/>
  <c r="X707"/>
  <c r="AE707"/>
  <c r="AI707"/>
  <c r="AJ707"/>
  <c r="AK707"/>
  <c r="Q731"/>
  <c r="X731"/>
  <c r="AE731"/>
  <c r="AI731"/>
  <c r="AJ731"/>
  <c r="AK731"/>
  <c r="Q732"/>
  <c r="X732"/>
  <c r="AE732"/>
  <c r="AI732"/>
  <c r="AJ732"/>
  <c r="AK732"/>
  <c r="Q733"/>
  <c r="X733"/>
  <c r="AE733"/>
  <c r="AI733"/>
  <c r="AJ733"/>
  <c r="AK733"/>
  <c r="Q734"/>
  <c r="X734"/>
  <c r="AE734"/>
  <c r="AI734"/>
  <c r="AJ734"/>
  <c r="AK734"/>
  <c r="Q735"/>
  <c r="X735"/>
  <c r="AE735"/>
  <c r="AI735"/>
  <c r="AJ735"/>
  <c r="AK735"/>
  <c r="Q736"/>
  <c r="X736"/>
  <c r="AE736"/>
  <c r="AI736"/>
  <c r="AJ736"/>
  <c r="AK736"/>
  <c r="Q737"/>
  <c r="X737"/>
  <c r="AE737"/>
  <c r="AI737"/>
  <c r="AJ737"/>
  <c r="AK737"/>
  <c r="Q738"/>
  <c r="X738"/>
  <c r="AE738"/>
  <c r="AI738"/>
  <c r="AJ738"/>
  <c r="AK738"/>
  <c r="Q739"/>
  <c r="X739"/>
  <c r="AE739"/>
  <c r="AI739"/>
  <c r="AJ739"/>
  <c r="AK739"/>
  <c r="Q740"/>
  <c r="X740"/>
  <c r="AE740"/>
  <c r="AI740"/>
  <c r="AJ740"/>
  <c r="AK740"/>
  <c r="Q741"/>
  <c r="X741"/>
  <c r="AE741"/>
  <c r="AI741"/>
  <c r="AJ741"/>
  <c r="AK741"/>
  <c r="Q742"/>
  <c r="X742"/>
  <c r="AE742"/>
  <c r="AI742"/>
  <c r="AJ742"/>
  <c r="AK742"/>
  <c r="Q743"/>
  <c r="X743"/>
  <c r="AE743"/>
  <c r="AI743"/>
  <c r="AJ743"/>
  <c r="AK743"/>
  <c r="Q744"/>
  <c r="X744"/>
  <c r="AE744"/>
  <c r="AI744"/>
  <c r="AJ744"/>
  <c r="AK744"/>
  <c r="Q745"/>
  <c r="X745"/>
  <c r="AE745"/>
  <c r="AI745"/>
  <c r="AJ745"/>
  <c r="AK745"/>
  <c r="Q746"/>
  <c r="X746"/>
  <c r="AE746"/>
  <c r="AI746"/>
  <c r="AJ746"/>
  <c r="AK746"/>
  <c r="Q747"/>
  <c r="X747"/>
  <c r="AE747"/>
  <c r="AI747"/>
  <c r="AJ747"/>
  <c r="AK747"/>
  <c r="Q748"/>
  <c r="X748"/>
  <c r="AE748"/>
  <c r="AI748"/>
  <c r="AJ748"/>
  <c r="AK748"/>
  <c r="Q749"/>
  <c r="X749"/>
  <c r="AE749"/>
  <c r="AI749"/>
  <c r="AJ749"/>
  <c r="AK749"/>
  <c r="Q750"/>
  <c r="X750"/>
  <c r="AE750"/>
  <c r="AI750"/>
  <c r="AJ750"/>
  <c r="AK750"/>
  <c r="Q751"/>
  <c r="X751"/>
  <c r="AE751"/>
  <c r="AI751"/>
  <c r="AJ751"/>
  <c r="AK751"/>
  <c r="Q752"/>
  <c r="X752"/>
  <c r="AE752"/>
  <c r="AI752"/>
  <c r="AJ752"/>
  <c r="AK752"/>
  <c r="Q753"/>
  <c r="X753"/>
  <c r="AE753"/>
  <c r="AI753"/>
  <c r="AJ753"/>
  <c r="AK753"/>
  <c r="Q754"/>
  <c r="X754"/>
  <c r="AE754"/>
  <c r="AI754"/>
  <c r="AJ754"/>
  <c r="AK754"/>
  <c r="BH458" i="48" l="1"/>
  <c r="X12"/>
  <c r="Y12"/>
  <c r="X13"/>
  <c r="Y13"/>
  <c r="X14"/>
  <c r="Y14"/>
  <c r="X15"/>
  <c r="Y15"/>
  <c r="X16"/>
  <c r="Y16"/>
  <c r="X17"/>
  <c r="Y17"/>
  <c r="X18"/>
  <c r="Y18"/>
  <c r="X19"/>
  <c r="Y19"/>
  <c r="X20"/>
  <c r="Y20"/>
  <c r="X21"/>
  <c r="Y21"/>
  <c r="X22"/>
  <c r="Y22"/>
  <c r="X23"/>
  <c r="Y23"/>
  <c r="X24"/>
  <c r="Y24"/>
  <c r="X25"/>
  <c r="Y25"/>
  <c r="X26"/>
  <c r="Y26"/>
  <c r="X27"/>
  <c r="Y27"/>
  <c r="X28"/>
  <c r="Y28"/>
  <c r="X29"/>
  <c r="Y29"/>
  <c r="X30"/>
  <c r="Y30"/>
  <c r="X31"/>
  <c r="Y31"/>
  <c r="X32"/>
  <c r="Y32"/>
  <c r="X33"/>
  <c r="Y33"/>
  <c r="X34"/>
  <c r="Y34"/>
  <c r="X35"/>
  <c r="Y35"/>
  <c r="X36"/>
  <c r="Y36"/>
  <c r="X37"/>
  <c r="Y37"/>
  <c r="X38"/>
  <c r="Y38"/>
  <c r="X39"/>
  <c r="Y39"/>
  <c r="X40"/>
  <c r="Y40"/>
  <c r="X41"/>
  <c r="Y41"/>
  <c r="X42"/>
  <c r="Y42"/>
  <c r="X43"/>
  <c r="Y43"/>
  <c r="X44"/>
  <c r="Y44"/>
  <c r="X45"/>
  <c r="Y45"/>
  <c r="X46"/>
  <c r="Y46"/>
  <c r="X47"/>
  <c r="Y47"/>
  <c r="X48"/>
  <c r="Y48"/>
  <c r="X49"/>
  <c r="Y49"/>
  <c r="X50"/>
  <c r="Y50"/>
  <c r="X51"/>
  <c r="Y51"/>
  <c r="X52"/>
  <c r="Y52"/>
  <c r="X53"/>
  <c r="Y53"/>
  <c r="X54"/>
  <c r="Y54"/>
  <c r="X55"/>
  <c r="Y55"/>
  <c r="X56"/>
  <c r="Y56"/>
  <c r="X57"/>
  <c r="Y57"/>
  <c r="X58"/>
  <c r="Y58"/>
  <c r="X59"/>
  <c r="Y59"/>
  <c r="X60"/>
  <c r="Y60"/>
  <c r="X61"/>
  <c r="Y61"/>
  <c r="X62"/>
  <c r="Y62"/>
  <c r="X63"/>
  <c r="Y63"/>
  <c r="X64"/>
  <c r="Y64"/>
  <c r="X65"/>
  <c r="Y65"/>
  <c r="X66"/>
  <c r="Y66"/>
  <c r="X67"/>
  <c r="Y67"/>
  <c r="X68"/>
  <c r="Y68"/>
  <c r="X69"/>
  <c r="Y69"/>
  <c r="X70"/>
  <c r="Y70"/>
  <c r="X71"/>
  <c r="Y71"/>
  <c r="X72"/>
  <c r="Y72"/>
  <c r="X73"/>
  <c r="Y73"/>
  <c r="X74"/>
  <c r="Y74"/>
  <c r="X75"/>
  <c r="Y75"/>
  <c r="X76"/>
  <c r="Y76"/>
  <c r="X77"/>
  <c r="Y77"/>
  <c r="X78"/>
  <c r="Y78"/>
  <c r="X79"/>
  <c r="Y79"/>
  <c r="X80"/>
  <c r="Y80"/>
  <c r="X81"/>
  <c r="Y81"/>
  <c r="X82"/>
  <c r="Y82"/>
  <c r="X83"/>
  <c r="Y83"/>
  <c r="X84"/>
  <c r="Y84"/>
  <c r="X85"/>
  <c r="Y85"/>
  <c r="X86"/>
  <c r="Y86"/>
  <c r="X87"/>
  <c r="Y87"/>
  <c r="X88"/>
  <c r="Y88"/>
  <c r="X89"/>
  <c r="Y89"/>
  <c r="X90"/>
  <c r="Y90"/>
  <c r="X91"/>
  <c r="Y91"/>
  <c r="X92"/>
  <c r="Y92"/>
  <c r="X93"/>
  <c r="Y93"/>
  <c r="X94"/>
  <c r="Y94"/>
  <c r="X95"/>
  <c r="Y95"/>
  <c r="X96"/>
  <c r="Y96"/>
  <c r="X97"/>
  <c r="Y97"/>
  <c r="X98"/>
  <c r="Y98"/>
  <c r="X99"/>
  <c r="Y99"/>
  <c r="X100"/>
  <c r="Y100"/>
  <c r="X101"/>
  <c r="Y101"/>
  <c r="X102"/>
  <c r="Y102"/>
  <c r="X103"/>
  <c r="Y103"/>
  <c r="X104"/>
  <c r="Y104"/>
  <c r="X105"/>
  <c r="Y105"/>
  <c r="X106"/>
  <c r="Y106"/>
  <c r="X107"/>
  <c r="Y107"/>
  <c r="X108"/>
  <c r="Y108"/>
  <c r="X109"/>
  <c r="Y109"/>
  <c r="X110"/>
  <c r="Y110"/>
  <c r="X111"/>
  <c r="Y111"/>
  <c r="X112"/>
  <c r="Y112"/>
  <c r="X113"/>
  <c r="Y113"/>
  <c r="X114"/>
  <c r="Y114"/>
  <c r="X115"/>
  <c r="Y115"/>
  <c r="X116"/>
  <c r="Y116"/>
  <c r="X117"/>
  <c r="Y117"/>
  <c r="X118"/>
  <c r="Y118"/>
  <c r="X119"/>
  <c r="Y119"/>
  <c r="X120"/>
  <c r="Y120"/>
  <c r="X121"/>
  <c r="Y121"/>
  <c r="X122"/>
  <c r="Y122"/>
  <c r="X123"/>
  <c r="Y123"/>
  <c r="X124"/>
  <c r="Y124"/>
  <c r="X125"/>
  <c r="Y125"/>
  <c r="X126"/>
  <c r="Y126"/>
  <c r="X127"/>
  <c r="Y127"/>
  <c r="X128"/>
  <c r="Y128"/>
  <c r="X129"/>
  <c r="Y129"/>
  <c r="X130"/>
  <c r="Y130"/>
  <c r="X131"/>
  <c r="Y131"/>
  <c r="X132"/>
  <c r="Y132"/>
  <c r="X133"/>
  <c r="Y133"/>
  <c r="X134"/>
  <c r="Y134"/>
  <c r="X135"/>
  <c r="Y135"/>
  <c r="X136"/>
  <c r="Y136"/>
  <c r="X137"/>
  <c r="Y137"/>
  <c r="X138"/>
  <c r="Y138"/>
  <c r="X139"/>
  <c r="Y139"/>
  <c r="X140"/>
  <c r="Y140"/>
  <c r="X141"/>
  <c r="Y141"/>
  <c r="X142"/>
  <c r="Y142"/>
  <c r="X143"/>
  <c r="Y143"/>
  <c r="X144"/>
  <c r="Y144"/>
  <c r="X145"/>
  <c r="Y145"/>
  <c r="X146"/>
  <c r="Y146"/>
  <c r="X147"/>
  <c r="Y147"/>
  <c r="X148"/>
  <c r="Y148"/>
  <c r="X149"/>
  <c r="Y149"/>
  <c r="X150"/>
  <c r="Y150"/>
  <c r="X151"/>
  <c r="Y151"/>
  <c r="X152"/>
  <c r="Y152"/>
  <c r="X153"/>
  <c r="Y153"/>
  <c r="X154"/>
  <c r="Y154"/>
  <c r="X155"/>
  <c r="Y155"/>
  <c r="X156"/>
  <c r="Y156"/>
  <c r="X157"/>
  <c r="Y157"/>
  <c r="X158"/>
  <c r="Y158"/>
  <c r="X159"/>
  <c r="Y159"/>
  <c r="X160"/>
  <c r="Y160"/>
  <c r="X161"/>
  <c r="Y161"/>
  <c r="X162"/>
  <c r="Y162"/>
  <c r="X163"/>
  <c r="Y163"/>
  <c r="X164"/>
  <c r="Y164"/>
  <c r="X165"/>
  <c r="Y165"/>
  <c r="X166"/>
  <c r="Y166"/>
  <c r="X167"/>
  <c r="Y167"/>
  <c r="X168"/>
  <c r="Y168"/>
  <c r="X169"/>
  <c r="Y169"/>
  <c r="X170"/>
  <c r="Y170"/>
  <c r="X171"/>
  <c r="Y171"/>
  <c r="X172"/>
  <c r="Y172"/>
  <c r="X173"/>
  <c r="Y173"/>
  <c r="X174"/>
  <c r="Y174"/>
  <c r="X175"/>
  <c r="Y175"/>
  <c r="X176"/>
  <c r="Y176"/>
  <c r="X177"/>
  <c r="Y177"/>
  <c r="X178"/>
  <c r="Y178"/>
  <c r="X179"/>
  <c r="Y179"/>
  <c r="X180"/>
  <c r="Y180"/>
  <c r="X181"/>
  <c r="Y181"/>
  <c r="X182"/>
  <c r="Y182"/>
  <c r="X183"/>
  <c r="Y183"/>
  <c r="X184"/>
  <c r="Y184"/>
  <c r="X185"/>
  <c r="Y185"/>
  <c r="X186"/>
  <c r="Y186"/>
  <c r="X187"/>
  <c r="Y187"/>
  <c r="X188"/>
  <c r="Y188"/>
  <c r="X189"/>
  <c r="Y189"/>
  <c r="X190"/>
  <c r="Y190"/>
  <c r="X191"/>
  <c r="Y191"/>
  <c r="X192"/>
  <c r="Y192"/>
  <c r="X193"/>
  <c r="Y193"/>
  <c r="X194"/>
  <c r="Y194"/>
  <c r="X195"/>
  <c r="Y195"/>
  <c r="X196"/>
  <c r="Y196"/>
  <c r="X197"/>
  <c r="Y197"/>
  <c r="X198"/>
  <c r="Y198"/>
  <c r="X199"/>
  <c r="Y199"/>
  <c r="X200"/>
  <c r="Y200"/>
  <c r="X201"/>
  <c r="Y201"/>
  <c r="X202"/>
  <c r="Y202"/>
  <c r="X203"/>
  <c r="Y203"/>
  <c r="X204"/>
  <c r="Y204"/>
  <c r="X205"/>
  <c r="Y205"/>
  <c r="X206"/>
  <c r="Y206"/>
  <c r="X207"/>
  <c r="Y207"/>
  <c r="X208"/>
  <c r="Y208"/>
  <c r="X209"/>
  <c r="Y209"/>
  <c r="X210"/>
  <c r="Y210"/>
  <c r="X211"/>
  <c r="Y211"/>
  <c r="X212"/>
  <c r="Y212"/>
  <c r="X213"/>
  <c r="Y213"/>
  <c r="X214"/>
  <c r="Y214"/>
  <c r="X215"/>
  <c r="Y215"/>
  <c r="X216"/>
  <c r="Y216"/>
  <c r="X217"/>
  <c r="Y217"/>
  <c r="X218"/>
  <c r="Y218"/>
  <c r="X219"/>
  <c r="Y219"/>
  <c r="X220"/>
  <c r="Y220"/>
  <c r="X221"/>
  <c r="Y221"/>
  <c r="X222"/>
  <c r="Y222"/>
  <c r="X223"/>
  <c r="Y223"/>
  <c r="X224"/>
  <c r="Y224"/>
  <c r="X225"/>
  <c r="Y225"/>
  <c r="X226"/>
  <c r="Y226"/>
  <c r="X227"/>
  <c r="Y227"/>
  <c r="X228"/>
  <c r="Y228"/>
  <c r="X229"/>
  <c r="Y229"/>
  <c r="X230"/>
  <c r="Y230"/>
  <c r="X231"/>
  <c r="Y231"/>
  <c r="X232"/>
  <c r="Y232"/>
  <c r="X233"/>
  <c r="Y233"/>
  <c r="X234"/>
  <c r="Y234"/>
  <c r="X235"/>
  <c r="Y235"/>
  <c r="X236"/>
  <c r="Y236"/>
  <c r="X237"/>
  <c r="Y237"/>
  <c r="X238"/>
  <c r="Y238"/>
  <c r="X239"/>
  <c r="Y239"/>
  <c r="X240"/>
  <c r="Y240"/>
  <c r="X241"/>
  <c r="Y241"/>
  <c r="X242"/>
  <c r="Y242"/>
  <c r="X243"/>
  <c r="Y243"/>
  <c r="X244"/>
  <c r="Y244"/>
  <c r="X245"/>
  <c r="Y245"/>
  <c r="X246"/>
  <c r="Y246"/>
  <c r="X247"/>
  <c r="Y247"/>
  <c r="X248"/>
  <c r="Y248"/>
  <c r="X249"/>
  <c r="Y249"/>
  <c r="X250"/>
  <c r="Y250"/>
  <c r="X251"/>
  <c r="Y251"/>
  <c r="X252"/>
  <c r="Y252"/>
  <c r="X253"/>
  <c r="Y253"/>
  <c r="X254"/>
  <c r="Y254"/>
  <c r="X255"/>
  <c r="Y255"/>
  <c r="X256"/>
  <c r="Y256"/>
  <c r="X257"/>
  <c r="Y257"/>
  <c r="X258"/>
  <c r="Y258"/>
  <c r="X259"/>
  <c r="Y259"/>
  <c r="X260"/>
  <c r="Y260"/>
  <c r="X261"/>
  <c r="Y261"/>
  <c r="X262"/>
  <c r="Y262"/>
  <c r="X263"/>
  <c r="Y263"/>
  <c r="X264"/>
  <c r="Y264"/>
  <c r="X265"/>
  <c r="Y265"/>
  <c r="X266"/>
  <c r="Y266"/>
  <c r="X267"/>
  <c r="Y267"/>
  <c r="X268"/>
  <c r="Y268"/>
  <c r="X269"/>
  <c r="Y269"/>
  <c r="X270"/>
  <c r="Y270"/>
  <c r="X271"/>
  <c r="Y271"/>
  <c r="X272"/>
  <c r="Y272"/>
  <c r="X273"/>
  <c r="Y273"/>
  <c r="X274"/>
  <c r="Y274"/>
  <c r="X275"/>
  <c r="Y275"/>
  <c r="X276"/>
  <c r="Y276"/>
  <c r="X277"/>
  <c r="Y277"/>
  <c r="X278"/>
  <c r="Y278"/>
  <c r="X279"/>
  <c r="Y279"/>
  <c r="X280"/>
  <c r="Y280"/>
  <c r="X281"/>
  <c r="Y281"/>
  <c r="X282"/>
  <c r="Y282"/>
  <c r="X283"/>
  <c r="Y283"/>
  <c r="X284"/>
  <c r="Y284"/>
  <c r="X285"/>
  <c r="Y285"/>
  <c r="X286"/>
  <c r="Y286"/>
  <c r="X287"/>
  <c r="Y287"/>
  <c r="X288"/>
  <c r="Y288"/>
  <c r="X289"/>
  <c r="Y289"/>
  <c r="X290"/>
  <c r="Y290"/>
  <c r="X291"/>
  <c r="Y291"/>
  <c r="X292"/>
  <c r="Y292"/>
  <c r="X293"/>
  <c r="Y293"/>
  <c r="X294"/>
  <c r="Y294"/>
  <c r="X295"/>
  <c r="Y295"/>
  <c r="X296"/>
  <c r="Y296"/>
  <c r="X297"/>
  <c r="Y297"/>
  <c r="X298"/>
  <c r="Y298"/>
  <c r="X299"/>
  <c r="Y299"/>
  <c r="X300"/>
  <c r="Y300"/>
  <c r="X301"/>
  <c r="Y301"/>
  <c r="X302"/>
  <c r="Y302"/>
  <c r="X303"/>
  <c r="Y303"/>
  <c r="X304"/>
  <c r="Y304"/>
  <c r="X305"/>
  <c r="Y305"/>
  <c r="X306"/>
  <c r="Y306"/>
  <c r="X307"/>
  <c r="Y307"/>
  <c r="X308"/>
  <c r="Y308"/>
  <c r="X309"/>
  <c r="Y309"/>
  <c r="X310"/>
  <c r="Y310"/>
  <c r="X311"/>
  <c r="Y311"/>
  <c r="X312"/>
  <c r="Y312"/>
  <c r="X313"/>
  <c r="Y313"/>
  <c r="X314"/>
  <c r="Y314"/>
  <c r="X315"/>
  <c r="Y315"/>
  <c r="X316"/>
  <c r="Y316"/>
  <c r="X317"/>
  <c r="Y317"/>
  <c r="X318"/>
  <c r="Y318"/>
  <c r="X319"/>
  <c r="Y319"/>
  <c r="X320"/>
  <c r="Y320"/>
  <c r="X321"/>
  <c r="Y321"/>
  <c r="X322"/>
  <c r="Y322"/>
  <c r="X323"/>
  <c r="Y323"/>
  <c r="X324"/>
  <c r="Y324"/>
  <c r="X325"/>
  <c r="Y325"/>
  <c r="X326"/>
  <c r="Y326"/>
  <c r="X327"/>
  <c r="Y327"/>
  <c r="X328"/>
  <c r="Y328"/>
  <c r="X329"/>
  <c r="Y329"/>
  <c r="X330"/>
  <c r="Y330"/>
  <c r="X331"/>
  <c r="Y331"/>
  <c r="X332"/>
  <c r="Y332"/>
  <c r="X333"/>
  <c r="Y333"/>
  <c r="X334"/>
  <c r="Y334"/>
  <c r="X335"/>
  <c r="Y335"/>
  <c r="X336"/>
  <c r="Y336"/>
  <c r="X337"/>
  <c r="Y337"/>
  <c r="X338"/>
  <c r="Y338"/>
  <c r="X339"/>
  <c r="Y339"/>
  <c r="X340"/>
  <c r="Y340"/>
  <c r="X341"/>
  <c r="Y341"/>
  <c r="X342"/>
  <c r="Y342"/>
  <c r="X343"/>
  <c r="Y343"/>
  <c r="X344"/>
  <c r="Y344"/>
  <c r="X345"/>
  <c r="Y345"/>
  <c r="X346"/>
  <c r="Y346"/>
  <c r="X347"/>
  <c r="Y347"/>
  <c r="X348"/>
  <c r="Y348"/>
  <c r="X349"/>
  <c r="Y349"/>
  <c r="X350"/>
  <c r="Y350"/>
  <c r="X351"/>
  <c r="Y351"/>
  <c r="X352"/>
  <c r="Y352"/>
  <c r="X353"/>
  <c r="Y353"/>
  <c r="X354"/>
  <c r="Y354"/>
  <c r="X355"/>
  <c r="Y355"/>
  <c r="X356"/>
  <c r="Y356"/>
  <c r="X357"/>
  <c r="Y357"/>
  <c r="X358"/>
  <c r="Y358"/>
  <c r="X359"/>
  <c r="Y359"/>
  <c r="X360"/>
  <c r="Y360"/>
  <c r="X361"/>
  <c r="Y361"/>
  <c r="X362"/>
  <c r="Y362"/>
  <c r="X363"/>
  <c r="Y363"/>
  <c r="X364"/>
  <c r="Y364"/>
  <c r="X365"/>
  <c r="Y365"/>
  <c r="X366"/>
  <c r="Y366"/>
  <c r="X367"/>
  <c r="Y367"/>
  <c r="X368"/>
  <c r="Y368"/>
  <c r="X369"/>
  <c r="Y369"/>
  <c r="X370"/>
  <c r="Y370"/>
  <c r="X371"/>
  <c r="Y371"/>
  <c r="X372"/>
  <c r="Y372"/>
  <c r="X373"/>
  <c r="Y373"/>
  <c r="X374"/>
  <c r="Y374"/>
  <c r="X375"/>
  <c r="Y375"/>
  <c r="X376"/>
  <c r="Y376"/>
  <c r="X377"/>
  <c r="Y377"/>
  <c r="X378"/>
  <c r="Y378"/>
  <c r="X379"/>
  <c r="Y379"/>
  <c r="X380"/>
  <c r="Y380"/>
  <c r="X381"/>
  <c r="Y381"/>
  <c r="X382"/>
  <c r="Y382"/>
  <c r="X383"/>
  <c r="Y383"/>
  <c r="X384"/>
  <c r="Y384"/>
  <c r="X385"/>
  <c r="Y385"/>
  <c r="X386"/>
  <c r="Y386"/>
  <c r="X387"/>
  <c r="Y387"/>
  <c r="X388"/>
  <c r="Y388"/>
  <c r="X389"/>
  <c r="Y389"/>
  <c r="X390"/>
  <c r="Y390"/>
  <c r="X391"/>
  <c r="Y391"/>
  <c r="X392"/>
  <c r="Y392"/>
  <c r="X393"/>
  <c r="Y393"/>
  <c r="X394"/>
  <c r="Y394"/>
  <c r="X395"/>
  <c r="Y395"/>
  <c r="X396"/>
  <c r="Y396"/>
  <c r="X397"/>
  <c r="Y397"/>
  <c r="X398"/>
  <c r="Y398"/>
  <c r="X399"/>
  <c r="Y399"/>
  <c r="X400"/>
  <c r="Y400"/>
  <c r="X401"/>
  <c r="Y401"/>
  <c r="X402"/>
  <c r="Y402"/>
  <c r="X403"/>
  <c r="Y403"/>
  <c r="X404"/>
  <c r="Y404"/>
  <c r="X405"/>
  <c r="Y405"/>
  <c r="X406"/>
  <c r="Y406"/>
  <c r="X407"/>
  <c r="Y407"/>
  <c r="X408"/>
  <c r="Y408"/>
  <c r="X409"/>
  <c r="Y409"/>
  <c r="X410"/>
  <c r="Y410"/>
  <c r="X411"/>
  <c r="Y411"/>
  <c r="X412"/>
  <c r="Y412"/>
  <c r="X413"/>
  <c r="Y413"/>
  <c r="X414"/>
  <c r="Y414"/>
  <c r="X415"/>
  <c r="Y415"/>
  <c r="X416"/>
  <c r="Y416"/>
  <c r="X417"/>
  <c r="Y417"/>
  <c r="X418"/>
  <c r="Y418"/>
  <c r="X419"/>
  <c r="Y419"/>
  <c r="X420"/>
  <c r="Y420"/>
  <c r="X421"/>
  <c r="Y421"/>
  <c r="X422"/>
  <c r="Y422"/>
  <c r="X423"/>
  <c r="Y423"/>
  <c r="X424"/>
  <c r="Y424"/>
  <c r="X425"/>
  <c r="Y425"/>
  <c r="X426"/>
  <c r="Y426"/>
  <c r="X427"/>
  <c r="Y427"/>
  <c r="X428"/>
  <c r="Y428"/>
  <c r="X429"/>
  <c r="Y429"/>
  <c r="X430"/>
  <c r="Y430"/>
  <c r="X431"/>
  <c r="Y431"/>
  <c r="X432"/>
  <c r="Y432"/>
  <c r="X433"/>
  <c r="Y433"/>
  <c r="X434"/>
  <c r="Y434"/>
  <c r="X435"/>
  <c r="Y435"/>
  <c r="X436"/>
  <c r="Y436"/>
  <c r="X437"/>
  <c r="Y437"/>
  <c r="X438"/>
  <c r="Y438"/>
  <c r="X439"/>
  <c r="Y439"/>
  <c r="X440"/>
  <c r="Y440"/>
  <c r="X441"/>
  <c r="Y441"/>
  <c r="X442"/>
  <c r="Y442"/>
  <c r="X443"/>
  <c r="Y443"/>
  <c r="X444"/>
  <c r="Y444"/>
  <c r="X445"/>
  <c r="Y445"/>
  <c r="X446"/>
  <c r="Y446"/>
  <c r="X447"/>
  <c r="Y447"/>
  <c r="X448"/>
  <c r="Y448"/>
  <c r="X449"/>
  <c r="Y449"/>
  <c r="X450"/>
  <c r="Y450"/>
  <c r="Y11"/>
  <c r="X11"/>
  <c r="Y451"/>
  <c r="Y453" s="1"/>
  <c r="X451"/>
  <c r="X453" s="1"/>
  <c r="X452"/>
  <c r="V12"/>
  <c r="W12"/>
  <c r="V13"/>
  <c r="W13"/>
  <c r="V14"/>
  <c r="W14"/>
  <c r="V15"/>
  <c r="W15"/>
  <c r="V16"/>
  <c r="W16"/>
  <c r="V17"/>
  <c r="W17"/>
  <c r="V18"/>
  <c r="W18"/>
  <c r="V19"/>
  <c r="W19"/>
  <c r="V20"/>
  <c r="W20"/>
  <c r="V21"/>
  <c r="W21"/>
  <c r="V22"/>
  <c r="W22"/>
  <c r="V23"/>
  <c r="W23"/>
  <c r="V24"/>
  <c r="W24"/>
  <c r="V25"/>
  <c r="W25"/>
  <c r="V26"/>
  <c r="W26"/>
  <c r="V27"/>
  <c r="W27"/>
  <c r="V28"/>
  <c r="W28"/>
  <c r="V29"/>
  <c r="W29"/>
  <c r="V30"/>
  <c r="W30"/>
  <c r="V31"/>
  <c r="W31"/>
  <c r="V32"/>
  <c r="W32"/>
  <c r="V33"/>
  <c r="W33"/>
  <c r="V34"/>
  <c r="W34"/>
  <c r="V35"/>
  <c r="W35"/>
  <c r="V36"/>
  <c r="W36"/>
  <c r="V37"/>
  <c r="W37"/>
  <c r="V38"/>
  <c r="W38"/>
  <c r="V39"/>
  <c r="W39"/>
  <c r="V40"/>
  <c r="W40"/>
  <c r="V41"/>
  <c r="W41"/>
  <c r="V42"/>
  <c r="W42"/>
  <c r="V43"/>
  <c r="W43"/>
  <c r="V44"/>
  <c r="W44"/>
  <c r="V45"/>
  <c r="W45"/>
  <c r="V46"/>
  <c r="W46"/>
  <c r="V47"/>
  <c r="W47"/>
  <c r="V48"/>
  <c r="W48"/>
  <c r="V49"/>
  <c r="W49"/>
  <c r="V50"/>
  <c r="W50"/>
  <c r="V51"/>
  <c r="W51"/>
  <c r="V52"/>
  <c r="W52"/>
  <c r="V53"/>
  <c r="W53"/>
  <c r="V54"/>
  <c r="W54"/>
  <c r="V55"/>
  <c r="W55"/>
  <c r="V56"/>
  <c r="W56"/>
  <c r="V57"/>
  <c r="W57"/>
  <c r="V58"/>
  <c r="W58"/>
  <c r="V59"/>
  <c r="W59"/>
  <c r="V60"/>
  <c r="W60"/>
  <c r="V61"/>
  <c r="W61"/>
  <c r="V62"/>
  <c r="W62"/>
  <c r="V63"/>
  <c r="W63"/>
  <c r="V64"/>
  <c r="W64"/>
  <c r="V65"/>
  <c r="W65"/>
  <c r="V66"/>
  <c r="W66"/>
  <c r="V67"/>
  <c r="W67"/>
  <c r="V68"/>
  <c r="W68"/>
  <c r="V69"/>
  <c r="W69"/>
  <c r="V70"/>
  <c r="W70"/>
  <c r="V71"/>
  <c r="W71"/>
  <c r="V72"/>
  <c r="W72"/>
  <c r="V73"/>
  <c r="W73"/>
  <c r="V74"/>
  <c r="W74"/>
  <c r="V75"/>
  <c r="W75"/>
  <c r="V76"/>
  <c r="W76"/>
  <c r="V77"/>
  <c r="W77"/>
  <c r="V78"/>
  <c r="W78"/>
  <c r="V79"/>
  <c r="W79"/>
  <c r="V80"/>
  <c r="W80"/>
  <c r="V81"/>
  <c r="W81"/>
  <c r="V82"/>
  <c r="W82"/>
  <c r="V83"/>
  <c r="W83"/>
  <c r="V84"/>
  <c r="W84"/>
  <c r="V85"/>
  <c r="W85"/>
  <c r="V86"/>
  <c r="W86"/>
  <c r="V87"/>
  <c r="W87"/>
  <c r="V88"/>
  <c r="W88"/>
  <c r="V89"/>
  <c r="W89"/>
  <c r="V90"/>
  <c r="W90"/>
  <c r="V91"/>
  <c r="W91"/>
  <c r="V92"/>
  <c r="W92"/>
  <c r="V93"/>
  <c r="W93"/>
  <c r="V94"/>
  <c r="W94"/>
  <c r="V95"/>
  <c r="W95"/>
  <c r="V96"/>
  <c r="W96"/>
  <c r="V97"/>
  <c r="W97"/>
  <c r="V98"/>
  <c r="W98"/>
  <c r="V99"/>
  <c r="W99"/>
  <c r="V100"/>
  <c r="W100"/>
  <c r="V101"/>
  <c r="W101"/>
  <c r="V102"/>
  <c r="W102"/>
  <c r="V103"/>
  <c r="W103"/>
  <c r="V104"/>
  <c r="W104"/>
  <c r="V105"/>
  <c r="W105"/>
  <c r="V106"/>
  <c r="W106"/>
  <c r="V107"/>
  <c r="W107"/>
  <c r="V108"/>
  <c r="W108"/>
  <c r="V109"/>
  <c r="W109"/>
  <c r="V110"/>
  <c r="W110"/>
  <c r="V111"/>
  <c r="W111"/>
  <c r="V112"/>
  <c r="W112"/>
  <c r="V113"/>
  <c r="W113"/>
  <c r="V114"/>
  <c r="W114"/>
  <c r="V115"/>
  <c r="W115"/>
  <c r="V116"/>
  <c r="W116"/>
  <c r="V117"/>
  <c r="W117"/>
  <c r="V118"/>
  <c r="W118"/>
  <c r="V119"/>
  <c r="W119"/>
  <c r="V120"/>
  <c r="W120"/>
  <c r="V121"/>
  <c r="W121"/>
  <c r="V122"/>
  <c r="W122"/>
  <c r="V123"/>
  <c r="W123"/>
  <c r="V124"/>
  <c r="W124"/>
  <c r="V125"/>
  <c r="W125"/>
  <c r="V126"/>
  <c r="W126"/>
  <c r="V127"/>
  <c r="W127"/>
  <c r="V128"/>
  <c r="W128"/>
  <c r="V129"/>
  <c r="W129"/>
  <c r="V130"/>
  <c r="W130"/>
  <c r="V131"/>
  <c r="W131"/>
  <c r="V132"/>
  <c r="W132"/>
  <c r="V133"/>
  <c r="W133"/>
  <c r="V134"/>
  <c r="W134"/>
  <c r="V135"/>
  <c r="W135"/>
  <c r="V136"/>
  <c r="W136"/>
  <c r="V137"/>
  <c r="W137"/>
  <c r="V138"/>
  <c r="W138"/>
  <c r="V139"/>
  <c r="W139"/>
  <c r="V140"/>
  <c r="W140"/>
  <c r="V141"/>
  <c r="W141"/>
  <c r="V142"/>
  <c r="W142"/>
  <c r="V143"/>
  <c r="W143"/>
  <c r="V144"/>
  <c r="W144"/>
  <c r="V145"/>
  <c r="W145"/>
  <c r="V146"/>
  <c r="W146"/>
  <c r="V147"/>
  <c r="W147"/>
  <c r="V148"/>
  <c r="W148"/>
  <c r="V149"/>
  <c r="W149"/>
  <c r="V150"/>
  <c r="W150"/>
  <c r="V151"/>
  <c r="W151"/>
  <c r="V152"/>
  <c r="W152"/>
  <c r="V153"/>
  <c r="W153"/>
  <c r="V154"/>
  <c r="W154"/>
  <c r="V155"/>
  <c r="W155"/>
  <c r="V156"/>
  <c r="W156"/>
  <c r="V157"/>
  <c r="W157"/>
  <c r="V158"/>
  <c r="W158"/>
  <c r="V159"/>
  <c r="W159"/>
  <c r="V160"/>
  <c r="W160"/>
  <c r="V161"/>
  <c r="W161"/>
  <c r="V162"/>
  <c r="W162"/>
  <c r="V163"/>
  <c r="W163"/>
  <c r="V164"/>
  <c r="W164"/>
  <c r="V165"/>
  <c r="W165"/>
  <c r="V166"/>
  <c r="W166"/>
  <c r="V167"/>
  <c r="W167"/>
  <c r="V168"/>
  <c r="W168"/>
  <c r="V169"/>
  <c r="W169"/>
  <c r="V170"/>
  <c r="W170"/>
  <c r="V171"/>
  <c r="W171"/>
  <c r="V172"/>
  <c r="W172"/>
  <c r="V173"/>
  <c r="W173"/>
  <c r="V174"/>
  <c r="W174"/>
  <c r="V175"/>
  <c r="W175"/>
  <c r="V176"/>
  <c r="W176"/>
  <c r="V177"/>
  <c r="W177"/>
  <c r="V178"/>
  <c r="W178"/>
  <c r="V179"/>
  <c r="W179"/>
  <c r="V180"/>
  <c r="W180"/>
  <c r="V181"/>
  <c r="W181"/>
  <c r="V182"/>
  <c r="W182"/>
  <c r="V183"/>
  <c r="W183"/>
  <c r="V184"/>
  <c r="W184"/>
  <c r="V185"/>
  <c r="W185"/>
  <c r="V186"/>
  <c r="W186"/>
  <c r="V187"/>
  <c r="W187"/>
  <c r="V188"/>
  <c r="W188"/>
  <c r="V189"/>
  <c r="W189"/>
  <c r="V190"/>
  <c r="W190"/>
  <c r="V191"/>
  <c r="W191"/>
  <c r="V192"/>
  <c r="W192"/>
  <c r="V193"/>
  <c r="W193"/>
  <c r="V194"/>
  <c r="W194"/>
  <c r="V195"/>
  <c r="W195"/>
  <c r="V196"/>
  <c r="W196"/>
  <c r="V197"/>
  <c r="W197"/>
  <c r="V198"/>
  <c r="W198"/>
  <c r="V199"/>
  <c r="W199"/>
  <c r="V200"/>
  <c r="W200"/>
  <c r="V201"/>
  <c r="W201"/>
  <c r="V202"/>
  <c r="W202"/>
  <c r="V203"/>
  <c r="W203"/>
  <c r="V204"/>
  <c r="W204"/>
  <c r="V205"/>
  <c r="W205"/>
  <c r="V206"/>
  <c r="W206"/>
  <c r="V207"/>
  <c r="W207"/>
  <c r="V208"/>
  <c r="W208"/>
  <c r="V209"/>
  <c r="W209"/>
  <c r="V210"/>
  <c r="W210"/>
  <c r="V211"/>
  <c r="W211"/>
  <c r="V212"/>
  <c r="W212"/>
  <c r="V213"/>
  <c r="W213"/>
  <c r="V214"/>
  <c r="W214"/>
  <c r="V215"/>
  <c r="W215"/>
  <c r="V216"/>
  <c r="W216"/>
  <c r="V217"/>
  <c r="W217"/>
  <c r="V218"/>
  <c r="W218"/>
  <c r="V219"/>
  <c r="W219"/>
  <c r="V220"/>
  <c r="W220"/>
  <c r="V221"/>
  <c r="W221"/>
  <c r="V222"/>
  <c r="W222"/>
  <c r="V223"/>
  <c r="W223"/>
  <c r="V224"/>
  <c r="W224"/>
  <c r="V225"/>
  <c r="W225"/>
  <c r="V226"/>
  <c r="W226"/>
  <c r="V227"/>
  <c r="W227"/>
  <c r="V228"/>
  <c r="W228"/>
  <c r="V229"/>
  <c r="W229"/>
  <c r="V230"/>
  <c r="W230"/>
  <c r="V231"/>
  <c r="W231"/>
  <c r="V232"/>
  <c r="W232"/>
  <c r="V233"/>
  <c r="W233"/>
  <c r="V234"/>
  <c r="W234"/>
  <c r="V235"/>
  <c r="W235"/>
  <c r="V236"/>
  <c r="W236"/>
  <c r="V237"/>
  <c r="W237"/>
  <c r="V238"/>
  <c r="W238"/>
  <c r="V239"/>
  <c r="W239"/>
  <c r="V240"/>
  <c r="W240"/>
  <c r="V241"/>
  <c r="W241"/>
  <c r="V242"/>
  <c r="W242"/>
  <c r="V243"/>
  <c r="W243"/>
  <c r="V244"/>
  <c r="W244"/>
  <c r="V245"/>
  <c r="W245"/>
  <c r="V246"/>
  <c r="W246"/>
  <c r="V247"/>
  <c r="W247"/>
  <c r="V248"/>
  <c r="W248"/>
  <c r="V249"/>
  <c r="W249"/>
  <c r="V250"/>
  <c r="W250"/>
  <c r="V251"/>
  <c r="W251"/>
  <c r="V252"/>
  <c r="W252"/>
  <c r="V253"/>
  <c r="W253"/>
  <c r="V254"/>
  <c r="W254"/>
  <c r="V255"/>
  <c r="W255"/>
  <c r="V256"/>
  <c r="W256"/>
  <c r="V257"/>
  <c r="W257"/>
  <c r="V258"/>
  <c r="W258"/>
  <c r="V259"/>
  <c r="W259"/>
  <c r="V260"/>
  <c r="W260"/>
  <c r="V261"/>
  <c r="W261"/>
  <c r="V262"/>
  <c r="W262"/>
  <c r="V263"/>
  <c r="W263"/>
  <c r="V264"/>
  <c r="W264"/>
  <c r="V265"/>
  <c r="W265"/>
  <c r="V266"/>
  <c r="W266"/>
  <c r="V267"/>
  <c r="W267"/>
  <c r="V268"/>
  <c r="W268"/>
  <c r="V269"/>
  <c r="W269"/>
  <c r="V270"/>
  <c r="W270"/>
  <c r="V271"/>
  <c r="W271"/>
  <c r="V272"/>
  <c r="W272"/>
  <c r="V273"/>
  <c r="W273"/>
  <c r="V274"/>
  <c r="W274"/>
  <c r="V275"/>
  <c r="W275"/>
  <c r="V276"/>
  <c r="W276"/>
  <c r="V277"/>
  <c r="W277"/>
  <c r="V278"/>
  <c r="W278"/>
  <c r="V279"/>
  <c r="W279"/>
  <c r="V280"/>
  <c r="W280"/>
  <c r="V281"/>
  <c r="W281"/>
  <c r="V282"/>
  <c r="W282"/>
  <c r="V283"/>
  <c r="W283"/>
  <c r="V284"/>
  <c r="W284"/>
  <c r="V285"/>
  <c r="W285"/>
  <c r="V286"/>
  <c r="W286"/>
  <c r="V287"/>
  <c r="W287"/>
  <c r="V288"/>
  <c r="W288"/>
  <c r="V289"/>
  <c r="W289"/>
  <c r="V290"/>
  <c r="W290"/>
  <c r="V291"/>
  <c r="W291"/>
  <c r="V292"/>
  <c r="W292"/>
  <c r="V293"/>
  <c r="W293"/>
  <c r="V294"/>
  <c r="W294"/>
  <c r="V295"/>
  <c r="W295"/>
  <c r="V296"/>
  <c r="W296"/>
  <c r="V297"/>
  <c r="W297"/>
  <c r="V298"/>
  <c r="W298"/>
  <c r="V299"/>
  <c r="W299"/>
  <c r="V300"/>
  <c r="W300"/>
  <c r="V301"/>
  <c r="W301"/>
  <c r="V302"/>
  <c r="W302"/>
  <c r="V303"/>
  <c r="W303"/>
  <c r="V304"/>
  <c r="W304"/>
  <c r="V305"/>
  <c r="W305"/>
  <c r="V306"/>
  <c r="W306"/>
  <c r="V307"/>
  <c r="W307"/>
  <c r="V308"/>
  <c r="W308"/>
  <c r="V309"/>
  <c r="W309"/>
  <c r="V310"/>
  <c r="W310"/>
  <c r="V311"/>
  <c r="W311"/>
  <c r="V312"/>
  <c r="W312"/>
  <c r="V313"/>
  <c r="W313"/>
  <c r="V314"/>
  <c r="W314"/>
  <c r="V315"/>
  <c r="W315"/>
  <c r="V316"/>
  <c r="W316"/>
  <c r="V317"/>
  <c r="W317"/>
  <c r="V318"/>
  <c r="W318"/>
  <c r="V319"/>
  <c r="W319"/>
  <c r="V320"/>
  <c r="W320"/>
  <c r="V321"/>
  <c r="W321"/>
  <c r="V322"/>
  <c r="W322"/>
  <c r="V323"/>
  <c r="W323"/>
  <c r="V324"/>
  <c r="W324"/>
  <c r="V325"/>
  <c r="W325"/>
  <c r="V326"/>
  <c r="W326"/>
  <c r="V327"/>
  <c r="W327"/>
  <c r="V328"/>
  <c r="W328"/>
  <c r="V329"/>
  <c r="W329"/>
  <c r="V330"/>
  <c r="W330"/>
  <c r="V331"/>
  <c r="W331"/>
  <c r="V332"/>
  <c r="W332"/>
  <c r="V333"/>
  <c r="W333"/>
  <c r="V334"/>
  <c r="W334"/>
  <c r="V335"/>
  <c r="W335"/>
  <c r="V336"/>
  <c r="W336"/>
  <c r="V337"/>
  <c r="W337"/>
  <c r="V338"/>
  <c r="W338"/>
  <c r="V339"/>
  <c r="W339"/>
  <c r="V340"/>
  <c r="W340"/>
  <c r="V341"/>
  <c r="W341"/>
  <c r="V342"/>
  <c r="W342"/>
  <c r="V343"/>
  <c r="W343"/>
  <c r="V344"/>
  <c r="W344"/>
  <c r="V345"/>
  <c r="W345"/>
  <c r="V346"/>
  <c r="W346"/>
  <c r="V347"/>
  <c r="W347"/>
  <c r="V348"/>
  <c r="W348"/>
  <c r="V349"/>
  <c r="W349"/>
  <c r="V350"/>
  <c r="W350"/>
  <c r="V351"/>
  <c r="W351"/>
  <c r="V352"/>
  <c r="W352"/>
  <c r="V353"/>
  <c r="W353"/>
  <c r="V354"/>
  <c r="W354"/>
  <c r="V355"/>
  <c r="W355"/>
  <c r="V356"/>
  <c r="W356"/>
  <c r="V357"/>
  <c r="W357"/>
  <c r="V358"/>
  <c r="W358"/>
  <c r="V359"/>
  <c r="W359"/>
  <c r="V360"/>
  <c r="W360"/>
  <c r="V361"/>
  <c r="W361"/>
  <c r="V362"/>
  <c r="W362"/>
  <c r="V363"/>
  <c r="W363"/>
  <c r="V364"/>
  <c r="W364"/>
  <c r="V365"/>
  <c r="W365"/>
  <c r="V366"/>
  <c r="W366"/>
  <c r="V367"/>
  <c r="W367"/>
  <c r="V368"/>
  <c r="W368"/>
  <c r="V369"/>
  <c r="W369"/>
  <c r="V370"/>
  <c r="W370"/>
  <c r="V371"/>
  <c r="W371"/>
  <c r="V372"/>
  <c r="W372"/>
  <c r="V373"/>
  <c r="W373"/>
  <c r="V374"/>
  <c r="W374"/>
  <c r="V375"/>
  <c r="W375"/>
  <c r="V376"/>
  <c r="W376"/>
  <c r="V377"/>
  <c r="W377"/>
  <c r="V378"/>
  <c r="W378"/>
  <c r="V379"/>
  <c r="W379"/>
  <c r="V380"/>
  <c r="W380"/>
  <c r="V381"/>
  <c r="W381"/>
  <c r="V382"/>
  <c r="W382"/>
  <c r="V383"/>
  <c r="W383"/>
  <c r="V384"/>
  <c r="W384"/>
  <c r="V385"/>
  <c r="W385"/>
  <c r="V386"/>
  <c r="W386"/>
  <c r="V387"/>
  <c r="W387"/>
  <c r="V388"/>
  <c r="W388"/>
  <c r="V389"/>
  <c r="W389"/>
  <c r="V390"/>
  <c r="W390"/>
  <c r="V391"/>
  <c r="W391"/>
  <c r="V392"/>
  <c r="W392"/>
  <c r="V393"/>
  <c r="W393"/>
  <c r="V394"/>
  <c r="W394"/>
  <c r="V395"/>
  <c r="W395"/>
  <c r="V396"/>
  <c r="W396"/>
  <c r="V397"/>
  <c r="W397"/>
  <c r="V398"/>
  <c r="W398"/>
  <c r="V399"/>
  <c r="W399"/>
  <c r="V400"/>
  <c r="W400"/>
  <c r="V401"/>
  <c r="W401"/>
  <c r="V402"/>
  <c r="W402"/>
  <c r="V403"/>
  <c r="W403"/>
  <c r="V404"/>
  <c r="W404"/>
  <c r="V405"/>
  <c r="W405"/>
  <c r="V406"/>
  <c r="W406"/>
  <c r="V407"/>
  <c r="W407"/>
  <c r="V408"/>
  <c r="W408"/>
  <c r="V409"/>
  <c r="W409"/>
  <c r="V410"/>
  <c r="W410"/>
  <c r="V411"/>
  <c r="W411"/>
  <c r="V412"/>
  <c r="W412"/>
  <c r="V413"/>
  <c r="W413"/>
  <c r="V414"/>
  <c r="W414"/>
  <c r="V415"/>
  <c r="W415"/>
  <c r="V416"/>
  <c r="W416"/>
  <c r="V417"/>
  <c r="W417"/>
  <c r="V418"/>
  <c r="W418"/>
  <c r="V419"/>
  <c r="W419"/>
  <c r="V420"/>
  <c r="W420"/>
  <c r="V421"/>
  <c r="W421"/>
  <c r="V422"/>
  <c r="W422"/>
  <c r="V423"/>
  <c r="W423"/>
  <c r="V424"/>
  <c r="W424"/>
  <c r="V425"/>
  <c r="W425"/>
  <c r="V426"/>
  <c r="W426"/>
  <c r="V427"/>
  <c r="W427"/>
  <c r="V428"/>
  <c r="W428"/>
  <c r="V429"/>
  <c r="W429"/>
  <c r="V430"/>
  <c r="W430"/>
  <c r="V431"/>
  <c r="W431"/>
  <c r="V432"/>
  <c r="W432"/>
  <c r="V433"/>
  <c r="W433"/>
  <c r="V434"/>
  <c r="W434"/>
  <c r="V435"/>
  <c r="W435"/>
  <c r="V436"/>
  <c r="W436"/>
  <c r="V437"/>
  <c r="W437"/>
  <c r="V438"/>
  <c r="W438"/>
  <c r="V439"/>
  <c r="W439"/>
  <c r="V440"/>
  <c r="W440"/>
  <c r="V441"/>
  <c r="W441"/>
  <c r="V442"/>
  <c r="W442"/>
  <c r="V443"/>
  <c r="W443"/>
  <c r="V444"/>
  <c r="W444"/>
  <c r="V445"/>
  <c r="W445"/>
  <c r="V446"/>
  <c r="W446"/>
  <c r="V447"/>
  <c r="W447"/>
  <c r="V448"/>
  <c r="W448"/>
  <c r="V449"/>
  <c r="W449"/>
  <c r="V450"/>
  <c r="W450"/>
  <c r="W11"/>
  <c r="V11"/>
  <c r="W10"/>
  <c r="V10"/>
  <c r="W451"/>
  <c r="W453" s="1"/>
  <c r="V451"/>
  <c r="V453" s="1"/>
  <c r="R12"/>
  <c r="S12"/>
  <c r="R13"/>
  <c r="S13"/>
  <c r="R14"/>
  <c r="S14"/>
  <c r="R15"/>
  <c r="S15"/>
  <c r="R16"/>
  <c r="S16"/>
  <c r="R17"/>
  <c r="S17"/>
  <c r="R18"/>
  <c r="S18"/>
  <c r="R19"/>
  <c r="S19"/>
  <c r="R20"/>
  <c r="S20"/>
  <c r="R21"/>
  <c r="S21"/>
  <c r="R22"/>
  <c r="S22"/>
  <c r="R23"/>
  <c r="S23"/>
  <c r="R24"/>
  <c r="S24"/>
  <c r="R25"/>
  <c r="S25"/>
  <c r="R26"/>
  <c r="S26"/>
  <c r="R27"/>
  <c r="S27"/>
  <c r="R28"/>
  <c r="S28"/>
  <c r="R29"/>
  <c r="S29"/>
  <c r="R30"/>
  <c r="S30"/>
  <c r="R31"/>
  <c r="S31"/>
  <c r="R32"/>
  <c r="S32"/>
  <c r="R33"/>
  <c r="S33"/>
  <c r="R34"/>
  <c r="S34"/>
  <c r="R35"/>
  <c r="S35"/>
  <c r="R36"/>
  <c r="S36"/>
  <c r="R37"/>
  <c r="S37"/>
  <c r="R38"/>
  <c r="S38"/>
  <c r="R39"/>
  <c r="S39"/>
  <c r="R40"/>
  <c r="S40"/>
  <c r="R41"/>
  <c r="S41"/>
  <c r="R42"/>
  <c r="S42"/>
  <c r="R43"/>
  <c r="S43"/>
  <c r="R44"/>
  <c r="S44"/>
  <c r="R45"/>
  <c r="S45"/>
  <c r="R46"/>
  <c r="S46"/>
  <c r="R47"/>
  <c r="S47"/>
  <c r="R48"/>
  <c r="S48"/>
  <c r="R49"/>
  <c r="S49"/>
  <c r="R50"/>
  <c r="S50"/>
  <c r="R51"/>
  <c r="S51"/>
  <c r="R52"/>
  <c r="S52"/>
  <c r="R53"/>
  <c r="S53"/>
  <c r="R54"/>
  <c r="S54"/>
  <c r="R55"/>
  <c r="S55"/>
  <c r="R56"/>
  <c r="S56"/>
  <c r="R57"/>
  <c r="S57"/>
  <c r="R58"/>
  <c r="S58"/>
  <c r="R59"/>
  <c r="S59"/>
  <c r="R60"/>
  <c r="S60"/>
  <c r="R61"/>
  <c r="S61"/>
  <c r="R62"/>
  <c r="S62"/>
  <c r="R63"/>
  <c r="S63"/>
  <c r="R64"/>
  <c r="S64"/>
  <c r="R65"/>
  <c r="S65"/>
  <c r="R66"/>
  <c r="S66"/>
  <c r="R67"/>
  <c r="S67"/>
  <c r="R68"/>
  <c r="S68"/>
  <c r="R69"/>
  <c r="S69"/>
  <c r="R70"/>
  <c r="S70"/>
  <c r="R71"/>
  <c r="S71"/>
  <c r="R72"/>
  <c r="S72"/>
  <c r="R73"/>
  <c r="S73"/>
  <c r="R74"/>
  <c r="S74"/>
  <c r="R75"/>
  <c r="S75"/>
  <c r="R76"/>
  <c r="S76"/>
  <c r="R77"/>
  <c r="S77"/>
  <c r="R78"/>
  <c r="S78"/>
  <c r="R79"/>
  <c r="S79"/>
  <c r="R80"/>
  <c r="S80"/>
  <c r="R81"/>
  <c r="S81"/>
  <c r="R82"/>
  <c r="S82"/>
  <c r="R83"/>
  <c r="S83"/>
  <c r="R84"/>
  <c r="S84"/>
  <c r="R85"/>
  <c r="S85"/>
  <c r="R86"/>
  <c r="S86"/>
  <c r="R87"/>
  <c r="S87"/>
  <c r="R88"/>
  <c r="S88"/>
  <c r="R89"/>
  <c r="S89"/>
  <c r="R90"/>
  <c r="S90"/>
  <c r="R91"/>
  <c r="S91"/>
  <c r="R92"/>
  <c r="S92"/>
  <c r="R93"/>
  <c r="S93"/>
  <c r="R94"/>
  <c r="S94"/>
  <c r="R95"/>
  <c r="S95"/>
  <c r="R96"/>
  <c r="S96"/>
  <c r="R97"/>
  <c r="S97"/>
  <c r="R98"/>
  <c r="S98"/>
  <c r="R99"/>
  <c r="S99"/>
  <c r="R100"/>
  <c r="S100"/>
  <c r="R101"/>
  <c r="S101"/>
  <c r="R102"/>
  <c r="S102"/>
  <c r="R103"/>
  <c r="S103"/>
  <c r="R104"/>
  <c r="S104"/>
  <c r="R105"/>
  <c r="S105"/>
  <c r="R106"/>
  <c r="S106"/>
  <c r="R107"/>
  <c r="S107"/>
  <c r="R108"/>
  <c r="S108"/>
  <c r="R109"/>
  <c r="S109"/>
  <c r="R110"/>
  <c r="S110"/>
  <c r="R111"/>
  <c r="S111"/>
  <c r="R112"/>
  <c r="S112"/>
  <c r="R113"/>
  <c r="S113"/>
  <c r="R114"/>
  <c r="S114"/>
  <c r="R115"/>
  <c r="S115"/>
  <c r="R116"/>
  <c r="S116"/>
  <c r="R117"/>
  <c r="S117"/>
  <c r="R118"/>
  <c r="S118"/>
  <c r="R119"/>
  <c r="S119"/>
  <c r="R120"/>
  <c r="S120"/>
  <c r="R121"/>
  <c r="S121"/>
  <c r="R122"/>
  <c r="S122"/>
  <c r="R123"/>
  <c r="S123"/>
  <c r="R124"/>
  <c r="S124"/>
  <c r="R125"/>
  <c r="S125"/>
  <c r="R126"/>
  <c r="S126"/>
  <c r="R127"/>
  <c r="S127"/>
  <c r="R128"/>
  <c r="S128"/>
  <c r="R129"/>
  <c r="S129"/>
  <c r="R130"/>
  <c r="S130"/>
  <c r="R131"/>
  <c r="S131"/>
  <c r="R132"/>
  <c r="S132"/>
  <c r="R133"/>
  <c r="S133"/>
  <c r="R134"/>
  <c r="S134"/>
  <c r="R135"/>
  <c r="S135"/>
  <c r="R136"/>
  <c r="S136"/>
  <c r="R137"/>
  <c r="S137"/>
  <c r="R138"/>
  <c r="S138"/>
  <c r="R139"/>
  <c r="S139"/>
  <c r="R140"/>
  <c r="S140"/>
  <c r="R141"/>
  <c r="S141"/>
  <c r="R142"/>
  <c r="S142"/>
  <c r="R143"/>
  <c r="S143"/>
  <c r="R144"/>
  <c r="S144"/>
  <c r="R145"/>
  <c r="S145"/>
  <c r="R146"/>
  <c r="S146"/>
  <c r="R147"/>
  <c r="S147"/>
  <c r="R148"/>
  <c r="S148"/>
  <c r="R149"/>
  <c r="S149"/>
  <c r="R150"/>
  <c r="S150"/>
  <c r="R151"/>
  <c r="S151"/>
  <c r="R152"/>
  <c r="S152"/>
  <c r="R153"/>
  <c r="S153"/>
  <c r="R154"/>
  <c r="S154"/>
  <c r="R155"/>
  <c r="S155"/>
  <c r="R156"/>
  <c r="S156"/>
  <c r="R157"/>
  <c r="S157"/>
  <c r="R158"/>
  <c r="S158"/>
  <c r="R159"/>
  <c r="S159"/>
  <c r="R160"/>
  <c r="S160"/>
  <c r="R161"/>
  <c r="S161"/>
  <c r="R162"/>
  <c r="S162"/>
  <c r="R163"/>
  <c r="S163"/>
  <c r="R164"/>
  <c r="S164"/>
  <c r="R165"/>
  <c r="S165"/>
  <c r="R166"/>
  <c r="S166"/>
  <c r="R167"/>
  <c r="S167"/>
  <c r="R168"/>
  <c r="S168"/>
  <c r="R169"/>
  <c r="S169"/>
  <c r="R170"/>
  <c r="S170"/>
  <c r="R171"/>
  <c r="S171"/>
  <c r="R172"/>
  <c r="S172"/>
  <c r="R173"/>
  <c r="S173"/>
  <c r="R174"/>
  <c r="S174"/>
  <c r="R175"/>
  <c r="S175"/>
  <c r="R176"/>
  <c r="S176"/>
  <c r="R177"/>
  <c r="S177"/>
  <c r="R178"/>
  <c r="S178"/>
  <c r="R179"/>
  <c r="S179"/>
  <c r="R180"/>
  <c r="S180"/>
  <c r="R181"/>
  <c r="S181"/>
  <c r="R182"/>
  <c r="S182"/>
  <c r="R183"/>
  <c r="S183"/>
  <c r="R184"/>
  <c r="S184"/>
  <c r="R185"/>
  <c r="S185"/>
  <c r="R186"/>
  <c r="S186"/>
  <c r="R187"/>
  <c r="S187"/>
  <c r="R188"/>
  <c r="S188"/>
  <c r="R189"/>
  <c r="S189"/>
  <c r="R190"/>
  <c r="S190"/>
  <c r="R191"/>
  <c r="S191"/>
  <c r="R192"/>
  <c r="S192"/>
  <c r="R193"/>
  <c r="S193"/>
  <c r="R194"/>
  <c r="S194"/>
  <c r="R195"/>
  <c r="S195"/>
  <c r="R196"/>
  <c r="S196"/>
  <c r="R197"/>
  <c r="S197"/>
  <c r="R198"/>
  <c r="S198"/>
  <c r="R199"/>
  <c r="S199"/>
  <c r="R200"/>
  <c r="S200"/>
  <c r="R201"/>
  <c r="S201"/>
  <c r="R202"/>
  <c r="S202"/>
  <c r="R203"/>
  <c r="S203"/>
  <c r="R204"/>
  <c r="S204"/>
  <c r="R205"/>
  <c r="S205"/>
  <c r="R206"/>
  <c r="S206"/>
  <c r="R207"/>
  <c r="S207"/>
  <c r="R208"/>
  <c r="S208"/>
  <c r="R209"/>
  <c r="S209"/>
  <c r="R210"/>
  <c r="S210"/>
  <c r="R211"/>
  <c r="S211"/>
  <c r="R212"/>
  <c r="S212"/>
  <c r="R213"/>
  <c r="S213"/>
  <c r="R214"/>
  <c r="S214"/>
  <c r="R215"/>
  <c r="S215"/>
  <c r="R216"/>
  <c r="S216"/>
  <c r="R217"/>
  <c r="S217"/>
  <c r="R218"/>
  <c r="S218"/>
  <c r="R219"/>
  <c r="S219"/>
  <c r="R220"/>
  <c r="S220"/>
  <c r="R221"/>
  <c r="S221"/>
  <c r="R222"/>
  <c r="S222"/>
  <c r="R223"/>
  <c r="S223"/>
  <c r="R224"/>
  <c r="S224"/>
  <c r="R225"/>
  <c r="S225"/>
  <c r="R226"/>
  <c r="S226"/>
  <c r="R227"/>
  <c r="S227"/>
  <c r="R228"/>
  <c r="S228"/>
  <c r="R229"/>
  <c r="S229"/>
  <c r="R230"/>
  <c r="S230"/>
  <c r="R231"/>
  <c r="S231"/>
  <c r="R232"/>
  <c r="S232"/>
  <c r="R233"/>
  <c r="S233"/>
  <c r="R234"/>
  <c r="S234"/>
  <c r="R235"/>
  <c r="S235"/>
  <c r="R236"/>
  <c r="S236"/>
  <c r="R237"/>
  <c r="S237"/>
  <c r="R238"/>
  <c r="S238"/>
  <c r="R239"/>
  <c r="S239"/>
  <c r="R240"/>
  <c r="S240"/>
  <c r="R241"/>
  <c r="S241"/>
  <c r="R242"/>
  <c r="S242"/>
  <c r="R243"/>
  <c r="S243"/>
  <c r="R244"/>
  <c r="S244"/>
  <c r="R245"/>
  <c r="S245"/>
  <c r="R246"/>
  <c r="S246"/>
  <c r="R247"/>
  <c r="S247"/>
  <c r="R248"/>
  <c r="S248"/>
  <c r="R249"/>
  <c r="S249"/>
  <c r="R250"/>
  <c r="S250"/>
  <c r="R251"/>
  <c r="S251"/>
  <c r="R252"/>
  <c r="S252"/>
  <c r="R253"/>
  <c r="S253"/>
  <c r="R254"/>
  <c r="S254"/>
  <c r="R255"/>
  <c r="S255"/>
  <c r="R256"/>
  <c r="S256"/>
  <c r="R257"/>
  <c r="S257"/>
  <c r="R258"/>
  <c r="S258"/>
  <c r="R259"/>
  <c r="S259"/>
  <c r="R260"/>
  <c r="S260"/>
  <c r="R261"/>
  <c r="S261"/>
  <c r="R262"/>
  <c r="S262"/>
  <c r="R263"/>
  <c r="S263"/>
  <c r="R264"/>
  <c r="S264"/>
  <c r="R265"/>
  <c r="S265"/>
  <c r="R266"/>
  <c r="S266"/>
  <c r="R267"/>
  <c r="S267"/>
  <c r="R268"/>
  <c r="S268"/>
  <c r="R269"/>
  <c r="S269"/>
  <c r="R270"/>
  <c r="S270"/>
  <c r="R271"/>
  <c r="S271"/>
  <c r="R272"/>
  <c r="S272"/>
  <c r="R273"/>
  <c r="S273"/>
  <c r="R274"/>
  <c r="S274"/>
  <c r="R275"/>
  <c r="S275"/>
  <c r="R276"/>
  <c r="S276"/>
  <c r="R277"/>
  <c r="S277"/>
  <c r="R278"/>
  <c r="S278"/>
  <c r="R279"/>
  <c r="S279"/>
  <c r="R280"/>
  <c r="S280"/>
  <c r="R281"/>
  <c r="S281"/>
  <c r="R282"/>
  <c r="S282"/>
  <c r="R283"/>
  <c r="S283"/>
  <c r="R284"/>
  <c r="S284"/>
  <c r="R285"/>
  <c r="S285"/>
  <c r="R286"/>
  <c r="S286"/>
  <c r="R287"/>
  <c r="S287"/>
  <c r="R288"/>
  <c r="S288"/>
  <c r="R289"/>
  <c r="S289"/>
  <c r="R290"/>
  <c r="S290"/>
  <c r="R291"/>
  <c r="S291"/>
  <c r="R292"/>
  <c r="S292"/>
  <c r="R293"/>
  <c r="S293"/>
  <c r="R294"/>
  <c r="S294"/>
  <c r="R295"/>
  <c r="S295"/>
  <c r="R296"/>
  <c r="S296"/>
  <c r="R297"/>
  <c r="S297"/>
  <c r="R298"/>
  <c r="S298"/>
  <c r="R299"/>
  <c r="S299"/>
  <c r="R300"/>
  <c r="S300"/>
  <c r="R301"/>
  <c r="S301"/>
  <c r="R302"/>
  <c r="S302"/>
  <c r="R303"/>
  <c r="S303"/>
  <c r="R304"/>
  <c r="S304"/>
  <c r="R305"/>
  <c r="S305"/>
  <c r="R306"/>
  <c r="S306"/>
  <c r="R307"/>
  <c r="S307"/>
  <c r="R308"/>
  <c r="S308"/>
  <c r="R309"/>
  <c r="S309"/>
  <c r="R310"/>
  <c r="S310"/>
  <c r="R311"/>
  <c r="S311"/>
  <c r="R312"/>
  <c r="S312"/>
  <c r="R313"/>
  <c r="S313"/>
  <c r="R314"/>
  <c r="S314"/>
  <c r="R315"/>
  <c r="S315"/>
  <c r="R316"/>
  <c r="S316"/>
  <c r="R317"/>
  <c r="S317"/>
  <c r="R318"/>
  <c r="S318"/>
  <c r="R319"/>
  <c r="S319"/>
  <c r="R320"/>
  <c r="S320"/>
  <c r="R321"/>
  <c r="S321"/>
  <c r="R322"/>
  <c r="S322"/>
  <c r="R323"/>
  <c r="S323"/>
  <c r="R324"/>
  <c r="S324"/>
  <c r="R325"/>
  <c r="S325"/>
  <c r="R326"/>
  <c r="S326"/>
  <c r="R327"/>
  <c r="S327"/>
  <c r="R328"/>
  <c r="S328"/>
  <c r="R329"/>
  <c r="S329"/>
  <c r="R330"/>
  <c r="S330"/>
  <c r="R331"/>
  <c r="S331"/>
  <c r="R332"/>
  <c r="S332"/>
  <c r="R333"/>
  <c r="S333"/>
  <c r="R334"/>
  <c r="S334"/>
  <c r="R335"/>
  <c r="S335"/>
  <c r="R336"/>
  <c r="S336"/>
  <c r="R337"/>
  <c r="S337"/>
  <c r="R338"/>
  <c r="S338"/>
  <c r="R339"/>
  <c r="S339"/>
  <c r="R340"/>
  <c r="S340"/>
  <c r="R341"/>
  <c r="S341"/>
  <c r="R342"/>
  <c r="S342"/>
  <c r="R343"/>
  <c r="S343"/>
  <c r="R344"/>
  <c r="S344"/>
  <c r="R345"/>
  <c r="S345"/>
  <c r="R346"/>
  <c r="S346"/>
  <c r="R347"/>
  <c r="S347"/>
  <c r="R348"/>
  <c r="S348"/>
  <c r="R349"/>
  <c r="S349"/>
  <c r="R350"/>
  <c r="S350"/>
  <c r="R351"/>
  <c r="S351"/>
  <c r="R352"/>
  <c r="S352"/>
  <c r="R353"/>
  <c r="S353"/>
  <c r="R354"/>
  <c r="S354"/>
  <c r="R355"/>
  <c r="S355"/>
  <c r="R356"/>
  <c r="S356"/>
  <c r="R357"/>
  <c r="S357"/>
  <c r="R358"/>
  <c r="S358"/>
  <c r="R359"/>
  <c r="S359"/>
  <c r="R360"/>
  <c r="S360"/>
  <c r="R361"/>
  <c r="S361"/>
  <c r="R362"/>
  <c r="S362"/>
  <c r="R363"/>
  <c r="S363"/>
  <c r="R364"/>
  <c r="S364"/>
  <c r="R365"/>
  <c r="S365"/>
  <c r="R366"/>
  <c r="S366"/>
  <c r="R367"/>
  <c r="S367"/>
  <c r="R368"/>
  <c r="S368"/>
  <c r="R369"/>
  <c r="S369"/>
  <c r="R370"/>
  <c r="S370"/>
  <c r="R371"/>
  <c r="S371"/>
  <c r="R372"/>
  <c r="S372"/>
  <c r="R373"/>
  <c r="S373"/>
  <c r="R374"/>
  <c r="S374"/>
  <c r="R375"/>
  <c r="S375"/>
  <c r="R376"/>
  <c r="S376"/>
  <c r="R377"/>
  <c r="S377"/>
  <c r="R378"/>
  <c r="S378"/>
  <c r="R379"/>
  <c r="S379"/>
  <c r="R380"/>
  <c r="S380"/>
  <c r="R381"/>
  <c r="S381"/>
  <c r="R382"/>
  <c r="S382"/>
  <c r="R383"/>
  <c r="S383"/>
  <c r="R384"/>
  <c r="S384"/>
  <c r="R385"/>
  <c r="S385"/>
  <c r="R386"/>
  <c r="S386"/>
  <c r="R387"/>
  <c r="S387"/>
  <c r="R388"/>
  <c r="S388"/>
  <c r="R389"/>
  <c r="S389"/>
  <c r="R390"/>
  <c r="S390"/>
  <c r="R391"/>
  <c r="S391"/>
  <c r="R392"/>
  <c r="S392"/>
  <c r="R393"/>
  <c r="S393"/>
  <c r="R394"/>
  <c r="S394"/>
  <c r="R395"/>
  <c r="S395"/>
  <c r="R396"/>
  <c r="S396"/>
  <c r="R397"/>
  <c r="S397"/>
  <c r="R398"/>
  <c r="S398"/>
  <c r="R399"/>
  <c r="S399"/>
  <c r="R400"/>
  <c r="S400"/>
  <c r="R401"/>
  <c r="S401"/>
  <c r="R402"/>
  <c r="S402"/>
  <c r="R403"/>
  <c r="S403"/>
  <c r="R404"/>
  <c r="S404"/>
  <c r="R405"/>
  <c r="S405"/>
  <c r="R406"/>
  <c r="S406"/>
  <c r="R407"/>
  <c r="S407"/>
  <c r="R408"/>
  <c r="S408"/>
  <c r="R409"/>
  <c r="S409"/>
  <c r="R410"/>
  <c r="S410"/>
  <c r="R411"/>
  <c r="S411"/>
  <c r="R412"/>
  <c r="S412"/>
  <c r="R413"/>
  <c r="S413"/>
  <c r="R414"/>
  <c r="S414"/>
  <c r="R415"/>
  <c r="S415"/>
  <c r="R416"/>
  <c r="S416"/>
  <c r="R417"/>
  <c r="S417"/>
  <c r="R418"/>
  <c r="S418"/>
  <c r="R419"/>
  <c r="S419"/>
  <c r="R420"/>
  <c r="S420"/>
  <c r="R421"/>
  <c r="S421"/>
  <c r="R422"/>
  <c r="S422"/>
  <c r="R423"/>
  <c r="S423"/>
  <c r="R424"/>
  <c r="S424"/>
  <c r="R425"/>
  <c r="S425"/>
  <c r="R426"/>
  <c r="S426"/>
  <c r="R427"/>
  <c r="S427"/>
  <c r="R428"/>
  <c r="S428"/>
  <c r="R429"/>
  <c r="S429"/>
  <c r="R430"/>
  <c r="S430"/>
  <c r="R431"/>
  <c r="S431"/>
  <c r="R432"/>
  <c r="S432"/>
  <c r="R433"/>
  <c r="S433"/>
  <c r="R434"/>
  <c r="S434"/>
  <c r="R435"/>
  <c r="S435"/>
  <c r="R436"/>
  <c r="S436"/>
  <c r="R437"/>
  <c r="S437"/>
  <c r="R438"/>
  <c r="S438"/>
  <c r="R439"/>
  <c r="S439"/>
  <c r="R440"/>
  <c r="S440"/>
  <c r="R441"/>
  <c r="S441"/>
  <c r="R442"/>
  <c r="S442"/>
  <c r="R443"/>
  <c r="S443"/>
  <c r="R444"/>
  <c r="S444"/>
  <c r="R445"/>
  <c r="S445"/>
  <c r="R446"/>
  <c r="S446"/>
  <c r="R447"/>
  <c r="S447"/>
  <c r="R448"/>
  <c r="S448"/>
  <c r="R449"/>
  <c r="S449"/>
  <c r="R450"/>
  <c r="S450"/>
  <c r="Q453"/>
  <c r="P453"/>
  <c r="Q451"/>
  <c r="R451"/>
  <c r="R453" s="1"/>
  <c r="S451"/>
  <c r="S453" s="1"/>
  <c r="P451"/>
  <c r="Y452" l="1"/>
  <c r="V452"/>
  <c r="W452"/>
  <c r="BG449" l="1"/>
  <c r="BF449"/>
  <c r="BE449"/>
  <c r="BD449"/>
  <c r="BC449"/>
  <c r="BB449"/>
  <c r="BA449"/>
  <c r="AZ449"/>
  <c r="AY449"/>
  <c r="AX449"/>
  <c r="AW449"/>
  <c r="AV449"/>
  <c r="AU449"/>
  <c r="AT449"/>
  <c r="AS449"/>
  <c r="AR449"/>
  <c r="AQ449"/>
  <c r="AP449"/>
  <c r="AO449"/>
  <c r="AN449"/>
  <c r="AM449"/>
  <c r="AL449"/>
  <c r="AK449"/>
  <c r="AJ449"/>
  <c r="AI449"/>
  <c r="AH449"/>
  <c r="AG449"/>
  <c r="AF449"/>
  <c r="AE449"/>
  <c r="AD449"/>
  <c r="AC449"/>
  <c r="AB449"/>
  <c r="AA449"/>
  <c r="Z449"/>
  <c r="U449"/>
  <c r="T449"/>
  <c r="Q449"/>
  <c r="P449"/>
  <c r="O449"/>
  <c r="N449"/>
  <c r="M449"/>
  <c r="L449"/>
  <c r="K449"/>
  <c r="J449"/>
  <c r="A449" a="1"/>
  <c r="A449" s="1"/>
  <c r="I449" s="1"/>
  <c r="BG448"/>
  <c r="BF448"/>
  <c r="BE448"/>
  <c r="BD448"/>
  <c r="BC448"/>
  <c r="BB448"/>
  <c r="BA448"/>
  <c r="AZ448"/>
  <c r="AY448"/>
  <c r="AX448"/>
  <c r="AW448"/>
  <c r="AV448"/>
  <c r="AU448"/>
  <c r="AT448"/>
  <c r="AS448"/>
  <c r="AR448"/>
  <c r="AQ448"/>
  <c r="AP448"/>
  <c r="AO448"/>
  <c r="AN448"/>
  <c r="AM448"/>
  <c r="AL448"/>
  <c r="AK448"/>
  <c r="AJ448"/>
  <c r="AI448"/>
  <c r="AH448"/>
  <c r="AG448"/>
  <c r="AF448"/>
  <c r="AE448"/>
  <c r="AD448"/>
  <c r="AC448"/>
  <c r="AB448"/>
  <c r="AA448"/>
  <c r="Z448"/>
  <c r="U448"/>
  <c r="T448"/>
  <c r="Q448"/>
  <c r="P448"/>
  <c r="O448"/>
  <c r="N448"/>
  <c r="M448"/>
  <c r="L448"/>
  <c r="K448"/>
  <c r="J448"/>
  <c r="A448" a="1"/>
  <c r="A448" s="1"/>
  <c r="I448" s="1"/>
  <c r="BG447"/>
  <c r="BF447"/>
  <c r="BE447"/>
  <c r="BD447"/>
  <c r="BC447"/>
  <c r="BB447"/>
  <c r="BA447"/>
  <c r="AZ447"/>
  <c r="AY447"/>
  <c r="AX447"/>
  <c r="AW447"/>
  <c r="AV447"/>
  <c r="AU447"/>
  <c r="AT447"/>
  <c r="AS447"/>
  <c r="AR447"/>
  <c r="AQ447"/>
  <c r="AP447"/>
  <c r="AO447"/>
  <c r="AN447"/>
  <c r="AM447"/>
  <c r="AL447"/>
  <c r="AK447"/>
  <c r="AJ447"/>
  <c r="AI447"/>
  <c r="AH447"/>
  <c r="AG447"/>
  <c r="AF447"/>
  <c r="AE447"/>
  <c r="AD447"/>
  <c r="AC447"/>
  <c r="AB447"/>
  <c r="AA447"/>
  <c r="Z447"/>
  <c r="U447"/>
  <c r="T447"/>
  <c r="Q447"/>
  <c r="P447"/>
  <c r="O447"/>
  <c r="N447"/>
  <c r="M447"/>
  <c r="L447"/>
  <c r="K447"/>
  <c r="J447"/>
  <c r="A447" a="1"/>
  <c r="A447" s="1"/>
  <c r="I447" s="1"/>
  <c r="BG446"/>
  <c r="BF446"/>
  <c r="BE446"/>
  <c r="BD446"/>
  <c r="BC446"/>
  <c r="BB446"/>
  <c r="BA446"/>
  <c r="AZ446"/>
  <c r="AY446"/>
  <c r="AX446"/>
  <c r="AW446"/>
  <c r="AV446"/>
  <c r="AU446"/>
  <c r="AT446"/>
  <c r="AS446"/>
  <c r="AR446"/>
  <c r="AQ446"/>
  <c r="AP446"/>
  <c r="AO446"/>
  <c r="AN446"/>
  <c r="AM446"/>
  <c r="AL446"/>
  <c r="AK446"/>
  <c r="AJ446"/>
  <c r="AI446"/>
  <c r="AH446"/>
  <c r="AG446"/>
  <c r="AF446"/>
  <c r="AE446"/>
  <c r="AD446"/>
  <c r="AC446"/>
  <c r="AB446"/>
  <c r="AA446"/>
  <c r="Z446"/>
  <c r="U446"/>
  <c r="T446"/>
  <c r="Q446"/>
  <c r="P446"/>
  <c r="O446"/>
  <c r="N446"/>
  <c r="M446"/>
  <c r="L446"/>
  <c r="K446"/>
  <c r="J446"/>
  <c r="A446" a="1"/>
  <c r="A446" s="1"/>
  <c r="I446" s="1"/>
  <c r="BG445"/>
  <c r="BF445"/>
  <c r="BE445"/>
  <c r="BD445"/>
  <c r="BC445"/>
  <c r="BB445"/>
  <c r="BA445"/>
  <c r="AZ445"/>
  <c r="AY445"/>
  <c r="AX445"/>
  <c r="AW445"/>
  <c r="AV445"/>
  <c r="AU445"/>
  <c r="AT445"/>
  <c r="AS445"/>
  <c r="AR445"/>
  <c r="AQ445"/>
  <c r="AP445"/>
  <c r="AO445"/>
  <c r="AN445"/>
  <c r="AM445"/>
  <c r="AL445"/>
  <c r="AK445"/>
  <c r="AJ445"/>
  <c r="AI445"/>
  <c r="AH445"/>
  <c r="AG445"/>
  <c r="AF445"/>
  <c r="AE445"/>
  <c r="AD445"/>
  <c r="AC445"/>
  <c r="AB445"/>
  <c r="AA445"/>
  <c r="Z445"/>
  <c r="U445"/>
  <c r="T445"/>
  <c r="Q445"/>
  <c r="P445"/>
  <c r="O445"/>
  <c r="N445"/>
  <c r="M445"/>
  <c r="L445"/>
  <c r="K445"/>
  <c r="J445"/>
  <c r="A445" a="1"/>
  <c r="A445" s="1"/>
  <c r="I445" s="1"/>
  <c r="BG242"/>
  <c r="BF242"/>
  <c r="BE242"/>
  <c r="BD242"/>
  <c r="BC242"/>
  <c r="BB242"/>
  <c r="BA242"/>
  <c r="AZ242"/>
  <c r="AY242"/>
  <c r="AX242"/>
  <c r="AW242"/>
  <c r="AV242"/>
  <c r="AU242"/>
  <c r="AT242"/>
  <c r="AS242"/>
  <c r="AR242"/>
  <c r="AQ242"/>
  <c r="AP242"/>
  <c r="AO242"/>
  <c r="AN242"/>
  <c r="AM242"/>
  <c r="AL242"/>
  <c r="AK242"/>
  <c r="AJ242"/>
  <c r="AI242"/>
  <c r="AH242"/>
  <c r="AG242"/>
  <c r="AF242"/>
  <c r="AE242"/>
  <c r="AD242"/>
  <c r="AC242"/>
  <c r="AB242"/>
  <c r="AA242"/>
  <c r="Z242"/>
  <c r="U242"/>
  <c r="T242"/>
  <c r="Q242"/>
  <c r="P242"/>
  <c r="O242"/>
  <c r="N242"/>
  <c r="M242"/>
  <c r="L242"/>
  <c r="K242"/>
  <c r="J242"/>
  <c r="A242" a="1"/>
  <c r="A242" s="1"/>
  <c r="I242" s="1"/>
  <c r="BG241"/>
  <c r="BF241"/>
  <c r="BE241"/>
  <c r="BD241"/>
  <c r="BC241"/>
  <c r="BB241"/>
  <c r="BA241"/>
  <c r="AZ241"/>
  <c r="AY241"/>
  <c r="AX241"/>
  <c r="AW241"/>
  <c r="AV241"/>
  <c r="AU241"/>
  <c r="AT241"/>
  <c r="AS241"/>
  <c r="AR241"/>
  <c r="AQ241"/>
  <c r="AP241"/>
  <c r="AO241"/>
  <c r="AN241"/>
  <c r="AM241"/>
  <c r="AL241"/>
  <c r="AK241"/>
  <c r="AJ241"/>
  <c r="AI241"/>
  <c r="AH241"/>
  <c r="AG241"/>
  <c r="AF241"/>
  <c r="AE241"/>
  <c r="AD241"/>
  <c r="AC241"/>
  <c r="AB241"/>
  <c r="AA241"/>
  <c r="Z241"/>
  <c r="U241"/>
  <c r="T241"/>
  <c r="Q241"/>
  <c r="P241"/>
  <c r="O241"/>
  <c r="N241"/>
  <c r="M241"/>
  <c r="L241"/>
  <c r="K241"/>
  <c r="J241"/>
  <c r="A241" a="1"/>
  <c r="A241" s="1"/>
  <c r="I241" s="1"/>
  <c r="BG240"/>
  <c r="BF240"/>
  <c r="BE240"/>
  <c r="BD240"/>
  <c r="BC240"/>
  <c r="BB240"/>
  <c r="BA240"/>
  <c r="AZ240"/>
  <c r="AY240"/>
  <c r="AX240"/>
  <c r="AW240"/>
  <c r="AV240"/>
  <c r="AU240"/>
  <c r="AT240"/>
  <c r="AS240"/>
  <c r="AR240"/>
  <c r="AQ240"/>
  <c r="AP240"/>
  <c r="AO240"/>
  <c r="AN240"/>
  <c r="AM240"/>
  <c r="AL240"/>
  <c r="AK240"/>
  <c r="AJ240"/>
  <c r="AI240"/>
  <c r="AH240"/>
  <c r="AG240"/>
  <c r="AF240"/>
  <c r="AE240"/>
  <c r="AD240"/>
  <c r="AC240"/>
  <c r="AB240"/>
  <c r="AA240"/>
  <c r="Z240"/>
  <c r="U240"/>
  <c r="T240"/>
  <c r="Q240"/>
  <c r="P240"/>
  <c r="O240"/>
  <c r="N240"/>
  <c r="M240"/>
  <c r="L240"/>
  <c r="K240"/>
  <c r="J240"/>
  <c r="A240" a="1"/>
  <c r="A240" s="1"/>
  <c r="I240" s="1"/>
  <c r="BG239"/>
  <c r="BF239"/>
  <c r="BE239"/>
  <c r="BD239"/>
  <c r="BC239"/>
  <c r="BB239"/>
  <c r="BA239"/>
  <c r="AZ239"/>
  <c r="AY239"/>
  <c r="AX239"/>
  <c r="AW239"/>
  <c r="AV239"/>
  <c r="AU239"/>
  <c r="AT239"/>
  <c r="AS239"/>
  <c r="AR239"/>
  <c r="AQ239"/>
  <c r="AP239"/>
  <c r="AO239"/>
  <c r="AN239"/>
  <c r="AM239"/>
  <c r="AL239"/>
  <c r="AK239"/>
  <c r="AJ239"/>
  <c r="AI239"/>
  <c r="AH239"/>
  <c r="AG239"/>
  <c r="AF239"/>
  <c r="AE239"/>
  <c r="AD239"/>
  <c r="AC239"/>
  <c r="AB239"/>
  <c r="AA239"/>
  <c r="Z239"/>
  <c r="U239"/>
  <c r="T239"/>
  <c r="Q239"/>
  <c r="P239"/>
  <c r="O239"/>
  <c r="N239"/>
  <c r="M239"/>
  <c r="L239"/>
  <c r="K239"/>
  <c r="J239"/>
  <c r="A239" a="1"/>
  <c r="A239" s="1"/>
  <c r="I239" s="1"/>
  <c r="BG238"/>
  <c r="BF238"/>
  <c r="BE238"/>
  <c r="BD238"/>
  <c r="BC238"/>
  <c r="BB238"/>
  <c r="BA238"/>
  <c r="AZ238"/>
  <c r="AY238"/>
  <c r="AX238"/>
  <c r="AW238"/>
  <c r="AV238"/>
  <c r="AU238"/>
  <c r="AT238"/>
  <c r="AS238"/>
  <c r="AR238"/>
  <c r="AQ238"/>
  <c r="AP238"/>
  <c r="AO238"/>
  <c r="AN238"/>
  <c r="AM238"/>
  <c r="AL238"/>
  <c r="AK238"/>
  <c r="AJ238"/>
  <c r="AI238"/>
  <c r="AH238"/>
  <c r="AG238"/>
  <c r="AF238"/>
  <c r="AE238"/>
  <c r="AD238"/>
  <c r="AC238"/>
  <c r="AB238"/>
  <c r="AA238"/>
  <c r="Z238"/>
  <c r="U238"/>
  <c r="T238"/>
  <c r="Q238"/>
  <c r="P238"/>
  <c r="O238"/>
  <c r="N238"/>
  <c r="M238"/>
  <c r="L238"/>
  <c r="K238"/>
  <c r="J238"/>
  <c r="A238" a="1"/>
  <c r="A238" s="1"/>
  <c r="I238" s="1"/>
  <c r="BG444"/>
  <c r="BF444"/>
  <c r="BE444"/>
  <c r="BD444"/>
  <c r="BC444"/>
  <c r="BB444"/>
  <c r="BA444"/>
  <c r="AZ444"/>
  <c r="AY444"/>
  <c r="AX444"/>
  <c r="AW444"/>
  <c r="AV444"/>
  <c r="AU444"/>
  <c r="AT444"/>
  <c r="AS444"/>
  <c r="AR444"/>
  <c r="AQ444"/>
  <c r="AP444"/>
  <c r="AO444"/>
  <c r="AN444"/>
  <c r="AM444"/>
  <c r="AL444"/>
  <c r="AK444"/>
  <c r="AJ444"/>
  <c r="AI444"/>
  <c r="AH444"/>
  <c r="AG444"/>
  <c r="AF444"/>
  <c r="AE444"/>
  <c r="AD444"/>
  <c r="AC444"/>
  <c r="AB444"/>
  <c r="AA444"/>
  <c r="Z444"/>
  <c r="U444"/>
  <c r="T444"/>
  <c r="Q444"/>
  <c r="P444"/>
  <c r="O444"/>
  <c r="N444"/>
  <c r="M444"/>
  <c r="L444"/>
  <c r="K444"/>
  <c r="J444"/>
  <c r="A444" a="1"/>
  <c r="A444" s="1"/>
  <c r="I444" s="1"/>
  <c r="BG443"/>
  <c r="BF443"/>
  <c r="BE443"/>
  <c r="BD443"/>
  <c r="BC443"/>
  <c r="BB443"/>
  <c r="BA443"/>
  <c r="AZ443"/>
  <c r="AY443"/>
  <c r="AX443"/>
  <c r="AW443"/>
  <c r="AV443"/>
  <c r="AU443"/>
  <c r="AT443"/>
  <c r="AS443"/>
  <c r="AR443"/>
  <c r="AQ443"/>
  <c r="AP443"/>
  <c r="AO443"/>
  <c r="AN443"/>
  <c r="AM443"/>
  <c r="AL443"/>
  <c r="AK443"/>
  <c r="AJ443"/>
  <c r="AI443"/>
  <c r="AH443"/>
  <c r="AG443"/>
  <c r="AF443"/>
  <c r="AE443"/>
  <c r="AD443"/>
  <c r="AC443"/>
  <c r="AB443"/>
  <c r="AA443"/>
  <c r="Z443"/>
  <c r="U443"/>
  <c r="T443"/>
  <c r="Q443"/>
  <c r="P443"/>
  <c r="O443"/>
  <c r="N443"/>
  <c r="M443"/>
  <c r="L443"/>
  <c r="K443"/>
  <c r="J443"/>
  <c r="A443" a="1"/>
  <c r="A443" s="1"/>
  <c r="I443" s="1"/>
  <c r="BG442"/>
  <c r="BF442"/>
  <c r="BE442"/>
  <c r="BD442"/>
  <c r="BC442"/>
  <c r="BB442"/>
  <c r="BA442"/>
  <c r="AZ442"/>
  <c r="AY442"/>
  <c r="AX442"/>
  <c r="AW442"/>
  <c r="AV442"/>
  <c r="AU442"/>
  <c r="AT442"/>
  <c r="AS442"/>
  <c r="AR442"/>
  <c r="AQ442"/>
  <c r="AP442"/>
  <c r="AO442"/>
  <c r="AN442"/>
  <c r="AM442"/>
  <c r="AL442"/>
  <c r="AK442"/>
  <c r="AJ442"/>
  <c r="AI442"/>
  <c r="AH442"/>
  <c r="AG442"/>
  <c r="AF442"/>
  <c r="AE442"/>
  <c r="AD442"/>
  <c r="AC442"/>
  <c r="AB442"/>
  <c r="AA442"/>
  <c r="Z442"/>
  <c r="U442"/>
  <c r="T442"/>
  <c r="Q442"/>
  <c r="P442"/>
  <c r="O442"/>
  <c r="N442"/>
  <c r="M442"/>
  <c r="L442"/>
  <c r="K442"/>
  <c r="J442"/>
  <c r="A442" a="1"/>
  <c r="A442" s="1"/>
  <c r="I442" s="1"/>
  <c r="BG441"/>
  <c r="BF441"/>
  <c r="BE441"/>
  <c r="BD441"/>
  <c r="BC441"/>
  <c r="BB441"/>
  <c r="BA441"/>
  <c r="AZ441"/>
  <c r="AY441"/>
  <c r="AX441"/>
  <c r="AW441"/>
  <c r="AV441"/>
  <c r="AU441"/>
  <c r="AT441"/>
  <c r="AS441"/>
  <c r="AR441"/>
  <c r="AQ441"/>
  <c r="AP441"/>
  <c r="AO441"/>
  <c r="AN441"/>
  <c r="AM441"/>
  <c r="AL441"/>
  <c r="AK441"/>
  <c r="AJ441"/>
  <c r="AI441"/>
  <c r="AH441"/>
  <c r="AG441"/>
  <c r="AF441"/>
  <c r="AE441"/>
  <c r="AD441"/>
  <c r="AC441"/>
  <c r="AB441"/>
  <c r="AA441"/>
  <c r="Z441"/>
  <c r="U441"/>
  <c r="T441"/>
  <c r="Q441"/>
  <c r="P441"/>
  <c r="O441"/>
  <c r="N441"/>
  <c r="M441"/>
  <c r="L441"/>
  <c r="K441"/>
  <c r="J441"/>
  <c r="A441" a="1"/>
  <c r="A441" s="1"/>
  <c r="I441" s="1"/>
  <c r="BG440"/>
  <c r="BF440"/>
  <c r="BE440"/>
  <c r="BD440"/>
  <c r="BC440"/>
  <c r="BB440"/>
  <c r="BA440"/>
  <c r="AZ440"/>
  <c r="AY440"/>
  <c r="AX440"/>
  <c r="AW440"/>
  <c r="AV440"/>
  <c r="AU440"/>
  <c r="AT440"/>
  <c r="AS440"/>
  <c r="AR440"/>
  <c r="AQ440"/>
  <c r="AP440"/>
  <c r="AO440"/>
  <c r="AN440"/>
  <c r="AM440"/>
  <c r="AL440"/>
  <c r="AK440"/>
  <c r="AJ440"/>
  <c r="AI440"/>
  <c r="AH440"/>
  <c r="AG440"/>
  <c r="AF440"/>
  <c r="AE440"/>
  <c r="AD440"/>
  <c r="AC440"/>
  <c r="AB440"/>
  <c r="AA440"/>
  <c r="Z440"/>
  <c r="U440"/>
  <c r="T440"/>
  <c r="Q440"/>
  <c r="P440"/>
  <c r="O440"/>
  <c r="N440"/>
  <c r="M440"/>
  <c r="L440"/>
  <c r="K440"/>
  <c r="J440"/>
  <c r="A440" a="1"/>
  <c r="A440" s="1"/>
  <c r="I440" s="1"/>
  <c r="BG439"/>
  <c r="BF439"/>
  <c r="BE439"/>
  <c r="BD439"/>
  <c r="BC439"/>
  <c r="BB439"/>
  <c r="BA439"/>
  <c r="AZ439"/>
  <c r="AY439"/>
  <c r="AX439"/>
  <c r="AW439"/>
  <c r="AV439"/>
  <c r="AU439"/>
  <c r="AT439"/>
  <c r="AS439"/>
  <c r="AR439"/>
  <c r="AQ439"/>
  <c r="AP439"/>
  <c r="AO439"/>
  <c r="AN439"/>
  <c r="AM439"/>
  <c r="AL439"/>
  <c r="AK439"/>
  <c r="AJ439"/>
  <c r="AI439"/>
  <c r="AH439"/>
  <c r="AG439"/>
  <c r="AF439"/>
  <c r="AE439"/>
  <c r="AD439"/>
  <c r="AC439"/>
  <c r="AB439"/>
  <c r="AA439"/>
  <c r="Z439"/>
  <c r="U439"/>
  <c r="T439"/>
  <c r="Q439"/>
  <c r="P439"/>
  <c r="O439"/>
  <c r="N439"/>
  <c r="M439"/>
  <c r="L439"/>
  <c r="K439"/>
  <c r="J439"/>
  <c r="A439" a="1"/>
  <c r="A439" s="1"/>
  <c r="I439" s="1"/>
  <c r="BG438"/>
  <c r="BF438"/>
  <c r="BE438"/>
  <c r="BD438"/>
  <c r="BC438"/>
  <c r="BB438"/>
  <c r="BA438"/>
  <c r="AZ438"/>
  <c r="AY438"/>
  <c r="AX438"/>
  <c r="AW438"/>
  <c r="AV438"/>
  <c r="AU438"/>
  <c r="AT438"/>
  <c r="AS438"/>
  <c r="AR438"/>
  <c r="AQ438"/>
  <c r="AP438"/>
  <c r="AO438"/>
  <c r="AN438"/>
  <c r="AM438"/>
  <c r="AL438"/>
  <c r="AK438"/>
  <c r="AJ438"/>
  <c r="AI438"/>
  <c r="AH438"/>
  <c r="AG438"/>
  <c r="AF438"/>
  <c r="AE438"/>
  <c r="AD438"/>
  <c r="AC438"/>
  <c r="AB438"/>
  <c r="AA438"/>
  <c r="Z438"/>
  <c r="U438"/>
  <c r="T438"/>
  <c r="Q438"/>
  <c r="P438"/>
  <c r="O438"/>
  <c r="N438"/>
  <c r="M438"/>
  <c r="L438"/>
  <c r="K438"/>
  <c r="J438"/>
  <c r="A438" a="1"/>
  <c r="A438" s="1"/>
  <c r="I438" s="1"/>
  <c r="BG437"/>
  <c r="BF437"/>
  <c r="BE437"/>
  <c r="BD437"/>
  <c r="BC437"/>
  <c r="BB437"/>
  <c r="BA437"/>
  <c r="AZ437"/>
  <c r="AY437"/>
  <c r="AX437"/>
  <c r="AW437"/>
  <c r="AV437"/>
  <c r="AU437"/>
  <c r="AT437"/>
  <c r="AS437"/>
  <c r="AR437"/>
  <c r="AQ437"/>
  <c r="AP437"/>
  <c r="AO437"/>
  <c r="AN437"/>
  <c r="AM437"/>
  <c r="AL437"/>
  <c r="AK437"/>
  <c r="AJ437"/>
  <c r="AI437"/>
  <c r="AH437"/>
  <c r="AG437"/>
  <c r="AF437"/>
  <c r="AE437"/>
  <c r="AD437"/>
  <c r="AC437"/>
  <c r="AB437"/>
  <c r="AA437"/>
  <c r="Z437"/>
  <c r="U437"/>
  <c r="T437"/>
  <c r="Q437"/>
  <c r="P437"/>
  <c r="O437"/>
  <c r="N437"/>
  <c r="M437"/>
  <c r="L437"/>
  <c r="K437"/>
  <c r="J437"/>
  <c r="A437" a="1"/>
  <c r="A437" s="1"/>
  <c r="I437" s="1"/>
  <c r="BG436"/>
  <c r="BF436"/>
  <c r="BE436"/>
  <c r="BD436"/>
  <c r="BC436"/>
  <c r="BB436"/>
  <c r="BA436"/>
  <c r="AZ436"/>
  <c r="AY436"/>
  <c r="AX436"/>
  <c r="AW436"/>
  <c r="AV436"/>
  <c r="AU436"/>
  <c r="AT436"/>
  <c r="AS436"/>
  <c r="AR436"/>
  <c r="AQ436"/>
  <c r="AP436"/>
  <c r="AO436"/>
  <c r="AN436"/>
  <c r="AM436"/>
  <c r="AL436"/>
  <c r="AK436"/>
  <c r="AJ436"/>
  <c r="AI436"/>
  <c r="AH436"/>
  <c r="AG436"/>
  <c r="AF436"/>
  <c r="AE436"/>
  <c r="AD436"/>
  <c r="AC436"/>
  <c r="AB436"/>
  <c r="AA436"/>
  <c r="Z436"/>
  <c r="U436"/>
  <c r="T436"/>
  <c r="Q436"/>
  <c r="P436"/>
  <c r="O436"/>
  <c r="N436"/>
  <c r="M436"/>
  <c r="L436"/>
  <c r="K436"/>
  <c r="J436"/>
  <c r="A436" a="1"/>
  <c r="A436" s="1"/>
  <c r="I436" s="1"/>
  <c r="BG435"/>
  <c r="BF435"/>
  <c r="BE435"/>
  <c r="BD435"/>
  <c r="BC435"/>
  <c r="BB435"/>
  <c r="BA435"/>
  <c r="AZ435"/>
  <c r="AY435"/>
  <c r="AX435"/>
  <c r="AW435"/>
  <c r="AV435"/>
  <c r="AU435"/>
  <c r="AT435"/>
  <c r="AS435"/>
  <c r="AR435"/>
  <c r="AQ435"/>
  <c r="AP435"/>
  <c r="AO435"/>
  <c r="AN435"/>
  <c r="AM435"/>
  <c r="AL435"/>
  <c r="AK435"/>
  <c r="AJ435"/>
  <c r="AI435"/>
  <c r="AH435"/>
  <c r="AG435"/>
  <c r="AF435"/>
  <c r="AE435"/>
  <c r="AD435"/>
  <c r="AC435"/>
  <c r="AB435"/>
  <c r="AA435"/>
  <c r="Z435"/>
  <c r="U435"/>
  <c r="T435"/>
  <c r="Q435"/>
  <c r="P435"/>
  <c r="O435"/>
  <c r="N435"/>
  <c r="M435"/>
  <c r="L435"/>
  <c r="K435"/>
  <c r="J435"/>
  <c r="A435" a="1"/>
  <c r="A435" s="1"/>
  <c r="I435" s="1"/>
  <c r="BG434"/>
  <c r="BF434"/>
  <c r="BE434"/>
  <c r="BD434"/>
  <c r="BC434"/>
  <c r="BB434"/>
  <c r="BA434"/>
  <c r="AZ434"/>
  <c r="AY434"/>
  <c r="AX434"/>
  <c r="AW434"/>
  <c r="AV434"/>
  <c r="AU434"/>
  <c r="AT434"/>
  <c r="AS434"/>
  <c r="AR434"/>
  <c r="AQ434"/>
  <c r="AP434"/>
  <c r="AO434"/>
  <c r="AN434"/>
  <c r="AM434"/>
  <c r="AL434"/>
  <c r="AK434"/>
  <c r="AJ434"/>
  <c r="AI434"/>
  <c r="AH434"/>
  <c r="AG434"/>
  <c r="AF434"/>
  <c r="AE434"/>
  <c r="AD434"/>
  <c r="AC434"/>
  <c r="AB434"/>
  <c r="AA434"/>
  <c r="Z434"/>
  <c r="U434"/>
  <c r="T434"/>
  <c r="Q434"/>
  <c r="P434"/>
  <c r="O434"/>
  <c r="N434"/>
  <c r="M434"/>
  <c r="L434"/>
  <c r="K434"/>
  <c r="J434"/>
  <c r="A434" a="1"/>
  <c r="A434" s="1"/>
  <c r="I434" s="1"/>
  <c r="BG433"/>
  <c r="BF433"/>
  <c r="BE433"/>
  <c r="BD433"/>
  <c r="BC433"/>
  <c r="BB433"/>
  <c r="BA433"/>
  <c r="AZ433"/>
  <c r="AY433"/>
  <c r="AX433"/>
  <c r="AW433"/>
  <c r="AV433"/>
  <c r="AU433"/>
  <c r="AT433"/>
  <c r="AS433"/>
  <c r="AR433"/>
  <c r="AQ433"/>
  <c r="AP433"/>
  <c r="AO433"/>
  <c r="AN433"/>
  <c r="AM433"/>
  <c r="AL433"/>
  <c r="AK433"/>
  <c r="AJ433"/>
  <c r="AI433"/>
  <c r="AH433"/>
  <c r="AG433"/>
  <c r="AF433"/>
  <c r="AE433"/>
  <c r="AD433"/>
  <c r="AC433"/>
  <c r="AB433"/>
  <c r="AA433"/>
  <c r="Z433"/>
  <c r="U433"/>
  <c r="T433"/>
  <c r="Q433"/>
  <c r="P433"/>
  <c r="O433"/>
  <c r="N433"/>
  <c r="M433"/>
  <c r="L433"/>
  <c r="K433"/>
  <c r="J433"/>
  <c r="A433" a="1"/>
  <c r="A433" s="1"/>
  <c r="I433" s="1"/>
  <c r="BG432"/>
  <c r="BF432"/>
  <c r="BE432"/>
  <c r="BD432"/>
  <c r="BC432"/>
  <c r="BB432"/>
  <c r="BA432"/>
  <c r="AZ432"/>
  <c r="AY432"/>
  <c r="AX432"/>
  <c r="AW432"/>
  <c r="AV432"/>
  <c r="AU432"/>
  <c r="AT432"/>
  <c r="AS432"/>
  <c r="AR432"/>
  <c r="AQ432"/>
  <c r="AP432"/>
  <c r="AO432"/>
  <c r="AN432"/>
  <c r="AM432"/>
  <c r="AL432"/>
  <c r="AK432"/>
  <c r="AJ432"/>
  <c r="AI432"/>
  <c r="AH432"/>
  <c r="AG432"/>
  <c r="AF432"/>
  <c r="AE432"/>
  <c r="AD432"/>
  <c r="AC432"/>
  <c r="AB432"/>
  <c r="AA432"/>
  <c r="Z432"/>
  <c r="U432"/>
  <c r="T432"/>
  <c r="Q432"/>
  <c r="P432"/>
  <c r="O432"/>
  <c r="N432"/>
  <c r="M432"/>
  <c r="L432"/>
  <c r="K432"/>
  <c r="J432"/>
  <c r="A432" a="1"/>
  <c r="A432" s="1"/>
  <c r="I432" s="1"/>
  <c r="BG431"/>
  <c r="BF431"/>
  <c r="BE431"/>
  <c r="BD431"/>
  <c r="BC431"/>
  <c r="BB431"/>
  <c r="BA431"/>
  <c r="AZ431"/>
  <c r="AY431"/>
  <c r="AX431"/>
  <c r="AW431"/>
  <c r="AV431"/>
  <c r="AU431"/>
  <c r="AT431"/>
  <c r="AS431"/>
  <c r="AR431"/>
  <c r="AQ431"/>
  <c r="AP431"/>
  <c r="AO431"/>
  <c r="AN431"/>
  <c r="AM431"/>
  <c r="AL431"/>
  <c r="AK431"/>
  <c r="AJ431"/>
  <c r="AI431"/>
  <c r="AH431"/>
  <c r="AG431"/>
  <c r="AF431"/>
  <c r="AE431"/>
  <c r="AD431"/>
  <c r="AC431"/>
  <c r="AB431"/>
  <c r="AA431"/>
  <c r="Z431"/>
  <c r="U431"/>
  <c r="T431"/>
  <c r="Q431"/>
  <c r="P431"/>
  <c r="O431"/>
  <c r="N431"/>
  <c r="M431"/>
  <c r="L431"/>
  <c r="K431"/>
  <c r="J431"/>
  <c r="A431" a="1"/>
  <c r="A431" s="1"/>
  <c r="I431" s="1"/>
  <c r="BG430"/>
  <c r="BF430"/>
  <c r="BE430"/>
  <c r="BD430"/>
  <c r="BC430"/>
  <c r="BB430"/>
  <c r="BA430"/>
  <c r="AZ430"/>
  <c r="AY430"/>
  <c r="AX430"/>
  <c r="AW430"/>
  <c r="AV430"/>
  <c r="AU430"/>
  <c r="AT430"/>
  <c r="AS430"/>
  <c r="AR430"/>
  <c r="AQ430"/>
  <c r="AP430"/>
  <c r="AO430"/>
  <c r="AN430"/>
  <c r="AM430"/>
  <c r="AL430"/>
  <c r="AK430"/>
  <c r="AJ430"/>
  <c r="AI430"/>
  <c r="AH430"/>
  <c r="AG430"/>
  <c r="AF430"/>
  <c r="AE430"/>
  <c r="AD430"/>
  <c r="AC430"/>
  <c r="AB430"/>
  <c r="AA430"/>
  <c r="Z430"/>
  <c r="U430"/>
  <c r="T430"/>
  <c r="Q430"/>
  <c r="P430"/>
  <c r="O430"/>
  <c r="N430"/>
  <c r="M430"/>
  <c r="L430"/>
  <c r="K430"/>
  <c r="J430"/>
  <c r="A430" a="1"/>
  <c r="A430" s="1"/>
  <c r="I430" s="1"/>
  <c r="BG429"/>
  <c r="BF429"/>
  <c r="BE429"/>
  <c r="BD429"/>
  <c r="BC429"/>
  <c r="BB429"/>
  <c r="BA429"/>
  <c r="AZ429"/>
  <c r="AY429"/>
  <c r="AX429"/>
  <c r="AW429"/>
  <c r="AV429"/>
  <c r="AU429"/>
  <c r="AT429"/>
  <c r="AS429"/>
  <c r="AR429"/>
  <c r="AQ429"/>
  <c r="AP429"/>
  <c r="AO429"/>
  <c r="AN429"/>
  <c r="AM429"/>
  <c r="AL429"/>
  <c r="AK429"/>
  <c r="AJ429"/>
  <c r="AI429"/>
  <c r="AH429"/>
  <c r="AG429"/>
  <c r="AF429"/>
  <c r="AE429"/>
  <c r="AD429"/>
  <c r="AC429"/>
  <c r="AB429"/>
  <c r="AA429"/>
  <c r="Z429"/>
  <c r="U429"/>
  <c r="T429"/>
  <c r="Q429"/>
  <c r="P429"/>
  <c r="O429"/>
  <c r="N429"/>
  <c r="M429"/>
  <c r="L429"/>
  <c r="K429"/>
  <c r="J429"/>
  <c r="A429" a="1"/>
  <c r="A429" s="1"/>
  <c r="I429" s="1"/>
  <c r="BG428"/>
  <c r="BF428"/>
  <c r="BE428"/>
  <c r="BD428"/>
  <c r="BC428"/>
  <c r="BB428"/>
  <c r="BA428"/>
  <c r="AZ428"/>
  <c r="AY428"/>
  <c r="AX428"/>
  <c r="AW428"/>
  <c r="AV428"/>
  <c r="AU428"/>
  <c r="AT428"/>
  <c r="AS428"/>
  <c r="AR428"/>
  <c r="AQ428"/>
  <c r="AP428"/>
  <c r="AO428"/>
  <c r="AN428"/>
  <c r="AM428"/>
  <c r="AL428"/>
  <c r="AK428"/>
  <c r="AJ428"/>
  <c r="AI428"/>
  <c r="AH428"/>
  <c r="AG428"/>
  <c r="AF428"/>
  <c r="AE428"/>
  <c r="AD428"/>
  <c r="AC428"/>
  <c r="AB428"/>
  <c r="AA428"/>
  <c r="Z428"/>
  <c r="U428"/>
  <c r="T428"/>
  <c r="Q428"/>
  <c r="P428"/>
  <c r="O428"/>
  <c r="N428"/>
  <c r="M428"/>
  <c r="L428"/>
  <c r="K428"/>
  <c r="J428"/>
  <c r="A428" a="1"/>
  <c r="A428" s="1"/>
  <c r="I428" s="1"/>
  <c r="BG427"/>
  <c r="BF427"/>
  <c r="BE427"/>
  <c r="BD427"/>
  <c r="BC427"/>
  <c r="BB427"/>
  <c r="BA427"/>
  <c r="AZ427"/>
  <c r="AY427"/>
  <c r="AX427"/>
  <c r="AW427"/>
  <c r="AV427"/>
  <c r="AU427"/>
  <c r="AT427"/>
  <c r="AS427"/>
  <c r="AR427"/>
  <c r="AQ427"/>
  <c r="AP427"/>
  <c r="AO427"/>
  <c r="AN427"/>
  <c r="AM427"/>
  <c r="AL427"/>
  <c r="AK427"/>
  <c r="AJ427"/>
  <c r="AI427"/>
  <c r="AH427"/>
  <c r="AG427"/>
  <c r="AF427"/>
  <c r="AE427"/>
  <c r="AD427"/>
  <c r="AC427"/>
  <c r="AB427"/>
  <c r="AA427"/>
  <c r="Z427"/>
  <c r="U427"/>
  <c r="T427"/>
  <c r="Q427"/>
  <c r="P427"/>
  <c r="O427"/>
  <c r="N427"/>
  <c r="M427"/>
  <c r="L427"/>
  <c r="K427"/>
  <c r="J427"/>
  <c r="A427" a="1"/>
  <c r="A427" s="1"/>
  <c r="I427" s="1"/>
  <c r="BG426"/>
  <c r="BF426"/>
  <c r="BE426"/>
  <c r="BD426"/>
  <c r="BC426"/>
  <c r="BB426"/>
  <c r="BA426"/>
  <c r="AZ426"/>
  <c r="AY426"/>
  <c r="AX426"/>
  <c r="AW426"/>
  <c r="AV426"/>
  <c r="AU426"/>
  <c r="AT426"/>
  <c r="AS426"/>
  <c r="AR426"/>
  <c r="AQ426"/>
  <c r="AP426"/>
  <c r="AO426"/>
  <c r="AN426"/>
  <c r="AM426"/>
  <c r="AL426"/>
  <c r="AK426"/>
  <c r="AJ426"/>
  <c r="AI426"/>
  <c r="AH426"/>
  <c r="AG426"/>
  <c r="AF426"/>
  <c r="AE426"/>
  <c r="AD426"/>
  <c r="AC426"/>
  <c r="AB426"/>
  <c r="AA426"/>
  <c r="Z426"/>
  <c r="U426"/>
  <c r="T426"/>
  <c r="Q426"/>
  <c r="P426"/>
  <c r="O426"/>
  <c r="N426"/>
  <c r="M426"/>
  <c r="L426"/>
  <c r="K426"/>
  <c r="J426"/>
  <c r="A426" a="1"/>
  <c r="A426" s="1"/>
  <c r="I426" s="1"/>
  <c r="BG425"/>
  <c r="BF425"/>
  <c r="BE425"/>
  <c r="BD425"/>
  <c r="BC425"/>
  <c r="BB425"/>
  <c r="BA425"/>
  <c r="AZ425"/>
  <c r="AY425"/>
  <c r="AX425"/>
  <c r="AW425"/>
  <c r="AV425"/>
  <c r="AU425"/>
  <c r="AT425"/>
  <c r="AS425"/>
  <c r="AR425"/>
  <c r="AQ425"/>
  <c r="AP425"/>
  <c r="AO425"/>
  <c r="AN425"/>
  <c r="AM425"/>
  <c r="AL425"/>
  <c r="AK425"/>
  <c r="AJ425"/>
  <c r="AI425"/>
  <c r="AH425"/>
  <c r="AG425"/>
  <c r="AF425"/>
  <c r="AE425"/>
  <c r="AD425"/>
  <c r="AC425"/>
  <c r="AB425"/>
  <c r="AA425"/>
  <c r="Z425"/>
  <c r="U425"/>
  <c r="T425"/>
  <c r="Q425"/>
  <c r="P425"/>
  <c r="O425"/>
  <c r="N425"/>
  <c r="M425"/>
  <c r="L425"/>
  <c r="K425"/>
  <c r="J425"/>
  <c r="A425" a="1"/>
  <c r="A425" s="1"/>
  <c r="I425" s="1"/>
  <c r="BG424"/>
  <c r="BF424"/>
  <c r="BE424"/>
  <c r="BD424"/>
  <c r="BC424"/>
  <c r="BB424"/>
  <c r="BA424"/>
  <c r="AZ424"/>
  <c r="AY424"/>
  <c r="AX424"/>
  <c r="AW424"/>
  <c r="AV424"/>
  <c r="AU424"/>
  <c r="AT424"/>
  <c r="AS424"/>
  <c r="AR424"/>
  <c r="AQ424"/>
  <c r="AP424"/>
  <c r="AO424"/>
  <c r="AN424"/>
  <c r="AM424"/>
  <c r="AL424"/>
  <c r="AK424"/>
  <c r="AJ424"/>
  <c r="AI424"/>
  <c r="AH424"/>
  <c r="AG424"/>
  <c r="AF424"/>
  <c r="AE424"/>
  <c r="AD424"/>
  <c r="AC424"/>
  <c r="AB424"/>
  <c r="AA424"/>
  <c r="Z424"/>
  <c r="U424"/>
  <c r="T424"/>
  <c r="Q424"/>
  <c r="P424"/>
  <c r="O424"/>
  <c r="N424"/>
  <c r="M424"/>
  <c r="L424"/>
  <c r="K424"/>
  <c r="J424"/>
  <c r="A424" a="1"/>
  <c r="A424" s="1"/>
  <c r="I424" s="1"/>
  <c r="BG423"/>
  <c r="BF423"/>
  <c r="BE423"/>
  <c r="BD423"/>
  <c r="BC423"/>
  <c r="BB423"/>
  <c r="BA423"/>
  <c r="AZ423"/>
  <c r="AY423"/>
  <c r="AX423"/>
  <c r="AW423"/>
  <c r="AV423"/>
  <c r="AU423"/>
  <c r="AT423"/>
  <c r="AS423"/>
  <c r="AR423"/>
  <c r="AQ423"/>
  <c r="AP423"/>
  <c r="AO423"/>
  <c r="AN423"/>
  <c r="AM423"/>
  <c r="AL423"/>
  <c r="AK423"/>
  <c r="AJ423"/>
  <c r="AI423"/>
  <c r="AH423"/>
  <c r="AG423"/>
  <c r="AF423"/>
  <c r="AE423"/>
  <c r="AD423"/>
  <c r="AC423"/>
  <c r="AB423"/>
  <c r="AA423"/>
  <c r="Z423"/>
  <c r="U423"/>
  <c r="T423"/>
  <c r="Q423"/>
  <c r="P423"/>
  <c r="O423"/>
  <c r="N423"/>
  <c r="M423"/>
  <c r="L423"/>
  <c r="K423"/>
  <c r="J423"/>
  <c r="A423" a="1"/>
  <c r="A423" s="1"/>
  <c r="I423" s="1"/>
  <c r="BG422"/>
  <c r="BF422"/>
  <c r="BE422"/>
  <c r="BD422"/>
  <c r="BC422"/>
  <c r="BB422"/>
  <c r="BA422"/>
  <c r="AZ422"/>
  <c r="AY422"/>
  <c r="AX422"/>
  <c r="AW422"/>
  <c r="AV422"/>
  <c r="AU422"/>
  <c r="AT422"/>
  <c r="AS422"/>
  <c r="AR422"/>
  <c r="AQ422"/>
  <c r="AP422"/>
  <c r="AO422"/>
  <c r="AN422"/>
  <c r="AM422"/>
  <c r="AL422"/>
  <c r="AK422"/>
  <c r="AJ422"/>
  <c r="AI422"/>
  <c r="AH422"/>
  <c r="AG422"/>
  <c r="AF422"/>
  <c r="AE422"/>
  <c r="AD422"/>
  <c r="AC422"/>
  <c r="AB422"/>
  <c r="AA422"/>
  <c r="Z422"/>
  <c r="U422"/>
  <c r="T422"/>
  <c r="Q422"/>
  <c r="P422"/>
  <c r="O422"/>
  <c r="N422"/>
  <c r="M422"/>
  <c r="L422"/>
  <c r="K422"/>
  <c r="J422"/>
  <c r="A422" a="1"/>
  <c r="A422" s="1"/>
  <c r="I422" s="1"/>
  <c r="BG421"/>
  <c r="BF421"/>
  <c r="BE421"/>
  <c r="BD421"/>
  <c r="BC421"/>
  <c r="BB421"/>
  <c r="BA421"/>
  <c r="AZ421"/>
  <c r="AY421"/>
  <c r="AX421"/>
  <c r="AW421"/>
  <c r="AV421"/>
  <c r="AU421"/>
  <c r="AT421"/>
  <c r="AS421"/>
  <c r="AR421"/>
  <c r="AQ421"/>
  <c r="AP421"/>
  <c r="AO421"/>
  <c r="AN421"/>
  <c r="AM421"/>
  <c r="AL421"/>
  <c r="AK421"/>
  <c r="AJ421"/>
  <c r="AI421"/>
  <c r="AH421"/>
  <c r="AG421"/>
  <c r="AF421"/>
  <c r="AE421"/>
  <c r="AD421"/>
  <c r="AC421"/>
  <c r="AB421"/>
  <c r="AA421"/>
  <c r="Z421"/>
  <c r="U421"/>
  <c r="T421"/>
  <c r="Q421"/>
  <c r="P421"/>
  <c r="O421"/>
  <c r="N421"/>
  <c r="M421"/>
  <c r="L421"/>
  <c r="K421"/>
  <c r="J421"/>
  <c r="A421" a="1"/>
  <c r="A421" s="1"/>
  <c r="I421" s="1"/>
  <c r="BG420"/>
  <c r="BF420"/>
  <c r="BE420"/>
  <c r="BD420"/>
  <c r="BC420"/>
  <c r="BB420"/>
  <c r="BA420"/>
  <c r="AZ420"/>
  <c r="AY420"/>
  <c r="AX420"/>
  <c r="AW420"/>
  <c r="AV420"/>
  <c r="AU420"/>
  <c r="AT420"/>
  <c r="AS420"/>
  <c r="AR420"/>
  <c r="AQ420"/>
  <c r="AP420"/>
  <c r="AO420"/>
  <c r="AN420"/>
  <c r="AM420"/>
  <c r="AL420"/>
  <c r="AK420"/>
  <c r="AJ420"/>
  <c r="AI420"/>
  <c r="AH420"/>
  <c r="AG420"/>
  <c r="AF420"/>
  <c r="AE420"/>
  <c r="AD420"/>
  <c r="AC420"/>
  <c r="AB420"/>
  <c r="AA420"/>
  <c r="Z420"/>
  <c r="U420"/>
  <c r="T420"/>
  <c r="Q420"/>
  <c r="P420"/>
  <c r="O420"/>
  <c r="N420"/>
  <c r="M420"/>
  <c r="L420"/>
  <c r="K420"/>
  <c r="J420"/>
  <c r="A420" a="1"/>
  <c r="A420" s="1"/>
  <c r="I420" s="1"/>
  <c r="BG419"/>
  <c r="BF419"/>
  <c r="BE419"/>
  <c r="BD419"/>
  <c r="BC419"/>
  <c r="BB419"/>
  <c r="BA419"/>
  <c r="AZ419"/>
  <c r="AY419"/>
  <c r="AX419"/>
  <c r="AW419"/>
  <c r="AV419"/>
  <c r="AU419"/>
  <c r="AT419"/>
  <c r="AS419"/>
  <c r="AR419"/>
  <c r="AQ419"/>
  <c r="AP419"/>
  <c r="AO419"/>
  <c r="AN419"/>
  <c r="AM419"/>
  <c r="AL419"/>
  <c r="AK419"/>
  <c r="AJ419"/>
  <c r="AI419"/>
  <c r="AH419"/>
  <c r="AG419"/>
  <c r="AF419"/>
  <c r="AE419"/>
  <c r="AD419"/>
  <c r="AC419"/>
  <c r="AB419"/>
  <c r="AA419"/>
  <c r="Z419"/>
  <c r="U419"/>
  <c r="T419"/>
  <c r="Q419"/>
  <c r="P419"/>
  <c r="O419"/>
  <c r="N419"/>
  <c r="M419"/>
  <c r="L419"/>
  <c r="K419"/>
  <c r="J419"/>
  <c r="A419" a="1"/>
  <c r="A419" s="1"/>
  <c r="I419" s="1"/>
  <c r="BG418"/>
  <c r="BF418"/>
  <c r="BE418"/>
  <c r="BD418"/>
  <c r="BC418"/>
  <c r="BB418"/>
  <c r="BA418"/>
  <c r="AZ418"/>
  <c r="AY418"/>
  <c r="AX418"/>
  <c r="AW418"/>
  <c r="AV418"/>
  <c r="AU418"/>
  <c r="AT418"/>
  <c r="AS418"/>
  <c r="AR418"/>
  <c r="AQ418"/>
  <c r="AP418"/>
  <c r="AO418"/>
  <c r="AN418"/>
  <c r="AM418"/>
  <c r="AL418"/>
  <c r="AK418"/>
  <c r="AJ418"/>
  <c r="AI418"/>
  <c r="AH418"/>
  <c r="AG418"/>
  <c r="AF418"/>
  <c r="AE418"/>
  <c r="AD418"/>
  <c r="AC418"/>
  <c r="AB418"/>
  <c r="AA418"/>
  <c r="Z418"/>
  <c r="U418"/>
  <c r="T418"/>
  <c r="Q418"/>
  <c r="P418"/>
  <c r="O418"/>
  <c r="N418"/>
  <c r="M418"/>
  <c r="L418"/>
  <c r="K418"/>
  <c r="J418"/>
  <c r="A418" a="1"/>
  <c r="A418" s="1"/>
  <c r="I418" s="1"/>
  <c r="BG417"/>
  <c r="BF417"/>
  <c r="BE417"/>
  <c r="BD417"/>
  <c r="BC417"/>
  <c r="BB417"/>
  <c r="BA417"/>
  <c r="AZ417"/>
  <c r="AY417"/>
  <c r="AX417"/>
  <c r="AW417"/>
  <c r="AV417"/>
  <c r="AU417"/>
  <c r="AT417"/>
  <c r="AS417"/>
  <c r="AR417"/>
  <c r="AQ417"/>
  <c r="AP417"/>
  <c r="AO417"/>
  <c r="AN417"/>
  <c r="AM417"/>
  <c r="AL417"/>
  <c r="AK417"/>
  <c r="AJ417"/>
  <c r="AI417"/>
  <c r="AH417"/>
  <c r="AG417"/>
  <c r="AF417"/>
  <c r="AE417"/>
  <c r="AD417"/>
  <c r="AC417"/>
  <c r="AB417"/>
  <c r="AA417"/>
  <c r="Z417"/>
  <c r="U417"/>
  <c r="T417"/>
  <c r="Q417"/>
  <c r="P417"/>
  <c r="O417"/>
  <c r="N417"/>
  <c r="M417"/>
  <c r="L417"/>
  <c r="K417"/>
  <c r="J417"/>
  <c r="A417" a="1"/>
  <c r="A417" s="1"/>
  <c r="I417" s="1"/>
  <c r="BG416"/>
  <c r="BF416"/>
  <c r="BE416"/>
  <c r="BD416"/>
  <c r="BC416"/>
  <c r="BB416"/>
  <c r="BA416"/>
  <c r="AZ416"/>
  <c r="AY416"/>
  <c r="AX416"/>
  <c r="AW416"/>
  <c r="AV416"/>
  <c r="AU416"/>
  <c r="AT416"/>
  <c r="AS416"/>
  <c r="AR416"/>
  <c r="AQ416"/>
  <c r="AP416"/>
  <c r="AO416"/>
  <c r="AN416"/>
  <c r="AM416"/>
  <c r="AL416"/>
  <c r="AK416"/>
  <c r="AJ416"/>
  <c r="AI416"/>
  <c r="AH416"/>
  <c r="AG416"/>
  <c r="AF416"/>
  <c r="AE416"/>
  <c r="AD416"/>
  <c r="AC416"/>
  <c r="AB416"/>
  <c r="AA416"/>
  <c r="Z416"/>
  <c r="U416"/>
  <c r="T416"/>
  <c r="Q416"/>
  <c r="P416"/>
  <c r="O416"/>
  <c r="N416"/>
  <c r="M416"/>
  <c r="L416"/>
  <c r="K416"/>
  <c r="J416"/>
  <c r="A416" a="1"/>
  <c r="A416" s="1"/>
  <c r="I416" s="1"/>
  <c r="BG415"/>
  <c r="BF415"/>
  <c r="BE415"/>
  <c r="BD415"/>
  <c r="BC415"/>
  <c r="BB415"/>
  <c r="BA415"/>
  <c r="AZ415"/>
  <c r="AY415"/>
  <c r="AX415"/>
  <c r="AW415"/>
  <c r="AV415"/>
  <c r="AU415"/>
  <c r="AT415"/>
  <c r="AS415"/>
  <c r="AR415"/>
  <c r="AQ415"/>
  <c r="AP415"/>
  <c r="AO415"/>
  <c r="AN415"/>
  <c r="AM415"/>
  <c r="AL415"/>
  <c r="AK415"/>
  <c r="AJ415"/>
  <c r="AI415"/>
  <c r="AH415"/>
  <c r="AG415"/>
  <c r="AF415"/>
  <c r="AE415"/>
  <c r="AD415"/>
  <c r="AC415"/>
  <c r="AB415"/>
  <c r="AA415"/>
  <c r="Z415"/>
  <c r="U415"/>
  <c r="T415"/>
  <c r="Q415"/>
  <c r="P415"/>
  <c r="O415"/>
  <c r="N415"/>
  <c r="M415"/>
  <c r="L415"/>
  <c r="K415"/>
  <c r="J415"/>
  <c r="A415" a="1"/>
  <c r="A415" s="1"/>
  <c r="I415" s="1"/>
  <c r="BG414"/>
  <c r="BF414"/>
  <c r="BE414"/>
  <c r="BD414"/>
  <c r="BC414"/>
  <c r="BB414"/>
  <c r="BA414"/>
  <c r="AZ414"/>
  <c r="AY414"/>
  <c r="AX414"/>
  <c r="AW414"/>
  <c r="AV414"/>
  <c r="AU414"/>
  <c r="AT414"/>
  <c r="AS414"/>
  <c r="AR414"/>
  <c r="AQ414"/>
  <c r="AP414"/>
  <c r="AO414"/>
  <c r="AN414"/>
  <c r="AM414"/>
  <c r="AL414"/>
  <c r="AK414"/>
  <c r="AJ414"/>
  <c r="AI414"/>
  <c r="AH414"/>
  <c r="AG414"/>
  <c r="AF414"/>
  <c r="AE414"/>
  <c r="AD414"/>
  <c r="AC414"/>
  <c r="AB414"/>
  <c r="AA414"/>
  <c r="Z414"/>
  <c r="U414"/>
  <c r="T414"/>
  <c r="Q414"/>
  <c r="P414"/>
  <c r="O414"/>
  <c r="N414"/>
  <c r="M414"/>
  <c r="L414"/>
  <c r="K414"/>
  <c r="J414"/>
  <c r="A414" a="1"/>
  <c r="A414" s="1"/>
  <c r="I414" s="1"/>
  <c r="BG413"/>
  <c r="BF413"/>
  <c r="BE413"/>
  <c r="BD413"/>
  <c r="BC413"/>
  <c r="BB413"/>
  <c r="BA413"/>
  <c r="AZ413"/>
  <c r="AY413"/>
  <c r="AX413"/>
  <c r="AW413"/>
  <c r="AV413"/>
  <c r="AU413"/>
  <c r="AT413"/>
  <c r="AS413"/>
  <c r="AR413"/>
  <c r="AQ413"/>
  <c r="AP413"/>
  <c r="AO413"/>
  <c r="AN413"/>
  <c r="AM413"/>
  <c r="AL413"/>
  <c r="AK413"/>
  <c r="AJ413"/>
  <c r="AI413"/>
  <c r="AH413"/>
  <c r="AG413"/>
  <c r="AF413"/>
  <c r="AE413"/>
  <c r="AD413"/>
  <c r="AC413"/>
  <c r="AB413"/>
  <c r="AA413"/>
  <c r="Z413"/>
  <c r="U413"/>
  <c r="T413"/>
  <c r="Q413"/>
  <c r="P413"/>
  <c r="O413"/>
  <c r="N413"/>
  <c r="M413"/>
  <c r="L413"/>
  <c r="K413"/>
  <c r="J413"/>
  <c r="A413" a="1"/>
  <c r="A413" s="1"/>
  <c r="I413" s="1"/>
  <c r="BG412"/>
  <c r="BF412"/>
  <c r="BE412"/>
  <c r="BD412"/>
  <c r="BC412"/>
  <c r="BB412"/>
  <c r="BA412"/>
  <c r="AZ412"/>
  <c r="AY412"/>
  <c r="AX412"/>
  <c r="AW412"/>
  <c r="AV412"/>
  <c r="AU412"/>
  <c r="AT412"/>
  <c r="AS412"/>
  <c r="AR412"/>
  <c r="AQ412"/>
  <c r="AP412"/>
  <c r="AO412"/>
  <c r="AN412"/>
  <c r="AM412"/>
  <c r="AL412"/>
  <c r="AK412"/>
  <c r="AJ412"/>
  <c r="AI412"/>
  <c r="AH412"/>
  <c r="AG412"/>
  <c r="AF412"/>
  <c r="AE412"/>
  <c r="AD412"/>
  <c r="AC412"/>
  <c r="AB412"/>
  <c r="AA412"/>
  <c r="Z412"/>
  <c r="U412"/>
  <c r="T412"/>
  <c r="Q412"/>
  <c r="P412"/>
  <c r="O412"/>
  <c r="N412"/>
  <c r="M412"/>
  <c r="L412"/>
  <c r="K412"/>
  <c r="J412"/>
  <c r="A412" a="1"/>
  <c r="A412" s="1"/>
  <c r="I412" s="1"/>
  <c r="BG411"/>
  <c r="BF411"/>
  <c r="BE411"/>
  <c r="BD411"/>
  <c r="BC411"/>
  <c r="BB411"/>
  <c r="BA411"/>
  <c r="AZ411"/>
  <c r="AY411"/>
  <c r="AX411"/>
  <c r="AW411"/>
  <c r="AV411"/>
  <c r="AU411"/>
  <c r="AT411"/>
  <c r="AS411"/>
  <c r="AR411"/>
  <c r="AQ411"/>
  <c r="AP411"/>
  <c r="AO411"/>
  <c r="AN411"/>
  <c r="AM411"/>
  <c r="AL411"/>
  <c r="AK411"/>
  <c r="AJ411"/>
  <c r="AI411"/>
  <c r="AH411"/>
  <c r="AG411"/>
  <c r="AF411"/>
  <c r="AE411"/>
  <c r="AD411"/>
  <c r="AC411"/>
  <c r="AB411"/>
  <c r="AA411"/>
  <c r="Z411"/>
  <c r="U411"/>
  <c r="T411"/>
  <c r="Q411"/>
  <c r="P411"/>
  <c r="O411"/>
  <c r="N411"/>
  <c r="M411"/>
  <c r="L411"/>
  <c r="K411"/>
  <c r="J411"/>
  <c r="A411" a="1"/>
  <c r="A411" s="1"/>
  <c r="I411" s="1"/>
  <c r="BG410"/>
  <c r="BF410"/>
  <c r="BE410"/>
  <c r="BD410"/>
  <c r="BC410"/>
  <c r="BB410"/>
  <c r="BA410"/>
  <c r="AZ410"/>
  <c r="AY410"/>
  <c r="AX410"/>
  <c r="AW410"/>
  <c r="AV410"/>
  <c r="AU410"/>
  <c r="AT410"/>
  <c r="AS410"/>
  <c r="AR410"/>
  <c r="AQ410"/>
  <c r="AP410"/>
  <c r="AO410"/>
  <c r="AN410"/>
  <c r="AM410"/>
  <c r="AL410"/>
  <c r="AK410"/>
  <c r="AJ410"/>
  <c r="AI410"/>
  <c r="AH410"/>
  <c r="AG410"/>
  <c r="AF410"/>
  <c r="AE410"/>
  <c r="AD410"/>
  <c r="AC410"/>
  <c r="AB410"/>
  <c r="AA410"/>
  <c r="Z410"/>
  <c r="U410"/>
  <c r="T410"/>
  <c r="Q410"/>
  <c r="P410"/>
  <c r="O410"/>
  <c r="N410"/>
  <c r="M410"/>
  <c r="L410"/>
  <c r="K410"/>
  <c r="J410"/>
  <c r="A410" a="1"/>
  <c r="A410" s="1"/>
  <c r="I410" s="1"/>
  <c r="BG409"/>
  <c r="BF409"/>
  <c r="BE409"/>
  <c r="BD409"/>
  <c r="BC409"/>
  <c r="BB409"/>
  <c r="BA409"/>
  <c r="AZ409"/>
  <c r="AY409"/>
  <c r="AX409"/>
  <c r="AW409"/>
  <c r="AV409"/>
  <c r="AU409"/>
  <c r="AT409"/>
  <c r="AS409"/>
  <c r="AR409"/>
  <c r="AQ409"/>
  <c r="AP409"/>
  <c r="AO409"/>
  <c r="AN409"/>
  <c r="AM409"/>
  <c r="AL409"/>
  <c r="AK409"/>
  <c r="AJ409"/>
  <c r="AI409"/>
  <c r="AH409"/>
  <c r="AG409"/>
  <c r="AF409"/>
  <c r="AE409"/>
  <c r="AD409"/>
  <c r="AC409"/>
  <c r="AB409"/>
  <c r="AA409"/>
  <c r="Z409"/>
  <c r="U409"/>
  <c r="T409"/>
  <c r="Q409"/>
  <c r="P409"/>
  <c r="O409"/>
  <c r="N409"/>
  <c r="M409"/>
  <c r="L409"/>
  <c r="K409"/>
  <c r="J409"/>
  <c r="A409" a="1"/>
  <c r="A409" s="1"/>
  <c r="I409" s="1"/>
  <c r="BG408"/>
  <c r="BF408"/>
  <c r="BE408"/>
  <c r="BD408"/>
  <c r="BC408"/>
  <c r="BB408"/>
  <c r="BA408"/>
  <c r="AZ408"/>
  <c r="AY408"/>
  <c r="AX408"/>
  <c r="AW408"/>
  <c r="AV408"/>
  <c r="AU408"/>
  <c r="AT408"/>
  <c r="AS408"/>
  <c r="AR408"/>
  <c r="AQ408"/>
  <c r="AP408"/>
  <c r="AO408"/>
  <c r="AN408"/>
  <c r="AM408"/>
  <c r="AL408"/>
  <c r="AK408"/>
  <c r="AJ408"/>
  <c r="AI408"/>
  <c r="AH408"/>
  <c r="AG408"/>
  <c r="AF408"/>
  <c r="AE408"/>
  <c r="AD408"/>
  <c r="AC408"/>
  <c r="AB408"/>
  <c r="AA408"/>
  <c r="Z408"/>
  <c r="U408"/>
  <c r="T408"/>
  <c r="Q408"/>
  <c r="P408"/>
  <c r="O408"/>
  <c r="N408"/>
  <c r="M408"/>
  <c r="L408"/>
  <c r="K408"/>
  <c r="J408"/>
  <c r="A408" a="1"/>
  <c r="A408" s="1"/>
  <c r="I408" s="1"/>
  <c r="BG407"/>
  <c r="BF407"/>
  <c r="BE407"/>
  <c r="BD407"/>
  <c r="BC407"/>
  <c r="BB407"/>
  <c r="BA407"/>
  <c r="AZ407"/>
  <c r="AY407"/>
  <c r="AX407"/>
  <c r="AW407"/>
  <c r="AV407"/>
  <c r="AU407"/>
  <c r="AT407"/>
  <c r="AS407"/>
  <c r="AR407"/>
  <c r="AQ407"/>
  <c r="AP407"/>
  <c r="AO407"/>
  <c r="AN407"/>
  <c r="AM407"/>
  <c r="AL407"/>
  <c r="AK407"/>
  <c r="AJ407"/>
  <c r="AI407"/>
  <c r="AH407"/>
  <c r="AG407"/>
  <c r="AF407"/>
  <c r="AE407"/>
  <c r="AD407"/>
  <c r="AC407"/>
  <c r="AB407"/>
  <c r="AA407"/>
  <c r="Z407"/>
  <c r="U407"/>
  <c r="T407"/>
  <c r="Q407"/>
  <c r="P407"/>
  <c r="O407"/>
  <c r="N407"/>
  <c r="M407"/>
  <c r="L407"/>
  <c r="K407"/>
  <c r="J407"/>
  <c r="A407" a="1"/>
  <c r="A407" s="1"/>
  <c r="I407" s="1"/>
  <c r="BG406"/>
  <c r="BF406"/>
  <c r="BE406"/>
  <c r="BD406"/>
  <c r="BC406"/>
  <c r="BB406"/>
  <c r="BA406"/>
  <c r="AZ406"/>
  <c r="AY406"/>
  <c r="AX406"/>
  <c r="AW406"/>
  <c r="AV406"/>
  <c r="AU406"/>
  <c r="AT406"/>
  <c r="AS406"/>
  <c r="AR406"/>
  <c r="AQ406"/>
  <c r="AP406"/>
  <c r="AO406"/>
  <c r="AN406"/>
  <c r="AM406"/>
  <c r="AL406"/>
  <c r="AK406"/>
  <c r="AJ406"/>
  <c r="AI406"/>
  <c r="AH406"/>
  <c r="AG406"/>
  <c r="AF406"/>
  <c r="AE406"/>
  <c r="AD406"/>
  <c r="AC406"/>
  <c r="AB406"/>
  <c r="AA406"/>
  <c r="Z406"/>
  <c r="U406"/>
  <c r="T406"/>
  <c r="Q406"/>
  <c r="P406"/>
  <c r="O406"/>
  <c r="N406"/>
  <c r="M406"/>
  <c r="L406"/>
  <c r="K406"/>
  <c r="J406"/>
  <c r="A406" a="1"/>
  <c r="A406" s="1"/>
  <c r="I406" s="1"/>
  <c r="BG405"/>
  <c r="BF405"/>
  <c r="BE405"/>
  <c r="BD405"/>
  <c r="BC405"/>
  <c r="BB405"/>
  <c r="BA405"/>
  <c r="AZ405"/>
  <c r="AY405"/>
  <c r="AX405"/>
  <c r="AW405"/>
  <c r="AV405"/>
  <c r="AU405"/>
  <c r="AT405"/>
  <c r="AS405"/>
  <c r="AR405"/>
  <c r="AQ405"/>
  <c r="AP405"/>
  <c r="AO405"/>
  <c r="AN405"/>
  <c r="AM405"/>
  <c r="AL405"/>
  <c r="AK405"/>
  <c r="AJ405"/>
  <c r="AI405"/>
  <c r="AH405"/>
  <c r="AG405"/>
  <c r="AF405"/>
  <c r="AE405"/>
  <c r="AD405"/>
  <c r="AC405"/>
  <c r="AB405"/>
  <c r="AA405"/>
  <c r="Z405"/>
  <c r="U405"/>
  <c r="T405"/>
  <c r="Q405"/>
  <c r="P405"/>
  <c r="O405"/>
  <c r="N405"/>
  <c r="M405"/>
  <c r="L405"/>
  <c r="K405"/>
  <c r="J405"/>
  <c r="A405" a="1"/>
  <c r="A405" s="1"/>
  <c r="I405" s="1"/>
  <c r="BG404"/>
  <c r="BF404"/>
  <c r="BE404"/>
  <c r="BD404"/>
  <c r="BC404"/>
  <c r="BB404"/>
  <c r="BA404"/>
  <c r="AZ404"/>
  <c r="AY404"/>
  <c r="AX404"/>
  <c r="AW404"/>
  <c r="AV404"/>
  <c r="AU404"/>
  <c r="AT404"/>
  <c r="AS404"/>
  <c r="AR404"/>
  <c r="AQ404"/>
  <c r="AP404"/>
  <c r="AO404"/>
  <c r="AN404"/>
  <c r="AM404"/>
  <c r="AL404"/>
  <c r="AK404"/>
  <c r="AJ404"/>
  <c r="AI404"/>
  <c r="AH404"/>
  <c r="AG404"/>
  <c r="AF404"/>
  <c r="AE404"/>
  <c r="AD404"/>
  <c r="AC404"/>
  <c r="AB404"/>
  <c r="AA404"/>
  <c r="Z404"/>
  <c r="U404"/>
  <c r="T404"/>
  <c r="Q404"/>
  <c r="P404"/>
  <c r="O404"/>
  <c r="N404"/>
  <c r="M404"/>
  <c r="L404"/>
  <c r="K404"/>
  <c r="J404"/>
  <c r="A404" a="1"/>
  <c r="A404" s="1"/>
  <c r="I404" s="1"/>
  <c r="BG403"/>
  <c r="BF403"/>
  <c r="BE403"/>
  <c r="BD403"/>
  <c r="BC403"/>
  <c r="BB403"/>
  <c r="BA403"/>
  <c r="AZ403"/>
  <c r="AY403"/>
  <c r="AX403"/>
  <c r="AW403"/>
  <c r="AV403"/>
  <c r="AU403"/>
  <c r="AT403"/>
  <c r="AS403"/>
  <c r="AR403"/>
  <c r="AQ403"/>
  <c r="AP403"/>
  <c r="AO403"/>
  <c r="AN403"/>
  <c r="AM403"/>
  <c r="AL403"/>
  <c r="AK403"/>
  <c r="AJ403"/>
  <c r="AI403"/>
  <c r="AH403"/>
  <c r="AG403"/>
  <c r="AF403"/>
  <c r="AE403"/>
  <c r="AD403"/>
  <c r="AC403"/>
  <c r="AB403"/>
  <c r="AA403"/>
  <c r="Z403"/>
  <c r="U403"/>
  <c r="T403"/>
  <c r="Q403"/>
  <c r="P403"/>
  <c r="O403"/>
  <c r="N403"/>
  <c r="M403"/>
  <c r="L403"/>
  <c r="K403"/>
  <c r="J403"/>
  <c r="A403" a="1"/>
  <c r="A403" s="1"/>
  <c r="I403" s="1"/>
  <c r="BG402"/>
  <c r="BF402"/>
  <c r="BE402"/>
  <c r="BD402"/>
  <c r="BC402"/>
  <c r="BB402"/>
  <c r="BA402"/>
  <c r="AZ402"/>
  <c r="AY402"/>
  <c r="AX402"/>
  <c r="AW402"/>
  <c r="AV402"/>
  <c r="AU402"/>
  <c r="AT402"/>
  <c r="AS402"/>
  <c r="AR402"/>
  <c r="AQ402"/>
  <c r="AP402"/>
  <c r="AO402"/>
  <c r="AN402"/>
  <c r="AM402"/>
  <c r="AL402"/>
  <c r="AK402"/>
  <c r="AJ402"/>
  <c r="AI402"/>
  <c r="AH402"/>
  <c r="AG402"/>
  <c r="AF402"/>
  <c r="AE402"/>
  <c r="AD402"/>
  <c r="AC402"/>
  <c r="AB402"/>
  <c r="AA402"/>
  <c r="Z402"/>
  <c r="U402"/>
  <c r="T402"/>
  <c r="Q402"/>
  <c r="P402"/>
  <c r="O402"/>
  <c r="N402"/>
  <c r="M402"/>
  <c r="L402"/>
  <c r="K402"/>
  <c r="J402"/>
  <c r="A402" a="1"/>
  <c r="A402" s="1"/>
  <c r="I402" s="1"/>
  <c r="BG401"/>
  <c r="BF401"/>
  <c r="BE401"/>
  <c r="BD401"/>
  <c r="BC401"/>
  <c r="BB401"/>
  <c r="BA401"/>
  <c r="AZ401"/>
  <c r="AY401"/>
  <c r="AX401"/>
  <c r="AW401"/>
  <c r="AV401"/>
  <c r="AU401"/>
  <c r="AT401"/>
  <c r="AS401"/>
  <c r="AR401"/>
  <c r="AQ401"/>
  <c r="AP401"/>
  <c r="AO401"/>
  <c r="AN401"/>
  <c r="AM401"/>
  <c r="AL401"/>
  <c r="AK401"/>
  <c r="AJ401"/>
  <c r="AI401"/>
  <c r="AH401"/>
  <c r="AG401"/>
  <c r="AF401"/>
  <c r="AE401"/>
  <c r="AD401"/>
  <c r="AC401"/>
  <c r="AB401"/>
  <c r="AA401"/>
  <c r="Z401"/>
  <c r="U401"/>
  <c r="T401"/>
  <c r="Q401"/>
  <c r="P401"/>
  <c r="O401"/>
  <c r="N401"/>
  <c r="M401"/>
  <c r="L401"/>
  <c r="K401"/>
  <c r="J401"/>
  <c r="A401" a="1"/>
  <c r="A401" s="1"/>
  <c r="I401" s="1"/>
  <c r="BG400"/>
  <c r="BF400"/>
  <c r="BE400"/>
  <c r="BD400"/>
  <c r="BC400"/>
  <c r="BB400"/>
  <c r="BA400"/>
  <c r="AZ400"/>
  <c r="AY400"/>
  <c r="AX400"/>
  <c r="AW400"/>
  <c r="AV400"/>
  <c r="AU400"/>
  <c r="AT400"/>
  <c r="AS400"/>
  <c r="AR400"/>
  <c r="AQ400"/>
  <c r="AP400"/>
  <c r="AO400"/>
  <c r="AN400"/>
  <c r="AM400"/>
  <c r="AL400"/>
  <c r="AK400"/>
  <c r="AJ400"/>
  <c r="AI400"/>
  <c r="AH400"/>
  <c r="AG400"/>
  <c r="AF400"/>
  <c r="AE400"/>
  <c r="AD400"/>
  <c r="AC400"/>
  <c r="AB400"/>
  <c r="AA400"/>
  <c r="Z400"/>
  <c r="U400"/>
  <c r="T400"/>
  <c r="Q400"/>
  <c r="P400"/>
  <c r="O400"/>
  <c r="N400"/>
  <c r="M400"/>
  <c r="L400"/>
  <c r="K400"/>
  <c r="J400"/>
  <c r="A400" a="1"/>
  <c r="A400" s="1"/>
  <c r="I400" s="1"/>
  <c r="BG399"/>
  <c r="BF399"/>
  <c r="BE399"/>
  <c r="BD399"/>
  <c r="BC399"/>
  <c r="BB399"/>
  <c r="BA399"/>
  <c r="AZ399"/>
  <c r="AY399"/>
  <c r="AX399"/>
  <c r="AW399"/>
  <c r="AV399"/>
  <c r="AU399"/>
  <c r="AT399"/>
  <c r="AS399"/>
  <c r="AR399"/>
  <c r="AQ399"/>
  <c r="AP399"/>
  <c r="AO399"/>
  <c r="AN399"/>
  <c r="AM399"/>
  <c r="AL399"/>
  <c r="AK399"/>
  <c r="AJ399"/>
  <c r="AI399"/>
  <c r="AH399"/>
  <c r="AG399"/>
  <c r="AF399"/>
  <c r="AE399"/>
  <c r="AD399"/>
  <c r="AC399"/>
  <c r="AB399"/>
  <c r="AA399"/>
  <c r="Z399"/>
  <c r="U399"/>
  <c r="T399"/>
  <c r="Q399"/>
  <c r="P399"/>
  <c r="O399"/>
  <c r="N399"/>
  <c r="M399"/>
  <c r="L399"/>
  <c r="K399"/>
  <c r="J399"/>
  <c r="A399" a="1"/>
  <c r="A399" s="1"/>
  <c r="I399" s="1"/>
  <c r="BG398"/>
  <c r="BF398"/>
  <c r="BE398"/>
  <c r="BD398"/>
  <c r="BC398"/>
  <c r="BB398"/>
  <c r="BA398"/>
  <c r="AZ398"/>
  <c r="AY398"/>
  <c r="AX398"/>
  <c r="AW398"/>
  <c r="AV398"/>
  <c r="AU398"/>
  <c r="AT398"/>
  <c r="AS398"/>
  <c r="AR398"/>
  <c r="AQ398"/>
  <c r="AP398"/>
  <c r="AO398"/>
  <c r="AN398"/>
  <c r="AM398"/>
  <c r="AL398"/>
  <c r="AK398"/>
  <c r="AJ398"/>
  <c r="AI398"/>
  <c r="AH398"/>
  <c r="AG398"/>
  <c r="AF398"/>
  <c r="AE398"/>
  <c r="AD398"/>
  <c r="AC398"/>
  <c r="AB398"/>
  <c r="AA398"/>
  <c r="Z398"/>
  <c r="U398"/>
  <c r="T398"/>
  <c r="Q398"/>
  <c r="P398"/>
  <c r="O398"/>
  <c r="N398"/>
  <c r="M398"/>
  <c r="L398"/>
  <c r="K398"/>
  <c r="J398"/>
  <c r="A398" a="1"/>
  <c r="A398" s="1"/>
  <c r="I398" s="1"/>
  <c r="BG397"/>
  <c r="BF397"/>
  <c r="BE397"/>
  <c r="BD397"/>
  <c r="BC397"/>
  <c r="BB397"/>
  <c r="BA397"/>
  <c r="AZ397"/>
  <c r="AY397"/>
  <c r="AX397"/>
  <c r="AW397"/>
  <c r="AV397"/>
  <c r="AU397"/>
  <c r="AT397"/>
  <c r="AS397"/>
  <c r="AR397"/>
  <c r="AQ397"/>
  <c r="AP397"/>
  <c r="AO397"/>
  <c r="AN397"/>
  <c r="AM397"/>
  <c r="AL397"/>
  <c r="AK397"/>
  <c r="AJ397"/>
  <c r="AI397"/>
  <c r="AH397"/>
  <c r="AG397"/>
  <c r="AF397"/>
  <c r="AE397"/>
  <c r="AD397"/>
  <c r="AC397"/>
  <c r="AB397"/>
  <c r="AA397"/>
  <c r="Z397"/>
  <c r="U397"/>
  <c r="T397"/>
  <c r="Q397"/>
  <c r="P397"/>
  <c r="O397"/>
  <c r="N397"/>
  <c r="M397"/>
  <c r="L397"/>
  <c r="K397"/>
  <c r="J397"/>
  <c r="A397" a="1"/>
  <c r="A397" s="1"/>
  <c r="I397" s="1"/>
  <c r="BG396"/>
  <c r="BF396"/>
  <c r="BE396"/>
  <c r="BD396"/>
  <c r="BC396"/>
  <c r="BB396"/>
  <c r="BA396"/>
  <c r="AZ396"/>
  <c r="AY396"/>
  <c r="AX396"/>
  <c r="AW396"/>
  <c r="AV396"/>
  <c r="AU396"/>
  <c r="AT396"/>
  <c r="AS396"/>
  <c r="AR396"/>
  <c r="AQ396"/>
  <c r="AP396"/>
  <c r="AO396"/>
  <c r="AN396"/>
  <c r="AM396"/>
  <c r="AL396"/>
  <c r="AK396"/>
  <c r="AJ396"/>
  <c r="AI396"/>
  <c r="AH396"/>
  <c r="AG396"/>
  <c r="AF396"/>
  <c r="AE396"/>
  <c r="AD396"/>
  <c r="AC396"/>
  <c r="AB396"/>
  <c r="AA396"/>
  <c r="Z396"/>
  <c r="U396"/>
  <c r="T396"/>
  <c r="Q396"/>
  <c r="P396"/>
  <c r="O396"/>
  <c r="N396"/>
  <c r="M396"/>
  <c r="L396"/>
  <c r="K396"/>
  <c r="J396"/>
  <c r="A396" a="1"/>
  <c r="A396" s="1"/>
  <c r="I396" s="1"/>
  <c r="BG395"/>
  <c r="BF395"/>
  <c r="BE395"/>
  <c r="BD395"/>
  <c r="BC395"/>
  <c r="BB395"/>
  <c r="BA395"/>
  <c r="AZ395"/>
  <c r="AY395"/>
  <c r="AX395"/>
  <c r="AW395"/>
  <c r="AV395"/>
  <c r="AU395"/>
  <c r="AT395"/>
  <c r="AS395"/>
  <c r="AR395"/>
  <c r="AQ395"/>
  <c r="AP395"/>
  <c r="AO395"/>
  <c r="AN395"/>
  <c r="AM395"/>
  <c r="AL395"/>
  <c r="AK395"/>
  <c r="AJ395"/>
  <c r="AI395"/>
  <c r="AH395"/>
  <c r="AG395"/>
  <c r="AF395"/>
  <c r="AE395"/>
  <c r="AD395"/>
  <c r="AC395"/>
  <c r="AB395"/>
  <c r="AA395"/>
  <c r="Z395"/>
  <c r="U395"/>
  <c r="T395"/>
  <c r="Q395"/>
  <c r="P395"/>
  <c r="O395"/>
  <c r="N395"/>
  <c r="M395"/>
  <c r="L395"/>
  <c r="K395"/>
  <c r="J395"/>
  <c r="A395" a="1"/>
  <c r="A395" s="1"/>
  <c r="I395" s="1"/>
  <c r="BG394"/>
  <c r="BF394"/>
  <c r="BE394"/>
  <c r="BD394"/>
  <c r="BC394"/>
  <c r="BB394"/>
  <c r="BA394"/>
  <c r="AZ394"/>
  <c r="AY394"/>
  <c r="AX394"/>
  <c r="AW394"/>
  <c r="AV394"/>
  <c r="AU394"/>
  <c r="AT394"/>
  <c r="AS394"/>
  <c r="AR394"/>
  <c r="AQ394"/>
  <c r="AP394"/>
  <c r="AO394"/>
  <c r="AN394"/>
  <c r="AM394"/>
  <c r="AL394"/>
  <c r="AK394"/>
  <c r="AJ394"/>
  <c r="AI394"/>
  <c r="AH394"/>
  <c r="AG394"/>
  <c r="AF394"/>
  <c r="AE394"/>
  <c r="AD394"/>
  <c r="AC394"/>
  <c r="AB394"/>
  <c r="AA394"/>
  <c r="Z394"/>
  <c r="U394"/>
  <c r="T394"/>
  <c r="Q394"/>
  <c r="P394"/>
  <c r="O394"/>
  <c r="N394"/>
  <c r="M394"/>
  <c r="L394"/>
  <c r="K394"/>
  <c r="J394"/>
  <c r="A394" a="1"/>
  <c r="A394" s="1"/>
  <c r="I394" s="1"/>
  <c r="BG393"/>
  <c r="BF393"/>
  <c r="BE393"/>
  <c r="BD393"/>
  <c r="BC393"/>
  <c r="BB393"/>
  <c r="BA393"/>
  <c r="AZ393"/>
  <c r="AY393"/>
  <c r="AX393"/>
  <c r="AW393"/>
  <c r="AV393"/>
  <c r="AU393"/>
  <c r="AT393"/>
  <c r="AS393"/>
  <c r="AR393"/>
  <c r="AQ393"/>
  <c r="AP393"/>
  <c r="AO393"/>
  <c r="AN393"/>
  <c r="AM393"/>
  <c r="AL393"/>
  <c r="AK393"/>
  <c r="AJ393"/>
  <c r="AI393"/>
  <c r="AH393"/>
  <c r="AG393"/>
  <c r="AF393"/>
  <c r="AE393"/>
  <c r="AD393"/>
  <c r="AC393"/>
  <c r="AB393"/>
  <c r="AA393"/>
  <c r="Z393"/>
  <c r="U393"/>
  <c r="T393"/>
  <c r="Q393"/>
  <c r="P393"/>
  <c r="O393"/>
  <c r="N393"/>
  <c r="M393"/>
  <c r="L393"/>
  <c r="K393"/>
  <c r="J393"/>
  <c r="A393" a="1"/>
  <c r="A393" s="1"/>
  <c r="I393" s="1"/>
  <c r="BG392"/>
  <c r="BF392"/>
  <c r="BE392"/>
  <c r="BD392"/>
  <c r="BC392"/>
  <c r="BB392"/>
  <c r="BA392"/>
  <c r="AZ392"/>
  <c r="AY392"/>
  <c r="AX392"/>
  <c r="AW392"/>
  <c r="AV392"/>
  <c r="AU392"/>
  <c r="AT392"/>
  <c r="AS392"/>
  <c r="AR392"/>
  <c r="AQ392"/>
  <c r="AP392"/>
  <c r="AO392"/>
  <c r="AN392"/>
  <c r="AM392"/>
  <c r="AL392"/>
  <c r="AK392"/>
  <c r="AJ392"/>
  <c r="AI392"/>
  <c r="AH392"/>
  <c r="AG392"/>
  <c r="AF392"/>
  <c r="AE392"/>
  <c r="AD392"/>
  <c r="AC392"/>
  <c r="AB392"/>
  <c r="AA392"/>
  <c r="Z392"/>
  <c r="U392"/>
  <c r="T392"/>
  <c r="Q392"/>
  <c r="P392"/>
  <c r="O392"/>
  <c r="N392"/>
  <c r="M392"/>
  <c r="L392"/>
  <c r="K392"/>
  <c r="J392"/>
  <c r="A392" a="1"/>
  <c r="A392" s="1"/>
  <c r="I392" s="1"/>
  <c r="BG391"/>
  <c r="BF391"/>
  <c r="BE391"/>
  <c r="BD391"/>
  <c r="BC391"/>
  <c r="BB391"/>
  <c r="BA391"/>
  <c r="AZ391"/>
  <c r="AY391"/>
  <c r="AX391"/>
  <c r="AW391"/>
  <c r="AV391"/>
  <c r="AU391"/>
  <c r="AT391"/>
  <c r="AS391"/>
  <c r="AR391"/>
  <c r="AQ391"/>
  <c r="AP391"/>
  <c r="AO391"/>
  <c r="AN391"/>
  <c r="AM391"/>
  <c r="AL391"/>
  <c r="AK391"/>
  <c r="AJ391"/>
  <c r="AI391"/>
  <c r="AH391"/>
  <c r="AG391"/>
  <c r="AF391"/>
  <c r="AE391"/>
  <c r="AD391"/>
  <c r="AC391"/>
  <c r="AB391"/>
  <c r="AA391"/>
  <c r="Z391"/>
  <c r="U391"/>
  <c r="T391"/>
  <c r="Q391"/>
  <c r="P391"/>
  <c r="O391"/>
  <c r="N391"/>
  <c r="M391"/>
  <c r="L391"/>
  <c r="K391"/>
  <c r="J391"/>
  <c r="A391" a="1"/>
  <c r="A391" s="1"/>
  <c r="I391" s="1"/>
  <c r="BG390"/>
  <c r="BF390"/>
  <c r="BE390"/>
  <c r="BD390"/>
  <c r="BC390"/>
  <c r="BB390"/>
  <c r="BA390"/>
  <c r="AZ390"/>
  <c r="AY390"/>
  <c r="AX390"/>
  <c r="AW390"/>
  <c r="AV390"/>
  <c r="AU390"/>
  <c r="AT390"/>
  <c r="AS390"/>
  <c r="AR390"/>
  <c r="AQ390"/>
  <c r="AP390"/>
  <c r="AO390"/>
  <c r="AN390"/>
  <c r="AM390"/>
  <c r="AL390"/>
  <c r="AK390"/>
  <c r="AJ390"/>
  <c r="AI390"/>
  <c r="AH390"/>
  <c r="AG390"/>
  <c r="AF390"/>
  <c r="AE390"/>
  <c r="AD390"/>
  <c r="AC390"/>
  <c r="AB390"/>
  <c r="AA390"/>
  <c r="Z390"/>
  <c r="U390"/>
  <c r="T390"/>
  <c r="Q390"/>
  <c r="P390"/>
  <c r="O390"/>
  <c r="N390"/>
  <c r="M390"/>
  <c r="L390"/>
  <c r="K390"/>
  <c r="J390"/>
  <c r="A390" a="1"/>
  <c r="A390" s="1"/>
  <c r="I390" s="1"/>
  <c r="BG389"/>
  <c r="BF389"/>
  <c r="BE389"/>
  <c r="BD389"/>
  <c r="BC389"/>
  <c r="BB389"/>
  <c r="BA389"/>
  <c r="AZ389"/>
  <c r="AY389"/>
  <c r="AX389"/>
  <c r="AW389"/>
  <c r="AV389"/>
  <c r="AU389"/>
  <c r="AT389"/>
  <c r="AS389"/>
  <c r="AR389"/>
  <c r="AQ389"/>
  <c r="AP389"/>
  <c r="AO389"/>
  <c r="AN389"/>
  <c r="AM389"/>
  <c r="AL389"/>
  <c r="AK389"/>
  <c r="AJ389"/>
  <c r="AI389"/>
  <c r="AH389"/>
  <c r="AG389"/>
  <c r="AF389"/>
  <c r="AE389"/>
  <c r="AD389"/>
  <c r="AC389"/>
  <c r="AB389"/>
  <c r="AA389"/>
  <c r="Z389"/>
  <c r="U389"/>
  <c r="T389"/>
  <c r="Q389"/>
  <c r="P389"/>
  <c r="O389"/>
  <c r="N389"/>
  <c r="M389"/>
  <c r="L389"/>
  <c r="K389"/>
  <c r="J389"/>
  <c r="A389" a="1"/>
  <c r="A389" s="1"/>
  <c r="I389" s="1"/>
  <c r="BG388"/>
  <c r="BF388"/>
  <c r="BE388"/>
  <c r="BD388"/>
  <c r="BC388"/>
  <c r="BB388"/>
  <c r="BA388"/>
  <c r="AZ388"/>
  <c r="AY388"/>
  <c r="AX388"/>
  <c r="AW388"/>
  <c r="AV388"/>
  <c r="AU388"/>
  <c r="AT388"/>
  <c r="AS388"/>
  <c r="AR388"/>
  <c r="AQ388"/>
  <c r="AP388"/>
  <c r="AO388"/>
  <c r="AN388"/>
  <c r="AM388"/>
  <c r="AL388"/>
  <c r="AK388"/>
  <c r="AJ388"/>
  <c r="AI388"/>
  <c r="AH388"/>
  <c r="AG388"/>
  <c r="AF388"/>
  <c r="AE388"/>
  <c r="AD388"/>
  <c r="AC388"/>
  <c r="AB388"/>
  <c r="AA388"/>
  <c r="Z388"/>
  <c r="U388"/>
  <c r="T388"/>
  <c r="Q388"/>
  <c r="P388"/>
  <c r="O388"/>
  <c r="N388"/>
  <c r="M388"/>
  <c r="L388"/>
  <c r="K388"/>
  <c r="J388"/>
  <c r="A388" a="1"/>
  <c r="A388" s="1"/>
  <c r="I388" s="1"/>
  <c r="BG387"/>
  <c r="BF387"/>
  <c r="BE387"/>
  <c r="BD387"/>
  <c r="BC387"/>
  <c r="BB387"/>
  <c r="BA387"/>
  <c r="AZ387"/>
  <c r="AY387"/>
  <c r="AX387"/>
  <c r="AW387"/>
  <c r="AV387"/>
  <c r="AU387"/>
  <c r="AT387"/>
  <c r="AS387"/>
  <c r="AR387"/>
  <c r="AQ387"/>
  <c r="AP387"/>
  <c r="AO387"/>
  <c r="AN387"/>
  <c r="AM387"/>
  <c r="AL387"/>
  <c r="AK387"/>
  <c r="AJ387"/>
  <c r="AI387"/>
  <c r="AH387"/>
  <c r="AG387"/>
  <c r="AF387"/>
  <c r="AE387"/>
  <c r="AD387"/>
  <c r="AC387"/>
  <c r="AB387"/>
  <c r="AA387"/>
  <c r="Z387"/>
  <c r="U387"/>
  <c r="T387"/>
  <c r="Q387"/>
  <c r="P387"/>
  <c r="O387"/>
  <c r="N387"/>
  <c r="M387"/>
  <c r="L387"/>
  <c r="K387"/>
  <c r="J387"/>
  <c r="A387" a="1"/>
  <c r="A387" s="1"/>
  <c r="I387" s="1"/>
  <c r="BG386"/>
  <c r="BF386"/>
  <c r="BE386"/>
  <c r="BD386"/>
  <c r="BC386"/>
  <c r="BB386"/>
  <c r="BA386"/>
  <c r="AZ386"/>
  <c r="AY386"/>
  <c r="AX386"/>
  <c r="AW386"/>
  <c r="AV386"/>
  <c r="AU386"/>
  <c r="AT386"/>
  <c r="AS386"/>
  <c r="AR386"/>
  <c r="AQ386"/>
  <c r="AP386"/>
  <c r="AO386"/>
  <c r="AN386"/>
  <c r="AM386"/>
  <c r="AL386"/>
  <c r="AK386"/>
  <c r="AJ386"/>
  <c r="AI386"/>
  <c r="AH386"/>
  <c r="AG386"/>
  <c r="AF386"/>
  <c r="AE386"/>
  <c r="AD386"/>
  <c r="AC386"/>
  <c r="AB386"/>
  <c r="AA386"/>
  <c r="Z386"/>
  <c r="U386"/>
  <c r="T386"/>
  <c r="Q386"/>
  <c r="P386"/>
  <c r="O386"/>
  <c r="N386"/>
  <c r="M386"/>
  <c r="L386"/>
  <c r="K386"/>
  <c r="J386"/>
  <c r="A386" a="1"/>
  <c r="A386" s="1"/>
  <c r="I386" s="1"/>
  <c r="BG385"/>
  <c r="BF385"/>
  <c r="BE385"/>
  <c r="BD385"/>
  <c r="BC385"/>
  <c r="BB385"/>
  <c r="BA385"/>
  <c r="AZ385"/>
  <c r="AY385"/>
  <c r="AX385"/>
  <c r="AW385"/>
  <c r="AV385"/>
  <c r="AU385"/>
  <c r="AT385"/>
  <c r="AS385"/>
  <c r="AR385"/>
  <c r="AQ385"/>
  <c r="AP385"/>
  <c r="AO385"/>
  <c r="AN385"/>
  <c r="AM385"/>
  <c r="AL385"/>
  <c r="AK385"/>
  <c r="AJ385"/>
  <c r="AI385"/>
  <c r="AH385"/>
  <c r="AG385"/>
  <c r="AF385"/>
  <c r="AE385"/>
  <c r="AD385"/>
  <c r="AC385"/>
  <c r="AB385"/>
  <c r="AA385"/>
  <c r="Z385"/>
  <c r="U385"/>
  <c r="T385"/>
  <c r="Q385"/>
  <c r="P385"/>
  <c r="O385"/>
  <c r="N385"/>
  <c r="M385"/>
  <c r="L385"/>
  <c r="K385"/>
  <c r="J385"/>
  <c r="A385" a="1"/>
  <c r="A385" s="1"/>
  <c r="I385" s="1"/>
  <c r="BG384"/>
  <c r="BF384"/>
  <c r="BE384"/>
  <c r="BD384"/>
  <c r="BC384"/>
  <c r="BB384"/>
  <c r="BA384"/>
  <c r="AZ384"/>
  <c r="AY384"/>
  <c r="AX384"/>
  <c r="AW384"/>
  <c r="AV384"/>
  <c r="AU384"/>
  <c r="AT384"/>
  <c r="AS384"/>
  <c r="AR384"/>
  <c r="AQ384"/>
  <c r="AP384"/>
  <c r="AO384"/>
  <c r="AN384"/>
  <c r="AM384"/>
  <c r="AL384"/>
  <c r="AK384"/>
  <c r="AJ384"/>
  <c r="AI384"/>
  <c r="AH384"/>
  <c r="AG384"/>
  <c r="AF384"/>
  <c r="AE384"/>
  <c r="AD384"/>
  <c r="AC384"/>
  <c r="AB384"/>
  <c r="AA384"/>
  <c r="Z384"/>
  <c r="U384"/>
  <c r="T384"/>
  <c r="Q384"/>
  <c r="P384"/>
  <c r="O384"/>
  <c r="N384"/>
  <c r="M384"/>
  <c r="L384"/>
  <c r="K384"/>
  <c r="J384"/>
  <c r="A384" a="1"/>
  <c r="A384" s="1"/>
  <c r="I384" s="1"/>
  <c r="BG383"/>
  <c r="BF383"/>
  <c r="BE383"/>
  <c r="BD383"/>
  <c r="BC383"/>
  <c r="BB383"/>
  <c r="BA383"/>
  <c r="AZ383"/>
  <c r="AY383"/>
  <c r="AX383"/>
  <c r="AW383"/>
  <c r="AV383"/>
  <c r="AU383"/>
  <c r="AT383"/>
  <c r="AS383"/>
  <c r="AR383"/>
  <c r="AQ383"/>
  <c r="AP383"/>
  <c r="AO383"/>
  <c r="AN383"/>
  <c r="AM383"/>
  <c r="AL383"/>
  <c r="AK383"/>
  <c r="AJ383"/>
  <c r="AI383"/>
  <c r="AH383"/>
  <c r="AG383"/>
  <c r="AF383"/>
  <c r="AE383"/>
  <c r="AD383"/>
  <c r="AC383"/>
  <c r="AB383"/>
  <c r="AA383"/>
  <c r="Z383"/>
  <c r="U383"/>
  <c r="T383"/>
  <c r="Q383"/>
  <c r="P383"/>
  <c r="O383"/>
  <c r="N383"/>
  <c r="M383"/>
  <c r="L383"/>
  <c r="K383"/>
  <c r="J383"/>
  <c r="A383" a="1"/>
  <c r="A383" s="1"/>
  <c r="I383" s="1"/>
  <c r="BG382"/>
  <c r="BF382"/>
  <c r="BE382"/>
  <c r="BD382"/>
  <c r="BC382"/>
  <c r="BB382"/>
  <c r="BA382"/>
  <c r="AZ382"/>
  <c r="AY382"/>
  <c r="AX382"/>
  <c r="AW382"/>
  <c r="AV382"/>
  <c r="AU382"/>
  <c r="AT382"/>
  <c r="AS382"/>
  <c r="AR382"/>
  <c r="AQ382"/>
  <c r="AP382"/>
  <c r="AO382"/>
  <c r="AN382"/>
  <c r="AM382"/>
  <c r="AL382"/>
  <c r="AK382"/>
  <c r="AJ382"/>
  <c r="AI382"/>
  <c r="AH382"/>
  <c r="AG382"/>
  <c r="AF382"/>
  <c r="AE382"/>
  <c r="AD382"/>
  <c r="AC382"/>
  <c r="AB382"/>
  <c r="AA382"/>
  <c r="Z382"/>
  <c r="U382"/>
  <c r="T382"/>
  <c r="Q382"/>
  <c r="P382"/>
  <c r="O382"/>
  <c r="N382"/>
  <c r="M382"/>
  <c r="L382"/>
  <c r="K382"/>
  <c r="J382"/>
  <c r="A382" a="1"/>
  <c r="A382" s="1"/>
  <c r="I382" s="1"/>
  <c r="BG381"/>
  <c r="BF381"/>
  <c r="BE381"/>
  <c r="BD381"/>
  <c r="BC381"/>
  <c r="BB381"/>
  <c r="BA381"/>
  <c r="AZ381"/>
  <c r="AY381"/>
  <c r="AX381"/>
  <c r="AW381"/>
  <c r="AV381"/>
  <c r="AU381"/>
  <c r="AT381"/>
  <c r="AS381"/>
  <c r="AR381"/>
  <c r="AQ381"/>
  <c r="AP381"/>
  <c r="AO381"/>
  <c r="AN381"/>
  <c r="AM381"/>
  <c r="AL381"/>
  <c r="AK381"/>
  <c r="AJ381"/>
  <c r="AI381"/>
  <c r="AH381"/>
  <c r="AG381"/>
  <c r="AF381"/>
  <c r="AE381"/>
  <c r="AD381"/>
  <c r="AC381"/>
  <c r="AB381"/>
  <c r="AA381"/>
  <c r="Z381"/>
  <c r="U381"/>
  <c r="T381"/>
  <c r="Q381"/>
  <c r="P381"/>
  <c r="O381"/>
  <c r="N381"/>
  <c r="M381"/>
  <c r="L381"/>
  <c r="K381"/>
  <c r="J381"/>
  <c r="A381" a="1"/>
  <c r="A381" s="1"/>
  <c r="I381" s="1"/>
  <c r="BG380"/>
  <c r="BF380"/>
  <c r="BE380"/>
  <c r="BD380"/>
  <c r="BC380"/>
  <c r="BB380"/>
  <c r="BA380"/>
  <c r="AZ380"/>
  <c r="AY380"/>
  <c r="AX380"/>
  <c r="AW380"/>
  <c r="AV380"/>
  <c r="AU380"/>
  <c r="AT380"/>
  <c r="AS380"/>
  <c r="AR380"/>
  <c r="AQ380"/>
  <c r="AP380"/>
  <c r="AO380"/>
  <c r="AN380"/>
  <c r="AM380"/>
  <c r="AL380"/>
  <c r="AK380"/>
  <c r="AJ380"/>
  <c r="AI380"/>
  <c r="AH380"/>
  <c r="AG380"/>
  <c r="AF380"/>
  <c r="AE380"/>
  <c r="AD380"/>
  <c r="AC380"/>
  <c r="AB380"/>
  <c r="AA380"/>
  <c r="Z380"/>
  <c r="U380"/>
  <c r="T380"/>
  <c r="Q380"/>
  <c r="P380"/>
  <c r="O380"/>
  <c r="N380"/>
  <c r="M380"/>
  <c r="L380"/>
  <c r="K380"/>
  <c r="J380"/>
  <c r="A380" a="1"/>
  <c r="A380" s="1"/>
  <c r="I380" s="1"/>
  <c r="BG379"/>
  <c r="BF379"/>
  <c r="BE379"/>
  <c r="BD379"/>
  <c r="BC379"/>
  <c r="BB379"/>
  <c r="BA379"/>
  <c r="AZ379"/>
  <c r="AY379"/>
  <c r="AX379"/>
  <c r="AW379"/>
  <c r="AV379"/>
  <c r="AU379"/>
  <c r="AT379"/>
  <c r="AS379"/>
  <c r="AR379"/>
  <c r="AQ379"/>
  <c r="AP379"/>
  <c r="AO379"/>
  <c r="AN379"/>
  <c r="AM379"/>
  <c r="AL379"/>
  <c r="AK379"/>
  <c r="AJ379"/>
  <c r="AI379"/>
  <c r="AH379"/>
  <c r="AG379"/>
  <c r="AF379"/>
  <c r="AE379"/>
  <c r="AD379"/>
  <c r="AC379"/>
  <c r="AB379"/>
  <c r="AA379"/>
  <c r="Z379"/>
  <c r="U379"/>
  <c r="T379"/>
  <c r="Q379"/>
  <c r="P379"/>
  <c r="O379"/>
  <c r="N379"/>
  <c r="M379"/>
  <c r="L379"/>
  <c r="K379"/>
  <c r="J379"/>
  <c r="A379" a="1"/>
  <c r="A379" s="1"/>
  <c r="I379" s="1"/>
  <c r="BG378"/>
  <c r="BF378"/>
  <c r="BE378"/>
  <c r="BD378"/>
  <c r="BC378"/>
  <c r="BB378"/>
  <c r="BA378"/>
  <c r="AZ378"/>
  <c r="AY378"/>
  <c r="AX378"/>
  <c r="AW378"/>
  <c r="AV378"/>
  <c r="AU378"/>
  <c r="AT378"/>
  <c r="AS378"/>
  <c r="AR378"/>
  <c r="AQ378"/>
  <c r="AP378"/>
  <c r="AO378"/>
  <c r="AN378"/>
  <c r="AM378"/>
  <c r="AL378"/>
  <c r="AK378"/>
  <c r="AJ378"/>
  <c r="AI378"/>
  <c r="AH378"/>
  <c r="AG378"/>
  <c r="AF378"/>
  <c r="AE378"/>
  <c r="AD378"/>
  <c r="AC378"/>
  <c r="AB378"/>
  <c r="AA378"/>
  <c r="Z378"/>
  <c r="U378"/>
  <c r="T378"/>
  <c r="Q378"/>
  <c r="P378"/>
  <c r="O378"/>
  <c r="N378"/>
  <c r="M378"/>
  <c r="L378"/>
  <c r="K378"/>
  <c r="J378"/>
  <c r="A378" a="1"/>
  <c r="A378" s="1"/>
  <c r="I378" s="1"/>
  <c r="BG377"/>
  <c r="BF377"/>
  <c r="BE377"/>
  <c r="BD377"/>
  <c r="BC377"/>
  <c r="BB377"/>
  <c r="BA377"/>
  <c r="AZ377"/>
  <c r="AY377"/>
  <c r="AX377"/>
  <c r="AW377"/>
  <c r="AV377"/>
  <c r="AU377"/>
  <c r="AT377"/>
  <c r="AS377"/>
  <c r="AR377"/>
  <c r="AQ377"/>
  <c r="AP377"/>
  <c r="AO377"/>
  <c r="AN377"/>
  <c r="AM377"/>
  <c r="AL377"/>
  <c r="AK377"/>
  <c r="AJ377"/>
  <c r="AI377"/>
  <c r="AH377"/>
  <c r="AG377"/>
  <c r="AF377"/>
  <c r="AE377"/>
  <c r="AD377"/>
  <c r="AC377"/>
  <c r="AB377"/>
  <c r="AA377"/>
  <c r="Z377"/>
  <c r="U377"/>
  <c r="T377"/>
  <c r="Q377"/>
  <c r="P377"/>
  <c r="O377"/>
  <c r="N377"/>
  <c r="M377"/>
  <c r="L377"/>
  <c r="K377"/>
  <c r="J377"/>
  <c r="A377" a="1"/>
  <c r="A377" s="1"/>
  <c r="I377" s="1"/>
  <c r="BG376"/>
  <c r="BF376"/>
  <c r="BE376"/>
  <c r="BD376"/>
  <c r="BC376"/>
  <c r="BB376"/>
  <c r="BA376"/>
  <c r="AZ376"/>
  <c r="AY376"/>
  <c r="AX376"/>
  <c r="AW376"/>
  <c r="AV376"/>
  <c r="AU376"/>
  <c r="AT376"/>
  <c r="AS376"/>
  <c r="AR376"/>
  <c r="AQ376"/>
  <c r="AP376"/>
  <c r="AO376"/>
  <c r="AN376"/>
  <c r="AM376"/>
  <c r="AL376"/>
  <c r="AK376"/>
  <c r="AJ376"/>
  <c r="AI376"/>
  <c r="AH376"/>
  <c r="AG376"/>
  <c r="AF376"/>
  <c r="AE376"/>
  <c r="AD376"/>
  <c r="AC376"/>
  <c r="AB376"/>
  <c r="AA376"/>
  <c r="Z376"/>
  <c r="U376"/>
  <c r="T376"/>
  <c r="Q376"/>
  <c r="P376"/>
  <c r="O376"/>
  <c r="N376"/>
  <c r="M376"/>
  <c r="L376"/>
  <c r="K376"/>
  <c r="J376"/>
  <c r="A376" a="1"/>
  <c r="A376" s="1"/>
  <c r="I376" s="1"/>
  <c r="BG375"/>
  <c r="BF375"/>
  <c r="BE375"/>
  <c r="BD375"/>
  <c r="BC375"/>
  <c r="BB375"/>
  <c r="BA375"/>
  <c r="AZ375"/>
  <c r="AY375"/>
  <c r="AX375"/>
  <c r="AW375"/>
  <c r="AV375"/>
  <c r="AU375"/>
  <c r="AT375"/>
  <c r="AS375"/>
  <c r="AR375"/>
  <c r="AQ375"/>
  <c r="AP375"/>
  <c r="AO375"/>
  <c r="AN375"/>
  <c r="AM375"/>
  <c r="AL375"/>
  <c r="AK375"/>
  <c r="AJ375"/>
  <c r="AI375"/>
  <c r="AH375"/>
  <c r="AG375"/>
  <c r="AF375"/>
  <c r="AE375"/>
  <c r="AD375"/>
  <c r="AC375"/>
  <c r="AB375"/>
  <c r="AA375"/>
  <c r="Z375"/>
  <c r="U375"/>
  <c r="T375"/>
  <c r="Q375"/>
  <c r="P375"/>
  <c r="O375"/>
  <c r="N375"/>
  <c r="M375"/>
  <c r="L375"/>
  <c r="K375"/>
  <c r="J375"/>
  <c r="A375" a="1"/>
  <c r="A375" s="1"/>
  <c r="I375" s="1"/>
  <c r="BG374"/>
  <c r="BF374"/>
  <c r="BE374"/>
  <c r="BD374"/>
  <c r="BC374"/>
  <c r="BB374"/>
  <c r="BA374"/>
  <c r="AZ374"/>
  <c r="AY374"/>
  <c r="AX374"/>
  <c r="AW374"/>
  <c r="AV374"/>
  <c r="AU374"/>
  <c r="AT374"/>
  <c r="AS374"/>
  <c r="AR374"/>
  <c r="AQ374"/>
  <c r="AP374"/>
  <c r="AO374"/>
  <c r="AN374"/>
  <c r="AM374"/>
  <c r="AL374"/>
  <c r="AK374"/>
  <c r="AJ374"/>
  <c r="AI374"/>
  <c r="AH374"/>
  <c r="AG374"/>
  <c r="AF374"/>
  <c r="AE374"/>
  <c r="AD374"/>
  <c r="AC374"/>
  <c r="AB374"/>
  <c r="AA374"/>
  <c r="Z374"/>
  <c r="U374"/>
  <c r="T374"/>
  <c r="Q374"/>
  <c r="P374"/>
  <c r="O374"/>
  <c r="N374"/>
  <c r="M374"/>
  <c r="L374"/>
  <c r="K374"/>
  <c r="J374"/>
  <c r="A374" a="1"/>
  <c r="A374" s="1"/>
  <c r="I374" s="1"/>
  <c r="BG373"/>
  <c r="BF373"/>
  <c r="BE373"/>
  <c r="BD373"/>
  <c r="BC373"/>
  <c r="BB373"/>
  <c r="BA373"/>
  <c r="AZ373"/>
  <c r="AY373"/>
  <c r="AX373"/>
  <c r="AW373"/>
  <c r="AV373"/>
  <c r="AU373"/>
  <c r="AT373"/>
  <c r="AS373"/>
  <c r="AR373"/>
  <c r="AQ373"/>
  <c r="AP373"/>
  <c r="AO373"/>
  <c r="AN373"/>
  <c r="AM373"/>
  <c r="AL373"/>
  <c r="AK373"/>
  <c r="AJ373"/>
  <c r="AI373"/>
  <c r="AH373"/>
  <c r="AG373"/>
  <c r="AF373"/>
  <c r="AE373"/>
  <c r="AD373"/>
  <c r="AC373"/>
  <c r="AB373"/>
  <c r="AA373"/>
  <c r="Z373"/>
  <c r="U373"/>
  <c r="T373"/>
  <c r="Q373"/>
  <c r="P373"/>
  <c r="O373"/>
  <c r="N373"/>
  <c r="M373"/>
  <c r="L373"/>
  <c r="K373"/>
  <c r="J373"/>
  <c r="A373" a="1"/>
  <c r="A373" s="1"/>
  <c r="I373" s="1"/>
  <c r="BG372"/>
  <c r="BF372"/>
  <c r="BE372"/>
  <c r="BD372"/>
  <c r="BC372"/>
  <c r="BB372"/>
  <c r="BA372"/>
  <c r="AZ372"/>
  <c r="AY372"/>
  <c r="AX372"/>
  <c r="AW372"/>
  <c r="AV372"/>
  <c r="AU372"/>
  <c r="AT372"/>
  <c r="AS372"/>
  <c r="AR372"/>
  <c r="AQ372"/>
  <c r="AP372"/>
  <c r="AO372"/>
  <c r="AN372"/>
  <c r="AM372"/>
  <c r="AL372"/>
  <c r="AK372"/>
  <c r="AJ372"/>
  <c r="AI372"/>
  <c r="AH372"/>
  <c r="AG372"/>
  <c r="AF372"/>
  <c r="AE372"/>
  <c r="AD372"/>
  <c r="AC372"/>
  <c r="AB372"/>
  <c r="AA372"/>
  <c r="Z372"/>
  <c r="U372"/>
  <c r="T372"/>
  <c r="Q372"/>
  <c r="P372"/>
  <c r="O372"/>
  <c r="N372"/>
  <c r="M372"/>
  <c r="L372"/>
  <c r="K372"/>
  <c r="J372"/>
  <c r="A372" a="1"/>
  <c r="A372" s="1"/>
  <c r="I372" s="1"/>
  <c r="BG371"/>
  <c r="BF371"/>
  <c r="BE371"/>
  <c r="BD371"/>
  <c r="BC371"/>
  <c r="BB371"/>
  <c r="BA371"/>
  <c r="AZ371"/>
  <c r="AY371"/>
  <c r="AX371"/>
  <c r="AW371"/>
  <c r="AV371"/>
  <c r="AU371"/>
  <c r="AT371"/>
  <c r="AS371"/>
  <c r="AR371"/>
  <c r="AQ371"/>
  <c r="AP371"/>
  <c r="AO371"/>
  <c r="AN371"/>
  <c r="AM371"/>
  <c r="AL371"/>
  <c r="AK371"/>
  <c r="AJ371"/>
  <c r="AI371"/>
  <c r="AH371"/>
  <c r="AG371"/>
  <c r="AF371"/>
  <c r="AE371"/>
  <c r="AD371"/>
  <c r="AC371"/>
  <c r="AB371"/>
  <c r="AA371"/>
  <c r="Z371"/>
  <c r="U371"/>
  <c r="T371"/>
  <c r="Q371"/>
  <c r="P371"/>
  <c r="O371"/>
  <c r="N371"/>
  <c r="M371"/>
  <c r="L371"/>
  <c r="K371"/>
  <c r="J371"/>
  <c r="A371" a="1"/>
  <c r="A371" s="1"/>
  <c r="I371" s="1"/>
  <c r="BG370"/>
  <c r="BF370"/>
  <c r="BE370"/>
  <c r="BD370"/>
  <c r="BC370"/>
  <c r="BB370"/>
  <c r="BA370"/>
  <c r="AZ370"/>
  <c r="AY370"/>
  <c r="AX370"/>
  <c r="AW370"/>
  <c r="AV370"/>
  <c r="AU370"/>
  <c r="AT370"/>
  <c r="AS370"/>
  <c r="AR370"/>
  <c r="AQ370"/>
  <c r="AP370"/>
  <c r="AO370"/>
  <c r="AN370"/>
  <c r="AM370"/>
  <c r="AL370"/>
  <c r="AK370"/>
  <c r="AJ370"/>
  <c r="AI370"/>
  <c r="AH370"/>
  <c r="AG370"/>
  <c r="AF370"/>
  <c r="AE370"/>
  <c r="AD370"/>
  <c r="AC370"/>
  <c r="AB370"/>
  <c r="AA370"/>
  <c r="Z370"/>
  <c r="U370"/>
  <c r="T370"/>
  <c r="Q370"/>
  <c r="P370"/>
  <c r="O370"/>
  <c r="N370"/>
  <c r="M370"/>
  <c r="L370"/>
  <c r="K370"/>
  <c r="J370"/>
  <c r="A370" a="1"/>
  <c r="A370" s="1"/>
  <c r="I370" s="1"/>
  <c r="BG369"/>
  <c r="BF369"/>
  <c r="BE369"/>
  <c r="BD369"/>
  <c r="BC369"/>
  <c r="BB369"/>
  <c r="BA369"/>
  <c r="AZ369"/>
  <c r="AY369"/>
  <c r="AX369"/>
  <c r="AW369"/>
  <c r="AV369"/>
  <c r="AU369"/>
  <c r="AT369"/>
  <c r="AS369"/>
  <c r="AR369"/>
  <c r="AQ369"/>
  <c r="AP369"/>
  <c r="AO369"/>
  <c r="AN369"/>
  <c r="AM369"/>
  <c r="AL369"/>
  <c r="AK369"/>
  <c r="AJ369"/>
  <c r="AI369"/>
  <c r="AH369"/>
  <c r="AG369"/>
  <c r="AF369"/>
  <c r="AE369"/>
  <c r="AD369"/>
  <c r="AC369"/>
  <c r="AB369"/>
  <c r="AA369"/>
  <c r="Z369"/>
  <c r="U369"/>
  <c r="T369"/>
  <c r="Q369"/>
  <c r="P369"/>
  <c r="O369"/>
  <c r="N369"/>
  <c r="M369"/>
  <c r="L369"/>
  <c r="K369"/>
  <c r="J369"/>
  <c r="A369" a="1"/>
  <c r="A369" s="1"/>
  <c r="I369" s="1"/>
  <c r="BG368"/>
  <c r="BF368"/>
  <c r="BE368"/>
  <c r="BD368"/>
  <c r="BC368"/>
  <c r="BB368"/>
  <c r="BA368"/>
  <c r="AZ368"/>
  <c r="AY368"/>
  <c r="AX368"/>
  <c r="AW368"/>
  <c r="AV368"/>
  <c r="AU368"/>
  <c r="AT368"/>
  <c r="AS368"/>
  <c r="AR368"/>
  <c r="AQ368"/>
  <c r="AP368"/>
  <c r="AO368"/>
  <c r="AN368"/>
  <c r="AM368"/>
  <c r="AL368"/>
  <c r="AK368"/>
  <c r="AJ368"/>
  <c r="AI368"/>
  <c r="AH368"/>
  <c r="AG368"/>
  <c r="AF368"/>
  <c r="AE368"/>
  <c r="AD368"/>
  <c r="AC368"/>
  <c r="AB368"/>
  <c r="AA368"/>
  <c r="Z368"/>
  <c r="U368"/>
  <c r="T368"/>
  <c r="Q368"/>
  <c r="P368"/>
  <c r="O368"/>
  <c r="N368"/>
  <c r="M368"/>
  <c r="L368"/>
  <c r="K368"/>
  <c r="J368"/>
  <c r="A368" a="1"/>
  <c r="A368" s="1"/>
  <c r="I368" s="1"/>
  <c r="BG367"/>
  <c r="BF367"/>
  <c r="BE367"/>
  <c r="BD367"/>
  <c r="BC367"/>
  <c r="BB367"/>
  <c r="BA367"/>
  <c r="AZ367"/>
  <c r="AY367"/>
  <c r="AX367"/>
  <c r="AW367"/>
  <c r="AV367"/>
  <c r="AU367"/>
  <c r="AT367"/>
  <c r="AS367"/>
  <c r="AR367"/>
  <c r="AQ367"/>
  <c r="AP367"/>
  <c r="AO367"/>
  <c r="AN367"/>
  <c r="AM367"/>
  <c r="AL367"/>
  <c r="AK367"/>
  <c r="AJ367"/>
  <c r="AI367"/>
  <c r="AH367"/>
  <c r="AG367"/>
  <c r="AF367"/>
  <c r="AE367"/>
  <c r="AD367"/>
  <c r="AC367"/>
  <c r="AB367"/>
  <c r="AA367"/>
  <c r="Z367"/>
  <c r="U367"/>
  <c r="T367"/>
  <c r="Q367"/>
  <c r="P367"/>
  <c r="O367"/>
  <c r="N367"/>
  <c r="M367"/>
  <c r="L367"/>
  <c r="K367"/>
  <c r="J367"/>
  <c r="A367" a="1"/>
  <c r="A367" s="1"/>
  <c r="I367" s="1"/>
  <c r="BG366"/>
  <c r="BF366"/>
  <c r="BE366"/>
  <c r="BD366"/>
  <c r="BC366"/>
  <c r="BB366"/>
  <c r="BA366"/>
  <c r="AZ366"/>
  <c r="AY366"/>
  <c r="AX366"/>
  <c r="AW366"/>
  <c r="AV366"/>
  <c r="AU366"/>
  <c r="AT366"/>
  <c r="AS366"/>
  <c r="AR366"/>
  <c r="AQ366"/>
  <c r="AP366"/>
  <c r="AO366"/>
  <c r="AN366"/>
  <c r="AM366"/>
  <c r="AL366"/>
  <c r="AK366"/>
  <c r="AJ366"/>
  <c r="AI366"/>
  <c r="AH366"/>
  <c r="AG366"/>
  <c r="AF366"/>
  <c r="AE366"/>
  <c r="AD366"/>
  <c r="AC366"/>
  <c r="AB366"/>
  <c r="AA366"/>
  <c r="Z366"/>
  <c r="U366"/>
  <c r="T366"/>
  <c r="Q366"/>
  <c r="P366"/>
  <c r="O366"/>
  <c r="N366"/>
  <c r="M366"/>
  <c r="L366"/>
  <c r="K366"/>
  <c r="J366"/>
  <c r="A366" a="1"/>
  <c r="A366" s="1"/>
  <c r="I366" s="1"/>
  <c r="BG365"/>
  <c r="BF365"/>
  <c r="BE365"/>
  <c r="BD365"/>
  <c r="BC365"/>
  <c r="BB365"/>
  <c r="BA365"/>
  <c r="AZ365"/>
  <c r="AY365"/>
  <c r="AX365"/>
  <c r="AW365"/>
  <c r="AV365"/>
  <c r="AU365"/>
  <c r="AT365"/>
  <c r="AS365"/>
  <c r="AR365"/>
  <c r="AQ365"/>
  <c r="AP365"/>
  <c r="AO365"/>
  <c r="AN365"/>
  <c r="AM365"/>
  <c r="AL365"/>
  <c r="AK365"/>
  <c r="AJ365"/>
  <c r="AI365"/>
  <c r="AH365"/>
  <c r="AG365"/>
  <c r="AF365"/>
  <c r="AE365"/>
  <c r="AD365"/>
  <c r="AC365"/>
  <c r="AB365"/>
  <c r="AA365"/>
  <c r="Z365"/>
  <c r="U365"/>
  <c r="T365"/>
  <c r="Q365"/>
  <c r="P365"/>
  <c r="O365"/>
  <c r="N365"/>
  <c r="M365"/>
  <c r="L365"/>
  <c r="K365"/>
  <c r="J365"/>
  <c r="A365" a="1"/>
  <c r="A365" s="1"/>
  <c r="I365" s="1"/>
  <c r="BG364"/>
  <c r="BF364"/>
  <c r="BE364"/>
  <c r="BD364"/>
  <c r="BC364"/>
  <c r="BB364"/>
  <c r="BA364"/>
  <c r="AZ364"/>
  <c r="AY364"/>
  <c r="AX364"/>
  <c r="AW364"/>
  <c r="AV364"/>
  <c r="AU364"/>
  <c r="AT364"/>
  <c r="AS364"/>
  <c r="AR364"/>
  <c r="AQ364"/>
  <c r="AP364"/>
  <c r="AO364"/>
  <c r="AN364"/>
  <c r="AM364"/>
  <c r="AL364"/>
  <c r="AK364"/>
  <c r="AJ364"/>
  <c r="AI364"/>
  <c r="AH364"/>
  <c r="AG364"/>
  <c r="AF364"/>
  <c r="AE364"/>
  <c r="AD364"/>
  <c r="AC364"/>
  <c r="AB364"/>
  <c r="AA364"/>
  <c r="Z364"/>
  <c r="U364"/>
  <c r="T364"/>
  <c r="Q364"/>
  <c r="P364"/>
  <c r="O364"/>
  <c r="N364"/>
  <c r="M364"/>
  <c r="L364"/>
  <c r="K364"/>
  <c r="J364"/>
  <c r="A364" a="1"/>
  <c r="A364" s="1"/>
  <c r="I364" s="1"/>
  <c r="BG363"/>
  <c r="BF363"/>
  <c r="BE363"/>
  <c r="BD363"/>
  <c r="BC363"/>
  <c r="BB363"/>
  <c r="BA363"/>
  <c r="AZ363"/>
  <c r="AY363"/>
  <c r="AX363"/>
  <c r="AW363"/>
  <c r="AV363"/>
  <c r="AU363"/>
  <c r="AT363"/>
  <c r="AS363"/>
  <c r="AR363"/>
  <c r="AQ363"/>
  <c r="AP363"/>
  <c r="AO363"/>
  <c r="AN363"/>
  <c r="AM363"/>
  <c r="AL363"/>
  <c r="AK363"/>
  <c r="AJ363"/>
  <c r="AI363"/>
  <c r="AH363"/>
  <c r="AG363"/>
  <c r="AF363"/>
  <c r="AE363"/>
  <c r="AD363"/>
  <c r="AC363"/>
  <c r="AB363"/>
  <c r="AA363"/>
  <c r="Z363"/>
  <c r="U363"/>
  <c r="T363"/>
  <c r="Q363"/>
  <c r="P363"/>
  <c r="O363"/>
  <c r="N363"/>
  <c r="M363"/>
  <c r="L363"/>
  <c r="K363"/>
  <c r="J363"/>
  <c r="A363" a="1"/>
  <c r="A363" s="1"/>
  <c r="I363" s="1"/>
  <c r="BG362"/>
  <c r="BF362"/>
  <c r="BE362"/>
  <c r="BD362"/>
  <c r="BC362"/>
  <c r="BB362"/>
  <c r="BA362"/>
  <c r="AZ362"/>
  <c r="AY362"/>
  <c r="AX362"/>
  <c r="AW362"/>
  <c r="AV362"/>
  <c r="AU362"/>
  <c r="AT362"/>
  <c r="AS362"/>
  <c r="AR362"/>
  <c r="AQ362"/>
  <c r="AP362"/>
  <c r="AO362"/>
  <c r="AN362"/>
  <c r="AM362"/>
  <c r="AL362"/>
  <c r="AK362"/>
  <c r="AJ362"/>
  <c r="AI362"/>
  <c r="AH362"/>
  <c r="AG362"/>
  <c r="AF362"/>
  <c r="AE362"/>
  <c r="AD362"/>
  <c r="AC362"/>
  <c r="AB362"/>
  <c r="AA362"/>
  <c r="Z362"/>
  <c r="U362"/>
  <c r="T362"/>
  <c r="Q362"/>
  <c r="P362"/>
  <c r="O362"/>
  <c r="N362"/>
  <c r="M362"/>
  <c r="L362"/>
  <c r="K362"/>
  <c r="J362"/>
  <c r="A362" a="1"/>
  <c r="A362" s="1"/>
  <c r="I362" s="1"/>
  <c r="BG361"/>
  <c r="BF361"/>
  <c r="BE361"/>
  <c r="BD361"/>
  <c r="BC361"/>
  <c r="BB361"/>
  <c r="BA361"/>
  <c r="AZ361"/>
  <c r="AY361"/>
  <c r="AX361"/>
  <c r="AW361"/>
  <c r="AV361"/>
  <c r="AU361"/>
  <c r="AT361"/>
  <c r="AS361"/>
  <c r="AR361"/>
  <c r="AQ361"/>
  <c r="AP361"/>
  <c r="AO361"/>
  <c r="AN361"/>
  <c r="AM361"/>
  <c r="AL361"/>
  <c r="AK361"/>
  <c r="AJ361"/>
  <c r="AI361"/>
  <c r="AH361"/>
  <c r="AG361"/>
  <c r="AF361"/>
  <c r="AE361"/>
  <c r="AD361"/>
  <c r="AC361"/>
  <c r="AB361"/>
  <c r="AA361"/>
  <c r="Z361"/>
  <c r="U361"/>
  <c r="T361"/>
  <c r="Q361"/>
  <c r="P361"/>
  <c r="O361"/>
  <c r="N361"/>
  <c r="M361"/>
  <c r="L361"/>
  <c r="K361"/>
  <c r="J361"/>
  <c r="A361" a="1"/>
  <c r="A361" s="1"/>
  <c r="I361" s="1"/>
  <c r="BG360"/>
  <c r="BF360"/>
  <c r="BE360"/>
  <c r="BD360"/>
  <c r="BC360"/>
  <c r="BB360"/>
  <c r="BA360"/>
  <c r="AZ360"/>
  <c r="AY360"/>
  <c r="AX360"/>
  <c r="AW360"/>
  <c r="AV360"/>
  <c r="AU360"/>
  <c r="AT360"/>
  <c r="AS360"/>
  <c r="AR360"/>
  <c r="AQ360"/>
  <c r="AP360"/>
  <c r="AO360"/>
  <c r="AN360"/>
  <c r="AM360"/>
  <c r="AL360"/>
  <c r="AK360"/>
  <c r="AJ360"/>
  <c r="AI360"/>
  <c r="AH360"/>
  <c r="AG360"/>
  <c r="AF360"/>
  <c r="AE360"/>
  <c r="AD360"/>
  <c r="AC360"/>
  <c r="AB360"/>
  <c r="AA360"/>
  <c r="Z360"/>
  <c r="U360"/>
  <c r="T360"/>
  <c r="Q360"/>
  <c r="P360"/>
  <c r="O360"/>
  <c r="N360"/>
  <c r="M360"/>
  <c r="L360"/>
  <c r="K360"/>
  <c r="J360"/>
  <c r="A360" a="1"/>
  <c r="A360" s="1"/>
  <c r="I360" s="1"/>
  <c r="BG359"/>
  <c r="BF359"/>
  <c r="BE359"/>
  <c r="BD359"/>
  <c r="BC359"/>
  <c r="BB359"/>
  <c r="BA359"/>
  <c r="AZ359"/>
  <c r="AY359"/>
  <c r="AX359"/>
  <c r="AW359"/>
  <c r="AV359"/>
  <c r="AU359"/>
  <c r="AT359"/>
  <c r="AS359"/>
  <c r="AR359"/>
  <c r="AQ359"/>
  <c r="AP359"/>
  <c r="AO359"/>
  <c r="AN359"/>
  <c r="AM359"/>
  <c r="AL359"/>
  <c r="AK359"/>
  <c r="AJ359"/>
  <c r="AI359"/>
  <c r="AH359"/>
  <c r="AG359"/>
  <c r="AF359"/>
  <c r="AE359"/>
  <c r="AD359"/>
  <c r="AC359"/>
  <c r="AB359"/>
  <c r="AA359"/>
  <c r="Z359"/>
  <c r="U359"/>
  <c r="T359"/>
  <c r="Q359"/>
  <c r="P359"/>
  <c r="O359"/>
  <c r="N359"/>
  <c r="M359"/>
  <c r="L359"/>
  <c r="K359"/>
  <c r="J359"/>
  <c r="A359" a="1"/>
  <c r="A359" s="1"/>
  <c r="I359" s="1"/>
  <c r="BG358"/>
  <c r="BF358"/>
  <c r="BE358"/>
  <c r="BD358"/>
  <c r="BC358"/>
  <c r="BB358"/>
  <c r="BA358"/>
  <c r="AZ358"/>
  <c r="AY358"/>
  <c r="AX358"/>
  <c r="AW358"/>
  <c r="AV358"/>
  <c r="AU358"/>
  <c r="AT358"/>
  <c r="AS358"/>
  <c r="AR358"/>
  <c r="AQ358"/>
  <c r="AP358"/>
  <c r="AO358"/>
  <c r="AN358"/>
  <c r="AM358"/>
  <c r="AL358"/>
  <c r="AK358"/>
  <c r="AJ358"/>
  <c r="AI358"/>
  <c r="AH358"/>
  <c r="AG358"/>
  <c r="AF358"/>
  <c r="AE358"/>
  <c r="AD358"/>
  <c r="AC358"/>
  <c r="AB358"/>
  <c r="AA358"/>
  <c r="Z358"/>
  <c r="U358"/>
  <c r="T358"/>
  <c r="Q358"/>
  <c r="P358"/>
  <c r="O358"/>
  <c r="N358"/>
  <c r="M358"/>
  <c r="L358"/>
  <c r="K358"/>
  <c r="J358"/>
  <c r="A358" a="1"/>
  <c r="A358" s="1"/>
  <c r="I358" s="1"/>
  <c r="BG357"/>
  <c r="BF357"/>
  <c r="BE357"/>
  <c r="BD357"/>
  <c r="BC357"/>
  <c r="BB357"/>
  <c r="BA357"/>
  <c r="AZ357"/>
  <c r="AY357"/>
  <c r="AX357"/>
  <c r="AW357"/>
  <c r="AV357"/>
  <c r="AU357"/>
  <c r="AT357"/>
  <c r="AS357"/>
  <c r="AR357"/>
  <c r="AQ357"/>
  <c r="AP357"/>
  <c r="AO357"/>
  <c r="AN357"/>
  <c r="AM357"/>
  <c r="AL357"/>
  <c r="AK357"/>
  <c r="AJ357"/>
  <c r="AI357"/>
  <c r="AH357"/>
  <c r="AG357"/>
  <c r="AF357"/>
  <c r="AE357"/>
  <c r="AD357"/>
  <c r="AC357"/>
  <c r="AB357"/>
  <c r="AA357"/>
  <c r="Z357"/>
  <c r="U357"/>
  <c r="T357"/>
  <c r="Q357"/>
  <c r="P357"/>
  <c r="O357"/>
  <c r="N357"/>
  <c r="M357"/>
  <c r="L357"/>
  <c r="K357"/>
  <c r="J357"/>
  <c r="A357" a="1"/>
  <c r="A357" s="1"/>
  <c r="I357" s="1"/>
  <c r="BG356"/>
  <c r="BF356"/>
  <c r="BE356"/>
  <c r="BD356"/>
  <c r="BC356"/>
  <c r="BB356"/>
  <c r="BA356"/>
  <c r="AZ356"/>
  <c r="AY356"/>
  <c r="AX356"/>
  <c r="AW356"/>
  <c r="AV356"/>
  <c r="AU356"/>
  <c r="AT356"/>
  <c r="AS356"/>
  <c r="AR356"/>
  <c r="AQ356"/>
  <c r="AP356"/>
  <c r="AO356"/>
  <c r="AN356"/>
  <c r="AM356"/>
  <c r="AL356"/>
  <c r="AK356"/>
  <c r="AJ356"/>
  <c r="AI356"/>
  <c r="AH356"/>
  <c r="AG356"/>
  <c r="AF356"/>
  <c r="AE356"/>
  <c r="AD356"/>
  <c r="AC356"/>
  <c r="AB356"/>
  <c r="AA356"/>
  <c r="Z356"/>
  <c r="U356"/>
  <c r="T356"/>
  <c r="Q356"/>
  <c r="P356"/>
  <c r="O356"/>
  <c r="N356"/>
  <c r="M356"/>
  <c r="L356"/>
  <c r="K356"/>
  <c r="J356"/>
  <c r="A356" a="1"/>
  <c r="A356" s="1"/>
  <c r="I356" s="1"/>
  <c r="BG355"/>
  <c r="BF355"/>
  <c r="BE355"/>
  <c r="BD355"/>
  <c r="BC355"/>
  <c r="BB355"/>
  <c r="BA355"/>
  <c r="AZ355"/>
  <c r="AY355"/>
  <c r="AX355"/>
  <c r="AW355"/>
  <c r="AV355"/>
  <c r="AU355"/>
  <c r="AT355"/>
  <c r="AS355"/>
  <c r="AR355"/>
  <c r="AQ355"/>
  <c r="AP355"/>
  <c r="AO355"/>
  <c r="AN355"/>
  <c r="AM355"/>
  <c r="AL355"/>
  <c r="AK355"/>
  <c r="AJ355"/>
  <c r="AI355"/>
  <c r="AH355"/>
  <c r="AG355"/>
  <c r="AF355"/>
  <c r="AE355"/>
  <c r="AD355"/>
  <c r="AC355"/>
  <c r="AB355"/>
  <c r="AA355"/>
  <c r="Z355"/>
  <c r="U355"/>
  <c r="T355"/>
  <c r="Q355"/>
  <c r="P355"/>
  <c r="O355"/>
  <c r="N355"/>
  <c r="M355"/>
  <c r="L355"/>
  <c r="K355"/>
  <c r="J355"/>
  <c r="A355" a="1"/>
  <c r="A355" s="1"/>
  <c r="I355" s="1"/>
  <c r="BG354"/>
  <c r="BF354"/>
  <c r="BE354"/>
  <c r="BD354"/>
  <c r="BC354"/>
  <c r="BB354"/>
  <c r="BA354"/>
  <c r="AZ354"/>
  <c r="AY354"/>
  <c r="AX354"/>
  <c r="AW354"/>
  <c r="AV354"/>
  <c r="AU354"/>
  <c r="AT354"/>
  <c r="AS354"/>
  <c r="AR354"/>
  <c r="AQ354"/>
  <c r="AP354"/>
  <c r="AO354"/>
  <c r="AN354"/>
  <c r="AM354"/>
  <c r="AL354"/>
  <c r="AK354"/>
  <c r="AJ354"/>
  <c r="AI354"/>
  <c r="AH354"/>
  <c r="AG354"/>
  <c r="AF354"/>
  <c r="AE354"/>
  <c r="AD354"/>
  <c r="AC354"/>
  <c r="AB354"/>
  <c r="AA354"/>
  <c r="Z354"/>
  <c r="U354"/>
  <c r="T354"/>
  <c r="Q354"/>
  <c r="P354"/>
  <c r="O354"/>
  <c r="N354"/>
  <c r="M354"/>
  <c r="L354"/>
  <c r="K354"/>
  <c r="J354"/>
  <c r="A354" a="1"/>
  <c r="A354" s="1"/>
  <c r="I354" s="1"/>
  <c r="BG353"/>
  <c r="BF353"/>
  <c r="BE353"/>
  <c r="BD353"/>
  <c r="BC353"/>
  <c r="BB353"/>
  <c r="BA353"/>
  <c r="AZ353"/>
  <c r="AY353"/>
  <c r="AX353"/>
  <c r="AW353"/>
  <c r="AV353"/>
  <c r="AU353"/>
  <c r="AT353"/>
  <c r="AS353"/>
  <c r="AR353"/>
  <c r="AQ353"/>
  <c r="AP353"/>
  <c r="AO353"/>
  <c r="AN353"/>
  <c r="AM353"/>
  <c r="AL353"/>
  <c r="AK353"/>
  <c r="AJ353"/>
  <c r="AI353"/>
  <c r="AH353"/>
  <c r="AG353"/>
  <c r="AF353"/>
  <c r="AE353"/>
  <c r="AD353"/>
  <c r="AC353"/>
  <c r="AB353"/>
  <c r="AA353"/>
  <c r="Z353"/>
  <c r="U353"/>
  <c r="T353"/>
  <c r="Q353"/>
  <c r="P353"/>
  <c r="O353"/>
  <c r="N353"/>
  <c r="M353"/>
  <c r="L353"/>
  <c r="K353"/>
  <c r="J353"/>
  <c r="A353" a="1"/>
  <c r="A353" s="1"/>
  <c r="I353" s="1"/>
  <c r="BG352"/>
  <c r="BF352"/>
  <c r="BE352"/>
  <c r="BD352"/>
  <c r="BC352"/>
  <c r="BB352"/>
  <c r="BA352"/>
  <c r="AZ352"/>
  <c r="AY352"/>
  <c r="AX352"/>
  <c r="AW352"/>
  <c r="AV352"/>
  <c r="AU352"/>
  <c r="AT352"/>
  <c r="AS352"/>
  <c r="AR352"/>
  <c r="AQ352"/>
  <c r="AP352"/>
  <c r="AO352"/>
  <c r="AN352"/>
  <c r="AM352"/>
  <c r="AL352"/>
  <c r="AK352"/>
  <c r="AJ352"/>
  <c r="AI352"/>
  <c r="AH352"/>
  <c r="AG352"/>
  <c r="AF352"/>
  <c r="AE352"/>
  <c r="AD352"/>
  <c r="AC352"/>
  <c r="AB352"/>
  <c r="AA352"/>
  <c r="Z352"/>
  <c r="U352"/>
  <c r="T352"/>
  <c r="Q352"/>
  <c r="P352"/>
  <c r="O352"/>
  <c r="N352"/>
  <c r="M352"/>
  <c r="L352"/>
  <c r="K352"/>
  <c r="J352"/>
  <c r="A352" a="1"/>
  <c r="A352" s="1"/>
  <c r="I352" s="1"/>
  <c r="BG351"/>
  <c r="BF351"/>
  <c r="BE351"/>
  <c r="BD351"/>
  <c r="BC351"/>
  <c r="BB351"/>
  <c r="BA351"/>
  <c r="AZ351"/>
  <c r="AY351"/>
  <c r="AX351"/>
  <c r="AW351"/>
  <c r="AV351"/>
  <c r="AU351"/>
  <c r="AT351"/>
  <c r="AS351"/>
  <c r="AR351"/>
  <c r="AQ351"/>
  <c r="AP351"/>
  <c r="AO351"/>
  <c r="AN351"/>
  <c r="AM351"/>
  <c r="AL351"/>
  <c r="AK351"/>
  <c r="AJ351"/>
  <c r="AI351"/>
  <c r="AH351"/>
  <c r="AG351"/>
  <c r="AF351"/>
  <c r="AE351"/>
  <c r="AD351"/>
  <c r="AC351"/>
  <c r="AB351"/>
  <c r="AA351"/>
  <c r="Z351"/>
  <c r="U351"/>
  <c r="T351"/>
  <c r="Q351"/>
  <c r="P351"/>
  <c r="O351"/>
  <c r="N351"/>
  <c r="M351"/>
  <c r="L351"/>
  <c r="K351"/>
  <c r="J351"/>
  <c r="A351" a="1"/>
  <c r="A351" s="1"/>
  <c r="I351" s="1"/>
  <c r="BG350"/>
  <c r="BF350"/>
  <c r="BE350"/>
  <c r="BD350"/>
  <c r="BC350"/>
  <c r="BB350"/>
  <c r="BA350"/>
  <c r="AZ350"/>
  <c r="AY350"/>
  <c r="AX350"/>
  <c r="AW350"/>
  <c r="AV350"/>
  <c r="AU350"/>
  <c r="AT350"/>
  <c r="AS350"/>
  <c r="AR350"/>
  <c r="AQ350"/>
  <c r="AP350"/>
  <c r="AO350"/>
  <c r="AN350"/>
  <c r="AM350"/>
  <c r="AL350"/>
  <c r="AK350"/>
  <c r="AJ350"/>
  <c r="AI350"/>
  <c r="AH350"/>
  <c r="AG350"/>
  <c r="AF350"/>
  <c r="AE350"/>
  <c r="AD350"/>
  <c r="AC350"/>
  <c r="AB350"/>
  <c r="AA350"/>
  <c r="Z350"/>
  <c r="U350"/>
  <c r="T350"/>
  <c r="Q350"/>
  <c r="P350"/>
  <c r="O350"/>
  <c r="N350"/>
  <c r="M350"/>
  <c r="L350"/>
  <c r="K350"/>
  <c r="J350"/>
  <c r="A350" a="1"/>
  <c r="A350" s="1"/>
  <c r="I350" s="1"/>
  <c r="BG349"/>
  <c r="BF349"/>
  <c r="BE349"/>
  <c r="BD349"/>
  <c r="BC349"/>
  <c r="BB349"/>
  <c r="BA349"/>
  <c r="AZ349"/>
  <c r="AY349"/>
  <c r="AX349"/>
  <c r="AW349"/>
  <c r="AV349"/>
  <c r="AU349"/>
  <c r="AT349"/>
  <c r="AS349"/>
  <c r="AR349"/>
  <c r="AQ349"/>
  <c r="AP349"/>
  <c r="AO349"/>
  <c r="AN349"/>
  <c r="AM349"/>
  <c r="AL349"/>
  <c r="AK349"/>
  <c r="AJ349"/>
  <c r="AI349"/>
  <c r="AH349"/>
  <c r="AG349"/>
  <c r="AF349"/>
  <c r="AE349"/>
  <c r="AD349"/>
  <c r="AC349"/>
  <c r="AB349"/>
  <c r="AA349"/>
  <c r="Z349"/>
  <c r="U349"/>
  <c r="T349"/>
  <c r="Q349"/>
  <c r="P349"/>
  <c r="O349"/>
  <c r="N349"/>
  <c r="M349"/>
  <c r="L349"/>
  <c r="K349"/>
  <c r="J349"/>
  <c r="A349" a="1"/>
  <c r="A349" s="1"/>
  <c r="I349" s="1"/>
  <c r="BG348"/>
  <c r="BF348"/>
  <c r="BE348"/>
  <c r="BD348"/>
  <c r="BC348"/>
  <c r="BB348"/>
  <c r="BA348"/>
  <c r="AZ348"/>
  <c r="AY348"/>
  <c r="AX348"/>
  <c r="AW348"/>
  <c r="AV348"/>
  <c r="AU348"/>
  <c r="AT348"/>
  <c r="AS348"/>
  <c r="AR348"/>
  <c r="AQ348"/>
  <c r="AP348"/>
  <c r="AO348"/>
  <c r="AN348"/>
  <c r="AM348"/>
  <c r="AL348"/>
  <c r="AK348"/>
  <c r="AJ348"/>
  <c r="AI348"/>
  <c r="AH348"/>
  <c r="AG348"/>
  <c r="AF348"/>
  <c r="AE348"/>
  <c r="AD348"/>
  <c r="AC348"/>
  <c r="AB348"/>
  <c r="AA348"/>
  <c r="Z348"/>
  <c r="U348"/>
  <c r="T348"/>
  <c r="Q348"/>
  <c r="P348"/>
  <c r="O348"/>
  <c r="N348"/>
  <c r="M348"/>
  <c r="L348"/>
  <c r="K348"/>
  <c r="J348"/>
  <c r="A348" a="1"/>
  <c r="A348" s="1"/>
  <c r="I348" s="1"/>
  <c r="BG347"/>
  <c r="BF347"/>
  <c r="BE347"/>
  <c r="BD347"/>
  <c r="BC347"/>
  <c r="BB347"/>
  <c r="BA347"/>
  <c r="AZ347"/>
  <c r="AY347"/>
  <c r="AX347"/>
  <c r="AW347"/>
  <c r="AV347"/>
  <c r="AU347"/>
  <c r="AT347"/>
  <c r="AS347"/>
  <c r="AR347"/>
  <c r="AQ347"/>
  <c r="AP347"/>
  <c r="AO347"/>
  <c r="AN347"/>
  <c r="AM347"/>
  <c r="AL347"/>
  <c r="AK347"/>
  <c r="AJ347"/>
  <c r="AI347"/>
  <c r="AH347"/>
  <c r="AG347"/>
  <c r="AF347"/>
  <c r="AE347"/>
  <c r="AD347"/>
  <c r="AC347"/>
  <c r="AB347"/>
  <c r="AA347"/>
  <c r="Z347"/>
  <c r="U347"/>
  <c r="T347"/>
  <c r="Q347"/>
  <c r="P347"/>
  <c r="O347"/>
  <c r="N347"/>
  <c r="M347"/>
  <c r="L347"/>
  <c r="K347"/>
  <c r="J347"/>
  <c r="A347" a="1"/>
  <c r="A347" s="1"/>
  <c r="I347" s="1"/>
  <c r="BG346"/>
  <c r="BF346"/>
  <c r="BE346"/>
  <c r="BD346"/>
  <c r="BC346"/>
  <c r="BB346"/>
  <c r="BA346"/>
  <c r="AZ346"/>
  <c r="AY346"/>
  <c r="AX346"/>
  <c r="AW346"/>
  <c r="AV346"/>
  <c r="AU346"/>
  <c r="AT346"/>
  <c r="AS346"/>
  <c r="AR346"/>
  <c r="AQ346"/>
  <c r="AP346"/>
  <c r="AO346"/>
  <c r="AN346"/>
  <c r="AM346"/>
  <c r="AL346"/>
  <c r="AK346"/>
  <c r="AJ346"/>
  <c r="AI346"/>
  <c r="AH346"/>
  <c r="AG346"/>
  <c r="AF346"/>
  <c r="AE346"/>
  <c r="AD346"/>
  <c r="AC346"/>
  <c r="AB346"/>
  <c r="AA346"/>
  <c r="Z346"/>
  <c r="U346"/>
  <c r="T346"/>
  <c r="Q346"/>
  <c r="P346"/>
  <c r="O346"/>
  <c r="N346"/>
  <c r="M346"/>
  <c r="L346"/>
  <c r="K346"/>
  <c r="J346"/>
  <c r="A346" a="1"/>
  <c r="A346" s="1"/>
  <c r="I346" s="1"/>
  <c r="BG345"/>
  <c r="BF345"/>
  <c r="BE345"/>
  <c r="BD345"/>
  <c r="BC345"/>
  <c r="BB345"/>
  <c r="BA345"/>
  <c r="AZ345"/>
  <c r="AY345"/>
  <c r="AX345"/>
  <c r="AW345"/>
  <c r="AV345"/>
  <c r="AU345"/>
  <c r="AT345"/>
  <c r="AS345"/>
  <c r="AR345"/>
  <c r="AQ345"/>
  <c r="AP345"/>
  <c r="AO345"/>
  <c r="AN345"/>
  <c r="AM345"/>
  <c r="AL345"/>
  <c r="AK345"/>
  <c r="AJ345"/>
  <c r="AI345"/>
  <c r="AH345"/>
  <c r="AG345"/>
  <c r="AF345"/>
  <c r="AE345"/>
  <c r="AD345"/>
  <c r="AC345"/>
  <c r="AB345"/>
  <c r="AA345"/>
  <c r="Z345"/>
  <c r="U345"/>
  <c r="T345"/>
  <c r="Q345"/>
  <c r="P345"/>
  <c r="O345"/>
  <c r="N345"/>
  <c r="M345"/>
  <c r="L345"/>
  <c r="K345"/>
  <c r="J345"/>
  <c r="A345" a="1"/>
  <c r="A345" s="1"/>
  <c r="I345" s="1"/>
  <c r="BG344"/>
  <c r="BF344"/>
  <c r="BE344"/>
  <c r="BD344"/>
  <c r="BC344"/>
  <c r="BB344"/>
  <c r="BA344"/>
  <c r="AZ344"/>
  <c r="AY344"/>
  <c r="AX344"/>
  <c r="AW344"/>
  <c r="AV344"/>
  <c r="AU344"/>
  <c r="AT344"/>
  <c r="AS344"/>
  <c r="AR344"/>
  <c r="AQ344"/>
  <c r="AP344"/>
  <c r="AO344"/>
  <c r="AN344"/>
  <c r="AM344"/>
  <c r="AL344"/>
  <c r="AK344"/>
  <c r="AJ344"/>
  <c r="AI344"/>
  <c r="AH344"/>
  <c r="AG344"/>
  <c r="AF344"/>
  <c r="AE344"/>
  <c r="AD344"/>
  <c r="AC344"/>
  <c r="AB344"/>
  <c r="AA344"/>
  <c r="Z344"/>
  <c r="U344"/>
  <c r="T344"/>
  <c r="Q344"/>
  <c r="P344"/>
  <c r="O344"/>
  <c r="N344"/>
  <c r="M344"/>
  <c r="L344"/>
  <c r="K344"/>
  <c r="J344"/>
  <c r="A344" a="1"/>
  <c r="A344" s="1"/>
  <c r="I344" s="1"/>
  <c r="BG343"/>
  <c r="BF343"/>
  <c r="BE343"/>
  <c r="BD343"/>
  <c r="BC343"/>
  <c r="BB343"/>
  <c r="BA343"/>
  <c r="AZ343"/>
  <c r="AY343"/>
  <c r="AX343"/>
  <c r="AW343"/>
  <c r="AV343"/>
  <c r="AU343"/>
  <c r="AT343"/>
  <c r="AS343"/>
  <c r="AR343"/>
  <c r="AQ343"/>
  <c r="AP343"/>
  <c r="AO343"/>
  <c r="AN343"/>
  <c r="AM343"/>
  <c r="AL343"/>
  <c r="AK343"/>
  <c r="AJ343"/>
  <c r="AI343"/>
  <c r="AH343"/>
  <c r="AG343"/>
  <c r="AF343"/>
  <c r="AE343"/>
  <c r="AD343"/>
  <c r="AC343"/>
  <c r="AB343"/>
  <c r="AA343"/>
  <c r="Z343"/>
  <c r="U343"/>
  <c r="T343"/>
  <c r="Q343"/>
  <c r="P343"/>
  <c r="O343"/>
  <c r="N343"/>
  <c r="M343"/>
  <c r="L343"/>
  <c r="K343"/>
  <c r="J343"/>
  <c r="A343" a="1"/>
  <c r="A343" s="1"/>
  <c r="I343" s="1"/>
  <c r="BG342"/>
  <c r="BF342"/>
  <c r="BE342"/>
  <c r="BD342"/>
  <c r="BC342"/>
  <c r="BB342"/>
  <c r="BA342"/>
  <c r="AZ342"/>
  <c r="AY342"/>
  <c r="AX342"/>
  <c r="AW342"/>
  <c r="AV342"/>
  <c r="AU342"/>
  <c r="AT342"/>
  <c r="AS342"/>
  <c r="AR342"/>
  <c r="AQ342"/>
  <c r="AP342"/>
  <c r="AO342"/>
  <c r="AN342"/>
  <c r="AM342"/>
  <c r="AL342"/>
  <c r="AK342"/>
  <c r="AJ342"/>
  <c r="AI342"/>
  <c r="AH342"/>
  <c r="AG342"/>
  <c r="AF342"/>
  <c r="AE342"/>
  <c r="AD342"/>
  <c r="AC342"/>
  <c r="AB342"/>
  <c r="AA342"/>
  <c r="Z342"/>
  <c r="U342"/>
  <c r="T342"/>
  <c r="Q342"/>
  <c r="P342"/>
  <c r="O342"/>
  <c r="N342"/>
  <c r="M342"/>
  <c r="L342"/>
  <c r="K342"/>
  <c r="J342"/>
  <c r="A342" a="1"/>
  <c r="A342" s="1"/>
  <c r="I342" s="1"/>
  <c r="BG341"/>
  <c r="BF341"/>
  <c r="BE341"/>
  <c r="BD341"/>
  <c r="BC341"/>
  <c r="BB341"/>
  <c r="BA341"/>
  <c r="AZ341"/>
  <c r="AY341"/>
  <c r="AX341"/>
  <c r="AW341"/>
  <c r="AV341"/>
  <c r="AU341"/>
  <c r="AT341"/>
  <c r="AS341"/>
  <c r="AR341"/>
  <c r="AQ341"/>
  <c r="AP341"/>
  <c r="AO341"/>
  <c r="AN341"/>
  <c r="AM341"/>
  <c r="AL341"/>
  <c r="AK341"/>
  <c r="AJ341"/>
  <c r="AI341"/>
  <c r="AH341"/>
  <c r="AG341"/>
  <c r="AF341"/>
  <c r="AE341"/>
  <c r="AD341"/>
  <c r="AC341"/>
  <c r="AB341"/>
  <c r="AA341"/>
  <c r="Z341"/>
  <c r="U341"/>
  <c r="T341"/>
  <c r="Q341"/>
  <c r="P341"/>
  <c r="O341"/>
  <c r="N341"/>
  <c r="M341"/>
  <c r="L341"/>
  <c r="K341"/>
  <c r="J341"/>
  <c r="A341" a="1"/>
  <c r="A341" s="1"/>
  <c r="I341" s="1"/>
  <c r="BG340"/>
  <c r="BF340"/>
  <c r="BE340"/>
  <c r="BD340"/>
  <c r="BC340"/>
  <c r="BB340"/>
  <c r="BA340"/>
  <c r="AZ340"/>
  <c r="AY340"/>
  <c r="AX340"/>
  <c r="AW340"/>
  <c r="AV340"/>
  <c r="AU340"/>
  <c r="AT340"/>
  <c r="AS340"/>
  <c r="AR340"/>
  <c r="AQ340"/>
  <c r="AP340"/>
  <c r="AO340"/>
  <c r="AN340"/>
  <c r="AM340"/>
  <c r="AL340"/>
  <c r="AK340"/>
  <c r="AJ340"/>
  <c r="AI340"/>
  <c r="AH340"/>
  <c r="AG340"/>
  <c r="AF340"/>
  <c r="AE340"/>
  <c r="AD340"/>
  <c r="AC340"/>
  <c r="AB340"/>
  <c r="AA340"/>
  <c r="Z340"/>
  <c r="U340"/>
  <c r="T340"/>
  <c r="Q340"/>
  <c r="P340"/>
  <c r="O340"/>
  <c r="N340"/>
  <c r="M340"/>
  <c r="L340"/>
  <c r="K340"/>
  <c r="J340"/>
  <c r="A340" a="1"/>
  <c r="A340" s="1"/>
  <c r="I340" s="1"/>
  <c r="BG339"/>
  <c r="BF339"/>
  <c r="BE339"/>
  <c r="BD339"/>
  <c r="BC339"/>
  <c r="BB339"/>
  <c r="BA339"/>
  <c r="AZ339"/>
  <c r="AY339"/>
  <c r="AX339"/>
  <c r="AW339"/>
  <c r="AV339"/>
  <c r="AU339"/>
  <c r="AT339"/>
  <c r="AS339"/>
  <c r="AR339"/>
  <c r="AQ339"/>
  <c r="AP339"/>
  <c r="AO339"/>
  <c r="AN339"/>
  <c r="AM339"/>
  <c r="AL339"/>
  <c r="AK339"/>
  <c r="AJ339"/>
  <c r="AI339"/>
  <c r="AH339"/>
  <c r="AG339"/>
  <c r="AF339"/>
  <c r="AE339"/>
  <c r="AD339"/>
  <c r="AC339"/>
  <c r="AB339"/>
  <c r="AA339"/>
  <c r="Z339"/>
  <c r="U339"/>
  <c r="T339"/>
  <c r="Q339"/>
  <c r="P339"/>
  <c r="O339"/>
  <c r="N339"/>
  <c r="M339"/>
  <c r="L339"/>
  <c r="K339"/>
  <c r="J339"/>
  <c r="A339" a="1"/>
  <c r="A339" s="1"/>
  <c r="I339" s="1"/>
  <c r="BG338"/>
  <c r="BF338"/>
  <c r="BE338"/>
  <c r="BD338"/>
  <c r="BC338"/>
  <c r="BB338"/>
  <c r="BA338"/>
  <c r="AZ338"/>
  <c r="AY338"/>
  <c r="AX338"/>
  <c r="AW338"/>
  <c r="AV338"/>
  <c r="AU338"/>
  <c r="AT338"/>
  <c r="AS338"/>
  <c r="AR338"/>
  <c r="AQ338"/>
  <c r="AP338"/>
  <c r="AO338"/>
  <c r="AN338"/>
  <c r="AM338"/>
  <c r="AL338"/>
  <c r="AK338"/>
  <c r="AJ338"/>
  <c r="AI338"/>
  <c r="AH338"/>
  <c r="AG338"/>
  <c r="AF338"/>
  <c r="AE338"/>
  <c r="AD338"/>
  <c r="AC338"/>
  <c r="AB338"/>
  <c r="AA338"/>
  <c r="Z338"/>
  <c r="U338"/>
  <c r="T338"/>
  <c r="Q338"/>
  <c r="P338"/>
  <c r="O338"/>
  <c r="N338"/>
  <c r="M338"/>
  <c r="L338"/>
  <c r="K338"/>
  <c r="J338"/>
  <c r="A338" a="1"/>
  <c r="A338" s="1"/>
  <c r="I338" s="1"/>
  <c r="BG337"/>
  <c r="BF337"/>
  <c r="BE337"/>
  <c r="BD337"/>
  <c r="BC337"/>
  <c r="BB337"/>
  <c r="BA337"/>
  <c r="AZ337"/>
  <c r="AY337"/>
  <c r="AX337"/>
  <c r="AW337"/>
  <c r="AV337"/>
  <c r="AU337"/>
  <c r="AT337"/>
  <c r="AS337"/>
  <c r="AR337"/>
  <c r="AQ337"/>
  <c r="AP337"/>
  <c r="AO337"/>
  <c r="AN337"/>
  <c r="AM337"/>
  <c r="AL337"/>
  <c r="AK337"/>
  <c r="AJ337"/>
  <c r="AI337"/>
  <c r="AH337"/>
  <c r="AG337"/>
  <c r="AF337"/>
  <c r="AE337"/>
  <c r="AD337"/>
  <c r="AC337"/>
  <c r="AB337"/>
  <c r="AA337"/>
  <c r="Z337"/>
  <c r="U337"/>
  <c r="T337"/>
  <c r="Q337"/>
  <c r="P337"/>
  <c r="O337"/>
  <c r="N337"/>
  <c r="M337"/>
  <c r="L337"/>
  <c r="K337"/>
  <c r="J337"/>
  <c r="A337" a="1"/>
  <c r="A337" s="1"/>
  <c r="I337" s="1"/>
  <c r="BG336"/>
  <c r="BF336"/>
  <c r="BE336"/>
  <c r="BD336"/>
  <c r="BC336"/>
  <c r="BB336"/>
  <c r="BA336"/>
  <c r="AZ336"/>
  <c r="AY336"/>
  <c r="AX336"/>
  <c r="AW336"/>
  <c r="AV336"/>
  <c r="AU336"/>
  <c r="AT336"/>
  <c r="AS336"/>
  <c r="AR336"/>
  <c r="AQ336"/>
  <c r="AP336"/>
  <c r="AO336"/>
  <c r="AN336"/>
  <c r="AM336"/>
  <c r="AL336"/>
  <c r="AK336"/>
  <c r="AJ336"/>
  <c r="AI336"/>
  <c r="AH336"/>
  <c r="AG336"/>
  <c r="AF336"/>
  <c r="AE336"/>
  <c r="AD336"/>
  <c r="AC336"/>
  <c r="AB336"/>
  <c r="AA336"/>
  <c r="Z336"/>
  <c r="U336"/>
  <c r="T336"/>
  <c r="Q336"/>
  <c r="P336"/>
  <c r="O336"/>
  <c r="N336"/>
  <c r="M336"/>
  <c r="L336"/>
  <c r="K336"/>
  <c r="J336"/>
  <c r="A336" a="1"/>
  <c r="A336" s="1"/>
  <c r="I336" s="1"/>
  <c r="BG335"/>
  <c r="BF335"/>
  <c r="BE335"/>
  <c r="BD335"/>
  <c r="BC335"/>
  <c r="BB335"/>
  <c r="BA335"/>
  <c r="AZ335"/>
  <c r="AY335"/>
  <c r="AX335"/>
  <c r="AW335"/>
  <c r="AV335"/>
  <c r="AU335"/>
  <c r="AT335"/>
  <c r="AS335"/>
  <c r="AR335"/>
  <c r="AQ335"/>
  <c r="AP335"/>
  <c r="AO335"/>
  <c r="AN335"/>
  <c r="AM335"/>
  <c r="AL335"/>
  <c r="AK335"/>
  <c r="AJ335"/>
  <c r="AI335"/>
  <c r="AH335"/>
  <c r="AG335"/>
  <c r="AF335"/>
  <c r="AE335"/>
  <c r="AD335"/>
  <c r="AC335"/>
  <c r="AB335"/>
  <c r="AA335"/>
  <c r="Z335"/>
  <c r="U335"/>
  <c r="T335"/>
  <c r="Q335"/>
  <c r="P335"/>
  <c r="O335"/>
  <c r="N335"/>
  <c r="M335"/>
  <c r="L335"/>
  <c r="K335"/>
  <c r="J335"/>
  <c r="A335" a="1"/>
  <c r="A335" s="1"/>
  <c r="I335" s="1"/>
  <c r="BG334"/>
  <c r="BF334"/>
  <c r="BE334"/>
  <c r="BD334"/>
  <c r="BC334"/>
  <c r="BB334"/>
  <c r="BA334"/>
  <c r="AZ334"/>
  <c r="AY334"/>
  <c r="AX334"/>
  <c r="AW334"/>
  <c r="AV334"/>
  <c r="AU334"/>
  <c r="AT334"/>
  <c r="AS334"/>
  <c r="AR334"/>
  <c r="AQ334"/>
  <c r="AP334"/>
  <c r="AO334"/>
  <c r="AN334"/>
  <c r="AM334"/>
  <c r="AL334"/>
  <c r="AK334"/>
  <c r="AJ334"/>
  <c r="AI334"/>
  <c r="AH334"/>
  <c r="AG334"/>
  <c r="AF334"/>
  <c r="AE334"/>
  <c r="AD334"/>
  <c r="AC334"/>
  <c r="AB334"/>
  <c r="AA334"/>
  <c r="Z334"/>
  <c r="U334"/>
  <c r="T334"/>
  <c r="Q334"/>
  <c r="P334"/>
  <c r="O334"/>
  <c r="N334"/>
  <c r="M334"/>
  <c r="L334"/>
  <c r="K334"/>
  <c r="J334"/>
  <c r="A334" a="1"/>
  <c r="A334" s="1"/>
  <c r="I334" s="1"/>
  <c r="BG333"/>
  <c r="BF333"/>
  <c r="BE333"/>
  <c r="BD333"/>
  <c r="BC333"/>
  <c r="BB333"/>
  <c r="BA333"/>
  <c r="AZ333"/>
  <c r="AY333"/>
  <c r="AX333"/>
  <c r="AW333"/>
  <c r="AV333"/>
  <c r="AU333"/>
  <c r="AT333"/>
  <c r="AS333"/>
  <c r="AR333"/>
  <c r="AQ333"/>
  <c r="AP333"/>
  <c r="AO333"/>
  <c r="AN333"/>
  <c r="AM333"/>
  <c r="AL333"/>
  <c r="AK333"/>
  <c r="AJ333"/>
  <c r="AI333"/>
  <c r="AH333"/>
  <c r="AG333"/>
  <c r="AF333"/>
  <c r="AE333"/>
  <c r="AD333"/>
  <c r="AC333"/>
  <c r="AB333"/>
  <c r="AA333"/>
  <c r="Z333"/>
  <c r="U333"/>
  <c r="T333"/>
  <c r="Q333"/>
  <c r="P333"/>
  <c r="O333"/>
  <c r="N333"/>
  <c r="M333"/>
  <c r="L333"/>
  <c r="K333"/>
  <c r="J333"/>
  <c r="A333" a="1"/>
  <c r="A333" s="1"/>
  <c r="I333" s="1"/>
  <c r="BG332"/>
  <c r="BF332"/>
  <c r="BE332"/>
  <c r="BD332"/>
  <c r="BC332"/>
  <c r="BB332"/>
  <c r="BA332"/>
  <c r="AZ332"/>
  <c r="AY332"/>
  <c r="AX332"/>
  <c r="AW332"/>
  <c r="AV332"/>
  <c r="AU332"/>
  <c r="AT332"/>
  <c r="AS332"/>
  <c r="AR332"/>
  <c r="AQ332"/>
  <c r="AP332"/>
  <c r="AO332"/>
  <c r="AN332"/>
  <c r="AM332"/>
  <c r="AL332"/>
  <c r="AK332"/>
  <c r="AJ332"/>
  <c r="AI332"/>
  <c r="AH332"/>
  <c r="AG332"/>
  <c r="AF332"/>
  <c r="AE332"/>
  <c r="AD332"/>
  <c r="AC332"/>
  <c r="AB332"/>
  <c r="AA332"/>
  <c r="Z332"/>
  <c r="U332"/>
  <c r="T332"/>
  <c r="Q332"/>
  <c r="P332"/>
  <c r="O332"/>
  <c r="N332"/>
  <c r="M332"/>
  <c r="L332"/>
  <c r="K332"/>
  <c r="J332"/>
  <c r="A332" a="1"/>
  <c r="A332" s="1"/>
  <c r="I332" s="1"/>
  <c r="BG331"/>
  <c r="BF331"/>
  <c r="BE331"/>
  <c r="BD331"/>
  <c r="BC331"/>
  <c r="BB331"/>
  <c r="BA331"/>
  <c r="AZ331"/>
  <c r="AY331"/>
  <c r="AX331"/>
  <c r="AW331"/>
  <c r="AV331"/>
  <c r="AU331"/>
  <c r="AT331"/>
  <c r="AS331"/>
  <c r="AR331"/>
  <c r="AQ331"/>
  <c r="AP331"/>
  <c r="AO331"/>
  <c r="AN331"/>
  <c r="AM331"/>
  <c r="AL331"/>
  <c r="AK331"/>
  <c r="AJ331"/>
  <c r="AI331"/>
  <c r="AH331"/>
  <c r="AG331"/>
  <c r="AF331"/>
  <c r="AE331"/>
  <c r="AD331"/>
  <c r="AC331"/>
  <c r="AB331"/>
  <c r="AA331"/>
  <c r="Z331"/>
  <c r="U331"/>
  <c r="T331"/>
  <c r="Q331"/>
  <c r="P331"/>
  <c r="O331"/>
  <c r="N331"/>
  <c r="M331"/>
  <c r="L331"/>
  <c r="K331"/>
  <c r="J331"/>
  <c r="A331" a="1"/>
  <c r="A331" s="1"/>
  <c r="I331" s="1"/>
  <c r="BG330"/>
  <c r="BF330"/>
  <c r="BE330"/>
  <c r="BD330"/>
  <c r="BC330"/>
  <c r="BB330"/>
  <c r="BA330"/>
  <c r="AZ330"/>
  <c r="AY330"/>
  <c r="AX330"/>
  <c r="AW330"/>
  <c r="AV330"/>
  <c r="AU330"/>
  <c r="AT330"/>
  <c r="AS330"/>
  <c r="AR330"/>
  <c r="AQ330"/>
  <c r="AP330"/>
  <c r="AO330"/>
  <c r="AN330"/>
  <c r="AM330"/>
  <c r="AL330"/>
  <c r="AK330"/>
  <c r="AJ330"/>
  <c r="AI330"/>
  <c r="AH330"/>
  <c r="AG330"/>
  <c r="AF330"/>
  <c r="AE330"/>
  <c r="AD330"/>
  <c r="AC330"/>
  <c r="AB330"/>
  <c r="AA330"/>
  <c r="Z330"/>
  <c r="U330"/>
  <c r="T330"/>
  <c r="Q330"/>
  <c r="P330"/>
  <c r="O330"/>
  <c r="N330"/>
  <c r="M330"/>
  <c r="L330"/>
  <c r="K330"/>
  <c r="J330"/>
  <c r="A330" a="1"/>
  <c r="A330" s="1"/>
  <c r="I330" s="1"/>
  <c r="BG329"/>
  <c r="BF329"/>
  <c r="BE329"/>
  <c r="BD329"/>
  <c r="BC329"/>
  <c r="BB329"/>
  <c r="BA329"/>
  <c r="AZ329"/>
  <c r="AY329"/>
  <c r="AX329"/>
  <c r="AW329"/>
  <c r="AV329"/>
  <c r="AU329"/>
  <c r="AT329"/>
  <c r="AS329"/>
  <c r="AR329"/>
  <c r="AQ329"/>
  <c r="AP329"/>
  <c r="AO329"/>
  <c r="AN329"/>
  <c r="AM329"/>
  <c r="AL329"/>
  <c r="AK329"/>
  <c r="AJ329"/>
  <c r="AI329"/>
  <c r="AH329"/>
  <c r="AG329"/>
  <c r="AF329"/>
  <c r="AE329"/>
  <c r="AD329"/>
  <c r="AC329"/>
  <c r="AB329"/>
  <c r="AA329"/>
  <c r="Z329"/>
  <c r="U329"/>
  <c r="T329"/>
  <c r="Q329"/>
  <c r="P329"/>
  <c r="O329"/>
  <c r="N329"/>
  <c r="M329"/>
  <c r="L329"/>
  <c r="K329"/>
  <c r="J329"/>
  <c r="A329" a="1"/>
  <c r="A329" s="1"/>
  <c r="I329" s="1"/>
  <c r="BG328"/>
  <c r="BF328"/>
  <c r="BE328"/>
  <c r="BD328"/>
  <c r="BC328"/>
  <c r="BB328"/>
  <c r="BA328"/>
  <c r="AZ328"/>
  <c r="AY328"/>
  <c r="AX328"/>
  <c r="AW328"/>
  <c r="AV328"/>
  <c r="AU328"/>
  <c r="AT328"/>
  <c r="AS328"/>
  <c r="AR328"/>
  <c r="AQ328"/>
  <c r="AP328"/>
  <c r="AO328"/>
  <c r="AN328"/>
  <c r="AM328"/>
  <c r="AL328"/>
  <c r="AK328"/>
  <c r="AJ328"/>
  <c r="AI328"/>
  <c r="AH328"/>
  <c r="AG328"/>
  <c r="AF328"/>
  <c r="AE328"/>
  <c r="AD328"/>
  <c r="AC328"/>
  <c r="AB328"/>
  <c r="AA328"/>
  <c r="Z328"/>
  <c r="U328"/>
  <c r="T328"/>
  <c r="Q328"/>
  <c r="P328"/>
  <c r="O328"/>
  <c r="N328"/>
  <c r="M328"/>
  <c r="L328"/>
  <c r="K328"/>
  <c r="J328"/>
  <c r="A328" a="1"/>
  <c r="A328" s="1"/>
  <c r="I328" s="1"/>
  <c r="BG327"/>
  <c r="BF327"/>
  <c r="BE327"/>
  <c r="BD327"/>
  <c r="BC327"/>
  <c r="BB327"/>
  <c r="BA327"/>
  <c r="AZ327"/>
  <c r="AY327"/>
  <c r="AX327"/>
  <c r="AW327"/>
  <c r="AV327"/>
  <c r="AU327"/>
  <c r="AT327"/>
  <c r="AS327"/>
  <c r="AR327"/>
  <c r="AQ327"/>
  <c r="AP327"/>
  <c r="AO327"/>
  <c r="AN327"/>
  <c r="AM327"/>
  <c r="AL327"/>
  <c r="AK327"/>
  <c r="AJ327"/>
  <c r="AI327"/>
  <c r="AH327"/>
  <c r="AG327"/>
  <c r="AF327"/>
  <c r="AE327"/>
  <c r="AD327"/>
  <c r="AC327"/>
  <c r="AB327"/>
  <c r="AA327"/>
  <c r="Z327"/>
  <c r="U327"/>
  <c r="T327"/>
  <c r="Q327"/>
  <c r="P327"/>
  <c r="O327"/>
  <c r="N327"/>
  <c r="M327"/>
  <c r="L327"/>
  <c r="K327"/>
  <c r="J327"/>
  <c r="A327" a="1"/>
  <c r="A327" s="1"/>
  <c r="I327" s="1"/>
  <c r="BG326"/>
  <c r="BF326"/>
  <c r="BE326"/>
  <c r="BD326"/>
  <c r="BC326"/>
  <c r="BB326"/>
  <c r="BA326"/>
  <c r="AZ326"/>
  <c r="AY326"/>
  <c r="AX326"/>
  <c r="AW326"/>
  <c r="AV326"/>
  <c r="AU326"/>
  <c r="AT326"/>
  <c r="AS326"/>
  <c r="AR326"/>
  <c r="AQ326"/>
  <c r="AP326"/>
  <c r="AO326"/>
  <c r="AN326"/>
  <c r="AM326"/>
  <c r="AL326"/>
  <c r="AK326"/>
  <c r="AJ326"/>
  <c r="AI326"/>
  <c r="AH326"/>
  <c r="AG326"/>
  <c r="AF326"/>
  <c r="AE326"/>
  <c r="AD326"/>
  <c r="AC326"/>
  <c r="AB326"/>
  <c r="AA326"/>
  <c r="Z326"/>
  <c r="U326"/>
  <c r="T326"/>
  <c r="Q326"/>
  <c r="P326"/>
  <c r="O326"/>
  <c r="N326"/>
  <c r="M326"/>
  <c r="L326"/>
  <c r="K326"/>
  <c r="J326"/>
  <c r="A326" a="1"/>
  <c r="A326" s="1"/>
  <c r="I326" s="1"/>
  <c r="BG325"/>
  <c r="BF325"/>
  <c r="BE325"/>
  <c r="BD325"/>
  <c r="BC325"/>
  <c r="BB325"/>
  <c r="BA325"/>
  <c r="AZ325"/>
  <c r="AY325"/>
  <c r="AX325"/>
  <c r="AW325"/>
  <c r="AV325"/>
  <c r="AU325"/>
  <c r="AT325"/>
  <c r="AS325"/>
  <c r="AR325"/>
  <c r="AQ325"/>
  <c r="AP325"/>
  <c r="AO325"/>
  <c r="AN325"/>
  <c r="AM325"/>
  <c r="AL325"/>
  <c r="AK325"/>
  <c r="AJ325"/>
  <c r="AI325"/>
  <c r="AH325"/>
  <c r="AG325"/>
  <c r="AF325"/>
  <c r="AE325"/>
  <c r="AD325"/>
  <c r="AC325"/>
  <c r="AB325"/>
  <c r="AA325"/>
  <c r="Z325"/>
  <c r="U325"/>
  <c r="T325"/>
  <c r="Q325"/>
  <c r="P325"/>
  <c r="O325"/>
  <c r="N325"/>
  <c r="M325"/>
  <c r="L325"/>
  <c r="K325"/>
  <c r="J325"/>
  <c r="A325" a="1"/>
  <c r="A325" s="1"/>
  <c r="I325" s="1"/>
  <c r="BG324"/>
  <c r="BF324"/>
  <c r="BE324"/>
  <c r="BD324"/>
  <c r="BC324"/>
  <c r="BB324"/>
  <c r="BA324"/>
  <c r="AZ324"/>
  <c r="AY324"/>
  <c r="AX324"/>
  <c r="AW324"/>
  <c r="AV324"/>
  <c r="AU324"/>
  <c r="AT324"/>
  <c r="AS324"/>
  <c r="AR324"/>
  <c r="AQ324"/>
  <c r="AP324"/>
  <c r="AO324"/>
  <c r="AN324"/>
  <c r="AM324"/>
  <c r="AL324"/>
  <c r="AK324"/>
  <c r="AJ324"/>
  <c r="AI324"/>
  <c r="AH324"/>
  <c r="AG324"/>
  <c r="AF324"/>
  <c r="AE324"/>
  <c r="AD324"/>
  <c r="AC324"/>
  <c r="AB324"/>
  <c r="AA324"/>
  <c r="Z324"/>
  <c r="U324"/>
  <c r="T324"/>
  <c r="Q324"/>
  <c r="P324"/>
  <c r="O324"/>
  <c r="N324"/>
  <c r="M324"/>
  <c r="L324"/>
  <c r="K324"/>
  <c r="J324"/>
  <c r="A324" a="1"/>
  <c r="A324" s="1"/>
  <c r="I324" s="1"/>
  <c r="BG323"/>
  <c r="BF323"/>
  <c r="BE323"/>
  <c r="BD323"/>
  <c r="BC323"/>
  <c r="BB323"/>
  <c r="BA323"/>
  <c r="AZ323"/>
  <c r="AY323"/>
  <c r="AX323"/>
  <c r="AW323"/>
  <c r="AV323"/>
  <c r="AU323"/>
  <c r="AT323"/>
  <c r="AS323"/>
  <c r="AR323"/>
  <c r="AQ323"/>
  <c r="AP323"/>
  <c r="AO323"/>
  <c r="AN323"/>
  <c r="AM323"/>
  <c r="AL323"/>
  <c r="AK323"/>
  <c r="AJ323"/>
  <c r="AI323"/>
  <c r="AH323"/>
  <c r="AG323"/>
  <c r="AF323"/>
  <c r="AE323"/>
  <c r="AD323"/>
  <c r="AC323"/>
  <c r="AB323"/>
  <c r="AA323"/>
  <c r="Z323"/>
  <c r="U323"/>
  <c r="T323"/>
  <c r="Q323"/>
  <c r="P323"/>
  <c r="O323"/>
  <c r="N323"/>
  <c r="M323"/>
  <c r="L323"/>
  <c r="K323"/>
  <c r="J323"/>
  <c r="A323" a="1"/>
  <c r="A323" s="1"/>
  <c r="I323" s="1"/>
  <c r="BG322"/>
  <c r="BF322"/>
  <c r="BE322"/>
  <c r="BD322"/>
  <c r="BC322"/>
  <c r="BB322"/>
  <c r="BA322"/>
  <c r="AZ322"/>
  <c r="AY322"/>
  <c r="AX322"/>
  <c r="AW322"/>
  <c r="AV322"/>
  <c r="AU322"/>
  <c r="AT322"/>
  <c r="AS322"/>
  <c r="AR322"/>
  <c r="AQ322"/>
  <c r="AP322"/>
  <c r="AO322"/>
  <c r="AN322"/>
  <c r="AM322"/>
  <c r="AL322"/>
  <c r="AK322"/>
  <c r="AJ322"/>
  <c r="AI322"/>
  <c r="AH322"/>
  <c r="AG322"/>
  <c r="AF322"/>
  <c r="AE322"/>
  <c r="AD322"/>
  <c r="AC322"/>
  <c r="AB322"/>
  <c r="AA322"/>
  <c r="Z322"/>
  <c r="U322"/>
  <c r="T322"/>
  <c r="Q322"/>
  <c r="P322"/>
  <c r="O322"/>
  <c r="N322"/>
  <c r="M322"/>
  <c r="L322"/>
  <c r="K322"/>
  <c r="J322"/>
  <c r="A322" a="1"/>
  <c r="A322" s="1"/>
  <c r="I322" s="1"/>
  <c r="BG321"/>
  <c r="BF321"/>
  <c r="BE321"/>
  <c r="BD321"/>
  <c r="BC321"/>
  <c r="BB321"/>
  <c r="BA321"/>
  <c r="AZ321"/>
  <c r="AY321"/>
  <c r="AX321"/>
  <c r="AW321"/>
  <c r="AV321"/>
  <c r="AU321"/>
  <c r="AT321"/>
  <c r="AS321"/>
  <c r="AR321"/>
  <c r="AQ321"/>
  <c r="AP321"/>
  <c r="AO321"/>
  <c r="AN321"/>
  <c r="AM321"/>
  <c r="AL321"/>
  <c r="AK321"/>
  <c r="AJ321"/>
  <c r="AI321"/>
  <c r="AH321"/>
  <c r="AG321"/>
  <c r="AF321"/>
  <c r="AE321"/>
  <c r="AD321"/>
  <c r="AC321"/>
  <c r="AB321"/>
  <c r="AA321"/>
  <c r="Z321"/>
  <c r="U321"/>
  <c r="T321"/>
  <c r="Q321"/>
  <c r="P321"/>
  <c r="O321"/>
  <c r="N321"/>
  <c r="M321"/>
  <c r="L321"/>
  <c r="K321"/>
  <c r="J321"/>
  <c r="A321" a="1"/>
  <c r="A321" s="1"/>
  <c r="I321" s="1"/>
  <c r="BG320"/>
  <c r="BF320"/>
  <c r="BE320"/>
  <c r="BD320"/>
  <c r="BC320"/>
  <c r="BB320"/>
  <c r="BA320"/>
  <c r="AZ320"/>
  <c r="AY320"/>
  <c r="AX320"/>
  <c r="AW320"/>
  <c r="AV320"/>
  <c r="AU320"/>
  <c r="AT320"/>
  <c r="AS320"/>
  <c r="AR320"/>
  <c r="AQ320"/>
  <c r="AP320"/>
  <c r="AO320"/>
  <c r="AN320"/>
  <c r="AM320"/>
  <c r="AL320"/>
  <c r="AK320"/>
  <c r="AJ320"/>
  <c r="AI320"/>
  <c r="AH320"/>
  <c r="AG320"/>
  <c r="AF320"/>
  <c r="AE320"/>
  <c r="AD320"/>
  <c r="AC320"/>
  <c r="AB320"/>
  <c r="AA320"/>
  <c r="Z320"/>
  <c r="U320"/>
  <c r="T320"/>
  <c r="Q320"/>
  <c r="P320"/>
  <c r="O320"/>
  <c r="N320"/>
  <c r="M320"/>
  <c r="L320"/>
  <c r="K320"/>
  <c r="J320"/>
  <c r="A320" a="1"/>
  <c r="A320" s="1"/>
  <c r="I320" s="1"/>
  <c r="BG319"/>
  <c r="BF319"/>
  <c r="BE319"/>
  <c r="BD319"/>
  <c r="BC319"/>
  <c r="BB319"/>
  <c r="BA319"/>
  <c r="AZ319"/>
  <c r="AY319"/>
  <c r="AX319"/>
  <c r="AW319"/>
  <c r="AV319"/>
  <c r="AU319"/>
  <c r="AT319"/>
  <c r="AS319"/>
  <c r="AR319"/>
  <c r="AQ319"/>
  <c r="AP319"/>
  <c r="AO319"/>
  <c r="AN319"/>
  <c r="AM319"/>
  <c r="AL319"/>
  <c r="AK319"/>
  <c r="AJ319"/>
  <c r="AI319"/>
  <c r="AH319"/>
  <c r="AG319"/>
  <c r="AF319"/>
  <c r="AE319"/>
  <c r="AD319"/>
  <c r="AC319"/>
  <c r="AB319"/>
  <c r="AA319"/>
  <c r="Z319"/>
  <c r="U319"/>
  <c r="T319"/>
  <c r="Q319"/>
  <c r="P319"/>
  <c r="O319"/>
  <c r="N319"/>
  <c r="M319"/>
  <c r="L319"/>
  <c r="K319"/>
  <c r="J319"/>
  <c r="A319" a="1"/>
  <c r="A319" s="1"/>
  <c r="I319" s="1"/>
  <c r="BG318"/>
  <c r="BF318"/>
  <c r="BE318"/>
  <c r="BD318"/>
  <c r="BC318"/>
  <c r="BB318"/>
  <c r="BA318"/>
  <c r="AZ318"/>
  <c r="AY318"/>
  <c r="AX318"/>
  <c r="AW318"/>
  <c r="AV318"/>
  <c r="AU318"/>
  <c r="AT318"/>
  <c r="AS318"/>
  <c r="AR318"/>
  <c r="AQ318"/>
  <c r="AP318"/>
  <c r="AO318"/>
  <c r="AN318"/>
  <c r="AM318"/>
  <c r="AL318"/>
  <c r="AK318"/>
  <c r="AJ318"/>
  <c r="AI318"/>
  <c r="AH318"/>
  <c r="AG318"/>
  <c r="AF318"/>
  <c r="AE318"/>
  <c r="AD318"/>
  <c r="AC318"/>
  <c r="AB318"/>
  <c r="AA318"/>
  <c r="Z318"/>
  <c r="U318"/>
  <c r="T318"/>
  <c r="Q318"/>
  <c r="P318"/>
  <c r="O318"/>
  <c r="N318"/>
  <c r="M318"/>
  <c r="L318"/>
  <c r="K318"/>
  <c r="J318"/>
  <c r="A318" a="1"/>
  <c r="A318" s="1"/>
  <c r="I318" s="1"/>
  <c r="BG317"/>
  <c r="BF317"/>
  <c r="BE317"/>
  <c r="BD317"/>
  <c r="BC317"/>
  <c r="BB317"/>
  <c r="BA317"/>
  <c r="AZ317"/>
  <c r="AY317"/>
  <c r="AX317"/>
  <c r="AW317"/>
  <c r="AV317"/>
  <c r="AU317"/>
  <c r="AT317"/>
  <c r="AS317"/>
  <c r="AR317"/>
  <c r="AQ317"/>
  <c r="AP317"/>
  <c r="AO317"/>
  <c r="AN317"/>
  <c r="AM317"/>
  <c r="AL317"/>
  <c r="AK317"/>
  <c r="AJ317"/>
  <c r="AI317"/>
  <c r="AH317"/>
  <c r="AG317"/>
  <c r="AF317"/>
  <c r="AE317"/>
  <c r="AD317"/>
  <c r="AC317"/>
  <c r="AB317"/>
  <c r="AA317"/>
  <c r="Z317"/>
  <c r="U317"/>
  <c r="T317"/>
  <c r="Q317"/>
  <c r="P317"/>
  <c r="O317"/>
  <c r="N317"/>
  <c r="M317"/>
  <c r="L317"/>
  <c r="K317"/>
  <c r="J317"/>
  <c r="A317" a="1"/>
  <c r="A317" s="1"/>
  <c r="I317" s="1"/>
  <c r="BG316"/>
  <c r="BF316"/>
  <c r="BE316"/>
  <c r="BD316"/>
  <c r="BC316"/>
  <c r="BB316"/>
  <c r="BA316"/>
  <c r="AZ316"/>
  <c r="AY316"/>
  <c r="AX316"/>
  <c r="AW316"/>
  <c r="AV316"/>
  <c r="AU316"/>
  <c r="AT316"/>
  <c r="AS316"/>
  <c r="AR316"/>
  <c r="AQ316"/>
  <c r="AP316"/>
  <c r="AO316"/>
  <c r="AN316"/>
  <c r="AM316"/>
  <c r="AL316"/>
  <c r="AK316"/>
  <c r="AJ316"/>
  <c r="AI316"/>
  <c r="AH316"/>
  <c r="AG316"/>
  <c r="AF316"/>
  <c r="AE316"/>
  <c r="AD316"/>
  <c r="AC316"/>
  <c r="AB316"/>
  <c r="AA316"/>
  <c r="Z316"/>
  <c r="U316"/>
  <c r="T316"/>
  <c r="Q316"/>
  <c r="P316"/>
  <c r="O316"/>
  <c r="N316"/>
  <c r="M316"/>
  <c r="L316"/>
  <c r="K316"/>
  <c r="J316"/>
  <c r="A316" a="1"/>
  <c r="A316" s="1"/>
  <c r="I316" s="1"/>
  <c r="BG315"/>
  <c r="BF315"/>
  <c r="BE315"/>
  <c r="BD315"/>
  <c r="BC315"/>
  <c r="BB315"/>
  <c r="BA315"/>
  <c r="AZ315"/>
  <c r="AY315"/>
  <c r="AX315"/>
  <c r="AW315"/>
  <c r="AV315"/>
  <c r="AU315"/>
  <c r="AT315"/>
  <c r="AS315"/>
  <c r="AR315"/>
  <c r="AQ315"/>
  <c r="AP315"/>
  <c r="AO315"/>
  <c r="AN315"/>
  <c r="AM315"/>
  <c r="AL315"/>
  <c r="AK315"/>
  <c r="AJ315"/>
  <c r="AI315"/>
  <c r="AH315"/>
  <c r="AG315"/>
  <c r="AF315"/>
  <c r="AE315"/>
  <c r="AD315"/>
  <c r="AC315"/>
  <c r="AB315"/>
  <c r="AA315"/>
  <c r="Z315"/>
  <c r="U315"/>
  <c r="T315"/>
  <c r="Q315"/>
  <c r="P315"/>
  <c r="O315"/>
  <c r="N315"/>
  <c r="M315"/>
  <c r="L315"/>
  <c r="K315"/>
  <c r="J315"/>
  <c r="A315"/>
  <c r="I315" s="1"/>
  <c r="A315" a="1"/>
  <c r="BG314"/>
  <c r="BF314"/>
  <c r="BE314"/>
  <c r="BD314"/>
  <c r="BC314"/>
  <c r="BB314"/>
  <c r="BA314"/>
  <c r="AZ314"/>
  <c r="AY314"/>
  <c r="AX314"/>
  <c r="AW314"/>
  <c r="AV314"/>
  <c r="AU314"/>
  <c r="AT314"/>
  <c r="AS314"/>
  <c r="AR314"/>
  <c r="AQ314"/>
  <c r="AP314"/>
  <c r="AO314"/>
  <c r="AN314"/>
  <c r="AM314"/>
  <c r="AL314"/>
  <c r="AK314"/>
  <c r="AJ314"/>
  <c r="AI314"/>
  <c r="AH314"/>
  <c r="AG314"/>
  <c r="AF314"/>
  <c r="AE314"/>
  <c r="AD314"/>
  <c r="AC314"/>
  <c r="AB314"/>
  <c r="AA314"/>
  <c r="Z314"/>
  <c r="U314"/>
  <c r="T314"/>
  <c r="Q314"/>
  <c r="P314"/>
  <c r="O314"/>
  <c r="N314"/>
  <c r="M314"/>
  <c r="L314"/>
  <c r="K314"/>
  <c r="J314"/>
  <c r="A314" a="1"/>
  <c r="A314" s="1"/>
  <c r="I314" s="1"/>
  <c r="BG313"/>
  <c r="BF313"/>
  <c r="BE313"/>
  <c r="BD313"/>
  <c r="BC313"/>
  <c r="BB313"/>
  <c r="BA313"/>
  <c r="AZ313"/>
  <c r="AY313"/>
  <c r="AX313"/>
  <c r="AW313"/>
  <c r="AV313"/>
  <c r="AU313"/>
  <c r="AT313"/>
  <c r="AS313"/>
  <c r="AR313"/>
  <c r="AQ313"/>
  <c r="AP313"/>
  <c r="AO313"/>
  <c r="AN313"/>
  <c r="AM313"/>
  <c r="AL313"/>
  <c r="AK313"/>
  <c r="AJ313"/>
  <c r="AI313"/>
  <c r="AH313"/>
  <c r="AG313"/>
  <c r="AF313"/>
  <c r="AE313"/>
  <c r="AD313"/>
  <c r="AC313"/>
  <c r="AB313"/>
  <c r="AA313"/>
  <c r="Z313"/>
  <c r="U313"/>
  <c r="T313"/>
  <c r="Q313"/>
  <c r="P313"/>
  <c r="O313"/>
  <c r="N313"/>
  <c r="M313"/>
  <c r="L313"/>
  <c r="K313"/>
  <c r="J313"/>
  <c r="A313" a="1"/>
  <c r="A313" s="1"/>
  <c r="I313" s="1"/>
  <c r="BG312"/>
  <c r="BF312"/>
  <c r="BE312"/>
  <c r="BD312"/>
  <c r="BC312"/>
  <c r="BB312"/>
  <c r="BA312"/>
  <c r="AZ312"/>
  <c r="AY312"/>
  <c r="AX312"/>
  <c r="AW312"/>
  <c r="AV312"/>
  <c r="AU312"/>
  <c r="AT312"/>
  <c r="AS312"/>
  <c r="AR312"/>
  <c r="AQ312"/>
  <c r="AP312"/>
  <c r="AO312"/>
  <c r="AN312"/>
  <c r="AM312"/>
  <c r="AL312"/>
  <c r="AK312"/>
  <c r="AJ312"/>
  <c r="AI312"/>
  <c r="AH312"/>
  <c r="AG312"/>
  <c r="AF312"/>
  <c r="AE312"/>
  <c r="AD312"/>
  <c r="AC312"/>
  <c r="AB312"/>
  <c r="AA312"/>
  <c r="Z312"/>
  <c r="U312"/>
  <c r="T312"/>
  <c r="Q312"/>
  <c r="P312"/>
  <c r="O312"/>
  <c r="N312"/>
  <c r="M312"/>
  <c r="L312"/>
  <c r="K312"/>
  <c r="J312"/>
  <c r="A312" a="1"/>
  <c r="A312" s="1"/>
  <c r="I312" s="1"/>
  <c r="BG311"/>
  <c r="BF311"/>
  <c r="BE311"/>
  <c r="BD311"/>
  <c r="BC311"/>
  <c r="BB311"/>
  <c r="BA311"/>
  <c r="AZ311"/>
  <c r="AY311"/>
  <c r="AX311"/>
  <c r="AW311"/>
  <c r="AV311"/>
  <c r="AU311"/>
  <c r="AT311"/>
  <c r="AS311"/>
  <c r="AR311"/>
  <c r="AQ311"/>
  <c r="AP311"/>
  <c r="AO311"/>
  <c r="AN311"/>
  <c r="AM311"/>
  <c r="AL311"/>
  <c r="AK311"/>
  <c r="AJ311"/>
  <c r="AI311"/>
  <c r="AH311"/>
  <c r="AG311"/>
  <c r="AF311"/>
  <c r="AE311"/>
  <c r="AD311"/>
  <c r="AC311"/>
  <c r="AB311"/>
  <c r="AA311"/>
  <c r="Z311"/>
  <c r="U311"/>
  <c r="T311"/>
  <c r="Q311"/>
  <c r="P311"/>
  <c r="O311"/>
  <c r="N311"/>
  <c r="M311"/>
  <c r="L311"/>
  <c r="K311"/>
  <c r="J311"/>
  <c r="A311" a="1"/>
  <c r="A311" s="1"/>
  <c r="I311" s="1"/>
  <c r="BG310"/>
  <c r="BF310"/>
  <c r="BE310"/>
  <c r="BD310"/>
  <c r="BC310"/>
  <c r="BB310"/>
  <c r="BA310"/>
  <c r="AZ310"/>
  <c r="AY310"/>
  <c r="AX310"/>
  <c r="AW310"/>
  <c r="AV310"/>
  <c r="AU310"/>
  <c r="AT310"/>
  <c r="AS310"/>
  <c r="AR310"/>
  <c r="AQ310"/>
  <c r="AP310"/>
  <c r="AO310"/>
  <c r="AN310"/>
  <c r="AM310"/>
  <c r="AL310"/>
  <c r="AK310"/>
  <c r="AJ310"/>
  <c r="AI310"/>
  <c r="AH310"/>
  <c r="AG310"/>
  <c r="AF310"/>
  <c r="AE310"/>
  <c r="AD310"/>
  <c r="AC310"/>
  <c r="AB310"/>
  <c r="AA310"/>
  <c r="Z310"/>
  <c r="U310"/>
  <c r="T310"/>
  <c r="Q310"/>
  <c r="P310"/>
  <c r="O310"/>
  <c r="N310"/>
  <c r="M310"/>
  <c r="L310"/>
  <c r="K310"/>
  <c r="J310"/>
  <c r="A310" a="1"/>
  <c r="A310" s="1"/>
  <c r="I310" s="1"/>
  <c r="BG309"/>
  <c r="BF309"/>
  <c r="BE309"/>
  <c r="BD309"/>
  <c r="BC309"/>
  <c r="BB309"/>
  <c r="BA309"/>
  <c r="AZ309"/>
  <c r="AY309"/>
  <c r="AX309"/>
  <c r="AW309"/>
  <c r="AV309"/>
  <c r="AU309"/>
  <c r="AT309"/>
  <c r="AS309"/>
  <c r="AR309"/>
  <c r="AQ309"/>
  <c r="AP309"/>
  <c r="AO309"/>
  <c r="AN309"/>
  <c r="AM309"/>
  <c r="AL309"/>
  <c r="AK309"/>
  <c r="AJ309"/>
  <c r="AI309"/>
  <c r="AH309"/>
  <c r="AG309"/>
  <c r="AF309"/>
  <c r="AE309"/>
  <c r="AD309"/>
  <c r="AC309"/>
  <c r="AB309"/>
  <c r="AA309"/>
  <c r="Z309"/>
  <c r="U309"/>
  <c r="T309"/>
  <c r="Q309"/>
  <c r="P309"/>
  <c r="O309"/>
  <c r="N309"/>
  <c r="M309"/>
  <c r="L309"/>
  <c r="K309"/>
  <c r="J309"/>
  <c r="A309" a="1"/>
  <c r="A309" s="1"/>
  <c r="I309" s="1"/>
  <c r="BG308"/>
  <c r="BF308"/>
  <c r="BE308"/>
  <c r="BD308"/>
  <c r="BC308"/>
  <c r="BB308"/>
  <c r="BA308"/>
  <c r="AZ308"/>
  <c r="AY308"/>
  <c r="AX308"/>
  <c r="AW308"/>
  <c r="AV308"/>
  <c r="AU308"/>
  <c r="AT308"/>
  <c r="AS308"/>
  <c r="AR308"/>
  <c r="AQ308"/>
  <c r="AP308"/>
  <c r="AO308"/>
  <c r="AN308"/>
  <c r="AM308"/>
  <c r="AL308"/>
  <c r="AK308"/>
  <c r="AJ308"/>
  <c r="AI308"/>
  <c r="AH308"/>
  <c r="AG308"/>
  <c r="AF308"/>
  <c r="AE308"/>
  <c r="AD308"/>
  <c r="AC308"/>
  <c r="AB308"/>
  <c r="AA308"/>
  <c r="Z308"/>
  <c r="U308"/>
  <c r="T308"/>
  <c r="Q308"/>
  <c r="P308"/>
  <c r="O308"/>
  <c r="N308"/>
  <c r="M308"/>
  <c r="L308"/>
  <c r="K308"/>
  <c r="J308"/>
  <c r="A308" a="1"/>
  <c r="A308" s="1"/>
  <c r="I308" s="1"/>
  <c r="BG307"/>
  <c r="BF307"/>
  <c r="BE307"/>
  <c r="BD307"/>
  <c r="BC307"/>
  <c r="BB307"/>
  <c r="BA307"/>
  <c r="AZ307"/>
  <c r="AY307"/>
  <c r="AX307"/>
  <c r="AW307"/>
  <c r="AV307"/>
  <c r="AU307"/>
  <c r="AT307"/>
  <c r="AS307"/>
  <c r="AR307"/>
  <c r="AQ307"/>
  <c r="AP307"/>
  <c r="AO307"/>
  <c r="AN307"/>
  <c r="AM307"/>
  <c r="AL307"/>
  <c r="AK307"/>
  <c r="AJ307"/>
  <c r="AI307"/>
  <c r="AH307"/>
  <c r="AG307"/>
  <c r="AF307"/>
  <c r="AE307"/>
  <c r="AD307"/>
  <c r="AC307"/>
  <c r="AB307"/>
  <c r="AA307"/>
  <c r="Z307"/>
  <c r="U307"/>
  <c r="T307"/>
  <c r="Q307"/>
  <c r="P307"/>
  <c r="O307"/>
  <c r="N307"/>
  <c r="M307"/>
  <c r="L307"/>
  <c r="K307"/>
  <c r="J307"/>
  <c r="A307" a="1"/>
  <c r="A307" s="1"/>
  <c r="I307" s="1"/>
  <c r="BG306"/>
  <c r="BF306"/>
  <c r="BE306"/>
  <c r="BD306"/>
  <c r="BC306"/>
  <c r="BB306"/>
  <c r="BA306"/>
  <c r="AZ306"/>
  <c r="AY306"/>
  <c r="AX306"/>
  <c r="AW306"/>
  <c r="AV306"/>
  <c r="AU306"/>
  <c r="AT306"/>
  <c r="AS306"/>
  <c r="AR306"/>
  <c r="AQ306"/>
  <c r="AP306"/>
  <c r="AO306"/>
  <c r="AN306"/>
  <c r="AM306"/>
  <c r="AL306"/>
  <c r="AK306"/>
  <c r="AJ306"/>
  <c r="AI306"/>
  <c r="AH306"/>
  <c r="AG306"/>
  <c r="AF306"/>
  <c r="AE306"/>
  <c r="AD306"/>
  <c r="AC306"/>
  <c r="AB306"/>
  <c r="AA306"/>
  <c r="Z306"/>
  <c r="U306"/>
  <c r="T306"/>
  <c r="Q306"/>
  <c r="P306"/>
  <c r="O306"/>
  <c r="N306"/>
  <c r="M306"/>
  <c r="L306"/>
  <c r="K306"/>
  <c r="J306"/>
  <c r="A306" a="1"/>
  <c r="A306" s="1"/>
  <c r="I306" s="1"/>
  <c r="BG305"/>
  <c r="BF305"/>
  <c r="BE305"/>
  <c r="BD305"/>
  <c r="BC305"/>
  <c r="BB305"/>
  <c r="BA305"/>
  <c r="AZ305"/>
  <c r="AY305"/>
  <c r="AX305"/>
  <c r="AW305"/>
  <c r="AV305"/>
  <c r="AU305"/>
  <c r="AT305"/>
  <c r="AS305"/>
  <c r="AR305"/>
  <c r="AQ305"/>
  <c r="AP305"/>
  <c r="AO305"/>
  <c r="AN305"/>
  <c r="AM305"/>
  <c r="AL305"/>
  <c r="AK305"/>
  <c r="AJ305"/>
  <c r="AI305"/>
  <c r="AH305"/>
  <c r="AG305"/>
  <c r="AF305"/>
  <c r="AE305"/>
  <c r="AD305"/>
  <c r="AC305"/>
  <c r="AB305"/>
  <c r="AA305"/>
  <c r="Z305"/>
  <c r="U305"/>
  <c r="T305"/>
  <c r="Q305"/>
  <c r="P305"/>
  <c r="O305"/>
  <c r="N305"/>
  <c r="M305"/>
  <c r="L305"/>
  <c r="K305"/>
  <c r="J305"/>
  <c r="A305" a="1"/>
  <c r="A305" s="1"/>
  <c r="I305" s="1"/>
  <c r="BG304"/>
  <c r="BF304"/>
  <c r="BE304"/>
  <c r="BD304"/>
  <c r="BC304"/>
  <c r="BB304"/>
  <c r="BA304"/>
  <c r="AZ304"/>
  <c r="AY304"/>
  <c r="AX304"/>
  <c r="AW304"/>
  <c r="AV304"/>
  <c r="AU304"/>
  <c r="AT304"/>
  <c r="AS304"/>
  <c r="AR304"/>
  <c r="AQ304"/>
  <c r="AP304"/>
  <c r="AO304"/>
  <c r="AN304"/>
  <c r="AM304"/>
  <c r="AL304"/>
  <c r="AK304"/>
  <c r="AJ304"/>
  <c r="AI304"/>
  <c r="AH304"/>
  <c r="AG304"/>
  <c r="AF304"/>
  <c r="AE304"/>
  <c r="AD304"/>
  <c r="AC304"/>
  <c r="AB304"/>
  <c r="AA304"/>
  <c r="Z304"/>
  <c r="U304"/>
  <c r="T304"/>
  <c r="Q304"/>
  <c r="P304"/>
  <c r="O304"/>
  <c r="N304"/>
  <c r="M304"/>
  <c r="L304"/>
  <c r="K304"/>
  <c r="J304"/>
  <c r="A304" a="1"/>
  <c r="A304" s="1"/>
  <c r="I304" s="1"/>
  <c r="BG303"/>
  <c r="BF303"/>
  <c r="BE303"/>
  <c r="BD303"/>
  <c r="BC303"/>
  <c r="BB303"/>
  <c r="BA303"/>
  <c r="AZ303"/>
  <c r="AY303"/>
  <c r="AX303"/>
  <c r="AW303"/>
  <c r="AV303"/>
  <c r="AU303"/>
  <c r="AT303"/>
  <c r="AS303"/>
  <c r="AR303"/>
  <c r="AQ303"/>
  <c r="AP303"/>
  <c r="AO303"/>
  <c r="AN303"/>
  <c r="AM303"/>
  <c r="AL303"/>
  <c r="AK303"/>
  <c r="AJ303"/>
  <c r="AI303"/>
  <c r="AH303"/>
  <c r="AG303"/>
  <c r="AF303"/>
  <c r="AE303"/>
  <c r="AD303"/>
  <c r="AC303"/>
  <c r="AB303"/>
  <c r="AA303"/>
  <c r="Z303"/>
  <c r="U303"/>
  <c r="T303"/>
  <c r="Q303"/>
  <c r="P303"/>
  <c r="O303"/>
  <c r="N303"/>
  <c r="M303"/>
  <c r="L303"/>
  <c r="K303"/>
  <c r="J303"/>
  <c r="A303" a="1"/>
  <c r="A303" s="1"/>
  <c r="I303" s="1"/>
  <c r="BG302"/>
  <c r="BF302"/>
  <c r="BE302"/>
  <c r="BD302"/>
  <c r="BC302"/>
  <c r="BB302"/>
  <c r="BA302"/>
  <c r="AZ302"/>
  <c r="AY302"/>
  <c r="AX302"/>
  <c r="AW302"/>
  <c r="AV302"/>
  <c r="AU302"/>
  <c r="AT302"/>
  <c r="AS302"/>
  <c r="AR302"/>
  <c r="AQ302"/>
  <c r="AP302"/>
  <c r="AO302"/>
  <c r="AN302"/>
  <c r="AM302"/>
  <c r="AL302"/>
  <c r="AK302"/>
  <c r="AJ302"/>
  <c r="AI302"/>
  <c r="AH302"/>
  <c r="AG302"/>
  <c r="AF302"/>
  <c r="AE302"/>
  <c r="AD302"/>
  <c r="AC302"/>
  <c r="AB302"/>
  <c r="AA302"/>
  <c r="Z302"/>
  <c r="U302"/>
  <c r="T302"/>
  <c r="Q302"/>
  <c r="P302"/>
  <c r="O302"/>
  <c r="N302"/>
  <c r="M302"/>
  <c r="L302"/>
  <c r="K302"/>
  <c r="J302"/>
  <c r="A302" a="1"/>
  <c r="A302" s="1"/>
  <c r="I302" s="1"/>
  <c r="BG301"/>
  <c r="BF301"/>
  <c r="BE301"/>
  <c r="BD301"/>
  <c r="BC301"/>
  <c r="BB301"/>
  <c r="BA301"/>
  <c r="AZ301"/>
  <c r="AY301"/>
  <c r="AX301"/>
  <c r="AW301"/>
  <c r="AV301"/>
  <c r="AU301"/>
  <c r="AT301"/>
  <c r="AS301"/>
  <c r="AR301"/>
  <c r="AQ301"/>
  <c r="AP301"/>
  <c r="AO301"/>
  <c r="AN301"/>
  <c r="AM301"/>
  <c r="AL301"/>
  <c r="AK301"/>
  <c r="AJ301"/>
  <c r="AI301"/>
  <c r="AH301"/>
  <c r="AG301"/>
  <c r="AF301"/>
  <c r="AE301"/>
  <c r="AD301"/>
  <c r="AC301"/>
  <c r="AB301"/>
  <c r="AA301"/>
  <c r="Z301"/>
  <c r="U301"/>
  <c r="T301"/>
  <c r="Q301"/>
  <c r="P301"/>
  <c r="O301"/>
  <c r="N301"/>
  <c r="M301"/>
  <c r="L301"/>
  <c r="K301"/>
  <c r="J301"/>
  <c r="A301" a="1"/>
  <c r="A301" s="1"/>
  <c r="I301" s="1"/>
  <c r="BG300"/>
  <c r="BF300"/>
  <c r="BE300"/>
  <c r="BD300"/>
  <c r="BC300"/>
  <c r="BB300"/>
  <c r="BA300"/>
  <c r="AZ300"/>
  <c r="AY300"/>
  <c r="AX300"/>
  <c r="AW300"/>
  <c r="AV300"/>
  <c r="AU300"/>
  <c r="AT300"/>
  <c r="AS300"/>
  <c r="AR300"/>
  <c r="AQ300"/>
  <c r="AP300"/>
  <c r="AO300"/>
  <c r="AN300"/>
  <c r="AM300"/>
  <c r="AL300"/>
  <c r="AK300"/>
  <c r="AJ300"/>
  <c r="AI300"/>
  <c r="AH300"/>
  <c r="AG300"/>
  <c r="AF300"/>
  <c r="AE300"/>
  <c r="AD300"/>
  <c r="AC300"/>
  <c r="AB300"/>
  <c r="AA300"/>
  <c r="Z300"/>
  <c r="U300"/>
  <c r="T300"/>
  <c r="Q300"/>
  <c r="P300"/>
  <c r="O300"/>
  <c r="N300"/>
  <c r="M300"/>
  <c r="L300"/>
  <c r="K300"/>
  <c r="J300"/>
  <c r="A300" a="1"/>
  <c r="A300" s="1"/>
  <c r="I300" s="1"/>
  <c r="BG299"/>
  <c r="BF299"/>
  <c r="BE299"/>
  <c r="BD299"/>
  <c r="BC299"/>
  <c r="BB299"/>
  <c r="BA299"/>
  <c r="AZ299"/>
  <c r="AY299"/>
  <c r="AX299"/>
  <c r="AW299"/>
  <c r="AV299"/>
  <c r="AU299"/>
  <c r="AT299"/>
  <c r="AS299"/>
  <c r="AR299"/>
  <c r="AQ299"/>
  <c r="AP299"/>
  <c r="AO299"/>
  <c r="AN299"/>
  <c r="AM299"/>
  <c r="AL299"/>
  <c r="AK299"/>
  <c r="AJ299"/>
  <c r="AI299"/>
  <c r="AH299"/>
  <c r="AG299"/>
  <c r="AF299"/>
  <c r="AE299"/>
  <c r="AD299"/>
  <c r="AC299"/>
  <c r="AB299"/>
  <c r="AA299"/>
  <c r="Z299"/>
  <c r="U299"/>
  <c r="T299"/>
  <c r="Q299"/>
  <c r="P299"/>
  <c r="O299"/>
  <c r="N299"/>
  <c r="M299"/>
  <c r="L299"/>
  <c r="K299"/>
  <c r="J299"/>
  <c r="A299" a="1"/>
  <c r="A299" s="1"/>
  <c r="I299" s="1"/>
  <c r="BG298"/>
  <c r="BF298"/>
  <c r="BE298"/>
  <c r="BD298"/>
  <c r="BC298"/>
  <c r="BB298"/>
  <c r="BA298"/>
  <c r="AZ298"/>
  <c r="AY298"/>
  <c r="AX298"/>
  <c r="AW298"/>
  <c r="AV298"/>
  <c r="AU298"/>
  <c r="AT298"/>
  <c r="AS298"/>
  <c r="AR298"/>
  <c r="AQ298"/>
  <c r="AP298"/>
  <c r="AO298"/>
  <c r="AN298"/>
  <c r="AM298"/>
  <c r="AL298"/>
  <c r="AK298"/>
  <c r="AJ298"/>
  <c r="AI298"/>
  <c r="AH298"/>
  <c r="AG298"/>
  <c r="AF298"/>
  <c r="AE298"/>
  <c r="AD298"/>
  <c r="AC298"/>
  <c r="AB298"/>
  <c r="AA298"/>
  <c r="Z298"/>
  <c r="U298"/>
  <c r="T298"/>
  <c r="Q298"/>
  <c r="P298"/>
  <c r="O298"/>
  <c r="N298"/>
  <c r="M298"/>
  <c r="L298"/>
  <c r="K298"/>
  <c r="J298"/>
  <c r="A298" a="1"/>
  <c r="A298" s="1"/>
  <c r="I298" s="1"/>
  <c r="BG297"/>
  <c r="BF297"/>
  <c r="BE297"/>
  <c r="BD297"/>
  <c r="BC297"/>
  <c r="BB297"/>
  <c r="BA297"/>
  <c r="AZ297"/>
  <c r="AY297"/>
  <c r="AX297"/>
  <c r="AW297"/>
  <c r="AV297"/>
  <c r="AU297"/>
  <c r="AT297"/>
  <c r="AS297"/>
  <c r="AR297"/>
  <c r="AQ297"/>
  <c r="AP297"/>
  <c r="AO297"/>
  <c r="AN297"/>
  <c r="AM297"/>
  <c r="AL297"/>
  <c r="AK297"/>
  <c r="AJ297"/>
  <c r="AI297"/>
  <c r="AH297"/>
  <c r="AG297"/>
  <c r="AF297"/>
  <c r="AE297"/>
  <c r="AD297"/>
  <c r="AC297"/>
  <c r="AB297"/>
  <c r="AA297"/>
  <c r="Z297"/>
  <c r="U297"/>
  <c r="T297"/>
  <c r="Q297"/>
  <c r="P297"/>
  <c r="O297"/>
  <c r="N297"/>
  <c r="M297"/>
  <c r="L297"/>
  <c r="K297"/>
  <c r="J297"/>
  <c r="A297" a="1"/>
  <c r="A297" s="1"/>
  <c r="I297" s="1"/>
  <c r="BG296"/>
  <c r="BF296"/>
  <c r="BE296"/>
  <c r="BD296"/>
  <c r="BC296"/>
  <c r="BB296"/>
  <c r="BA296"/>
  <c r="AZ296"/>
  <c r="AY296"/>
  <c r="AX296"/>
  <c r="AW296"/>
  <c r="AV296"/>
  <c r="AU296"/>
  <c r="AT296"/>
  <c r="AS296"/>
  <c r="AR296"/>
  <c r="AQ296"/>
  <c r="AP296"/>
  <c r="AO296"/>
  <c r="AN296"/>
  <c r="AM296"/>
  <c r="AL296"/>
  <c r="AK296"/>
  <c r="AJ296"/>
  <c r="AI296"/>
  <c r="AH296"/>
  <c r="AG296"/>
  <c r="AF296"/>
  <c r="AE296"/>
  <c r="AD296"/>
  <c r="AC296"/>
  <c r="AB296"/>
  <c r="AA296"/>
  <c r="Z296"/>
  <c r="U296"/>
  <c r="T296"/>
  <c r="Q296"/>
  <c r="P296"/>
  <c r="O296"/>
  <c r="N296"/>
  <c r="M296"/>
  <c r="L296"/>
  <c r="K296"/>
  <c r="J296"/>
  <c r="A296" a="1"/>
  <c r="A296" s="1"/>
  <c r="I296" s="1"/>
  <c r="BG295"/>
  <c r="BF295"/>
  <c r="BE295"/>
  <c r="BD295"/>
  <c r="BC295"/>
  <c r="BB295"/>
  <c r="BA295"/>
  <c r="AZ295"/>
  <c r="AY295"/>
  <c r="AX295"/>
  <c r="AW295"/>
  <c r="AV295"/>
  <c r="AU295"/>
  <c r="AT295"/>
  <c r="AS295"/>
  <c r="AR295"/>
  <c r="AQ295"/>
  <c r="AP295"/>
  <c r="AO295"/>
  <c r="AN295"/>
  <c r="AM295"/>
  <c r="AL295"/>
  <c r="AK295"/>
  <c r="AJ295"/>
  <c r="AI295"/>
  <c r="AH295"/>
  <c r="AG295"/>
  <c r="AF295"/>
  <c r="AE295"/>
  <c r="AD295"/>
  <c r="AC295"/>
  <c r="AB295"/>
  <c r="AA295"/>
  <c r="Z295"/>
  <c r="U295"/>
  <c r="T295"/>
  <c r="Q295"/>
  <c r="P295"/>
  <c r="O295"/>
  <c r="N295"/>
  <c r="M295"/>
  <c r="L295"/>
  <c r="K295"/>
  <c r="J295"/>
  <c r="A295" a="1"/>
  <c r="A295" s="1"/>
  <c r="I295" s="1"/>
  <c r="BG294"/>
  <c r="BF294"/>
  <c r="BE294"/>
  <c r="BD294"/>
  <c r="BC294"/>
  <c r="BB294"/>
  <c r="BA294"/>
  <c r="AZ294"/>
  <c r="AY294"/>
  <c r="AX294"/>
  <c r="AW294"/>
  <c r="AV294"/>
  <c r="AU294"/>
  <c r="AT294"/>
  <c r="AS294"/>
  <c r="AR294"/>
  <c r="AQ294"/>
  <c r="AP294"/>
  <c r="AO294"/>
  <c r="AN294"/>
  <c r="AM294"/>
  <c r="AL294"/>
  <c r="AK294"/>
  <c r="AJ294"/>
  <c r="AI294"/>
  <c r="AH294"/>
  <c r="AG294"/>
  <c r="AF294"/>
  <c r="AE294"/>
  <c r="AD294"/>
  <c r="AC294"/>
  <c r="AB294"/>
  <c r="AA294"/>
  <c r="Z294"/>
  <c r="U294"/>
  <c r="T294"/>
  <c r="Q294"/>
  <c r="P294"/>
  <c r="O294"/>
  <c r="N294"/>
  <c r="M294"/>
  <c r="L294"/>
  <c r="K294"/>
  <c r="J294"/>
  <c r="A294" a="1"/>
  <c r="A294" s="1"/>
  <c r="I294" s="1"/>
  <c r="BG293"/>
  <c r="BF293"/>
  <c r="BE293"/>
  <c r="BD293"/>
  <c r="BC293"/>
  <c r="BB293"/>
  <c r="BA293"/>
  <c r="AZ293"/>
  <c r="AY293"/>
  <c r="AX293"/>
  <c r="AW293"/>
  <c r="AV293"/>
  <c r="AU293"/>
  <c r="AT293"/>
  <c r="AS293"/>
  <c r="AR293"/>
  <c r="AQ293"/>
  <c r="AP293"/>
  <c r="AO293"/>
  <c r="AN293"/>
  <c r="AM293"/>
  <c r="AL293"/>
  <c r="AK293"/>
  <c r="AJ293"/>
  <c r="AI293"/>
  <c r="AH293"/>
  <c r="AG293"/>
  <c r="AF293"/>
  <c r="AE293"/>
  <c r="AD293"/>
  <c r="AC293"/>
  <c r="AB293"/>
  <c r="AA293"/>
  <c r="Z293"/>
  <c r="U293"/>
  <c r="T293"/>
  <c r="Q293"/>
  <c r="P293"/>
  <c r="O293"/>
  <c r="N293"/>
  <c r="M293"/>
  <c r="L293"/>
  <c r="K293"/>
  <c r="J293"/>
  <c r="A293" a="1"/>
  <c r="A293" s="1"/>
  <c r="I293" s="1"/>
  <c r="BG292"/>
  <c r="BF292"/>
  <c r="BE292"/>
  <c r="BD292"/>
  <c r="BC292"/>
  <c r="BB292"/>
  <c r="BA292"/>
  <c r="AZ292"/>
  <c r="AY292"/>
  <c r="AX292"/>
  <c r="AW292"/>
  <c r="AV292"/>
  <c r="AU292"/>
  <c r="AT292"/>
  <c r="AS292"/>
  <c r="AR292"/>
  <c r="AQ292"/>
  <c r="AP292"/>
  <c r="AO292"/>
  <c r="AN292"/>
  <c r="AM292"/>
  <c r="AL292"/>
  <c r="AK292"/>
  <c r="AJ292"/>
  <c r="AI292"/>
  <c r="AH292"/>
  <c r="AG292"/>
  <c r="AF292"/>
  <c r="AE292"/>
  <c r="AD292"/>
  <c r="AC292"/>
  <c r="AB292"/>
  <c r="AA292"/>
  <c r="Z292"/>
  <c r="U292"/>
  <c r="T292"/>
  <c r="Q292"/>
  <c r="P292"/>
  <c r="O292"/>
  <c r="N292"/>
  <c r="M292"/>
  <c r="L292"/>
  <c r="K292"/>
  <c r="J292"/>
  <c r="A292" a="1"/>
  <c r="A292" s="1"/>
  <c r="I292" s="1"/>
  <c r="BG291"/>
  <c r="BF291"/>
  <c r="BE291"/>
  <c r="BD291"/>
  <c r="BC291"/>
  <c r="BB291"/>
  <c r="BA291"/>
  <c r="AZ291"/>
  <c r="AY291"/>
  <c r="AX291"/>
  <c r="AW291"/>
  <c r="AV291"/>
  <c r="AU291"/>
  <c r="AT291"/>
  <c r="AS291"/>
  <c r="AR291"/>
  <c r="AQ291"/>
  <c r="AP291"/>
  <c r="AO291"/>
  <c r="AN291"/>
  <c r="AM291"/>
  <c r="AL291"/>
  <c r="AK291"/>
  <c r="AJ291"/>
  <c r="AI291"/>
  <c r="AH291"/>
  <c r="AG291"/>
  <c r="AF291"/>
  <c r="AE291"/>
  <c r="AD291"/>
  <c r="AC291"/>
  <c r="AB291"/>
  <c r="AA291"/>
  <c r="Z291"/>
  <c r="U291"/>
  <c r="T291"/>
  <c r="Q291"/>
  <c r="P291"/>
  <c r="O291"/>
  <c r="N291"/>
  <c r="M291"/>
  <c r="L291"/>
  <c r="K291"/>
  <c r="J291"/>
  <c r="A291" a="1"/>
  <c r="A291" s="1"/>
  <c r="I291" s="1"/>
  <c r="BG290"/>
  <c r="BF290"/>
  <c r="BE290"/>
  <c r="BD290"/>
  <c r="BC290"/>
  <c r="BB290"/>
  <c r="BA290"/>
  <c r="AZ290"/>
  <c r="AY290"/>
  <c r="AX290"/>
  <c r="AW290"/>
  <c r="AV290"/>
  <c r="AU290"/>
  <c r="AT290"/>
  <c r="AS290"/>
  <c r="AR290"/>
  <c r="AQ290"/>
  <c r="AP290"/>
  <c r="AO290"/>
  <c r="AN290"/>
  <c r="AM290"/>
  <c r="AL290"/>
  <c r="AK290"/>
  <c r="AJ290"/>
  <c r="AI290"/>
  <c r="AH290"/>
  <c r="AG290"/>
  <c r="AF290"/>
  <c r="AE290"/>
  <c r="AD290"/>
  <c r="AC290"/>
  <c r="AB290"/>
  <c r="AA290"/>
  <c r="Z290"/>
  <c r="U290"/>
  <c r="T290"/>
  <c r="Q290"/>
  <c r="P290"/>
  <c r="O290"/>
  <c r="N290"/>
  <c r="M290"/>
  <c r="L290"/>
  <c r="K290"/>
  <c r="J290"/>
  <c r="A290" a="1"/>
  <c r="A290" s="1"/>
  <c r="I290" s="1"/>
  <c r="BG289"/>
  <c r="BF289"/>
  <c r="BE289"/>
  <c r="BD289"/>
  <c r="BC289"/>
  <c r="BB289"/>
  <c r="BA289"/>
  <c r="AZ289"/>
  <c r="AY289"/>
  <c r="AX289"/>
  <c r="AW289"/>
  <c r="AV289"/>
  <c r="AU289"/>
  <c r="AT289"/>
  <c r="AS289"/>
  <c r="AR289"/>
  <c r="AQ289"/>
  <c r="AP289"/>
  <c r="AO289"/>
  <c r="AN289"/>
  <c r="AM289"/>
  <c r="AL289"/>
  <c r="AK289"/>
  <c r="AJ289"/>
  <c r="AI289"/>
  <c r="AH289"/>
  <c r="AG289"/>
  <c r="AF289"/>
  <c r="AE289"/>
  <c r="AD289"/>
  <c r="AC289"/>
  <c r="AB289"/>
  <c r="AA289"/>
  <c r="Z289"/>
  <c r="U289"/>
  <c r="T289"/>
  <c r="Q289"/>
  <c r="P289"/>
  <c r="O289"/>
  <c r="N289"/>
  <c r="M289"/>
  <c r="L289"/>
  <c r="K289"/>
  <c r="J289"/>
  <c r="A289" a="1"/>
  <c r="A289" s="1"/>
  <c r="I289" s="1"/>
  <c r="BG288"/>
  <c r="BF288"/>
  <c r="BE288"/>
  <c r="BD288"/>
  <c r="BC288"/>
  <c r="BB288"/>
  <c r="BA288"/>
  <c r="AZ288"/>
  <c r="AY288"/>
  <c r="AX288"/>
  <c r="AW288"/>
  <c r="AV288"/>
  <c r="AU288"/>
  <c r="AT288"/>
  <c r="AS288"/>
  <c r="AR288"/>
  <c r="AQ288"/>
  <c r="AP288"/>
  <c r="AO288"/>
  <c r="AN288"/>
  <c r="AM288"/>
  <c r="AL288"/>
  <c r="AK288"/>
  <c r="AJ288"/>
  <c r="AI288"/>
  <c r="AH288"/>
  <c r="AG288"/>
  <c r="AF288"/>
  <c r="AE288"/>
  <c r="AD288"/>
  <c r="AC288"/>
  <c r="AB288"/>
  <c r="AA288"/>
  <c r="Z288"/>
  <c r="U288"/>
  <c r="T288"/>
  <c r="Q288"/>
  <c r="P288"/>
  <c r="O288"/>
  <c r="N288"/>
  <c r="M288"/>
  <c r="L288"/>
  <c r="K288"/>
  <c r="J288"/>
  <c r="A288" a="1"/>
  <c r="A288" s="1"/>
  <c r="I288" s="1"/>
  <c r="BG287"/>
  <c r="BF287"/>
  <c r="BE287"/>
  <c r="BD287"/>
  <c r="BC287"/>
  <c r="BB287"/>
  <c r="BA287"/>
  <c r="AZ287"/>
  <c r="AY287"/>
  <c r="AX287"/>
  <c r="AW287"/>
  <c r="AV287"/>
  <c r="AU287"/>
  <c r="AT287"/>
  <c r="AS287"/>
  <c r="AR287"/>
  <c r="AQ287"/>
  <c r="AP287"/>
  <c r="AO287"/>
  <c r="AN287"/>
  <c r="AM287"/>
  <c r="AL287"/>
  <c r="AK287"/>
  <c r="AJ287"/>
  <c r="AI287"/>
  <c r="AH287"/>
  <c r="AG287"/>
  <c r="AF287"/>
  <c r="AE287"/>
  <c r="AD287"/>
  <c r="AC287"/>
  <c r="AB287"/>
  <c r="AA287"/>
  <c r="Z287"/>
  <c r="U287"/>
  <c r="T287"/>
  <c r="Q287"/>
  <c r="P287"/>
  <c r="O287"/>
  <c r="N287"/>
  <c r="M287"/>
  <c r="L287"/>
  <c r="K287"/>
  <c r="J287"/>
  <c r="A287" a="1"/>
  <c r="A287" s="1"/>
  <c r="I287" s="1"/>
  <c r="BG286"/>
  <c r="BF286"/>
  <c r="BE286"/>
  <c r="BD286"/>
  <c r="BC286"/>
  <c r="BB286"/>
  <c r="BA286"/>
  <c r="AZ286"/>
  <c r="AY286"/>
  <c r="AX286"/>
  <c r="AW286"/>
  <c r="AV286"/>
  <c r="AU286"/>
  <c r="AT286"/>
  <c r="AS286"/>
  <c r="AR286"/>
  <c r="AQ286"/>
  <c r="AP286"/>
  <c r="AO286"/>
  <c r="AN286"/>
  <c r="AM286"/>
  <c r="AL286"/>
  <c r="AK286"/>
  <c r="AJ286"/>
  <c r="AI286"/>
  <c r="AH286"/>
  <c r="AG286"/>
  <c r="AF286"/>
  <c r="AE286"/>
  <c r="AD286"/>
  <c r="AC286"/>
  <c r="AB286"/>
  <c r="AA286"/>
  <c r="Z286"/>
  <c r="U286"/>
  <c r="T286"/>
  <c r="Q286"/>
  <c r="P286"/>
  <c r="O286"/>
  <c r="N286"/>
  <c r="M286"/>
  <c r="L286"/>
  <c r="K286"/>
  <c r="J286"/>
  <c r="A286" a="1"/>
  <c r="A286" s="1"/>
  <c r="I286" s="1"/>
  <c r="BG285"/>
  <c r="BF285"/>
  <c r="BE285"/>
  <c r="BD285"/>
  <c r="BC285"/>
  <c r="BB285"/>
  <c r="BA285"/>
  <c r="AZ285"/>
  <c r="AY285"/>
  <c r="AX285"/>
  <c r="AW285"/>
  <c r="AV285"/>
  <c r="AU285"/>
  <c r="AT285"/>
  <c r="AS285"/>
  <c r="AR285"/>
  <c r="AQ285"/>
  <c r="AP285"/>
  <c r="AO285"/>
  <c r="AN285"/>
  <c r="AM285"/>
  <c r="AL285"/>
  <c r="AK285"/>
  <c r="AJ285"/>
  <c r="AI285"/>
  <c r="AH285"/>
  <c r="AG285"/>
  <c r="AF285"/>
  <c r="AE285"/>
  <c r="AD285"/>
  <c r="AC285"/>
  <c r="AB285"/>
  <c r="AA285"/>
  <c r="Z285"/>
  <c r="U285"/>
  <c r="T285"/>
  <c r="Q285"/>
  <c r="P285"/>
  <c r="O285"/>
  <c r="N285"/>
  <c r="M285"/>
  <c r="L285"/>
  <c r="K285"/>
  <c r="J285"/>
  <c r="A285" a="1"/>
  <c r="A285" s="1"/>
  <c r="I285" s="1"/>
  <c r="BG284"/>
  <c r="BF284"/>
  <c r="BE284"/>
  <c r="BD284"/>
  <c r="BC284"/>
  <c r="BB284"/>
  <c r="BA284"/>
  <c r="AZ284"/>
  <c r="AY284"/>
  <c r="AX284"/>
  <c r="AW284"/>
  <c r="AV284"/>
  <c r="AU284"/>
  <c r="AT284"/>
  <c r="AS284"/>
  <c r="AR284"/>
  <c r="AQ284"/>
  <c r="AP284"/>
  <c r="AO284"/>
  <c r="AN284"/>
  <c r="AM284"/>
  <c r="AL284"/>
  <c r="AK284"/>
  <c r="AJ284"/>
  <c r="AI284"/>
  <c r="AH284"/>
  <c r="AG284"/>
  <c r="AF284"/>
  <c r="AE284"/>
  <c r="AD284"/>
  <c r="AC284"/>
  <c r="AB284"/>
  <c r="AA284"/>
  <c r="Z284"/>
  <c r="U284"/>
  <c r="T284"/>
  <c r="Q284"/>
  <c r="P284"/>
  <c r="O284"/>
  <c r="N284"/>
  <c r="M284"/>
  <c r="L284"/>
  <c r="K284"/>
  <c r="J284"/>
  <c r="A284" a="1"/>
  <c r="A284" s="1"/>
  <c r="I284" s="1"/>
  <c r="BG283"/>
  <c r="BF283"/>
  <c r="BE283"/>
  <c r="BD283"/>
  <c r="BC283"/>
  <c r="BB283"/>
  <c r="BA283"/>
  <c r="AZ283"/>
  <c r="AY283"/>
  <c r="AX283"/>
  <c r="AW283"/>
  <c r="AV283"/>
  <c r="AU283"/>
  <c r="AT283"/>
  <c r="AS283"/>
  <c r="AR283"/>
  <c r="AQ283"/>
  <c r="AP283"/>
  <c r="AO283"/>
  <c r="AN283"/>
  <c r="AM283"/>
  <c r="AL283"/>
  <c r="AK283"/>
  <c r="AJ283"/>
  <c r="AI283"/>
  <c r="AH283"/>
  <c r="AG283"/>
  <c r="AF283"/>
  <c r="AE283"/>
  <c r="AD283"/>
  <c r="AC283"/>
  <c r="AB283"/>
  <c r="AA283"/>
  <c r="Z283"/>
  <c r="U283"/>
  <c r="T283"/>
  <c r="Q283"/>
  <c r="P283"/>
  <c r="O283"/>
  <c r="N283"/>
  <c r="M283"/>
  <c r="L283"/>
  <c r="K283"/>
  <c r="J283"/>
  <c r="A283"/>
  <c r="I283" s="1"/>
  <c r="A283" a="1"/>
  <c r="BG282"/>
  <c r="BF282"/>
  <c r="BE282"/>
  <c r="BD282"/>
  <c r="BC282"/>
  <c r="BB282"/>
  <c r="BA282"/>
  <c r="AZ282"/>
  <c r="AY282"/>
  <c r="AX282"/>
  <c r="AW282"/>
  <c r="AV282"/>
  <c r="AU282"/>
  <c r="AT282"/>
  <c r="AS282"/>
  <c r="AR282"/>
  <c r="AQ282"/>
  <c r="AP282"/>
  <c r="AO282"/>
  <c r="AN282"/>
  <c r="AM282"/>
  <c r="AL282"/>
  <c r="AK282"/>
  <c r="AJ282"/>
  <c r="AI282"/>
  <c r="AH282"/>
  <c r="AG282"/>
  <c r="AF282"/>
  <c r="AE282"/>
  <c r="AD282"/>
  <c r="AC282"/>
  <c r="AB282"/>
  <c r="AA282"/>
  <c r="Z282"/>
  <c r="U282"/>
  <c r="T282"/>
  <c r="Q282"/>
  <c r="P282"/>
  <c r="O282"/>
  <c r="N282"/>
  <c r="M282"/>
  <c r="L282"/>
  <c r="K282"/>
  <c r="J282"/>
  <c r="A282" a="1"/>
  <c r="A282" s="1"/>
  <c r="I282" s="1"/>
  <c r="BG281"/>
  <c r="BF281"/>
  <c r="BE281"/>
  <c r="BD281"/>
  <c r="BC281"/>
  <c r="BB281"/>
  <c r="BA281"/>
  <c r="AZ281"/>
  <c r="AY281"/>
  <c r="AX281"/>
  <c r="AW281"/>
  <c r="AV281"/>
  <c r="AU281"/>
  <c r="AT281"/>
  <c r="AS281"/>
  <c r="AR281"/>
  <c r="AQ281"/>
  <c r="AP281"/>
  <c r="AO281"/>
  <c r="AN281"/>
  <c r="AM281"/>
  <c r="AL281"/>
  <c r="AK281"/>
  <c r="AJ281"/>
  <c r="AI281"/>
  <c r="AH281"/>
  <c r="AG281"/>
  <c r="AF281"/>
  <c r="AE281"/>
  <c r="AD281"/>
  <c r="AC281"/>
  <c r="AB281"/>
  <c r="AA281"/>
  <c r="Z281"/>
  <c r="U281"/>
  <c r="T281"/>
  <c r="Q281"/>
  <c r="P281"/>
  <c r="O281"/>
  <c r="N281"/>
  <c r="M281"/>
  <c r="L281"/>
  <c r="K281"/>
  <c r="J281"/>
  <c r="A281" a="1"/>
  <c r="A281" s="1"/>
  <c r="I281" s="1"/>
  <c r="BG280"/>
  <c r="BF280"/>
  <c r="BE280"/>
  <c r="BD280"/>
  <c r="BC280"/>
  <c r="BB280"/>
  <c r="BA280"/>
  <c r="AZ280"/>
  <c r="AY280"/>
  <c r="AX280"/>
  <c r="AW280"/>
  <c r="AV280"/>
  <c r="AU280"/>
  <c r="AT280"/>
  <c r="AS280"/>
  <c r="AR280"/>
  <c r="AQ280"/>
  <c r="AP280"/>
  <c r="AO280"/>
  <c r="AN280"/>
  <c r="AM280"/>
  <c r="AL280"/>
  <c r="AK280"/>
  <c r="AJ280"/>
  <c r="AI280"/>
  <c r="AH280"/>
  <c r="AG280"/>
  <c r="AF280"/>
  <c r="AE280"/>
  <c r="AD280"/>
  <c r="AC280"/>
  <c r="AB280"/>
  <c r="AA280"/>
  <c r="Z280"/>
  <c r="U280"/>
  <c r="T280"/>
  <c r="Q280"/>
  <c r="P280"/>
  <c r="O280"/>
  <c r="N280"/>
  <c r="M280"/>
  <c r="L280"/>
  <c r="K280"/>
  <c r="J280"/>
  <c r="A280" a="1"/>
  <c r="A280" s="1"/>
  <c r="I280" s="1"/>
  <c r="BG279"/>
  <c r="BF279"/>
  <c r="BE279"/>
  <c r="BD279"/>
  <c r="BC279"/>
  <c r="BB279"/>
  <c r="BA279"/>
  <c r="AZ279"/>
  <c r="AY279"/>
  <c r="AX279"/>
  <c r="AW279"/>
  <c r="AV279"/>
  <c r="AU279"/>
  <c r="AT279"/>
  <c r="AS279"/>
  <c r="AR279"/>
  <c r="AQ279"/>
  <c r="AP279"/>
  <c r="AO279"/>
  <c r="AN279"/>
  <c r="AM279"/>
  <c r="AL279"/>
  <c r="AK279"/>
  <c r="AJ279"/>
  <c r="AI279"/>
  <c r="AH279"/>
  <c r="AG279"/>
  <c r="AF279"/>
  <c r="AE279"/>
  <c r="AD279"/>
  <c r="AC279"/>
  <c r="AB279"/>
  <c r="AA279"/>
  <c r="Z279"/>
  <c r="U279"/>
  <c r="T279"/>
  <c r="Q279"/>
  <c r="P279"/>
  <c r="O279"/>
  <c r="N279"/>
  <c r="M279"/>
  <c r="L279"/>
  <c r="K279"/>
  <c r="J279"/>
  <c r="A279" a="1"/>
  <c r="A279" s="1"/>
  <c r="I279" s="1"/>
  <c r="BG278"/>
  <c r="BF278"/>
  <c r="BE278"/>
  <c r="BD278"/>
  <c r="BC278"/>
  <c r="BB278"/>
  <c r="BA278"/>
  <c r="AZ278"/>
  <c r="AY278"/>
  <c r="AX278"/>
  <c r="AW278"/>
  <c r="AV278"/>
  <c r="AU278"/>
  <c r="AT278"/>
  <c r="AS278"/>
  <c r="AR278"/>
  <c r="AQ278"/>
  <c r="AP278"/>
  <c r="AO278"/>
  <c r="AN278"/>
  <c r="AM278"/>
  <c r="AL278"/>
  <c r="AK278"/>
  <c r="AJ278"/>
  <c r="AI278"/>
  <c r="AH278"/>
  <c r="AG278"/>
  <c r="AF278"/>
  <c r="AE278"/>
  <c r="AD278"/>
  <c r="AC278"/>
  <c r="AB278"/>
  <c r="AA278"/>
  <c r="Z278"/>
  <c r="U278"/>
  <c r="T278"/>
  <c r="Q278"/>
  <c r="P278"/>
  <c r="O278"/>
  <c r="N278"/>
  <c r="M278"/>
  <c r="L278"/>
  <c r="K278"/>
  <c r="J278"/>
  <c r="A278" a="1"/>
  <c r="A278" s="1"/>
  <c r="I278" s="1"/>
  <c r="BG277"/>
  <c r="BF277"/>
  <c r="BE277"/>
  <c r="BD277"/>
  <c r="BC277"/>
  <c r="BB277"/>
  <c r="BA277"/>
  <c r="AZ277"/>
  <c r="AY277"/>
  <c r="AX277"/>
  <c r="AW277"/>
  <c r="AV277"/>
  <c r="AU277"/>
  <c r="AT277"/>
  <c r="AS277"/>
  <c r="AR277"/>
  <c r="AQ277"/>
  <c r="AP277"/>
  <c r="AO277"/>
  <c r="AN277"/>
  <c r="AM277"/>
  <c r="AL277"/>
  <c r="AK277"/>
  <c r="AJ277"/>
  <c r="AI277"/>
  <c r="AH277"/>
  <c r="AG277"/>
  <c r="AF277"/>
  <c r="AE277"/>
  <c r="AD277"/>
  <c r="AC277"/>
  <c r="AB277"/>
  <c r="AA277"/>
  <c r="Z277"/>
  <c r="U277"/>
  <c r="T277"/>
  <c r="Q277"/>
  <c r="P277"/>
  <c r="O277"/>
  <c r="N277"/>
  <c r="M277"/>
  <c r="L277"/>
  <c r="K277"/>
  <c r="J277"/>
  <c r="A277" a="1"/>
  <c r="A277" s="1"/>
  <c r="I277" s="1"/>
  <c r="BG276"/>
  <c r="BF276"/>
  <c r="BE276"/>
  <c r="BD276"/>
  <c r="BC276"/>
  <c r="BB276"/>
  <c r="BA276"/>
  <c r="AZ276"/>
  <c r="AY276"/>
  <c r="AX276"/>
  <c r="AW276"/>
  <c r="AV276"/>
  <c r="AU276"/>
  <c r="AT276"/>
  <c r="AS276"/>
  <c r="AR276"/>
  <c r="AQ276"/>
  <c r="AP276"/>
  <c r="AO276"/>
  <c r="AN276"/>
  <c r="AM276"/>
  <c r="AL276"/>
  <c r="AK276"/>
  <c r="AJ276"/>
  <c r="AI276"/>
  <c r="AH276"/>
  <c r="AG276"/>
  <c r="AF276"/>
  <c r="AE276"/>
  <c r="AD276"/>
  <c r="AC276"/>
  <c r="AB276"/>
  <c r="AA276"/>
  <c r="Z276"/>
  <c r="U276"/>
  <c r="T276"/>
  <c r="Q276"/>
  <c r="P276"/>
  <c r="O276"/>
  <c r="N276"/>
  <c r="M276"/>
  <c r="L276"/>
  <c r="K276"/>
  <c r="J276"/>
  <c r="A276" a="1"/>
  <c r="A276" s="1"/>
  <c r="I276" s="1"/>
  <c r="BG275"/>
  <c r="BF275"/>
  <c r="BE275"/>
  <c r="BD275"/>
  <c r="BC275"/>
  <c r="BB275"/>
  <c r="BA275"/>
  <c r="AZ275"/>
  <c r="AY275"/>
  <c r="AX275"/>
  <c r="AW275"/>
  <c r="AV275"/>
  <c r="AU275"/>
  <c r="AT275"/>
  <c r="AS275"/>
  <c r="AR275"/>
  <c r="AQ275"/>
  <c r="AP275"/>
  <c r="AO275"/>
  <c r="AN275"/>
  <c r="AM275"/>
  <c r="AL275"/>
  <c r="AK275"/>
  <c r="AJ275"/>
  <c r="AI275"/>
  <c r="AH275"/>
  <c r="AG275"/>
  <c r="AF275"/>
  <c r="AE275"/>
  <c r="AD275"/>
  <c r="AC275"/>
  <c r="AB275"/>
  <c r="AA275"/>
  <c r="Z275"/>
  <c r="U275"/>
  <c r="T275"/>
  <c r="Q275"/>
  <c r="P275"/>
  <c r="O275"/>
  <c r="N275"/>
  <c r="M275"/>
  <c r="L275"/>
  <c r="K275"/>
  <c r="J275"/>
  <c r="A275" a="1"/>
  <c r="A275" s="1"/>
  <c r="I275" s="1"/>
  <c r="BG274"/>
  <c r="BF274"/>
  <c r="BE274"/>
  <c r="BD274"/>
  <c r="BC274"/>
  <c r="BB274"/>
  <c r="BA274"/>
  <c r="AZ274"/>
  <c r="AY274"/>
  <c r="AX274"/>
  <c r="AW274"/>
  <c r="AV274"/>
  <c r="AU274"/>
  <c r="AT274"/>
  <c r="AS274"/>
  <c r="AR274"/>
  <c r="AQ274"/>
  <c r="AP274"/>
  <c r="AO274"/>
  <c r="AN274"/>
  <c r="AM274"/>
  <c r="AL274"/>
  <c r="AK274"/>
  <c r="AJ274"/>
  <c r="AI274"/>
  <c r="AH274"/>
  <c r="AG274"/>
  <c r="AF274"/>
  <c r="AE274"/>
  <c r="AD274"/>
  <c r="AC274"/>
  <c r="AB274"/>
  <c r="AA274"/>
  <c r="Z274"/>
  <c r="U274"/>
  <c r="T274"/>
  <c r="Q274"/>
  <c r="P274"/>
  <c r="O274"/>
  <c r="N274"/>
  <c r="M274"/>
  <c r="L274"/>
  <c r="K274"/>
  <c r="J274"/>
  <c r="A274" a="1"/>
  <c r="A274" s="1"/>
  <c r="I274" s="1"/>
  <c r="BG273"/>
  <c r="BF273"/>
  <c r="BE273"/>
  <c r="BD273"/>
  <c r="BC273"/>
  <c r="BB273"/>
  <c r="BA273"/>
  <c r="AZ273"/>
  <c r="AY273"/>
  <c r="AX273"/>
  <c r="AW273"/>
  <c r="AV273"/>
  <c r="AU273"/>
  <c r="AT273"/>
  <c r="AS273"/>
  <c r="AR273"/>
  <c r="AQ273"/>
  <c r="AP273"/>
  <c r="AO273"/>
  <c r="AN273"/>
  <c r="AM273"/>
  <c r="AL273"/>
  <c r="AK273"/>
  <c r="AJ273"/>
  <c r="AI273"/>
  <c r="AH273"/>
  <c r="AG273"/>
  <c r="AF273"/>
  <c r="AE273"/>
  <c r="AD273"/>
  <c r="AC273"/>
  <c r="AB273"/>
  <c r="AA273"/>
  <c r="Z273"/>
  <c r="U273"/>
  <c r="T273"/>
  <c r="Q273"/>
  <c r="P273"/>
  <c r="O273"/>
  <c r="N273"/>
  <c r="M273"/>
  <c r="L273"/>
  <c r="K273"/>
  <c r="J273"/>
  <c r="A273" a="1"/>
  <c r="A273" s="1"/>
  <c r="I273" s="1"/>
  <c r="BG272"/>
  <c r="BF272"/>
  <c r="BE272"/>
  <c r="BD272"/>
  <c r="BC272"/>
  <c r="BB272"/>
  <c r="BA272"/>
  <c r="AZ272"/>
  <c r="AY272"/>
  <c r="AX272"/>
  <c r="AW272"/>
  <c r="AV272"/>
  <c r="AU272"/>
  <c r="AT272"/>
  <c r="AS272"/>
  <c r="AR272"/>
  <c r="AQ272"/>
  <c r="AP272"/>
  <c r="AO272"/>
  <c r="AN272"/>
  <c r="AM272"/>
  <c r="AL272"/>
  <c r="AK272"/>
  <c r="AJ272"/>
  <c r="AI272"/>
  <c r="AH272"/>
  <c r="AG272"/>
  <c r="AF272"/>
  <c r="AE272"/>
  <c r="AD272"/>
  <c r="AC272"/>
  <c r="AB272"/>
  <c r="AA272"/>
  <c r="Z272"/>
  <c r="U272"/>
  <c r="T272"/>
  <c r="Q272"/>
  <c r="P272"/>
  <c r="O272"/>
  <c r="N272"/>
  <c r="M272"/>
  <c r="L272"/>
  <c r="K272"/>
  <c r="J272"/>
  <c r="A272" a="1"/>
  <c r="A272" s="1"/>
  <c r="I272" s="1"/>
  <c r="BG271"/>
  <c r="BF271"/>
  <c r="BE271"/>
  <c r="BD271"/>
  <c r="BC271"/>
  <c r="BB271"/>
  <c r="BA271"/>
  <c r="AZ271"/>
  <c r="AY271"/>
  <c r="AX271"/>
  <c r="AW271"/>
  <c r="AV271"/>
  <c r="AU271"/>
  <c r="AT271"/>
  <c r="AS271"/>
  <c r="AR271"/>
  <c r="AQ271"/>
  <c r="AP271"/>
  <c r="AO271"/>
  <c r="AN271"/>
  <c r="AM271"/>
  <c r="AL271"/>
  <c r="AK271"/>
  <c r="AJ271"/>
  <c r="AI271"/>
  <c r="AH271"/>
  <c r="AG271"/>
  <c r="AF271"/>
  <c r="AE271"/>
  <c r="AD271"/>
  <c r="AC271"/>
  <c r="AB271"/>
  <c r="AA271"/>
  <c r="Z271"/>
  <c r="U271"/>
  <c r="T271"/>
  <c r="Q271"/>
  <c r="P271"/>
  <c r="O271"/>
  <c r="N271"/>
  <c r="M271"/>
  <c r="L271"/>
  <c r="K271"/>
  <c r="J271"/>
  <c r="A271" a="1"/>
  <c r="A271" s="1"/>
  <c r="I271" s="1"/>
  <c r="BG270"/>
  <c r="BF270"/>
  <c r="BE270"/>
  <c r="BD270"/>
  <c r="BC270"/>
  <c r="BB270"/>
  <c r="BA270"/>
  <c r="AZ270"/>
  <c r="AY270"/>
  <c r="AX270"/>
  <c r="AW270"/>
  <c r="AV270"/>
  <c r="AU270"/>
  <c r="AT270"/>
  <c r="AS270"/>
  <c r="AR270"/>
  <c r="AQ270"/>
  <c r="AP270"/>
  <c r="AO270"/>
  <c r="AN270"/>
  <c r="AM270"/>
  <c r="AL270"/>
  <c r="AK270"/>
  <c r="AJ270"/>
  <c r="AI270"/>
  <c r="AH270"/>
  <c r="AG270"/>
  <c r="AF270"/>
  <c r="AE270"/>
  <c r="AD270"/>
  <c r="AC270"/>
  <c r="AB270"/>
  <c r="AA270"/>
  <c r="Z270"/>
  <c r="U270"/>
  <c r="T270"/>
  <c r="Q270"/>
  <c r="P270"/>
  <c r="O270"/>
  <c r="N270"/>
  <c r="M270"/>
  <c r="L270"/>
  <c r="K270"/>
  <c r="J270"/>
  <c r="A270" a="1"/>
  <c r="A270" s="1"/>
  <c r="I270" s="1"/>
  <c r="BG269"/>
  <c r="BF269"/>
  <c r="BE269"/>
  <c r="BD269"/>
  <c r="BC269"/>
  <c r="BB269"/>
  <c r="BA269"/>
  <c r="AZ269"/>
  <c r="AY269"/>
  <c r="AX269"/>
  <c r="AW269"/>
  <c r="AV269"/>
  <c r="AU269"/>
  <c r="AT269"/>
  <c r="AS269"/>
  <c r="AR269"/>
  <c r="AQ269"/>
  <c r="AP269"/>
  <c r="AO269"/>
  <c r="AN269"/>
  <c r="AM269"/>
  <c r="AL269"/>
  <c r="AK269"/>
  <c r="AJ269"/>
  <c r="AI269"/>
  <c r="AH269"/>
  <c r="AG269"/>
  <c r="AF269"/>
  <c r="AE269"/>
  <c r="AD269"/>
  <c r="AC269"/>
  <c r="AB269"/>
  <c r="AA269"/>
  <c r="Z269"/>
  <c r="U269"/>
  <c r="T269"/>
  <c r="Q269"/>
  <c r="P269"/>
  <c r="O269"/>
  <c r="N269"/>
  <c r="M269"/>
  <c r="L269"/>
  <c r="K269"/>
  <c r="J269"/>
  <c r="A269" a="1"/>
  <c r="A269" s="1"/>
  <c r="I269" s="1"/>
  <c r="BG268"/>
  <c r="BF268"/>
  <c r="BE268"/>
  <c r="BD268"/>
  <c r="BC268"/>
  <c r="BB268"/>
  <c r="BA268"/>
  <c r="AZ268"/>
  <c r="AY268"/>
  <c r="AX268"/>
  <c r="AW268"/>
  <c r="AV268"/>
  <c r="AU268"/>
  <c r="AT268"/>
  <c r="AS268"/>
  <c r="AR268"/>
  <c r="AQ268"/>
  <c r="AP268"/>
  <c r="AO268"/>
  <c r="AN268"/>
  <c r="AM268"/>
  <c r="AL268"/>
  <c r="AK268"/>
  <c r="AJ268"/>
  <c r="AI268"/>
  <c r="AH268"/>
  <c r="AG268"/>
  <c r="AF268"/>
  <c r="AE268"/>
  <c r="AD268"/>
  <c r="AC268"/>
  <c r="AB268"/>
  <c r="AA268"/>
  <c r="Z268"/>
  <c r="U268"/>
  <c r="T268"/>
  <c r="Q268"/>
  <c r="P268"/>
  <c r="O268"/>
  <c r="N268"/>
  <c r="M268"/>
  <c r="L268"/>
  <c r="K268"/>
  <c r="J268"/>
  <c r="A268" a="1"/>
  <c r="A268" s="1"/>
  <c r="I268" s="1"/>
  <c r="BG267"/>
  <c r="BF267"/>
  <c r="BE267"/>
  <c r="BD267"/>
  <c r="BC267"/>
  <c r="BB267"/>
  <c r="BA267"/>
  <c r="AZ267"/>
  <c r="AY267"/>
  <c r="AX267"/>
  <c r="AW267"/>
  <c r="AV267"/>
  <c r="AU267"/>
  <c r="AT267"/>
  <c r="AS267"/>
  <c r="AR267"/>
  <c r="AQ267"/>
  <c r="AP267"/>
  <c r="AO267"/>
  <c r="AN267"/>
  <c r="AM267"/>
  <c r="AL267"/>
  <c r="AK267"/>
  <c r="AJ267"/>
  <c r="AI267"/>
  <c r="AH267"/>
  <c r="AG267"/>
  <c r="AF267"/>
  <c r="AE267"/>
  <c r="AD267"/>
  <c r="AC267"/>
  <c r="AB267"/>
  <c r="AA267"/>
  <c r="Z267"/>
  <c r="U267"/>
  <c r="T267"/>
  <c r="Q267"/>
  <c r="P267"/>
  <c r="O267"/>
  <c r="N267"/>
  <c r="M267"/>
  <c r="L267"/>
  <c r="K267"/>
  <c r="J267"/>
  <c r="A267" a="1"/>
  <c r="A267" s="1"/>
  <c r="I267" s="1"/>
  <c r="BG266"/>
  <c r="BF266"/>
  <c r="BE266"/>
  <c r="BD266"/>
  <c r="BC266"/>
  <c r="BB266"/>
  <c r="BA266"/>
  <c r="AZ266"/>
  <c r="AY266"/>
  <c r="AX266"/>
  <c r="AW266"/>
  <c r="AV266"/>
  <c r="AU266"/>
  <c r="AT266"/>
  <c r="AS266"/>
  <c r="AR266"/>
  <c r="AQ266"/>
  <c r="AP266"/>
  <c r="AO266"/>
  <c r="AN266"/>
  <c r="AM266"/>
  <c r="AL266"/>
  <c r="AK266"/>
  <c r="AJ266"/>
  <c r="AI266"/>
  <c r="AH266"/>
  <c r="AG266"/>
  <c r="AF266"/>
  <c r="AE266"/>
  <c r="AD266"/>
  <c r="AC266"/>
  <c r="AB266"/>
  <c r="AA266"/>
  <c r="Z266"/>
  <c r="U266"/>
  <c r="T266"/>
  <c r="Q266"/>
  <c r="P266"/>
  <c r="O266"/>
  <c r="N266"/>
  <c r="M266"/>
  <c r="L266"/>
  <c r="K266"/>
  <c r="J266"/>
  <c r="A266" a="1"/>
  <c r="A266" s="1"/>
  <c r="I266" s="1"/>
  <c r="BG265"/>
  <c r="BF265"/>
  <c r="BE265"/>
  <c r="BD265"/>
  <c r="BC265"/>
  <c r="BB265"/>
  <c r="BA265"/>
  <c r="AZ265"/>
  <c r="AY265"/>
  <c r="AX265"/>
  <c r="AW265"/>
  <c r="AV265"/>
  <c r="AU265"/>
  <c r="AT265"/>
  <c r="AS265"/>
  <c r="AR265"/>
  <c r="AQ265"/>
  <c r="AP265"/>
  <c r="AO265"/>
  <c r="AN265"/>
  <c r="AM265"/>
  <c r="AL265"/>
  <c r="AK265"/>
  <c r="AJ265"/>
  <c r="AI265"/>
  <c r="AH265"/>
  <c r="AG265"/>
  <c r="AF265"/>
  <c r="AE265"/>
  <c r="AD265"/>
  <c r="AC265"/>
  <c r="AB265"/>
  <c r="AA265"/>
  <c r="Z265"/>
  <c r="U265"/>
  <c r="T265"/>
  <c r="Q265"/>
  <c r="P265"/>
  <c r="O265"/>
  <c r="N265"/>
  <c r="M265"/>
  <c r="L265"/>
  <c r="K265"/>
  <c r="J265"/>
  <c r="A265" a="1"/>
  <c r="A265" s="1"/>
  <c r="I265" s="1"/>
  <c r="BG264"/>
  <c r="BF264"/>
  <c r="BE264"/>
  <c r="BD264"/>
  <c r="BC264"/>
  <c r="BB264"/>
  <c r="BA264"/>
  <c r="AZ264"/>
  <c r="AY264"/>
  <c r="AX264"/>
  <c r="AW264"/>
  <c r="AV264"/>
  <c r="AU264"/>
  <c r="AT264"/>
  <c r="AS264"/>
  <c r="AR264"/>
  <c r="AQ264"/>
  <c r="AP264"/>
  <c r="AO264"/>
  <c r="AN264"/>
  <c r="AM264"/>
  <c r="AL264"/>
  <c r="AK264"/>
  <c r="AJ264"/>
  <c r="AI264"/>
  <c r="AH264"/>
  <c r="AG264"/>
  <c r="AF264"/>
  <c r="AE264"/>
  <c r="AD264"/>
  <c r="AC264"/>
  <c r="AB264"/>
  <c r="AA264"/>
  <c r="Z264"/>
  <c r="U264"/>
  <c r="T264"/>
  <c r="Q264"/>
  <c r="P264"/>
  <c r="O264"/>
  <c r="N264"/>
  <c r="M264"/>
  <c r="L264"/>
  <c r="K264"/>
  <c r="J264"/>
  <c r="A264" a="1"/>
  <c r="A264" s="1"/>
  <c r="I264" s="1"/>
  <c r="BG263"/>
  <c r="BF263"/>
  <c r="BE263"/>
  <c r="BD263"/>
  <c r="BC263"/>
  <c r="BB263"/>
  <c r="BA263"/>
  <c r="AZ263"/>
  <c r="AY263"/>
  <c r="AX263"/>
  <c r="AW263"/>
  <c r="AV263"/>
  <c r="AU263"/>
  <c r="AT263"/>
  <c r="AS263"/>
  <c r="AR263"/>
  <c r="AQ263"/>
  <c r="AP263"/>
  <c r="AO263"/>
  <c r="AN263"/>
  <c r="AM263"/>
  <c r="AL263"/>
  <c r="AK263"/>
  <c r="AJ263"/>
  <c r="AI263"/>
  <c r="AH263"/>
  <c r="AG263"/>
  <c r="AF263"/>
  <c r="AE263"/>
  <c r="AD263"/>
  <c r="AC263"/>
  <c r="AB263"/>
  <c r="AA263"/>
  <c r="Z263"/>
  <c r="U263"/>
  <c r="T263"/>
  <c r="Q263"/>
  <c r="P263"/>
  <c r="O263"/>
  <c r="N263"/>
  <c r="M263"/>
  <c r="L263"/>
  <c r="K263"/>
  <c r="J263"/>
  <c r="A263" a="1"/>
  <c r="A263" s="1"/>
  <c r="I263" s="1"/>
  <c r="BG262"/>
  <c r="BF262"/>
  <c r="BE262"/>
  <c r="BD262"/>
  <c r="BC262"/>
  <c r="BB262"/>
  <c r="BA262"/>
  <c r="AZ262"/>
  <c r="AY262"/>
  <c r="AX262"/>
  <c r="AW262"/>
  <c r="AV262"/>
  <c r="AU262"/>
  <c r="AT262"/>
  <c r="AS262"/>
  <c r="AR262"/>
  <c r="AQ262"/>
  <c r="AP262"/>
  <c r="AO262"/>
  <c r="AN262"/>
  <c r="AM262"/>
  <c r="AL262"/>
  <c r="AK262"/>
  <c r="AJ262"/>
  <c r="AI262"/>
  <c r="AH262"/>
  <c r="AG262"/>
  <c r="AF262"/>
  <c r="AE262"/>
  <c r="AD262"/>
  <c r="AC262"/>
  <c r="AB262"/>
  <c r="AA262"/>
  <c r="Z262"/>
  <c r="U262"/>
  <c r="T262"/>
  <c r="Q262"/>
  <c r="P262"/>
  <c r="O262"/>
  <c r="N262"/>
  <c r="M262"/>
  <c r="L262"/>
  <c r="K262"/>
  <c r="J262"/>
  <c r="A262" a="1"/>
  <c r="A262" s="1"/>
  <c r="I262" s="1"/>
  <c r="BG261"/>
  <c r="BF261"/>
  <c r="BE261"/>
  <c r="BD261"/>
  <c r="BC261"/>
  <c r="BB261"/>
  <c r="BA261"/>
  <c r="AZ261"/>
  <c r="AY261"/>
  <c r="AX261"/>
  <c r="AW261"/>
  <c r="AV261"/>
  <c r="AU261"/>
  <c r="AT261"/>
  <c r="AS261"/>
  <c r="AR261"/>
  <c r="AQ261"/>
  <c r="AP261"/>
  <c r="AO261"/>
  <c r="AN261"/>
  <c r="AM261"/>
  <c r="AL261"/>
  <c r="AK261"/>
  <c r="AJ261"/>
  <c r="AI261"/>
  <c r="AH261"/>
  <c r="AG261"/>
  <c r="AF261"/>
  <c r="AE261"/>
  <c r="AD261"/>
  <c r="AC261"/>
  <c r="AB261"/>
  <c r="AA261"/>
  <c r="Z261"/>
  <c r="U261"/>
  <c r="T261"/>
  <c r="Q261"/>
  <c r="P261"/>
  <c r="O261"/>
  <c r="N261"/>
  <c r="M261"/>
  <c r="L261"/>
  <c r="K261"/>
  <c r="J261"/>
  <c r="A261" a="1"/>
  <c r="A261" s="1"/>
  <c r="I261" s="1"/>
  <c r="BG260"/>
  <c r="BF260"/>
  <c r="BE260"/>
  <c r="BD260"/>
  <c r="BC260"/>
  <c r="BB260"/>
  <c r="BA260"/>
  <c r="AZ260"/>
  <c r="AY260"/>
  <c r="AX260"/>
  <c r="AW260"/>
  <c r="AV260"/>
  <c r="AU260"/>
  <c r="AT260"/>
  <c r="AS260"/>
  <c r="AR260"/>
  <c r="AQ260"/>
  <c r="AP260"/>
  <c r="AO260"/>
  <c r="AN260"/>
  <c r="AM260"/>
  <c r="AL260"/>
  <c r="AK260"/>
  <c r="AJ260"/>
  <c r="AI260"/>
  <c r="AH260"/>
  <c r="AG260"/>
  <c r="AF260"/>
  <c r="AE260"/>
  <c r="AD260"/>
  <c r="AC260"/>
  <c r="AB260"/>
  <c r="AA260"/>
  <c r="Z260"/>
  <c r="U260"/>
  <c r="T260"/>
  <c r="Q260"/>
  <c r="P260"/>
  <c r="O260"/>
  <c r="N260"/>
  <c r="M260"/>
  <c r="L260"/>
  <c r="K260"/>
  <c r="J260"/>
  <c r="A260" a="1"/>
  <c r="A260" s="1"/>
  <c r="I260" s="1"/>
  <c r="BG259"/>
  <c r="BF259"/>
  <c r="BE259"/>
  <c r="BD259"/>
  <c r="BC259"/>
  <c r="BB259"/>
  <c r="BA259"/>
  <c r="AZ259"/>
  <c r="AY259"/>
  <c r="AX259"/>
  <c r="AW259"/>
  <c r="AV259"/>
  <c r="AU259"/>
  <c r="AT259"/>
  <c r="AS259"/>
  <c r="AR259"/>
  <c r="AQ259"/>
  <c r="AP259"/>
  <c r="AO259"/>
  <c r="AN259"/>
  <c r="AM259"/>
  <c r="AL259"/>
  <c r="AK259"/>
  <c r="AJ259"/>
  <c r="AI259"/>
  <c r="AH259"/>
  <c r="AG259"/>
  <c r="AF259"/>
  <c r="AE259"/>
  <c r="AD259"/>
  <c r="AC259"/>
  <c r="AB259"/>
  <c r="AA259"/>
  <c r="Z259"/>
  <c r="U259"/>
  <c r="T259"/>
  <c r="Q259"/>
  <c r="P259"/>
  <c r="O259"/>
  <c r="N259"/>
  <c r="M259"/>
  <c r="L259"/>
  <c r="K259"/>
  <c r="J259"/>
  <c r="A259" a="1"/>
  <c r="A259" s="1"/>
  <c r="I259" s="1"/>
  <c r="BG258"/>
  <c r="BF258"/>
  <c r="BE258"/>
  <c r="BD258"/>
  <c r="BC258"/>
  <c r="BB258"/>
  <c r="BA258"/>
  <c r="AZ258"/>
  <c r="AY258"/>
  <c r="AX258"/>
  <c r="AW258"/>
  <c r="AV258"/>
  <c r="AU258"/>
  <c r="AT258"/>
  <c r="AS258"/>
  <c r="AR258"/>
  <c r="AQ258"/>
  <c r="AP258"/>
  <c r="AO258"/>
  <c r="AN258"/>
  <c r="AM258"/>
  <c r="AL258"/>
  <c r="AK258"/>
  <c r="AJ258"/>
  <c r="AI258"/>
  <c r="AH258"/>
  <c r="AG258"/>
  <c r="AF258"/>
  <c r="AE258"/>
  <c r="AD258"/>
  <c r="AC258"/>
  <c r="AB258"/>
  <c r="AA258"/>
  <c r="Z258"/>
  <c r="U258"/>
  <c r="T258"/>
  <c r="Q258"/>
  <c r="P258"/>
  <c r="O258"/>
  <c r="N258"/>
  <c r="M258"/>
  <c r="L258"/>
  <c r="K258"/>
  <c r="J258"/>
  <c r="A258" a="1"/>
  <c r="A258" s="1"/>
  <c r="I258" s="1"/>
  <c r="BG257"/>
  <c r="BF257"/>
  <c r="BE257"/>
  <c r="BD257"/>
  <c r="BC257"/>
  <c r="BB257"/>
  <c r="BA257"/>
  <c r="AZ257"/>
  <c r="AY257"/>
  <c r="AX257"/>
  <c r="AW257"/>
  <c r="AV257"/>
  <c r="AU257"/>
  <c r="AT257"/>
  <c r="AS257"/>
  <c r="AR257"/>
  <c r="AQ257"/>
  <c r="AP257"/>
  <c r="AO257"/>
  <c r="AN257"/>
  <c r="AM257"/>
  <c r="AL257"/>
  <c r="AK257"/>
  <c r="AJ257"/>
  <c r="AI257"/>
  <c r="AH257"/>
  <c r="AG257"/>
  <c r="AF257"/>
  <c r="AE257"/>
  <c r="AD257"/>
  <c r="AC257"/>
  <c r="AB257"/>
  <c r="AA257"/>
  <c r="Z257"/>
  <c r="U257"/>
  <c r="T257"/>
  <c r="Q257"/>
  <c r="P257"/>
  <c r="O257"/>
  <c r="N257"/>
  <c r="M257"/>
  <c r="L257"/>
  <c r="K257"/>
  <c r="J257"/>
  <c r="A257" a="1"/>
  <c r="A257" s="1"/>
  <c r="I257" s="1"/>
  <c r="BG256"/>
  <c r="BF256"/>
  <c r="BE256"/>
  <c r="BD256"/>
  <c r="BC256"/>
  <c r="BB256"/>
  <c r="BA256"/>
  <c r="AZ256"/>
  <c r="AY256"/>
  <c r="AX256"/>
  <c r="AW256"/>
  <c r="AV256"/>
  <c r="AU256"/>
  <c r="AT256"/>
  <c r="AS256"/>
  <c r="AR256"/>
  <c r="AQ256"/>
  <c r="AP256"/>
  <c r="AO256"/>
  <c r="AN256"/>
  <c r="AM256"/>
  <c r="AL256"/>
  <c r="AK256"/>
  <c r="AJ256"/>
  <c r="AI256"/>
  <c r="AH256"/>
  <c r="AG256"/>
  <c r="AF256"/>
  <c r="AE256"/>
  <c r="AD256"/>
  <c r="AC256"/>
  <c r="AB256"/>
  <c r="AA256"/>
  <c r="Z256"/>
  <c r="U256"/>
  <c r="T256"/>
  <c r="Q256"/>
  <c r="P256"/>
  <c r="O256"/>
  <c r="N256"/>
  <c r="M256"/>
  <c r="L256"/>
  <c r="K256"/>
  <c r="J256"/>
  <c r="A256" a="1"/>
  <c r="A256" s="1"/>
  <c r="I256" s="1"/>
  <c r="BG255"/>
  <c r="BF255"/>
  <c r="BE255"/>
  <c r="BD255"/>
  <c r="BC255"/>
  <c r="BB255"/>
  <c r="BA255"/>
  <c r="AZ255"/>
  <c r="AY255"/>
  <c r="AX255"/>
  <c r="AW255"/>
  <c r="AV255"/>
  <c r="AU255"/>
  <c r="AT255"/>
  <c r="AS255"/>
  <c r="AR255"/>
  <c r="AQ255"/>
  <c r="AP255"/>
  <c r="AO255"/>
  <c r="AN255"/>
  <c r="AM255"/>
  <c r="AL255"/>
  <c r="AK255"/>
  <c r="AJ255"/>
  <c r="AI255"/>
  <c r="AH255"/>
  <c r="AG255"/>
  <c r="AF255"/>
  <c r="AE255"/>
  <c r="AD255"/>
  <c r="AC255"/>
  <c r="AB255"/>
  <c r="AA255"/>
  <c r="Z255"/>
  <c r="U255"/>
  <c r="T255"/>
  <c r="Q255"/>
  <c r="P255"/>
  <c r="O255"/>
  <c r="N255"/>
  <c r="M255"/>
  <c r="L255"/>
  <c r="K255"/>
  <c r="J255"/>
  <c r="A255" a="1"/>
  <c r="A255" s="1"/>
  <c r="I255" s="1"/>
  <c r="BG254"/>
  <c r="BF254"/>
  <c r="BE254"/>
  <c r="BD254"/>
  <c r="BC254"/>
  <c r="BB254"/>
  <c r="BA254"/>
  <c r="AZ254"/>
  <c r="AY254"/>
  <c r="AX254"/>
  <c r="AW254"/>
  <c r="AV254"/>
  <c r="AU254"/>
  <c r="AT254"/>
  <c r="AS254"/>
  <c r="AR254"/>
  <c r="AQ254"/>
  <c r="AP254"/>
  <c r="AO254"/>
  <c r="AN254"/>
  <c r="AM254"/>
  <c r="AL254"/>
  <c r="AK254"/>
  <c r="AJ254"/>
  <c r="AI254"/>
  <c r="AH254"/>
  <c r="AG254"/>
  <c r="AF254"/>
  <c r="AE254"/>
  <c r="AD254"/>
  <c r="AC254"/>
  <c r="AB254"/>
  <c r="AA254"/>
  <c r="Z254"/>
  <c r="U254"/>
  <c r="T254"/>
  <c r="Q254"/>
  <c r="P254"/>
  <c r="O254"/>
  <c r="N254"/>
  <c r="M254"/>
  <c r="L254"/>
  <c r="K254"/>
  <c r="J254"/>
  <c r="A254" a="1"/>
  <c r="A254" s="1"/>
  <c r="I254" s="1"/>
  <c r="BG253"/>
  <c r="BF253"/>
  <c r="BE253"/>
  <c r="BD253"/>
  <c r="BC253"/>
  <c r="BB253"/>
  <c r="BA253"/>
  <c r="AZ253"/>
  <c r="AY253"/>
  <c r="AX253"/>
  <c r="AW253"/>
  <c r="AV253"/>
  <c r="AU253"/>
  <c r="AT253"/>
  <c r="AS253"/>
  <c r="AR253"/>
  <c r="AQ253"/>
  <c r="AP253"/>
  <c r="AO253"/>
  <c r="AN253"/>
  <c r="AM253"/>
  <c r="AL253"/>
  <c r="AK253"/>
  <c r="AJ253"/>
  <c r="AI253"/>
  <c r="AH253"/>
  <c r="AG253"/>
  <c r="AF253"/>
  <c r="AE253"/>
  <c r="AD253"/>
  <c r="AC253"/>
  <c r="AB253"/>
  <c r="AA253"/>
  <c r="Z253"/>
  <c r="U253"/>
  <c r="T253"/>
  <c r="Q253"/>
  <c r="P253"/>
  <c r="O253"/>
  <c r="N253"/>
  <c r="M253"/>
  <c r="L253"/>
  <c r="K253"/>
  <c r="J253"/>
  <c r="A253" a="1"/>
  <c r="A253" s="1"/>
  <c r="I253" s="1"/>
  <c r="BG252"/>
  <c r="BF252"/>
  <c r="BE252"/>
  <c r="BD252"/>
  <c r="BC252"/>
  <c r="BB252"/>
  <c r="BA252"/>
  <c r="AZ252"/>
  <c r="AY252"/>
  <c r="AX252"/>
  <c r="AW252"/>
  <c r="AV252"/>
  <c r="AU252"/>
  <c r="AT252"/>
  <c r="AS252"/>
  <c r="AR252"/>
  <c r="AQ252"/>
  <c r="AP252"/>
  <c r="AO252"/>
  <c r="AN252"/>
  <c r="AM252"/>
  <c r="AL252"/>
  <c r="AK252"/>
  <c r="AJ252"/>
  <c r="AI252"/>
  <c r="AH252"/>
  <c r="AG252"/>
  <c r="AF252"/>
  <c r="AE252"/>
  <c r="AD252"/>
  <c r="AC252"/>
  <c r="AB252"/>
  <c r="AA252"/>
  <c r="Z252"/>
  <c r="U252"/>
  <c r="T252"/>
  <c r="Q252"/>
  <c r="P252"/>
  <c r="O252"/>
  <c r="N252"/>
  <c r="M252"/>
  <c r="L252"/>
  <c r="K252"/>
  <c r="J252"/>
  <c r="A252" a="1"/>
  <c r="A252" s="1"/>
  <c r="I252" s="1"/>
  <c r="BG251"/>
  <c r="BF251"/>
  <c r="BE251"/>
  <c r="BD251"/>
  <c r="BC251"/>
  <c r="BB251"/>
  <c r="BA251"/>
  <c r="AZ251"/>
  <c r="AY251"/>
  <c r="AX251"/>
  <c r="AW251"/>
  <c r="AV251"/>
  <c r="AU251"/>
  <c r="AT251"/>
  <c r="AS251"/>
  <c r="AR251"/>
  <c r="AQ251"/>
  <c r="AP251"/>
  <c r="AO251"/>
  <c r="AN251"/>
  <c r="AM251"/>
  <c r="AL251"/>
  <c r="AK251"/>
  <c r="AJ251"/>
  <c r="AI251"/>
  <c r="AH251"/>
  <c r="AG251"/>
  <c r="AF251"/>
  <c r="AE251"/>
  <c r="AD251"/>
  <c r="AC251"/>
  <c r="AB251"/>
  <c r="AA251"/>
  <c r="Z251"/>
  <c r="U251"/>
  <c r="T251"/>
  <c r="Q251"/>
  <c r="P251"/>
  <c r="O251"/>
  <c r="N251"/>
  <c r="M251"/>
  <c r="L251"/>
  <c r="K251"/>
  <c r="J251"/>
  <c r="A251"/>
  <c r="I251" s="1"/>
  <c r="A251" a="1"/>
  <c r="BG250"/>
  <c r="BF250"/>
  <c r="BE250"/>
  <c r="BD250"/>
  <c r="BC250"/>
  <c r="BB250"/>
  <c r="BA250"/>
  <c r="AZ250"/>
  <c r="AY250"/>
  <c r="AX250"/>
  <c r="AW250"/>
  <c r="AV250"/>
  <c r="AU250"/>
  <c r="AT250"/>
  <c r="AS250"/>
  <c r="AR250"/>
  <c r="AQ250"/>
  <c r="AP250"/>
  <c r="AO250"/>
  <c r="AN250"/>
  <c r="AM250"/>
  <c r="AL250"/>
  <c r="AK250"/>
  <c r="AJ250"/>
  <c r="AI250"/>
  <c r="AH250"/>
  <c r="AG250"/>
  <c r="AF250"/>
  <c r="AE250"/>
  <c r="AD250"/>
  <c r="AC250"/>
  <c r="AB250"/>
  <c r="AA250"/>
  <c r="Z250"/>
  <c r="U250"/>
  <c r="T250"/>
  <c r="Q250"/>
  <c r="P250"/>
  <c r="O250"/>
  <c r="N250"/>
  <c r="M250"/>
  <c r="L250"/>
  <c r="K250"/>
  <c r="J250"/>
  <c r="A250" a="1"/>
  <c r="A250" s="1"/>
  <c r="I250" s="1"/>
  <c r="BG249"/>
  <c r="BF249"/>
  <c r="BE249"/>
  <c r="BD249"/>
  <c r="BC249"/>
  <c r="BB249"/>
  <c r="BA249"/>
  <c r="AZ249"/>
  <c r="AY249"/>
  <c r="AX249"/>
  <c r="AW249"/>
  <c r="AV249"/>
  <c r="AU249"/>
  <c r="AT249"/>
  <c r="AS249"/>
  <c r="AR249"/>
  <c r="AQ249"/>
  <c r="AP249"/>
  <c r="AO249"/>
  <c r="AN249"/>
  <c r="AM249"/>
  <c r="AL249"/>
  <c r="AK249"/>
  <c r="AJ249"/>
  <c r="AI249"/>
  <c r="AH249"/>
  <c r="AG249"/>
  <c r="AF249"/>
  <c r="AE249"/>
  <c r="AD249"/>
  <c r="AC249"/>
  <c r="AB249"/>
  <c r="AA249"/>
  <c r="Z249"/>
  <c r="U249"/>
  <c r="T249"/>
  <c r="Q249"/>
  <c r="P249"/>
  <c r="O249"/>
  <c r="N249"/>
  <c r="M249"/>
  <c r="L249"/>
  <c r="K249"/>
  <c r="J249"/>
  <c r="A249" a="1"/>
  <c r="A249" s="1"/>
  <c r="I249" s="1"/>
  <c r="BG248"/>
  <c r="BF248"/>
  <c r="BE248"/>
  <c r="BD248"/>
  <c r="BC248"/>
  <c r="BB248"/>
  <c r="BA248"/>
  <c r="AZ248"/>
  <c r="AY248"/>
  <c r="AX248"/>
  <c r="AW248"/>
  <c r="AV248"/>
  <c r="AU248"/>
  <c r="AT248"/>
  <c r="AS248"/>
  <c r="AR248"/>
  <c r="AQ248"/>
  <c r="AP248"/>
  <c r="AO248"/>
  <c r="AN248"/>
  <c r="AM248"/>
  <c r="AL248"/>
  <c r="AK248"/>
  <c r="AJ248"/>
  <c r="AI248"/>
  <c r="AH248"/>
  <c r="AG248"/>
  <c r="AF248"/>
  <c r="AE248"/>
  <c r="AD248"/>
  <c r="AC248"/>
  <c r="AB248"/>
  <c r="AA248"/>
  <c r="Z248"/>
  <c r="U248"/>
  <c r="T248"/>
  <c r="Q248"/>
  <c r="P248"/>
  <c r="O248"/>
  <c r="N248"/>
  <c r="M248"/>
  <c r="L248"/>
  <c r="K248"/>
  <c r="J248"/>
  <c r="A248" a="1"/>
  <c r="A248" s="1"/>
  <c r="I248" s="1"/>
  <c r="BG247"/>
  <c r="BF247"/>
  <c r="BE247"/>
  <c r="BD247"/>
  <c r="BC247"/>
  <c r="BB247"/>
  <c r="BA247"/>
  <c r="AZ247"/>
  <c r="AY247"/>
  <c r="AX247"/>
  <c r="AW247"/>
  <c r="AV247"/>
  <c r="AU247"/>
  <c r="AT247"/>
  <c r="AS247"/>
  <c r="AR247"/>
  <c r="AQ247"/>
  <c r="AP247"/>
  <c r="AO247"/>
  <c r="AN247"/>
  <c r="AM247"/>
  <c r="AL247"/>
  <c r="AK247"/>
  <c r="AJ247"/>
  <c r="AI247"/>
  <c r="AH247"/>
  <c r="AG247"/>
  <c r="AF247"/>
  <c r="AE247"/>
  <c r="AD247"/>
  <c r="AC247"/>
  <c r="AB247"/>
  <c r="AA247"/>
  <c r="Z247"/>
  <c r="U247"/>
  <c r="T247"/>
  <c r="Q247"/>
  <c r="P247"/>
  <c r="O247"/>
  <c r="N247"/>
  <c r="M247"/>
  <c r="L247"/>
  <c r="K247"/>
  <c r="J247"/>
  <c r="A247" a="1"/>
  <c r="A247" s="1"/>
  <c r="I247" s="1"/>
  <c r="BG246"/>
  <c r="BF246"/>
  <c r="BE246"/>
  <c r="BD246"/>
  <c r="BC246"/>
  <c r="BB246"/>
  <c r="BA246"/>
  <c r="AZ246"/>
  <c r="AY246"/>
  <c r="AX246"/>
  <c r="AW246"/>
  <c r="AV246"/>
  <c r="AU246"/>
  <c r="AT246"/>
  <c r="AS246"/>
  <c r="AR246"/>
  <c r="AQ246"/>
  <c r="AP246"/>
  <c r="AO246"/>
  <c r="AN246"/>
  <c r="AM246"/>
  <c r="AL246"/>
  <c r="AK246"/>
  <c r="AJ246"/>
  <c r="AI246"/>
  <c r="AH246"/>
  <c r="AG246"/>
  <c r="AF246"/>
  <c r="AE246"/>
  <c r="AD246"/>
  <c r="AC246"/>
  <c r="AB246"/>
  <c r="AA246"/>
  <c r="Z246"/>
  <c r="U246"/>
  <c r="T246"/>
  <c r="Q246"/>
  <c r="P246"/>
  <c r="O246"/>
  <c r="N246"/>
  <c r="M246"/>
  <c r="L246"/>
  <c r="K246"/>
  <c r="J246"/>
  <c r="A246" a="1"/>
  <c r="A246" s="1"/>
  <c r="I246" s="1"/>
  <c r="BG245"/>
  <c r="BF245"/>
  <c r="BE245"/>
  <c r="BD245"/>
  <c r="BC245"/>
  <c r="BB245"/>
  <c r="BA245"/>
  <c r="AZ245"/>
  <c r="AY245"/>
  <c r="AX245"/>
  <c r="AW245"/>
  <c r="AV245"/>
  <c r="AU245"/>
  <c r="AT245"/>
  <c r="AS245"/>
  <c r="AR245"/>
  <c r="AQ245"/>
  <c r="AP245"/>
  <c r="AO245"/>
  <c r="AN245"/>
  <c r="AM245"/>
  <c r="AL245"/>
  <c r="AK245"/>
  <c r="AJ245"/>
  <c r="AI245"/>
  <c r="AH245"/>
  <c r="AG245"/>
  <c r="AF245"/>
  <c r="AE245"/>
  <c r="AD245"/>
  <c r="AC245"/>
  <c r="AB245"/>
  <c r="AA245"/>
  <c r="Z245"/>
  <c r="U245"/>
  <c r="T245"/>
  <c r="Q245"/>
  <c r="P245"/>
  <c r="O245"/>
  <c r="N245"/>
  <c r="M245"/>
  <c r="L245"/>
  <c r="K245"/>
  <c r="J245"/>
  <c r="A245" a="1"/>
  <c r="A245" s="1"/>
  <c r="I245" s="1"/>
  <c r="BG244"/>
  <c r="BF244"/>
  <c r="BE244"/>
  <c r="BD244"/>
  <c r="BC244"/>
  <c r="BB244"/>
  <c r="BA244"/>
  <c r="AZ244"/>
  <c r="AY244"/>
  <c r="AX244"/>
  <c r="AW244"/>
  <c r="AV244"/>
  <c r="AU244"/>
  <c r="AT244"/>
  <c r="AS244"/>
  <c r="AR244"/>
  <c r="AQ244"/>
  <c r="AP244"/>
  <c r="AO244"/>
  <c r="AN244"/>
  <c r="AM244"/>
  <c r="AL244"/>
  <c r="AK244"/>
  <c r="AJ244"/>
  <c r="AI244"/>
  <c r="AH244"/>
  <c r="AG244"/>
  <c r="AF244"/>
  <c r="AE244"/>
  <c r="AD244"/>
  <c r="AC244"/>
  <c r="AB244"/>
  <c r="AA244"/>
  <c r="Z244"/>
  <c r="U244"/>
  <c r="T244"/>
  <c r="Q244"/>
  <c r="P244"/>
  <c r="O244"/>
  <c r="N244"/>
  <c r="M244"/>
  <c r="L244"/>
  <c r="K244"/>
  <c r="J244"/>
  <c r="A244" a="1"/>
  <c r="A244" s="1"/>
  <c r="I244" s="1"/>
  <c r="BG243"/>
  <c r="BF243"/>
  <c r="BE243"/>
  <c r="BD243"/>
  <c r="BC243"/>
  <c r="BB243"/>
  <c r="BA243"/>
  <c r="AZ243"/>
  <c r="AY243"/>
  <c r="AX243"/>
  <c r="AW243"/>
  <c r="AV243"/>
  <c r="AU243"/>
  <c r="AT243"/>
  <c r="AS243"/>
  <c r="AR243"/>
  <c r="AQ243"/>
  <c r="AP243"/>
  <c r="AO243"/>
  <c r="AN243"/>
  <c r="AM243"/>
  <c r="AL243"/>
  <c r="AK243"/>
  <c r="AJ243"/>
  <c r="AI243"/>
  <c r="AH243"/>
  <c r="AG243"/>
  <c r="AF243"/>
  <c r="AE243"/>
  <c r="AD243"/>
  <c r="AC243"/>
  <c r="AB243"/>
  <c r="AA243"/>
  <c r="Z243"/>
  <c r="U243"/>
  <c r="T243"/>
  <c r="Q243"/>
  <c r="P243"/>
  <c r="O243"/>
  <c r="N243"/>
  <c r="M243"/>
  <c r="L243"/>
  <c r="K243"/>
  <c r="J243"/>
  <c r="A243" a="1"/>
  <c r="A243" s="1"/>
  <c r="I243" s="1"/>
  <c r="BG237"/>
  <c r="BF237"/>
  <c r="BE237"/>
  <c r="BD237"/>
  <c r="BC237"/>
  <c r="BB237"/>
  <c r="BA237"/>
  <c r="AZ237"/>
  <c r="AY237"/>
  <c r="AX237"/>
  <c r="AW237"/>
  <c r="AV237"/>
  <c r="AU237"/>
  <c r="AT237"/>
  <c r="AS237"/>
  <c r="AR237"/>
  <c r="AQ237"/>
  <c r="AP237"/>
  <c r="AO237"/>
  <c r="AN237"/>
  <c r="AM237"/>
  <c r="AL237"/>
  <c r="AK237"/>
  <c r="AJ237"/>
  <c r="AI237"/>
  <c r="AH237"/>
  <c r="AG237"/>
  <c r="AF237"/>
  <c r="AE237"/>
  <c r="AD237"/>
  <c r="AC237"/>
  <c r="AB237"/>
  <c r="AA237"/>
  <c r="Z237"/>
  <c r="U237"/>
  <c r="T237"/>
  <c r="Q237"/>
  <c r="P237"/>
  <c r="O237"/>
  <c r="N237"/>
  <c r="M237"/>
  <c r="L237"/>
  <c r="K237"/>
  <c r="J237"/>
  <c r="A237" a="1"/>
  <c r="A237" s="1"/>
  <c r="I237" s="1"/>
  <c r="BG236"/>
  <c r="BF236"/>
  <c r="BE236"/>
  <c r="BD236"/>
  <c r="BC236"/>
  <c r="BB236"/>
  <c r="BA236"/>
  <c r="AZ236"/>
  <c r="AY236"/>
  <c r="AX236"/>
  <c r="AW236"/>
  <c r="AV236"/>
  <c r="AU236"/>
  <c r="AT236"/>
  <c r="AS236"/>
  <c r="AR236"/>
  <c r="AQ236"/>
  <c r="AP236"/>
  <c r="AO236"/>
  <c r="AN236"/>
  <c r="AM236"/>
  <c r="AL236"/>
  <c r="AK236"/>
  <c r="AJ236"/>
  <c r="AI236"/>
  <c r="AH236"/>
  <c r="AG236"/>
  <c r="AF236"/>
  <c r="AE236"/>
  <c r="AD236"/>
  <c r="AC236"/>
  <c r="AB236"/>
  <c r="AA236"/>
  <c r="Z236"/>
  <c r="U236"/>
  <c r="T236"/>
  <c r="Q236"/>
  <c r="P236"/>
  <c r="O236"/>
  <c r="N236"/>
  <c r="M236"/>
  <c r="L236"/>
  <c r="K236"/>
  <c r="J236"/>
  <c r="A236" a="1"/>
  <c r="A236" s="1"/>
  <c r="I236" s="1"/>
  <c r="BG235"/>
  <c r="BF235"/>
  <c r="BE235"/>
  <c r="BD235"/>
  <c r="BC235"/>
  <c r="BB235"/>
  <c r="BA235"/>
  <c r="AZ235"/>
  <c r="AY235"/>
  <c r="AX235"/>
  <c r="AW235"/>
  <c r="AV235"/>
  <c r="AU235"/>
  <c r="AT235"/>
  <c r="AS235"/>
  <c r="AR235"/>
  <c r="AQ235"/>
  <c r="AP235"/>
  <c r="AO235"/>
  <c r="AN235"/>
  <c r="AM235"/>
  <c r="AL235"/>
  <c r="AK235"/>
  <c r="AJ235"/>
  <c r="AI235"/>
  <c r="AH235"/>
  <c r="AG235"/>
  <c r="AF235"/>
  <c r="AE235"/>
  <c r="AD235"/>
  <c r="AC235"/>
  <c r="AB235"/>
  <c r="AA235"/>
  <c r="Z235"/>
  <c r="U235"/>
  <c r="T235"/>
  <c r="Q235"/>
  <c r="P235"/>
  <c r="O235"/>
  <c r="N235"/>
  <c r="M235"/>
  <c r="L235"/>
  <c r="K235"/>
  <c r="J235"/>
  <c r="A235" a="1"/>
  <c r="A235" s="1"/>
  <c r="I235" s="1"/>
  <c r="BG234"/>
  <c r="BF234"/>
  <c r="BE234"/>
  <c r="BD234"/>
  <c r="BC234"/>
  <c r="BB234"/>
  <c r="BA234"/>
  <c r="AZ234"/>
  <c r="AY234"/>
  <c r="AX234"/>
  <c r="AW234"/>
  <c r="AV234"/>
  <c r="AU234"/>
  <c r="AT234"/>
  <c r="AS234"/>
  <c r="AR234"/>
  <c r="AQ234"/>
  <c r="AP234"/>
  <c r="AO234"/>
  <c r="AN234"/>
  <c r="AM234"/>
  <c r="AL234"/>
  <c r="AK234"/>
  <c r="AJ234"/>
  <c r="AI234"/>
  <c r="AH234"/>
  <c r="AG234"/>
  <c r="AF234"/>
  <c r="AE234"/>
  <c r="AD234"/>
  <c r="AC234"/>
  <c r="AB234"/>
  <c r="AA234"/>
  <c r="Z234"/>
  <c r="U234"/>
  <c r="T234"/>
  <c r="Q234"/>
  <c r="P234"/>
  <c r="O234"/>
  <c r="N234"/>
  <c r="M234"/>
  <c r="L234"/>
  <c r="K234"/>
  <c r="J234"/>
  <c r="A234" a="1"/>
  <c r="A234" s="1"/>
  <c r="I234" s="1"/>
  <c r="BG233"/>
  <c r="BF233"/>
  <c r="BE233"/>
  <c r="BD233"/>
  <c r="BC233"/>
  <c r="BB233"/>
  <c r="BA233"/>
  <c r="AZ233"/>
  <c r="AY233"/>
  <c r="AX233"/>
  <c r="AW233"/>
  <c r="AV233"/>
  <c r="AU233"/>
  <c r="AT233"/>
  <c r="AS233"/>
  <c r="AR233"/>
  <c r="AQ233"/>
  <c r="AP233"/>
  <c r="AO233"/>
  <c r="AN233"/>
  <c r="AM233"/>
  <c r="AL233"/>
  <c r="AK233"/>
  <c r="AJ233"/>
  <c r="AI233"/>
  <c r="AH233"/>
  <c r="AG233"/>
  <c r="AF233"/>
  <c r="AE233"/>
  <c r="AD233"/>
  <c r="AC233"/>
  <c r="AB233"/>
  <c r="AA233"/>
  <c r="Z233"/>
  <c r="U233"/>
  <c r="T233"/>
  <c r="Q233"/>
  <c r="P233"/>
  <c r="O233"/>
  <c r="N233"/>
  <c r="M233"/>
  <c r="L233"/>
  <c r="K233"/>
  <c r="J233"/>
  <c r="A233" a="1"/>
  <c r="A233" s="1"/>
  <c r="I233" s="1"/>
  <c r="BG232"/>
  <c r="BF232"/>
  <c r="BE232"/>
  <c r="BD232"/>
  <c r="BC232"/>
  <c r="BB232"/>
  <c r="BA232"/>
  <c r="AZ232"/>
  <c r="AY232"/>
  <c r="AX232"/>
  <c r="AW232"/>
  <c r="AV232"/>
  <c r="AU232"/>
  <c r="AT232"/>
  <c r="AS232"/>
  <c r="AR232"/>
  <c r="AQ232"/>
  <c r="AP232"/>
  <c r="AO232"/>
  <c r="AN232"/>
  <c r="AM232"/>
  <c r="AL232"/>
  <c r="AK232"/>
  <c r="AJ232"/>
  <c r="AI232"/>
  <c r="AH232"/>
  <c r="AG232"/>
  <c r="AF232"/>
  <c r="AE232"/>
  <c r="AD232"/>
  <c r="AC232"/>
  <c r="AB232"/>
  <c r="AA232"/>
  <c r="Z232"/>
  <c r="U232"/>
  <c r="T232"/>
  <c r="Q232"/>
  <c r="P232"/>
  <c r="O232"/>
  <c r="N232"/>
  <c r="M232"/>
  <c r="L232"/>
  <c r="K232"/>
  <c r="J232"/>
  <c r="A232" a="1"/>
  <c r="A232" s="1"/>
  <c r="I232" s="1"/>
  <c r="BG231"/>
  <c r="BF231"/>
  <c r="BE231"/>
  <c r="BD231"/>
  <c r="BC231"/>
  <c r="BB231"/>
  <c r="BA231"/>
  <c r="AZ231"/>
  <c r="AY231"/>
  <c r="AX231"/>
  <c r="AW231"/>
  <c r="AV231"/>
  <c r="AU231"/>
  <c r="AT231"/>
  <c r="AS231"/>
  <c r="AR231"/>
  <c r="AQ231"/>
  <c r="AP231"/>
  <c r="AO231"/>
  <c r="AN231"/>
  <c r="AM231"/>
  <c r="AL231"/>
  <c r="AK231"/>
  <c r="AJ231"/>
  <c r="AI231"/>
  <c r="AH231"/>
  <c r="AG231"/>
  <c r="AF231"/>
  <c r="AE231"/>
  <c r="AD231"/>
  <c r="AC231"/>
  <c r="AB231"/>
  <c r="AA231"/>
  <c r="Z231"/>
  <c r="U231"/>
  <c r="T231"/>
  <c r="Q231"/>
  <c r="P231"/>
  <c r="O231"/>
  <c r="N231"/>
  <c r="M231"/>
  <c r="L231"/>
  <c r="K231"/>
  <c r="J231"/>
  <c r="A231" a="1"/>
  <c r="A231" s="1"/>
  <c r="I231" s="1"/>
  <c r="BG230"/>
  <c r="BF230"/>
  <c r="BE230"/>
  <c r="BD230"/>
  <c r="BC230"/>
  <c r="BB230"/>
  <c r="BA230"/>
  <c r="AZ230"/>
  <c r="AY230"/>
  <c r="AX230"/>
  <c r="AW230"/>
  <c r="AV230"/>
  <c r="AU230"/>
  <c r="AT230"/>
  <c r="AS230"/>
  <c r="AR230"/>
  <c r="AQ230"/>
  <c r="AP230"/>
  <c r="AO230"/>
  <c r="AN230"/>
  <c r="AM230"/>
  <c r="AL230"/>
  <c r="AK230"/>
  <c r="AJ230"/>
  <c r="AI230"/>
  <c r="AH230"/>
  <c r="AG230"/>
  <c r="AF230"/>
  <c r="AE230"/>
  <c r="AD230"/>
  <c r="AC230"/>
  <c r="AB230"/>
  <c r="AA230"/>
  <c r="Z230"/>
  <c r="U230"/>
  <c r="T230"/>
  <c r="Q230"/>
  <c r="P230"/>
  <c r="O230"/>
  <c r="N230"/>
  <c r="M230"/>
  <c r="L230"/>
  <c r="K230"/>
  <c r="J230"/>
  <c r="A230" a="1"/>
  <c r="A230" s="1"/>
  <c r="I230" s="1"/>
  <c r="BG229"/>
  <c r="BF229"/>
  <c r="BE229"/>
  <c r="BD229"/>
  <c r="BC229"/>
  <c r="BB229"/>
  <c r="BA229"/>
  <c r="AZ229"/>
  <c r="AY229"/>
  <c r="AX229"/>
  <c r="AW229"/>
  <c r="AV229"/>
  <c r="AU229"/>
  <c r="AT229"/>
  <c r="AS229"/>
  <c r="AR229"/>
  <c r="AQ229"/>
  <c r="AP229"/>
  <c r="AO229"/>
  <c r="AN229"/>
  <c r="AM229"/>
  <c r="AL229"/>
  <c r="AK229"/>
  <c r="AJ229"/>
  <c r="AI229"/>
  <c r="AH229"/>
  <c r="AG229"/>
  <c r="AF229"/>
  <c r="AE229"/>
  <c r="AD229"/>
  <c r="AC229"/>
  <c r="AB229"/>
  <c r="AA229"/>
  <c r="Z229"/>
  <c r="U229"/>
  <c r="T229"/>
  <c r="Q229"/>
  <c r="P229"/>
  <c r="O229"/>
  <c r="N229"/>
  <c r="M229"/>
  <c r="L229"/>
  <c r="K229"/>
  <c r="J229"/>
  <c r="A229" a="1"/>
  <c r="A229" s="1"/>
  <c r="I229" s="1"/>
  <c r="BG228"/>
  <c r="BF228"/>
  <c r="BE228"/>
  <c r="BD228"/>
  <c r="BC228"/>
  <c r="BB228"/>
  <c r="BA228"/>
  <c r="AZ228"/>
  <c r="AY228"/>
  <c r="AX228"/>
  <c r="AW228"/>
  <c r="AV228"/>
  <c r="AU228"/>
  <c r="AT228"/>
  <c r="AS228"/>
  <c r="AR228"/>
  <c r="AQ228"/>
  <c r="AP228"/>
  <c r="AO228"/>
  <c r="AN228"/>
  <c r="AM228"/>
  <c r="AL228"/>
  <c r="AK228"/>
  <c r="AJ228"/>
  <c r="AI228"/>
  <c r="AH228"/>
  <c r="AG228"/>
  <c r="AF228"/>
  <c r="AE228"/>
  <c r="AD228"/>
  <c r="AC228"/>
  <c r="AB228"/>
  <c r="AA228"/>
  <c r="Z228"/>
  <c r="U228"/>
  <c r="T228"/>
  <c r="Q228"/>
  <c r="P228"/>
  <c r="O228"/>
  <c r="N228"/>
  <c r="M228"/>
  <c r="L228"/>
  <c r="K228"/>
  <c r="J228"/>
  <c r="A228" a="1"/>
  <c r="A228" s="1"/>
  <c r="I228" s="1"/>
  <c r="BG227"/>
  <c r="BF227"/>
  <c r="BE227"/>
  <c r="BD227"/>
  <c r="BC227"/>
  <c r="BB227"/>
  <c r="BA227"/>
  <c r="AZ227"/>
  <c r="AY227"/>
  <c r="AX227"/>
  <c r="AW227"/>
  <c r="AV227"/>
  <c r="AU227"/>
  <c r="AT227"/>
  <c r="AS227"/>
  <c r="AR227"/>
  <c r="AQ227"/>
  <c r="AP227"/>
  <c r="AO227"/>
  <c r="AN227"/>
  <c r="AM227"/>
  <c r="AL227"/>
  <c r="AK227"/>
  <c r="AJ227"/>
  <c r="AI227"/>
  <c r="AH227"/>
  <c r="AG227"/>
  <c r="AF227"/>
  <c r="AE227"/>
  <c r="AD227"/>
  <c r="AC227"/>
  <c r="AB227"/>
  <c r="AA227"/>
  <c r="Z227"/>
  <c r="U227"/>
  <c r="T227"/>
  <c r="Q227"/>
  <c r="P227"/>
  <c r="O227"/>
  <c r="N227"/>
  <c r="M227"/>
  <c r="L227"/>
  <c r="K227"/>
  <c r="J227"/>
  <c r="A227" a="1"/>
  <c r="A227" s="1"/>
  <c r="I227" s="1"/>
  <c r="BG226"/>
  <c r="BF226"/>
  <c r="BE226"/>
  <c r="BD226"/>
  <c r="BC226"/>
  <c r="BB226"/>
  <c r="BA226"/>
  <c r="AZ226"/>
  <c r="AY226"/>
  <c r="AX226"/>
  <c r="AW226"/>
  <c r="AV226"/>
  <c r="AU226"/>
  <c r="AT226"/>
  <c r="AS226"/>
  <c r="AR226"/>
  <c r="AQ226"/>
  <c r="AP226"/>
  <c r="AO226"/>
  <c r="AN226"/>
  <c r="AM226"/>
  <c r="AL226"/>
  <c r="AK226"/>
  <c r="AJ226"/>
  <c r="AI226"/>
  <c r="AH226"/>
  <c r="AG226"/>
  <c r="AF226"/>
  <c r="AE226"/>
  <c r="AD226"/>
  <c r="AC226"/>
  <c r="AB226"/>
  <c r="AA226"/>
  <c r="Z226"/>
  <c r="U226"/>
  <c r="T226"/>
  <c r="Q226"/>
  <c r="P226"/>
  <c r="O226"/>
  <c r="N226"/>
  <c r="M226"/>
  <c r="L226"/>
  <c r="K226"/>
  <c r="J226"/>
  <c r="A226" a="1"/>
  <c r="A226" s="1"/>
  <c r="I226" s="1"/>
  <c r="BG225"/>
  <c r="BF225"/>
  <c r="BE225"/>
  <c r="BD225"/>
  <c r="BC225"/>
  <c r="BB225"/>
  <c r="BA225"/>
  <c r="AZ225"/>
  <c r="AY225"/>
  <c r="AX225"/>
  <c r="AW225"/>
  <c r="AV225"/>
  <c r="AU225"/>
  <c r="AT225"/>
  <c r="AS225"/>
  <c r="AR225"/>
  <c r="AQ225"/>
  <c r="AP225"/>
  <c r="AO225"/>
  <c r="AN225"/>
  <c r="AM225"/>
  <c r="AL225"/>
  <c r="AK225"/>
  <c r="AJ225"/>
  <c r="AI225"/>
  <c r="AH225"/>
  <c r="AG225"/>
  <c r="AF225"/>
  <c r="AE225"/>
  <c r="AD225"/>
  <c r="AC225"/>
  <c r="AB225"/>
  <c r="AA225"/>
  <c r="Z225"/>
  <c r="U225"/>
  <c r="T225"/>
  <c r="Q225"/>
  <c r="P225"/>
  <c r="O225"/>
  <c r="N225"/>
  <c r="M225"/>
  <c r="L225"/>
  <c r="K225"/>
  <c r="J225"/>
  <c r="A225" a="1"/>
  <c r="A225" s="1"/>
  <c r="I225" s="1"/>
  <c r="BG224"/>
  <c r="BF224"/>
  <c r="BE224"/>
  <c r="BD224"/>
  <c r="BC224"/>
  <c r="BB224"/>
  <c r="BA224"/>
  <c r="AZ224"/>
  <c r="AY224"/>
  <c r="AX224"/>
  <c r="AW224"/>
  <c r="AV224"/>
  <c r="AU224"/>
  <c r="AT224"/>
  <c r="AS224"/>
  <c r="AR224"/>
  <c r="AQ224"/>
  <c r="AP224"/>
  <c r="AO224"/>
  <c r="AN224"/>
  <c r="AM224"/>
  <c r="AL224"/>
  <c r="AK224"/>
  <c r="AJ224"/>
  <c r="AI224"/>
  <c r="AH224"/>
  <c r="AG224"/>
  <c r="AF224"/>
  <c r="AE224"/>
  <c r="AD224"/>
  <c r="AC224"/>
  <c r="AB224"/>
  <c r="AA224"/>
  <c r="Z224"/>
  <c r="U224"/>
  <c r="T224"/>
  <c r="Q224"/>
  <c r="P224"/>
  <c r="O224"/>
  <c r="N224"/>
  <c r="M224"/>
  <c r="L224"/>
  <c r="K224"/>
  <c r="J224"/>
  <c r="A224" a="1"/>
  <c r="A224" s="1"/>
  <c r="I224" s="1"/>
  <c r="BG223"/>
  <c r="BF223"/>
  <c r="BE223"/>
  <c r="BD223"/>
  <c r="BC223"/>
  <c r="BB223"/>
  <c r="BA223"/>
  <c r="AZ223"/>
  <c r="AY223"/>
  <c r="AX223"/>
  <c r="AW223"/>
  <c r="AV223"/>
  <c r="AU223"/>
  <c r="AT223"/>
  <c r="AS223"/>
  <c r="AR223"/>
  <c r="AQ223"/>
  <c r="AP223"/>
  <c r="AO223"/>
  <c r="AN223"/>
  <c r="AM223"/>
  <c r="AL223"/>
  <c r="AK223"/>
  <c r="AJ223"/>
  <c r="AI223"/>
  <c r="AH223"/>
  <c r="AG223"/>
  <c r="AF223"/>
  <c r="AE223"/>
  <c r="AD223"/>
  <c r="AC223"/>
  <c r="AB223"/>
  <c r="AA223"/>
  <c r="Z223"/>
  <c r="U223"/>
  <c r="T223"/>
  <c r="Q223"/>
  <c r="P223"/>
  <c r="O223"/>
  <c r="N223"/>
  <c r="M223"/>
  <c r="L223"/>
  <c r="K223"/>
  <c r="J223"/>
  <c r="A223" a="1"/>
  <c r="A223" s="1"/>
  <c r="I223" s="1"/>
  <c r="BG222"/>
  <c r="BF222"/>
  <c r="BE222"/>
  <c r="BD222"/>
  <c r="BC222"/>
  <c r="BB222"/>
  <c r="BA222"/>
  <c r="AZ222"/>
  <c r="AY222"/>
  <c r="AX222"/>
  <c r="AW222"/>
  <c r="AV222"/>
  <c r="AU222"/>
  <c r="AT222"/>
  <c r="AS222"/>
  <c r="AR222"/>
  <c r="AQ222"/>
  <c r="AP222"/>
  <c r="AO222"/>
  <c r="AN222"/>
  <c r="AM222"/>
  <c r="AL222"/>
  <c r="AK222"/>
  <c r="AJ222"/>
  <c r="AI222"/>
  <c r="AH222"/>
  <c r="AG222"/>
  <c r="AF222"/>
  <c r="AE222"/>
  <c r="AD222"/>
  <c r="AC222"/>
  <c r="AB222"/>
  <c r="AA222"/>
  <c r="Z222"/>
  <c r="U222"/>
  <c r="T222"/>
  <c r="Q222"/>
  <c r="P222"/>
  <c r="O222"/>
  <c r="N222"/>
  <c r="M222"/>
  <c r="L222"/>
  <c r="K222"/>
  <c r="J222"/>
  <c r="A222" a="1"/>
  <c r="A222" s="1"/>
  <c r="I222" s="1"/>
  <c r="BG221"/>
  <c r="BF221"/>
  <c r="BE221"/>
  <c r="BD221"/>
  <c r="BC221"/>
  <c r="BB221"/>
  <c r="BA221"/>
  <c r="AZ221"/>
  <c r="AY221"/>
  <c r="AX221"/>
  <c r="AW221"/>
  <c r="AV221"/>
  <c r="AU221"/>
  <c r="AT221"/>
  <c r="AS221"/>
  <c r="AR221"/>
  <c r="AQ221"/>
  <c r="AP221"/>
  <c r="AO221"/>
  <c r="AN221"/>
  <c r="AM221"/>
  <c r="AL221"/>
  <c r="AK221"/>
  <c r="AJ221"/>
  <c r="AI221"/>
  <c r="AH221"/>
  <c r="AG221"/>
  <c r="AF221"/>
  <c r="AE221"/>
  <c r="AD221"/>
  <c r="AC221"/>
  <c r="AB221"/>
  <c r="AA221"/>
  <c r="Z221"/>
  <c r="U221"/>
  <c r="T221"/>
  <c r="Q221"/>
  <c r="P221"/>
  <c r="O221"/>
  <c r="N221"/>
  <c r="M221"/>
  <c r="L221"/>
  <c r="K221"/>
  <c r="J221"/>
  <c r="A221" a="1"/>
  <c r="A221" s="1"/>
  <c r="I221" s="1"/>
  <c r="BG220"/>
  <c r="BF220"/>
  <c r="BE220"/>
  <c r="BD220"/>
  <c r="BC220"/>
  <c r="BB220"/>
  <c r="BA220"/>
  <c r="AZ220"/>
  <c r="AY220"/>
  <c r="AX220"/>
  <c r="AW220"/>
  <c r="AV220"/>
  <c r="AU220"/>
  <c r="AT220"/>
  <c r="AS220"/>
  <c r="AR220"/>
  <c r="AQ220"/>
  <c r="AP220"/>
  <c r="AO220"/>
  <c r="AN220"/>
  <c r="AM220"/>
  <c r="AL220"/>
  <c r="AK220"/>
  <c r="AJ220"/>
  <c r="AI220"/>
  <c r="AH220"/>
  <c r="AG220"/>
  <c r="AF220"/>
  <c r="AE220"/>
  <c r="AD220"/>
  <c r="AC220"/>
  <c r="AB220"/>
  <c r="AA220"/>
  <c r="Z220"/>
  <c r="U220"/>
  <c r="T220"/>
  <c r="Q220"/>
  <c r="P220"/>
  <c r="O220"/>
  <c r="N220"/>
  <c r="M220"/>
  <c r="L220"/>
  <c r="K220"/>
  <c r="J220"/>
  <c r="A220" a="1"/>
  <c r="A220" s="1"/>
  <c r="I220" s="1"/>
  <c r="BG219"/>
  <c r="BF219"/>
  <c r="BE219"/>
  <c r="BD219"/>
  <c r="BC219"/>
  <c r="BB219"/>
  <c r="BA219"/>
  <c r="AZ219"/>
  <c r="AY219"/>
  <c r="AX219"/>
  <c r="AW219"/>
  <c r="AV219"/>
  <c r="AU219"/>
  <c r="AT219"/>
  <c r="AS219"/>
  <c r="AR219"/>
  <c r="AQ219"/>
  <c r="AP219"/>
  <c r="AO219"/>
  <c r="AN219"/>
  <c r="AM219"/>
  <c r="AL219"/>
  <c r="AK219"/>
  <c r="AJ219"/>
  <c r="AI219"/>
  <c r="AH219"/>
  <c r="AG219"/>
  <c r="AF219"/>
  <c r="AE219"/>
  <c r="AD219"/>
  <c r="AC219"/>
  <c r="AB219"/>
  <c r="AA219"/>
  <c r="Z219"/>
  <c r="U219"/>
  <c r="T219"/>
  <c r="Q219"/>
  <c r="P219"/>
  <c r="O219"/>
  <c r="N219"/>
  <c r="M219"/>
  <c r="L219"/>
  <c r="K219"/>
  <c r="J219"/>
  <c r="A219" a="1"/>
  <c r="A219" s="1"/>
  <c r="I219" s="1"/>
  <c r="BG218"/>
  <c r="BF218"/>
  <c r="BE218"/>
  <c r="BD218"/>
  <c r="BC218"/>
  <c r="BB218"/>
  <c r="BA218"/>
  <c r="AZ218"/>
  <c r="AY218"/>
  <c r="AX218"/>
  <c r="AW218"/>
  <c r="AV218"/>
  <c r="AU218"/>
  <c r="AT218"/>
  <c r="AS218"/>
  <c r="AR218"/>
  <c r="AQ218"/>
  <c r="AP218"/>
  <c r="AO218"/>
  <c r="AN218"/>
  <c r="AM218"/>
  <c r="AL218"/>
  <c r="AK218"/>
  <c r="AJ218"/>
  <c r="AI218"/>
  <c r="AH218"/>
  <c r="AG218"/>
  <c r="AF218"/>
  <c r="AE218"/>
  <c r="AD218"/>
  <c r="AC218"/>
  <c r="AB218"/>
  <c r="AA218"/>
  <c r="Z218"/>
  <c r="U218"/>
  <c r="T218"/>
  <c r="Q218"/>
  <c r="P218"/>
  <c r="O218"/>
  <c r="N218"/>
  <c r="M218"/>
  <c r="L218"/>
  <c r="K218"/>
  <c r="J218"/>
  <c r="A218" a="1"/>
  <c r="A218" s="1"/>
  <c r="I218" s="1"/>
  <c r="BG217"/>
  <c r="BF217"/>
  <c r="BE217"/>
  <c r="BD217"/>
  <c r="BC217"/>
  <c r="BB217"/>
  <c r="BA217"/>
  <c r="AZ217"/>
  <c r="AY217"/>
  <c r="AX217"/>
  <c r="AW217"/>
  <c r="AV217"/>
  <c r="AU217"/>
  <c r="AT217"/>
  <c r="AS217"/>
  <c r="AR217"/>
  <c r="AQ217"/>
  <c r="AP217"/>
  <c r="AO217"/>
  <c r="AN217"/>
  <c r="AM217"/>
  <c r="AL217"/>
  <c r="AK217"/>
  <c r="AJ217"/>
  <c r="AI217"/>
  <c r="AH217"/>
  <c r="AG217"/>
  <c r="AF217"/>
  <c r="AE217"/>
  <c r="AD217"/>
  <c r="AC217"/>
  <c r="AB217"/>
  <c r="AA217"/>
  <c r="Z217"/>
  <c r="U217"/>
  <c r="T217"/>
  <c r="Q217"/>
  <c r="P217"/>
  <c r="O217"/>
  <c r="N217"/>
  <c r="M217"/>
  <c r="L217"/>
  <c r="K217"/>
  <c r="J217"/>
  <c r="A217" a="1"/>
  <c r="A217" s="1"/>
  <c r="I217" s="1"/>
  <c r="BG216"/>
  <c r="BF216"/>
  <c r="BE216"/>
  <c r="BD216"/>
  <c r="BC216"/>
  <c r="BB216"/>
  <c r="BA216"/>
  <c r="AZ216"/>
  <c r="AY216"/>
  <c r="AX216"/>
  <c r="AW216"/>
  <c r="AV216"/>
  <c r="AU216"/>
  <c r="AT216"/>
  <c r="AS216"/>
  <c r="AR216"/>
  <c r="AQ216"/>
  <c r="AP216"/>
  <c r="AO216"/>
  <c r="AN216"/>
  <c r="AM216"/>
  <c r="AL216"/>
  <c r="AK216"/>
  <c r="AJ216"/>
  <c r="AI216"/>
  <c r="AH216"/>
  <c r="AG216"/>
  <c r="AF216"/>
  <c r="AE216"/>
  <c r="AD216"/>
  <c r="AC216"/>
  <c r="AB216"/>
  <c r="AA216"/>
  <c r="Z216"/>
  <c r="U216"/>
  <c r="T216"/>
  <c r="Q216"/>
  <c r="P216"/>
  <c r="O216"/>
  <c r="N216"/>
  <c r="M216"/>
  <c r="L216"/>
  <c r="K216"/>
  <c r="J216"/>
  <c r="A216" a="1"/>
  <c r="A216" s="1"/>
  <c r="I216" s="1"/>
  <c r="BG215"/>
  <c r="BF215"/>
  <c r="BE215"/>
  <c r="BD215"/>
  <c r="BC215"/>
  <c r="BB215"/>
  <c r="BA215"/>
  <c r="AZ215"/>
  <c r="AY215"/>
  <c r="AX215"/>
  <c r="AW215"/>
  <c r="AV215"/>
  <c r="AU215"/>
  <c r="AT215"/>
  <c r="AS215"/>
  <c r="AR215"/>
  <c r="AQ215"/>
  <c r="AP215"/>
  <c r="AO215"/>
  <c r="AN215"/>
  <c r="AM215"/>
  <c r="AL215"/>
  <c r="AK215"/>
  <c r="AJ215"/>
  <c r="AI215"/>
  <c r="AH215"/>
  <c r="AG215"/>
  <c r="AF215"/>
  <c r="AE215"/>
  <c r="AD215"/>
  <c r="AC215"/>
  <c r="AB215"/>
  <c r="AA215"/>
  <c r="Z215"/>
  <c r="U215"/>
  <c r="T215"/>
  <c r="Q215"/>
  <c r="P215"/>
  <c r="O215"/>
  <c r="N215"/>
  <c r="M215"/>
  <c r="L215"/>
  <c r="K215"/>
  <c r="J215"/>
  <c r="A215" a="1"/>
  <c r="A215" s="1"/>
  <c r="I215" s="1"/>
  <c r="BG214"/>
  <c r="BF214"/>
  <c r="BE214"/>
  <c r="BD214"/>
  <c r="BC214"/>
  <c r="BB214"/>
  <c r="BA214"/>
  <c r="AZ214"/>
  <c r="AY214"/>
  <c r="AX214"/>
  <c r="AW214"/>
  <c r="AV214"/>
  <c r="AU214"/>
  <c r="AT214"/>
  <c r="AS214"/>
  <c r="AR214"/>
  <c r="AQ214"/>
  <c r="AP214"/>
  <c r="AO214"/>
  <c r="AN214"/>
  <c r="AM214"/>
  <c r="AL214"/>
  <c r="AK214"/>
  <c r="AJ214"/>
  <c r="AI214"/>
  <c r="AH214"/>
  <c r="AG214"/>
  <c r="AF214"/>
  <c r="AE214"/>
  <c r="AD214"/>
  <c r="AC214"/>
  <c r="AB214"/>
  <c r="AA214"/>
  <c r="Z214"/>
  <c r="U214"/>
  <c r="T214"/>
  <c r="Q214"/>
  <c r="P214"/>
  <c r="O214"/>
  <c r="N214"/>
  <c r="M214"/>
  <c r="L214"/>
  <c r="K214"/>
  <c r="J214"/>
  <c r="A214"/>
  <c r="I214" s="1"/>
  <c r="A214" a="1"/>
  <c r="BG213"/>
  <c r="BF213"/>
  <c r="BE213"/>
  <c r="BD213"/>
  <c r="BC213"/>
  <c r="BB213"/>
  <c r="BA213"/>
  <c r="AZ213"/>
  <c r="AY213"/>
  <c r="AX213"/>
  <c r="AW213"/>
  <c r="AV213"/>
  <c r="AU213"/>
  <c r="AT213"/>
  <c r="AS213"/>
  <c r="AR213"/>
  <c r="AQ213"/>
  <c r="AP213"/>
  <c r="AO213"/>
  <c r="AN213"/>
  <c r="AM213"/>
  <c r="AL213"/>
  <c r="AK213"/>
  <c r="AJ213"/>
  <c r="AI213"/>
  <c r="AH213"/>
  <c r="AG213"/>
  <c r="AF213"/>
  <c r="AE213"/>
  <c r="AD213"/>
  <c r="AC213"/>
  <c r="AB213"/>
  <c r="AA213"/>
  <c r="Z213"/>
  <c r="U213"/>
  <c r="T213"/>
  <c r="Q213"/>
  <c r="P213"/>
  <c r="O213"/>
  <c r="N213"/>
  <c r="M213"/>
  <c r="L213"/>
  <c r="K213"/>
  <c r="J213"/>
  <c r="A213" a="1"/>
  <c r="A213" s="1"/>
  <c r="I213" s="1"/>
  <c r="BG212"/>
  <c r="BF212"/>
  <c r="BE212"/>
  <c r="BD212"/>
  <c r="BC212"/>
  <c r="BB212"/>
  <c r="BA212"/>
  <c r="AZ212"/>
  <c r="AY212"/>
  <c r="AX212"/>
  <c r="AW212"/>
  <c r="AV212"/>
  <c r="AU212"/>
  <c r="AT212"/>
  <c r="AS212"/>
  <c r="AR212"/>
  <c r="AQ212"/>
  <c r="AP212"/>
  <c r="AO212"/>
  <c r="AN212"/>
  <c r="AM212"/>
  <c r="AL212"/>
  <c r="AK212"/>
  <c r="AJ212"/>
  <c r="AI212"/>
  <c r="AH212"/>
  <c r="AG212"/>
  <c r="AF212"/>
  <c r="AE212"/>
  <c r="AD212"/>
  <c r="AC212"/>
  <c r="AB212"/>
  <c r="AA212"/>
  <c r="Z212"/>
  <c r="U212"/>
  <c r="T212"/>
  <c r="Q212"/>
  <c r="P212"/>
  <c r="O212"/>
  <c r="N212"/>
  <c r="M212"/>
  <c r="L212"/>
  <c r="K212"/>
  <c r="J212"/>
  <c r="A212" a="1"/>
  <c r="A212" s="1"/>
  <c r="I212" s="1"/>
  <c r="BG211"/>
  <c r="BF211"/>
  <c r="BE211"/>
  <c r="BD211"/>
  <c r="BC211"/>
  <c r="BB211"/>
  <c r="BA211"/>
  <c r="AZ211"/>
  <c r="AY211"/>
  <c r="AX211"/>
  <c r="AW211"/>
  <c r="AV211"/>
  <c r="AU211"/>
  <c r="AT211"/>
  <c r="AS211"/>
  <c r="AR211"/>
  <c r="AQ211"/>
  <c r="AP211"/>
  <c r="AO211"/>
  <c r="AN211"/>
  <c r="AM211"/>
  <c r="AL211"/>
  <c r="AK211"/>
  <c r="AJ211"/>
  <c r="AI211"/>
  <c r="AH211"/>
  <c r="AG211"/>
  <c r="AF211"/>
  <c r="AE211"/>
  <c r="AD211"/>
  <c r="AC211"/>
  <c r="AB211"/>
  <c r="AA211"/>
  <c r="Z211"/>
  <c r="U211"/>
  <c r="T211"/>
  <c r="Q211"/>
  <c r="P211"/>
  <c r="O211"/>
  <c r="N211"/>
  <c r="M211"/>
  <c r="L211"/>
  <c r="K211"/>
  <c r="J211"/>
  <c r="A211" a="1"/>
  <c r="A211" s="1"/>
  <c r="I211" s="1"/>
  <c r="BG210"/>
  <c r="BF210"/>
  <c r="BE210"/>
  <c r="BD210"/>
  <c r="BC210"/>
  <c r="BB210"/>
  <c r="BA210"/>
  <c r="AZ210"/>
  <c r="AY210"/>
  <c r="AX210"/>
  <c r="AW210"/>
  <c r="AV210"/>
  <c r="AU210"/>
  <c r="AT210"/>
  <c r="AS210"/>
  <c r="AR210"/>
  <c r="AQ210"/>
  <c r="AP210"/>
  <c r="AO210"/>
  <c r="AN210"/>
  <c r="AM210"/>
  <c r="AL210"/>
  <c r="AK210"/>
  <c r="AJ210"/>
  <c r="AI210"/>
  <c r="AH210"/>
  <c r="AG210"/>
  <c r="AF210"/>
  <c r="AE210"/>
  <c r="AD210"/>
  <c r="AC210"/>
  <c r="AB210"/>
  <c r="AA210"/>
  <c r="Z210"/>
  <c r="U210"/>
  <c r="T210"/>
  <c r="Q210"/>
  <c r="P210"/>
  <c r="O210"/>
  <c r="N210"/>
  <c r="M210"/>
  <c r="L210"/>
  <c r="K210"/>
  <c r="J210"/>
  <c r="A210" a="1"/>
  <c r="A210" s="1"/>
  <c r="I210" s="1"/>
  <c r="BG209"/>
  <c r="BF209"/>
  <c r="BE209"/>
  <c r="BD209"/>
  <c r="BC209"/>
  <c r="BB209"/>
  <c r="BA209"/>
  <c r="AZ209"/>
  <c r="AY209"/>
  <c r="AX209"/>
  <c r="AW209"/>
  <c r="AV209"/>
  <c r="AU209"/>
  <c r="AT209"/>
  <c r="AS209"/>
  <c r="AR209"/>
  <c r="AQ209"/>
  <c r="AP209"/>
  <c r="AO209"/>
  <c r="AN209"/>
  <c r="AM209"/>
  <c r="AL209"/>
  <c r="AK209"/>
  <c r="AJ209"/>
  <c r="AI209"/>
  <c r="AH209"/>
  <c r="AG209"/>
  <c r="AF209"/>
  <c r="AE209"/>
  <c r="AD209"/>
  <c r="AC209"/>
  <c r="AB209"/>
  <c r="AA209"/>
  <c r="Z209"/>
  <c r="U209"/>
  <c r="T209"/>
  <c r="Q209"/>
  <c r="P209"/>
  <c r="O209"/>
  <c r="N209"/>
  <c r="M209"/>
  <c r="L209"/>
  <c r="K209"/>
  <c r="J209"/>
  <c r="A209" a="1"/>
  <c r="A209" s="1"/>
  <c r="I209" s="1"/>
  <c r="BG208"/>
  <c r="BF208"/>
  <c r="BE208"/>
  <c r="BD208"/>
  <c r="BC208"/>
  <c r="BB208"/>
  <c r="BA208"/>
  <c r="AZ208"/>
  <c r="AY208"/>
  <c r="AX208"/>
  <c r="AW208"/>
  <c r="AV208"/>
  <c r="AU208"/>
  <c r="AT208"/>
  <c r="AS208"/>
  <c r="AR208"/>
  <c r="AQ208"/>
  <c r="AP208"/>
  <c r="AO208"/>
  <c r="AN208"/>
  <c r="AM208"/>
  <c r="AL208"/>
  <c r="AK208"/>
  <c r="AJ208"/>
  <c r="AI208"/>
  <c r="AH208"/>
  <c r="AG208"/>
  <c r="AF208"/>
  <c r="AE208"/>
  <c r="AD208"/>
  <c r="AC208"/>
  <c r="AB208"/>
  <c r="AA208"/>
  <c r="Z208"/>
  <c r="U208"/>
  <c r="T208"/>
  <c r="Q208"/>
  <c r="P208"/>
  <c r="O208"/>
  <c r="N208"/>
  <c r="M208"/>
  <c r="L208"/>
  <c r="K208"/>
  <c r="J208"/>
  <c r="A208" a="1"/>
  <c r="A208" s="1"/>
  <c r="I208" s="1"/>
  <c r="BG207"/>
  <c r="BF207"/>
  <c r="BE207"/>
  <c r="BD207"/>
  <c r="BC207"/>
  <c r="BB207"/>
  <c r="BA207"/>
  <c r="AZ207"/>
  <c r="AY207"/>
  <c r="AX207"/>
  <c r="AW207"/>
  <c r="AV207"/>
  <c r="AU207"/>
  <c r="AT207"/>
  <c r="AS207"/>
  <c r="AR207"/>
  <c r="AQ207"/>
  <c r="AP207"/>
  <c r="AO207"/>
  <c r="AN207"/>
  <c r="AM207"/>
  <c r="AL207"/>
  <c r="AK207"/>
  <c r="AJ207"/>
  <c r="AI207"/>
  <c r="AH207"/>
  <c r="AG207"/>
  <c r="AF207"/>
  <c r="AE207"/>
  <c r="AD207"/>
  <c r="AC207"/>
  <c r="AB207"/>
  <c r="AA207"/>
  <c r="Z207"/>
  <c r="U207"/>
  <c r="T207"/>
  <c r="Q207"/>
  <c r="P207"/>
  <c r="O207"/>
  <c r="N207"/>
  <c r="M207"/>
  <c r="L207"/>
  <c r="K207"/>
  <c r="J207"/>
  <c r="A207" a="1"/>
  <c r="A207" s="1"/>
  <c r="I207" s="1"/>
  <c r="BG206"/>
  <c r="BF206"/>
  <c r="BE206"/>
  <c r="BD206"/>
  <c r="BC206"/>
  <c r="BB206"/>
  <c r="BA206"/>
  <c r="AZ206"/>
  <c r="AY206"/>
  <c r="AX206"/>
  <c r="AW206"/>
  <c r="AV206"/>
  <c r="AU206"/>
  <c r="AT206"/>
  <c r="AS206"/>
  <c r="AR206"/>
  <c r="AQ206"/>
  <c r="AP206"/>
  <c r="AO206"/>
  <c r="AN206"/>
  <c r="AM206"/>
  <c r="AL206"/>
  <c r="AK206"/>
  <c r="AJ206"/>
  <c r="AI206"/>
  <c r="AH206"/>
  <c r="AG206"/>
  <c r="AF206"/>
  <c r="AE206"/>
  <c r="AD206"/>
  <c r="AC206"/>
  <c r="AB206"/>
  <c r="AA206"/>
  <c r="Z206"/>
  <c r="U206"/>
  <c r="T206"/>
  <c r="Q206"/>
  <c r="P206"/>
  <c r="O206"/>
  <c r="N206"/>
  <c r="M206"/>
  <c r="L206"/>
  <c r="K206"/>
  <c r="J206"/>
  <c r="A206" a="1"/>
  <c r="A206" s="1"/>
  <c r="I206" s="1"/>
  <c r="BG205"/>
  <c r="BF205"/>
  <c r="BE205"/>
  <c r="BD205"/>
  <c r="BC205"/>
  <c r="BB205"/>
  <c r="BA205"/>
  <c r="AZ205"/>
  <c r="AY205"/>
  <c r="AX205"/>
  <c r="AW205"/>
  <c r="AV205"/>
  <c r="AU205"/>
  <c r="AT205"/>
  <c r="AS205"/>
  <c r="AR205"/>
  <c r="AQ205"/>
  <c r="AP205"/>
  <c r="AO205"/>
  <c r="AN205"/>
  <c r="AM205"/>
  <c r="AL205"/>
  <c r="AK205"/>
  <c r="AJ205"/>
  <c r="AI205"/>
  <c r="AH205"/>
  <c r="AG205"/>
  <c r="AF205"/>
  <c r="AE205"/>
  <c r="AD205"/>
  <c r="AC205"/>
  <c r="AB205"/>
  <c r="AA205"/>
  <c r="Z205"/>
  <c r="U205"/>
  <c r="T205"/>
  <c r="Q205"/>
  <c r="P205"/>
  <c r="O205"/>
  <c r="N205"/>
  <c r="M205"/>
  <c r="L205"/>
  <c r="K205"/>
  <c r="J205"/>
  <c r="A205" a="1"/>
  <c r="A205" s="1"/>
  <c r="I205" s="1"/>
  <c r="BG204"/>
  <c r="BF204"/>
  <c r="BE204"/>
  <c r="BD204"/>
  <c r="BC204"/>
  <c r="BB204"/>
  <c r="BA204"/>
  <c r="AZ204"/>
  <c r="AY204"/>
  <c r="AX204"/>
  <c r="AW204"/>
  <c r="AV204"/>
  <c r="AU204"/>
  <c r="AT204"/>
  <c r="AS204"/>
  <c r="AR204"/>
  <c r="AQ204"/>
  <c r="AP204"/>
  <c r="AO204"/>
  <c r="AN204"/>
  <c r="AM204"/>
  <c r="AL204"/>
  <c r="AK204"/>
  <c r="AJ204"/>
  <c r="AI204"/>
  <c r="AH204"/>
  <c r="AG204"/>
  <c r="AF204"/>
  <c r="AE204"/>
  <c r="AD204"/>
  <c r="AC204"/>
  <c r="AB204"/>
  <c r="AA204"/>
  <c r="Z204"/>
  <c r="U204"/>
  <c r="T204"/>
  <c r="Q204"/>
  <c r="P204"/>
  <c r="O204"/>
  <c r="N204"/>
  <c r="M204"/>
  <c r="L204"/>
  <c r="K204"/>
  <c r="J204"/>
  <c r="A204" a="1"/>
  <c r="A204" s="1"/>
  <c r="I204" s="1"/>
  <c r="BG203"/>
  <c r="BF203"/>
  <c r="BE203"/>
  <c r="BD203"/>
  <c r="BC203"/>
  <c r="BB203"/>
  <c r="BA203"/>
  <c r="AZ203"/>
  <c r="AY203"/>
  <c r="AX203"/>
  <c r="AW203"/>
  <c r="AV203"/>
  <c r="AU203"/>
  <c r="AT203"/>
  <c r="AS203"/>
  <c r="AR203"/>
  <c r="AQ203"/>
  <c r="AP203"/>
  <c r="AO203"/>
  <c r="AN203"/>
  <c r="AM203"/>
  <c r="AL203"/>
  <c r="AK203"/>
  <c r="AJ203"/>
  <c r="AI203"/>
  <c r="AH203"/>
  <c r="AG203"/>
  <c r="AF203"/>
  <c r="AE203"/>
  <c r="AD203"/>
  <c r="AC203"/>
  <c r="AB203"/>
  <c r="AA203"/>
  <c r="Z203"/>
  <c r="U203"/>
  <c r="T203"/>
  <c r="Q203"/>
  <c r="P203"/>
  <c r="O203"/>
  <c r="N203"/>
  <c r="M203"/>
  <c r="L203"/>
  <c r="K203"/>
  <c r="J203"/>
  <c r="A203" a="1"/>
  <c r="A203" s="1"/>
  <c r="I203" s="1"/>
  <c r="BG202"/>
  <c r="BF202"/>
  <c r="BE202"/>
  <c r="BD202"/>
  <c r="BC202"/>
  <c r="BB202"/>
  <c r="BA202"/>
  <c r="AZ202"/>
  <c r="AY202"/>
  <c r="AX202"/>
  <c r="AW202"/>
  <c r="AV202"/>
  <c r="AU202"/>
  <c r="AT202"/>
  <c r="AS202"/>
  <c r="AR202"/>
  <c r="AQ202"/>
  <c r="AP202"/>
  <c r="AO202"/>
  <c r="AN202"/>
  <c r="AM202"/>
  <c r="AL202"/>
  <c r="AK202"/>
  <c r="AJ202"/>
  <c r="AI202"/>
  <c r="AH202"/>
  <c r="AG202"/>
  <c r="AF202"/>
  <c r="AE202"/>
  <c r="AD202"/>
  <c r="AC202"/>
  <c r="AB202"/>
  <c r="AA202"/>
  <c r="Z202"/>
  <c r="U202"/>
  <c r="T202"/>
  <c r="Q202"/>
  <c r="P202"/>
  <c r="O202"/>
  <c r="N202"/>
  <c r="M202"/>
  <c r="L202"/>
  <c r="K202"/>
  <c r="J202"/>
  <c r="A202" a="1"/>
  <c r="A202" s="1"/>
  <c r="I202" s="1"/>
  <c r="BG201"/>
  <c r="BF201"/>
  <c r="BE201"/>
  <c r="BD201"/>
  <c r="BC201"/>
  <c r="BB201"/>
  <c r="BA201"/>
  <c r="AZ201"/>
  <c r="AY201"/>
  <c r="AX201"/>
  <c r="AW201"/>
  <c r="AV201"/>
  <c r="AU201"/>
  <c r="AT201"/>
  <c r="AS201"/>
  <c r="AR201"/>
  <c r="AQ201"/>
  <c r="AP201"/>
  <c r="AO201"/>
  <c r="AN201"/>
  <c r="AM201"/>
  <c r="AL201"/>
  <c r="AK201"/>
  <c r="AJ201"/>
  <c r="AI201"/>
  <c r="AH201"/>
  <c r="AG201"/>
  <c r="AF201"/>
  <c r="AE201"/>
  <c r="AD201"/>
  <c r="AC201"/>
  <c r="AB201"/>
  <c r="AA201"/>
  <c r="Z201"/>
  <c r="U201"/>
  <c r="T201"/>
  <c r="Q201"/>
  <c r="P201"/>
  <c r="O201"/>
  <c r="N201"/>
  <c r="M201"/>
  <c r="L201"/>
  <c r="K201"/>
  <c r="J201"/>
  <c r="A201" a="1"/>
  <c r="A201" s="1"/>
  <c r="I201" s="1"/>
  <c r="BG200"/>
  <c r="BF200"/>
  <c r="BE200"/>
  <c r="BD200"/>
  <c r="BC200"/>
  <c r="BB200"/>
  <c r="BA200"/>
  <c r="AZ200"/>
  <c r="AY200"/>
  <c r="AX200"/>
  <c r="AW200"/>
  <c r="AV200"/>
  <c r="AU200"/>
  <c r="AT200"/>
  <c r="AS200"/>
  <c r="AR200"/>
  <c r="AQ200"/>
  <c r="AP200"/>
  <c r="AO200"/>
  <c r="AN200"/>
  <c r="AM200"/>
  <c r="AL200"/>
  <c r="AK200"/>
  <c r="AJ200"/>
  <c r="AI200"/>
  <c r="AH200"/>
  <c r="AG200"/>
  <c r="AF200"/>
  <c r="AE200"/>
  <c r="AD200"/>
  <c r="AC200"/>
  <c r="AB200"/>
  <c r="AA200"/>
  <c r="Z200"/>
  <c r="U200"/>
  <c r="T200"/>
  <c r="Q200"/>
  <c r="P200"/>
  <c r="O200"/>
  <c r="N200"/>
  <c r="M200"/>
  <c r="L200"/>
  <c r="K200"/>
  <c r="J200"/>
  <c r="A200" a="1"/>
  <c r="A200" s="1"/>
  <c r="I200" s="1"/>
  <c r="BG199"/>
  <c r="BF199"/>
  <c r="BE199"/>
  <c r="BD199"/>
  <c r="BC199"/>
  <c r="BB199"/>
  <c r="BA199"/>
  <c r="AZ199"/>
  <c r="AY199"/>
  <c r="AX199"/>
  <c r="AW199"/>
  <c r="AV199"/>
  <c r="AU199"/>
  <c r="AT199"/>
  <c r="AS199"/>
  <c r="AR199"/>
  <c r="AQ199"/>
  <c r="AP199"/>
  <c r="AO199"/>
  <c r="AN199"/>
  <c r="AM199"/>
  <c r="AL199"/>
  <c r="AK199"/>
  <c r="AJ199"/>
  <c r="AI199"/>
  <c r="AH199"/>
  <c r="AG199"/>
  <c r="AF199"/>
  <c r="AE199"/>
  <c r="AD199"/>
  <c r="AC199"/>
  <c r="AB199"/>
  <c r="AA199"/>
  <c r="Z199"/>
  <c r="U199"/>
  <c r="T199"/>
  <c r="Q199"/>
  <c r="P199"/>
  <c r="O199"/>
  <c r="N199"/>
  <c r="M199"/>
  <c r="L199"/>
  <c r="K199"/>
  <c r="J199"/>
  <c r="A199" a="1"/>
  <c r="A199" s="1"/>
  <c r="I199" s="1"/>
  <c r="BG198"/>
  <c r="BF198"/>
  <c r="BE198"/>
  <c r="BD198"/>
  <c r="BC198"/>
  <c r="BB198"/>
  <c r="BA198"/>
  <c r="AZ198"/>
  <c r="AY198"/>
  <c r="AX198"/>
  <c r="AW198"/>
  <c r="AV198"/>
  <c r="AU198"/>
  <c r="AT198"/>
  <c r="AS198"/>
  <c r="AR198"/>
  <c r="AQ198"/>
  <c r="AP198"/>
  <c r="AO198"/>
  <c r="AN198"/>
  <c r="AM198"/>
  <c r="AL198"/>
  <c r="AK198"/>
  <c r="AJ198"/>
  <c r="AI198"/>
  <c r="AH198"/>
  <c r="AG198"/>
  <c r="AF198"/>
  <c r="AE198"/>
  <c r="AD198"/>
  <c r="AC198"/>
  <c r="AB198"/>
  <c r="AA198"/>
  <c r="Z198"/>
  <c r="U198"/>
  <c r="T198"/>
  <c r="Q198"/>
  <c r="P198"/>
  <c r="O198"/>
  <c r="N198"/>
  <c r="M198"/>
  <c r="L198"/>
  <c r="K198"/>
  <c r="J198"/>
  <c r="A198" a="1"/>
  <c r="A198" s="1"/>
  <c r="I198" s="1"/>
  <c r="BG197"/>
  <c r="BF197"/>
  <c r="BE197"/>
  <c r="BD197"/>
  <c r="BC197"/>
  <c r="BB197"/>
  <c r="BA197"/>
  <c r="AZ197"/>
  <c r="AY197"/>
  <c r="AX197"/>
  <c r="AW197"/>
  <c r="AV197"/>
  <c r="AU197"/>
  <c r="AT197"/>
  <c r="AS197"/>
  <c r="AR197"/>
  <c r="AQ197"/>
  <c r="AP197"/>
  <c r="AO197"/>
  <c r="AN197"/>
  <c r="AM197"/>
  <c r="AL197"/>
  <c r="AK197"/>
  <c r="AJ197"/>
  <c r="AI197"/>
  <c r="AH197"/>
  <c r="AG197"/>
  <c r="AF197"/>
  <c r="AE197"/>
  <c r="AD197"/>
  <c r="AC197"/>
  <c r="AB197"/>
  <c r="AA197"/>
  <c r="Z197"/>
  <c r="U197"/>
  <c r="T197"/>
  <c r="Q197"/>
  <c r="P197"/>
  <c r="O197"/>
  <c r="N197"/>
  <c r="M197"/>
  <c r="L197"/>
  <c r="K197"/>
  <c r="J197"/>
  <c r="A197" a="1"/>
  <c r="A197" s="1"/>
  <c r="I197" s="1"/>
  <c r="BG196"/>
  <c r="BF196"/>
  <c r="BE196"/>
  <c r="BD196"/>
  <c r="BC196"/>
  <c r="BB196"/>
  <c r="BA196"/>
  <c r="AZ196"/>
  <c r="AY196"/>
  <c r="AX196"/>
  <c r="AW196"/>
  <c r="AV196"/>
  <c r="AU196"/>
  <c r="AT196"/>
  <c r="AS196"/>
  <c r="AR196"/>
  <c r="AQ196"/>
  <c r="AP196"/>
  <c r="AO196"/>
  <c r="AN196"/>
  <c r="AM196"/>
  <c r="AL196"/>
  <c r="AK196"/>
  <c r="AJ196"/>
  <c r="AI196"/>
  <c r="AH196"/>
  <c r="AG196"/>
  <c r="AF196"/>
  <c r="AE196"/>
  <c r="AD196"/>
  <c r="AC196"/>
  <c r="AB196"/>
  <c r="AA196"/>
  <c r="Z196"/>
  <c r="U196"/>
  <c r="T196"/>
  <c r="Q196"/>
  <c r="P196"/>
  <c r="O196"/>
  <c r="N196"/>
  <c r="M196"/>
  <c r="L196"/>
  <c r="K196"/>
  <c r="J196"/>
  <c r="A196" a="1"/>
  <c r="A196" s="1"/>
  <c r="I196" s="1"/>
  <c r="BG195"/>
  <c r="BF195"/>
  <c r="BE195"/>
  <c r="BD195"/>
  <c r="BC195"/>
  <c r="BB195"/>
  <c r="BA195"/>
  <c r="AZ195"/>
  <c r="AY195"/>
  <c r="AX195"/>
  <c r="AW195"/>
  <c r="AV195"/>
  <c r="AU195"/>
  <c r="AT195"/>
  <c r="AS195"/>
  <c r="AR195"/>
  <c r="AQ195"/>
  <c r="AP195"/>
  <c r="AO195"/>
  <c r="AN195"/>
  <c r="AM195"/>
  <c r="AL195"/>
  <c r="AK195"/>
  <c r="AJ195"/>
  <c r="AI195"/>
  <c r="AH195"/>
  <c r="AG195"/>
  <c r="AF195"/>
  <c r="AE195"/>
  <c r="AD195"/>
  <c r="AC195"/>
  <c r="AB195"/>
  <c r="AA195"/>
  <c r="Z195"/>
  <c r="U195"/>
  <c r="T195"/>
  <c r="Q195"/>
  <c r="P195"/>
  <c r="O195"/>
  <c r="N195"/>
  <c r="M195"/>
  <c r="L195"/>
  <c r="K195"/>
  <c r="J195"/>
  <c r="A195" a="1"/>
  <c r="A195" s="1"/>
  <c r="I195" s="1"/>
  <c r="BG194"/>
  <c r="BF194"/>
  <c r="BE194"/>
  <c r="BD194"/>
  <c r="BC194"/>
  <c r="BB194"/>
  <c r="BA194"/>
  <c r="AZ194"/>
  <c r="AY194"/>
  <c r="AX194"/>
  <c r="AW194"/>
  <c r="AV194"/>
  <c r="AU194"/>
  <c r="AT194"/>
  <c r="AS194"/>
  <c r="AR194"/>
  <c r="AQ194"/>
  <c r="AP194"/>
  <c r="AO194"/>
  <c r="AN194"/>
  <c r="AM194"/>
  <c r="AL194"/>
  <c r="AK194"/>
  <c r="AJ194"/>
  <c r="AI194"/>
  <c r="AH194"/>
  <c r="AG194"/>
  <c r="AF194"/>
  <c r="AE194"/>
  <c r="AD194"/>
  <c r="AC194"/>
  <c r="AB194"/>
  <c r="AA194"/>
  <c r="Z194"/>
  <c r="U194"/>
  <c r="T194"/>
  <c r="Q194"/>
  <c r="P194"/>
  <c r="O194"/>
  <c r="N194"/>
  <c r="M194"/>
  <c r="L194"/>
  <c r="K194"/>
  <c r="J194"/>
  <c r="A194" a="1"/>
  <c r="A194" s="1"/>
  <c r="I194" s="1"/>
  <c r="BG193"/>
  <c r="BF193"/>
  <c r="BE193"/>
  <c r="BD193"/>
  <c r="BC193"/>
  <c r="BB193"/>
  <c r="BA193"/>
  <c r="AZ193"/>
  <c r="AY193"/>
  <c r="AX193"/>
  <c r="AW193"/>
  <c r="AV193"/>
  <c r="AU193"/>
  <c r="AT193"/>
  <c r="AS193"/>
  <c r="AR193"/>
  <c r="AQ193"/>
  <c r="AP193"/>
  <c r="AO193"/>
  <c r="AN193"/>
  <c r="AM193"/>
  <c r="AL193"/>
  <c r="AK193"/>
  <c r="AJ193"/>
  <c r="AI193"/>
  <c r="AH193"/>
  <c r="AG193"/>
  <c r="AF193"/>
  <c r="AE193"/>
  <c r="AD193"/>
  <c r="AC193"/>
  <c r="AB193"/>
  <c r="AA193"/>
  <c r="Z193"/>
  <c r="U193"/>
  <c r="T193"/>
  <c r="Q193"/>
  <c r="P193"/>
  <c r="O193"/>
  <c r="N193"/>
  <c r="M193"/>
  <c r="L193"/>
  <c r="K193"/>
  <c r="J193"/>
  <c r="A193" a="1"/>
  <c r="A193" s="1"/>
  <c r="I193" s="1"/>
  <c r="BG192"/>
  <c r="BF192"/>
  <c r="BE192"/>
  <c r="BD192"/>
  <c r="BC192"/>
  <c r="BB192"/>
  <c r="BA192"/>
  <c r="AZ192"/>
  <c r="AY192"/>
  <c r="AX192"/>
  <c r="AW192"/>
  <c r="AV192"/>
  <c r="AU192"/>
  <c r="AT192"/>
  <c r="AS192"/>
  <c r="AR192"/>
  <c r="AQ192"/>
  <c r="AP192"/>
  <c r="AO192"/>
  <c r="AN192"/>
  <c r="AM192"/>
  <c r="AL192"/>
  <c r="AK192"/>
  <c r="AJ192"/>
  <c r="AI192"/>
  <c r="AH192"/>
  <c r="AG192"/>
  <c r="AF192"/>
  <c r="AE192"/>
  <c r="AD192"/>
  <c r="AC192"/>
  <c r="AB192"/>
  <c r="AA192"/>
  <c r="Z192"/>
  <c r="U192"/>
  <c r="T192"/>
  <c r="Q192"/>
  <c r="P192"/>
  <c r="O192"/>
  <c r="N192"/>
  <c r="M192"/>
  <c r="L192"/>
  <c r="K192"/>
  <c r="J192"/>
  <c r="A192" a="1"/>
  <c r="A192" s="1"/>
  <c r="I192" s="1"/>
  <c r="BG191"/>
  <c r="BF191"/>
  <c r="BE191"/>
  <c r="BD191"/>
  <c r="BC191"/>
  <c r="BB191"/>
  <c r="BA191"/>
  <c r="AZ191"/>
  <c r="AY191"/>
  <c r="AX191"/>
  <c r="AW191"/>
  <c r="AV191"/>
  <c r="AU191"/>
  <c r="AT191"/>
  <c r="AS191"/>
  <c r="AR191"/>
  <c r="AQ191"/>
  <c r="AP191"/>
  <c r="AO191"/>
  <c r="AN191"/>
  <c r="AM191"/>
  <c r="AL191"/>
  <c r="AK191"/>
  <c r="AJ191"/>
  <c r="AI191"/>
  <c r="AH191"/>
  <c r="AG191"/>
  <c r="AF191"/>
  <c r="AE191"/>
  <c r="AD191"/>
  <c r="AC191"/>
  <c r="AB191"/>
  <c r="AA191"/>
  <c r="Z191"/>
  <c r="U191"/>
  <c r="T191"/>
  <c r="Q191"/>
  <c r="P191"/>
  <c r="O191"/>
  <c r="N191"/>
  <c r="M191"/>
  <c r="L191"/>
  <c r="K191"/>
  <c r="J191"/>
  <c r="A191" a="1"/>
  <c r="A191" s="1"/>
  <c r="I191" s="1"/>
  <c r="BG190"/>
  <c r="BF190"/>
  <c r="BE190"/>
  <c r="BD190"/>
  <c r="BC190"/>
  <c r="BB190"/>
  <c r="BA190"/>
  <c r="AZ190"/>
  <c r="AY190"/>
  <c r="AX190"/>
  <c r="AW190"/>
  <c r="AV190"/>
  <c r="AU190"/>
  <c r="AT190"/>
  <c r="AS190"/>
  <c r="AR190"/>
  <c r="AQ190"/>
  <c r="AP190"/>
  <c r="AO190"/>
  <c r="AN190"/>
  <c r="AM190"/>
  <c r="AL190"/>
  <c r="AK190"/>
  <c r="AJ190"/>
  <c r="AI190"/>
  <c r="AH190"/>
  <c r="AG190"/>
  <c r="AF190"/>
  <c r="AE190"/>
  <c r="AD190"/>
  <c r="AC190"/>
  <c r="AB190"/>
  <c r="AA190"/>
  <c r="Z190"/>
  <c r="U190"/>
  <c r="T190"/>
  <c r="Q190"/>
  <c r="P190"/>
  <c r="O190"/>
  <c r="N190"/>
  <c r="M190"/>
  <c r="L190"/>
  <c r="K190"/>
  <c r="J190"/>
  <c r="A190" a="1"/>
  <c r="A190" s="1"/>
  <c r="I190" s="1"/>
  <c r="BG189"/>
  <c r="BF189"/>
  <c r="BE189"/>
  <c r="BD189"/>
  <c r="BC189"/>
  <c r="BB189"/>
  <c r="BA189"/>
  <c r="AZ189"/>
  <c r="AY189"/>
  <c r="AX189"/>
  <c r="AW189"/>
  <c r="AV189"/>
  <c r="AU189"/>
  <c r="AT189"/>
  <c r="AS189"/>
  <c r="AR189"/>
  <c r="AQ189"/>
  <c r="AP189"/>
  <c r="AO189"/>
  <c r="AN189"/>
  <c r="AM189"/>
  <c r="AL189"/>
  <c r="AK189"/>
  <c r="AJ189"/>
  <c r="AI189"/>
  <c r="AH189"/>
  <c r="AG189"/>
  <c r="AF189"/>
  <c r="AE189"/>
  <c r="AD189"/>
  <c r="AC189"/>
  <c r="AB189"/>
  <c r="AA189"/>
  <c r="Z189"/>
  <c r="U189"/>
  <c r="T189"/>
  <c r="Q189"/>
  <c r="P189"/>
  <c r="O189"/>
  <c r="N189"/>
  <c r="M189"/>
  <c r="L189"/>
  <c r="K189"/>
  <c r="J189"/>
  <c r="A189" a="1"/>
  <c r="A189" s="1"/>
  <c r="I189" s="1"/>
  <c r="BG188"/>
  <c r="BF188"/>
  <c r="BE188"/>
  <c r="BD188"/>
  <c r="BC188"/>
  <c r="BB188"/>
  <c r="BA188"/>
  <c r="AZ188"/>
  <c r="AY188"/>
  <c r="AX188"/>
  <c r="AW188"/>
  <c r="AV188"/>
  <c r="AU188"/>
  <c r="AT188"/>
  <c r="AS188"/>
  <c r="AR188"/>
  <c r="AQ188"/>
  <c r="AP188"/>
  <c r="AO188"/>
  <c r="AN188"/>
  <c r="AM188"/>
  <c r="AL188"/>
  <c r="AK188"/>
  <c r="AJ188"/>
  <c r="AI188"/>
  <c r="AH188"/>
  <c r="AG188"/>
  <c r="AF188"/>
  <c r="AE188"/>
  <c r="AD188"/>
  <c r="AC188"/>
  <c r="AB188"/>
  <c r="AA188"/>
  <c r="Z188"/>
  <c r="U188"/>
  <c r="T188"/>
  <c r="Q188"/>
  <c r="P188"/>
  <c r="O188"/>
  <c r="N188"/>
  <c r="M188"/>
  <c r="L188"/>
  <c r="K188"/>
  <c r="J188"/>
  <c r="A188" a="1"/>
  <c r="A188" s="1"/>
  <c r="I188" s="1"/>
  <c r="BG187"/>
  <c r="BF187"/>
  <c r="BE187"/>
  <c r="BD187"/>
  <c r="BC187"/>
  <c r="BB187"/>
  <c r="BA187"/>
  <c r="AZ187"/>
  <c r="AY187"/>
  <c r="AX187"/>
  <c r="AW187"/>
  <c r="AV187"/>
  <c r="AU187"/>
  <c r="AT187"/>
  <c r="AS187"/>
  <c r="AR187"/>
  <c r="AQ187"/>
  <c r="AP187"/>
  <c r="AO187"/>
  <c r="AN187"/>
  <c r="AM187"/>
  <c r="AL187"/>
  <c r="AK187"/>
  <c r="AJ187"/>
  <c r="AI187"/>
  <c r="AH187"/>
  <c r="AG187"/>
  <c r="AF187"/>
  <c r="AE187"/>
  <c r="AD187"/>
  <c r="AC187"/>
  <c r="AB187"/>
  <c r="AA187"/>
  <c r="Z187"/>
  <c r="U187"/>
  <c r="T187"/>
  <c r="Q187"/>
  <c r="P187"/>
  <c r="O187"/>
  <c r="N187"/>
  <c r="M187"/>
  <c r="L187"/>
  <c r="K187"/>
  <c r="J187"/>
  <c r="A187" a="1"/>
  <c r="A187" s="1"/>
  <c r="I187" s="1"/>
  <c r="BG186"/>
  <c r="BF186"/>
  <c r="BE186"/>
  <c r="BD186"/>
  <c r="BC186"/>
  <c r="BB186"/>
  <c r="BA186"/>
  <c r="AZ186"/>
  <c r="AY186"/>
  <c r="AX186"/>
  <c r="AW186"/>
  <c r="AV186"/>
  <c r="AU186"/>
  <c r="AT186"/>
  <c r="AS186"/>
  <c r="AR186"/>
  <c r="AQ186"/>
  <c r="AP186"/>
  <c r="AO186"/>
  <c r="AN186"/>
  <c r="AM186"/>
  <c r="AL186"/>
  <c r="AK186"/>
  <c r="AJ186"/>
  <c r="AI186"/>
  <c r="AH186"/>
  <c r="AG186"/>
  <c r="AF186"/>
  <c r="AE186"/>
  <c r="AD186"/>
  <c r="AC186"/>
  <c r="AB186"/>
  <c r="AA186"/>
  <c r="Z186"/>
  <c r="U186"/>
  <c r="T186"/>
  <c r="Q186"/>
  <c r="P186"/>
  <c r="O186"/>
  <c r="N186"/>
  <c r="M186"/>
  <c r="L186"/>
  <c r="K186"/>
  <c r="J186"/>
  <c r="A186" a="1"/>
  <c r="A186" s="1"/>
  <c r="I186" s="1"/>
  <c r="BG185"/>
  <c r="BF185"/>
  <c r="BE185"/>
  <c r="BD185"/>
  <c r="BC185"/>
  <c r="BB185"/>
  <c r="BA185"/>
  <c r="AZ185"/>
  <c r="AY185"/>
  <c r="AX185"/>
  <c r="AW185"/>
  <c r="AV185"/>
  <c r="AU185"/>
  <c r="AT185"/>
  <c r="AS185"/>
  <c r="AR185"/>
  <c r="AQ185"/>
  <c r="AP185"/>
  <c r="AO185"/>
  <c r="AN185"/>
  <c r="AM185"/>
  <c r="AL185"/>
  <c r="AK185"/>
  <c r="AJ185"/>
  <c r="AI185"/>
  <c r="AH185"/>
  <c r="AG185"/>
  <c r="AF185"/>
  <c r="AE185"/>
  <c r="AD185"/>
  <c r="AC185"/>
  <c r="AB185"/>
  <c r="AA185"/>
  <c r="Z185"/>
  <c r="U185"/>
  <c r="T185"/>
  <c r="Q185"/>
  <c r="P185"/>
  <c r="O185"/>
  <c r="N185"/>
  <c r="M185"/>
  <c r="L185"/>
  <c r="K185"/>
  <c r="J185"/>
  <c r="A185" a="1"/>
  <c r="A185" s="1"/>
  <c r="I185" s="1"/>
  <c r="BG184"/>
  <c r="BF184"/>
  <c r="BE184"/>
  <c r="BD184"/>
  <c r="BC184"/>
  <c r="BB184"/>
  <c r="BA184"/>
  <c r="AZ184"/>
  <c r="AY184"/>
  <c r="AX184"/>
  <c r="AW184"/>
  <c r="AV184"/>
  <c r="AU184"/>
  <c r="AT184"/>
  <c r="AS184"/>
  <c r="AR184"/>
  <c r="AQ184"/>
  <c r="AP184"/>
  <c r="AO184"/>
  <c r="AN184"/>
  <c r="AM184"/>
  <c r="AL184"/>
  <c r="AK184"/>
  <c r="AJ184"/>
  <c r="AI184"/>
  <c r="AH184"/>
  <c r="AG184"/>
  <c r="AF184"/>
  <c r="AE184"/>
  <c r="AD184"/>
  <c r="AC184"/>
  <c r="AB184"/>
  <c r="AA184"/>
  <c r="Z184"/>
  <c r="U184"/>
  <c r="T184"/>
  <c r="Q184"/>
  <c r="P184"/>
  <c r="O184"/>
  <c r="N184"/>
  <c r="M184"/>
  <c r="L184"/>
  <c r="K184"/>
  <c r="J184"/>
  <c r="A184" a="1"/>
  <c r="A184" s="1"/>
  <c r="I184" s="1"/>
  <c r="BG183"/>
  <c r="BF183"/>
  <c r="BE183"/>
  <c r="BD183"/>
  <c r="BC183"/>
  <c r="BB183"/>
  <c r="BA183"/>
  <c r="AZ183"/>
  <c r="AY183"/>
  <c r="AX183"/>
  <c r="AW183"/>
  <c r="AV183"/>
  <c r="AU183"/>
  <c r="AT183"/>
  <c r="AS183"/>
  <c r="AR183"/>
  <c r="AQ183"/>
  <c r="AP183"/>
  <c r="AO183"/>
  <c r="AN183"/>
  <c r="AM183"/>
  <c r="AL183"/>
  <c r="AK183"/>
  <c r="AJ183"/>
  <c r="AI183"/>
  <c r="AH183"/>
  <c r="AG183"/>
  <c r="AF183"/>
  <c r="AE183"/>
  <c r="AD183"/>
  <c r="AC183"/>
  <c r="AB183"/>
  <c r="AA183"/>
  <c r="Z183"/>
  <c r="U183"/>
  <c r="T183"/>
  <c r="Q183"/>
  <c r="P183"/>
  <c r="O183"/>
  <c r="N183"/>
  <c r="M183"/>
  <c r="L183"/>
  <c r="K183"/>
  <c r="J183"/>
  <c r="A183" a="1"/>
  <c r="A183" s="1"/>
  <c r="I183" s="1"/>
  <c r="BG182"/>
  <c r="BF182"/>
  <c r="BE182"/>
  <c r="BD182"/>
  <c r="BC182"/>
  <c r="BB182"/>
  <c r="BA182"/>
  <c r="AZ182"/>
  <c r="AY182"/>
  <c r="AX182"/>
  <c r="AW182"/>
  <c r="AV182"/>
  <c r="AU182"/>
  <c r="AT182"/>
  <c r="AS182"/>
  <c r="AR182"/>
  <c r="AQ182"/>
  <c r="AP182"/>
  <c r="AO182"/>
  <c r="AN182"/>
  <c r="AM182"/>
  <c r="AL182"/>
  <c r="AK182"/>
  <c r="AJ182"/>
  <c r="AI182"/>
  <c r="AH182"/>
  <c r="AG182"/>
  <c r="AF182"/>
  <c r="AE182"/>
  <c r="AD182"/>
  <c r="AC182"/>
  <c r="AB182"/>
  <c r="AA182"/>
  <c r="Z182"/>
  <c r="U182"/>
  <c r="T182"/>
  <c r="Q182"/>
  <c r="P182"/>
  <c r="O182"/>
  <c r="N182"/>
  <c r="M182"/>
  <c r="L182"/>
  <c r="K182"/>
  <c r="J182"/>
  <c r="A182"/>
  <c r="I182" s="1"/>
  <c r="A182" a="1"/>
  <c r="BG181"/>
  <c r="BF181"/>
  <c r="BE181"/>
  <c r="BD181"/>
  <c r="BC181"/>
  <c r="BB181"/>
  <c r="BA181"/>
  <c r="AZ181"/>
  <c r="AY181"/>
  <c r="AX181"/>
  <c r="AW181"/>
  <c r="AV181"/>
  <c r="AU181"/>
  <c r="AT181"/>
  <c r="AS181"/>
  <c r="AR181"/>
  <c r="AQ181"/>
  <c r="AP181"/>
  <c r="AO181"/>
  <c r="AN181"/>
  <c r="AM181"/>
  <c r="AL181"/>
  <c r="AK181"/>
  <c r="AJ181"/>
  <c r="AI181"/>
  <c r="AH181"/>
  <c r="AG181"/>
  <c r="AF181"/>
  <c r="AE181"/>
  <c r="AD181"/>
  <c r="AC181"/>
  <c r="AB181"/>
  <c r="AA181"/>
  <c r="Z181"/>
  <c r="U181"/>
  <c r="T181"/>
  <c r="Q181"/>
  <c r="P181"/>
  <c r="O181"/>
  <c r="N181"/>
  <c r="M181"/>
  <c r="L181"/>
  <c r="K181"/>
  <c r="J181"/>
  <c r="A181" a="1"/>
  <c r="A181" s="1"/>
  <c r="I181" s="1"/>
  <c r="BG180"/>
  <c r="BF180"/>
  <c r="BE180"/>
  <c r="BD180"/>
  <c r="BC180"/>
  <c r="BB180"/>
  <c r="BA180"/>
  <c r="AZ180"/>
  <c r="AY180"/>
  <c r="AX180"/>
  <c r="AW180"/>
  <c r="AV180"/>
  <c r="AU180"/>
  <c r="AT180"/>
  <c r="AS180"/>
  <c r="AR180"/>
  <c r="AQ180"/>
  <c r="AP180"/>
  <c r="AO180"/>
  <c r="AN180"/>
  <c r="AM180"/>
  <c r="AL180"/>
  <c r="AK180"/>
  <c r="AJ180"/>
  <c r="AI180"/>
  <c r="AH180"/>
  <c r="AG180"/>
  <c r="AF180"/>
  <c r="AE180"/>
  <c r="AD180"/>
  <c r="AC180"/>
  <c r="AB180"/>
  <c r="AA180"/>
  <c r="Z180"/>
  <c r="U180"/>
  <c r="T180"/>
  <c r="Q180"/>
  <c r="P180"/>
  <c r="O180"/>
  <c r="N180"/>
  <c r="M180"/>
  <c r="L180"/>
  <c r="K180"/>
  <c r="J180"/>
  <c r="A180" a="1"/>
  <c r="A180" s="1"/>
  <c r="I180" s="1"/>
  <c r="BG179"/>
  <c r="BF179"/>
  <c r="BE179"/>
  <c r="BD179"/>
  <c r="BC179"/>
  <c r="BB179"/>
  <c r="BA179"/>
  <c r="AZ179"/>
  <c r="AY179"/>
  <c r="AX179"/>
  <c r="AW179"/>
  <c r="AV179"/>
  <c r="AU179"/>
  <c r="AT179"/>
  <c r="AS179"/>
  <c r="AR179"/>
  <c r="AQ179"/>
  <c r="AP179"/>
  <c r="AO179"/>
  <c r="AN179"/>
  <c r="AM179"/>
  <c r="AL179"/>
  <c r="AK179"/>
  <c r="AJ179"/>
  <c r="AI179"/>
  <c r="AH179"/>
  <c r="AG179"/>
  <c r="AF179"/>
  <c r="AE179"/>
  <c r="AD179"/>
  <c r="AC179"/>
  <c r="AB179"/>
  <c r="AA179"/>
  <c r="Z179"/>
  <c r="U179"/>
  <c r="T179"/>
  <c r="Q179"/>
  <c r="P179"/>
  <c r="O179"/>
  <c r="N179"/>
  <c r="M179"/>
  <c r="L179"/>
  <c r="K179"/>
  <c r="J179"/>
  <c r="A179" a="1"/>
  <c r="A179" s="1"/>
  <c r="I179" s="1"/>
  <c r="BG178"/>
  <c r="BF178"/>
  <c r="BE178"/>
  <c r="BD178"/>
  <c r="BC178"/>
  <c r="BB178"/>
  <c r="BA178"/>
  <c r="AZ178"/>
  <c r="AY178"/>
  <c r="AX178"/>
  <c r="AW178"/>
  <c r="AV178"/>
  <c r="AU178"/>
  <c r="AT178"/>
  <c r="AS178"/>
  <c r="AR178"/>
  <c r="AQ178"/>
  <c r="AP178"/>
  <c r="AO178"/>
  <c r="AN178"/>
  <c r="AM178"/>
  <c r="AL178"/>
  <c r="AK178"/>
  <c r="AJ178"/>
  <c r="AI178"/>
  <c r="AH178"/>
  <c r="AG178"/>
  <c r="AF178"/>
  <c r="AE178"/>
  <c r="AD178"/>
  <c r="AC178"/>
  <c r="AB178"/>
  <c r="AA178"/>
  <c r="Z178"/>
  <c r="U178"/>
  <c r="T178"/>
  <c r="Q178"/>
  <c r="P178"/>
  <c r="O178"/>
  <c r="N178"/>
  <c r="M178"/>
  <c r="L178"/>
  <c r="K178"/>
  <c r="J178"/>
  <c r="A178" a="1"/>
  <c r="A178" s="1"/>
  <c r="I178" s="1"/>
  <c r="BG177"/>
  <c r="BF177"/>
  <c r="BE177"/>
  <c r="BD177"/>
  <c r="BC177"/>
  <c r="BB177"/>
  <c r="BA177"/>
  <c r="AZ177"/>
  <c r="AY177"/>
  <c r="AX177"/>
  <c r="AW177"/>
  <c r="AV177"/>
  <c r="AU177"/>
  <c r="AT177"/>
  <c r="AS177"/>
  <c r="AR177"/>
  <c r="AQ177"/>
  <c r="AP177"/>
  <c r="AO177"/>
  <c r="AN177"/>
  <c r="AM177"/>
  <c r="AL177"/>
  <c r="AK177"/>
  <c r="AJ177"/>
  <c r="AI177"/>
  <c r="AH177"/>
  <c r="AG177"/>
  <c r="AF177"/>
  <c r="AE177"/>
  <c r="AD177"/>
  <c r="AC177"/>
  <c r="AB177"/>
  <c r="AA177"/>
  <c r="Z177"/>
  <c r="U177"/>
  <c r="T177"/>
  <c r="Q177"/>
  <c r="P177"/>
  <c r="O177"/>
  <c r="N177"/>
  <c r="M177"/>
  <c r="L177"/>
  <c r="K177"/>
  <c r="J177"/>
  <c r="A177" a="1"/>
  <c r="A177" s="1"/>
  <c r="I177" s="1"/>
  <c r="BG176"/>
  <c r="BF176"/>
  <c r="BE176"/>
  <c r="BD176"/>
  <c r="BC176"/>
  <c r="BB176"/>
  <c r="BA176"/>
  <c r="AZ176"/>
  <c r="AY176"/>
  <c r="AX176"/>
  <c r="AW176"/>
  <c r="AV176"/>
  <c r="AU176"/>
  <c r="AT176"/>
  <c r="AS176"/>
  <c r="AR176"/>
  <c r="AQ176"/>
  <c r="AP176"/>
  <c r="AO176"/>
  <c r="AN176"/>
  <c r="AM176"/>
  <c r="AL176"/>
  <c r="AK176"/>
  <c r="AJ176"/>
  <c r="AI176"/>
  <c r="AH176"/>
  <c r="AG176"/>
  <c r="AF176"/>
  <c r="AE176"/>
  <c r="AD176"/>
  <c r="AC176"/>
  <c r="AB176"/>
  <c r="AA176"/>
  <c r="Z176"/>
  <c r="U176"/>
  <c r="T176"/>
  <c r="Q176"/>
  <c r="P176"/>
  <c r="O176"/>
  <c r="N176"/>
  <c r="M176"/>
  <c r="L176"/>
  <c r="K176"/>
  <c r="J176"/>
  <c r="A176" a="1"/>
  <c r="A176" s="1"/>
  <c r="I176" s="1"/>
  <c r="BG175"/>
  <c r="BF175"/>
  <c r="BE175"/>
  <c r="BD175"/>
  <c r="BC175"/>
  <c r="BB175"/>
  <c r="BA175"/>
  <c r="AZ175"/>
  <c r="AY175"/>
  <c r="AX175"/>
  <c r="AW175"/>
  <c r="AV175"/>
  <c r="AU175"/>
  <c r="AT175"/>
  <c r="AS175"/>
  <c r="AR175"/>
  <c r="AQ175"/>
  <c r="AP175"/>
  <c r="AO175"/>
  <c r="AN175"/>
  <c r="AM175"/>
  <c r="AL175"/>
  <c r="AK175"/>
  <c r="AJ175"/>
  <c r="AI175"/>
  <c r="AH175"/>
  <c r="AG175"/>
  <c r="AF175"/>
  <c r="AE175"/>
  <c r="AD175"/>
  <c r="AC175"/>
  <c r="AB175"/>
  <c r="AA175"/>
  <c r="Z175"/>
  <c r="U175"/>
  <c r="T175"/>
  <c r="Q175"/>
  <c r="P175"/>
  <c r="O175"/>
  <c r="N175"/>
  <c r="M175"/>
  <c r="L175"/>
  <c r="K175"/>
  <c r="J175"/>
  <c r="A175" a="1"/>
  <c r="A175" s="1"/>
  <c r="I175" s="1"/>
  <c r="BG174"/>
  <c r="BF174"/>
  <c r="BE174"/>
  <c r="BD174"/>
  <c r="BC174"/>
  <c r="BB174"/>
  <c r="BA174"/>
  <c r="AZ174"/>
  <c r="AY174"/>
  <c r="AX174"/>
  <c r="AW174"/>
  <c r="AV174"/>
  <c r="AU174"/>
  <c r="AT174"/>
  <c r="AS174"/>
  <c r="AR174"/>
  <c r="AQ174"/>
  <c r="AP174"/>
  <c r="AO174"/>
  <c r="AN174"/>
  <c r="AM174"/>
  <c r="AL174"/>
  <c r="AK174"/>
  <c r="AJ174"/>
  <c r="AI174"/>
  <c r="AH174"/>
  <c r="AG174"/>
  <c r="AF174"/>
  <c r="AE174"/>
  <c r="AD174"/>
  <c r="AC174"/>
  <c r="AB174"/>
  <c r="AA174"/>
  <c r="Z174"/>
  <c r="U174"/>
  <c r="T174"/>
  <c r="Q174"/>
  <c r="P174"/>
  <c r="O174"/>
  <c r="N174"/>
  <c r="M174"/>
  <c r="L174"/>
  <c r="K174"/>
  <c r="J174"/>
  <c r="A174" a="1"/>
  <c r="A174" s="1"/>
  <c r="I174" s="1"/>
  <c r="BG173"/>
  <c r="BF173"/>
  <c r="BE173"/>
  <c r="BD173"/>
  <c r="BC173"/>
  <c r="BB173"/>
  <c r="BA173"/>
  <c r="AZ173"/>
  <c r="AY173"/>
  <c r="AX173"/>
  <c r="AW173"/>
  <c r="AV173"/>
  <c r="AU173"/>
  <c r="AT173"/>
  <c r="AS173"/>
  <c r="AR173"/>
  <c r="AQ173"/>
  <c r="AP173"/>
  <c r="AO173"/>
  <c r="AN173"/>
  <c r="AM173"/>
  <c r="AL173"/>
  <c r="AK173"/>
  <c r="AJ173"/>
  <c r="AI173"/>
  <c r="AH173"/>
  <c r="AG173"/>
  <c r="AF173"/>
  <c r="AE173"/>
  <c r="AD173"/>
  <c r="AC173"/>
  <c r="AB173"/>
  <c r="AA173"/>
  <c r="Z173"/>
  <c r="U173"/>
  <c r="T173"/>
  <c r="Q173"/>
  <c r="P173"/>
  <c r="O173"/>
  <c r="N173"/>
  <c r="M173"/>
  <c r="L173"/>
  <c r="K173"/>
  <c r="J173"/>
  <c r="A173" a="1"/>
  <c r="A173" s="1"/>
  <c r="I173" s="1"/>
  <c r="BG172"/>
  <c r="BF172"/>
  <c r="BE172"/>
  <c r="BD172"/>
  <c r="BC172"/>
  <c r="BB172"/>
  <c r="BA172"/>
  <c r="AZ172"/>
  <c r="AY172"/>
  <c r="AX172"/>
  <c r="AW172"/>
  <c r="AV172"/>
  <c r="AU172"/>
  <c r="AT172"/>
  <c r="AS172"/>
  <c r="AR172"/>
  <c r="AQ172"/>
  <c r="AP172"/>
  <c r="AO172"/>
  <c r="AN172"/>
  <c r="AM172"/>
  <c r="AL172"/>
  <c r="AK172"/>
  <c r="AJ172"/>
  <c r="AI172"/>
  <c r="AH172"/>
  <c r="AG172"/>
  <c r="AF172"/>
  <c r="AE172"/>
  <c r="AD172"/>
  <c r="AC172"/>
  <c r="AB172"/>
  <c r="AA172"/>
  <c r="Z172"/>
  <c r="U172"/>
  <c r="T172"/>
  <c r="Q172"/>
  <c r="P172"/>
  <c r="O172"/>
  <c r="N172"/>
  <c r="M172"/>
  <c r="L172"/>
  <c r="K172"/>
  <c r="J172"/>
  <c r="A172" a="1"/>
  <c r="A172" s="1"/>
  <c r="I172" s="1"/>
  <c r="BG171"/>
  <c r="BF171"/>
  <c r="BE171"/>
  <c r="BD171"/>
  <c r="BC171"/>
  <c r="BB171"/>
  <c r="BA171"/>
  <c r="AZ171"/>
  <c r="AY171"/>
  <c r="AX171"/>
  <c r="AW171"/>
  <c r="AV171"/>
  <c r="AU171"/>
  <c r="AT171"/>
  <c r="AS171"/>
  <c r="AR171"/>
  <c r="AQ171"/>
  <c r="AP171"/>
  <c r="AO171"/>
  <c r="AN171"/>
  <c r="AM171"/>
  <c r="AL171"/>
  <c r="AK171"/>
  <c r="AJ171"/>
  <c r="AI171"/>
  <c r="AH171"/>
  <c r="AG171"/>
  <c r="AF171"/>
  <c r="AE171"/>
  <c r="AD171"/>
  <c r="AC171"/>
  <c r="AB171"/>
  <c r="AA171"/>
  <c r="Z171"/>
  <c r="U171"/>
  <c r="T171"/>
  <c r="Q171"/>
  <c r="P171"/>
  <c r="O171"/>
  <c r="N171"/>
  <c r="M171"/>
  <c r="L171"/>
  <c r="K171"/>
  <c r="J171"/>
  <c r="A171" a="1"/>
  <c r="A171" s="1"/>
  <c r="I171" s="1"/>
  <c r="BG170"/>
  <c r="BF170"/>
  <c r="BE170"/>
  <c r="BD170"/>
  <c r="BC170"/>
  <c r="BB170"/>
  <c r="BA170"/>
  <c r="AZ170"/>
  <c r="AY170"/>
  <c r="AX170"/>
  <c r="AW170"/>
  <c r="AV170"/>
  <c r="AU170"/>
  <c r="AT170"/>
  <c r="AS170"/>
  <c r="AR170"/>
  <c r="AQ170"/>
  <c r="AP170"/>
  <c r="AO170"/>
  <c r="AN170"/>
  <c r="AM170"/>
  <c r="AL170"/>
  <c r="AK170"/>
  <c r="AJ170"/>
  <c r="AI170"/>
  <c r="AH170"/>
  <c r="AG170"/>
  <c r="AF170"/>
  <c r="AE170"/>
  <c r="AD170"/>
  <c r="AC170"/>
  <c r="AB170"/>
  <c r="AA170"/>
  <c r="Z170"/>
  <c r="U170"/>
  <c r="T170"/>
  <c r="Q170"/>
  <c r="P170"/>
  <c r="O170"/>
  <c r="N170"/>
  <c r="M170"/>
  <c r="L170"/>
  <c r="K170"/>
  <c r="J170"/>
  <c r="A170" a="1"/>
  <c r="A170" s="1"/>
  <c r="I170" s="1"/>
  <c r="BG169"/>
  <c r="BF169"/>
  <c r="BE169"/>
  <c r="BD169"/>
  <c r="BC169"/>
  <c r="BB169"/>
  <c r="BA169"/>
  <c r="AZ169"/>
  <c r="AY169"/>
  <c r="AX169"/>
  <c r="AW169"/>
  <c r="AV169"/>
  <c r="AU169"/>
  <c r="AT169"/>
  <c r="AS169"/>
  <c r="AR169"/>
  <c r="AQ169"/>
  <c r="AP169"/>
  <c r="AO169"/>
  <c r="AN169"/>
  <c r="AM169"/>
  <c r="AL169"/>
  <c r="AK169"/>
  <c r="AJ169"/>
  <c r="AI169"/>
  <c r="AH169"/>
  <c r="AG169"/>
  <c r="AF169"/>
  <c r="AE169"/>
  <c r="AD169"/>
  <c r="AC169"/>
  <c r="AB169"/>
  <c r="AA169"/>
  <c r="Z169"/>
  <c r="U169"/>
  <c r="T169"/>
  <c r="Q169"/>
  <c r="P169"/>
  <c r="O169"/>
  <c r="N169"/>
  <c r="M169"/>
  <c r="L169"/>
  <c r="K169"/>
  <c r="J169"/>
  <c r="A169" a="1"/>
  <c r="A169" s="1"/>
  <c r="I169" s="1"/>
  <c r="BG168"/>
  <c r="BF168"/>
  <c r="BE168"/>
  <c r="BD168"/>
  <c r="BC168"/>
  <c r="BB168"/>
  <c r="BA168"/>
  <c r="AZ168"/>
  <c r="AY168"/>
  <c r="AX168"/>
  <c r="AW168"/>
  <c r="AV168"/>
  <c r="AU168"/>
  <c r="AT168"/>
  <c r="AS168"/>
  <c r="AR168"/>
  <c r="AQ168"/>
  <c r="AP168"/>
  <c r="AO168"/>
  <c r="AN168"/>
  <c r="AM168"/>
  <c r="AL168"/>
  <c r="AK168"/>
  <c r="AJ168"/>
  <c r="AI168"/>
  <c r="AH168"/>
  <c r="AG168"/>
  <c r="AF168"/>
  <c r="AE168"/>
  <c r="AD168"/>
  <c r="AC168"/>
  <c r="AB168"/>
  <c r="AA168"/>
  <c r="Z168"/>
  <c r="U168"/>
  <c r="T168"/>
  <c r="Q168"/>
  <c r="P168"/>
  <c r="O168"/>
  <c r="N168"/>
  <c r="M168"/>
  <c r="L168"/>
  <c r="K168"/>
  <c r="J168"/>
  <c r="A168" a="1"/>
  <c r="A168" s="1"/>
  <c r="I168" s="1"/>
  <c r="BG167"/>
  <c r="BF167"/>
  <c r="BE167"/>
  <c r="BD167"/>
  <c r="BC167"/>
  <c r="BB167"/>
  <c r="BA167"/>
  <c r="AZ167"/>
  <c r="AY167"/>
  <c r="AX167"/>
  <c r="AW167"/>
  <c r="AV167"/>
  <c r="AU167"/>
  <c r="AT167"/>
  <c r="AS167"/>
  <c r="AR167"/>
  <c r="AQ167"/>
  <c r="AP167"/>
  <c r="AO167"/>
  <c r="AN167"/>
  <c r="AM167"/>
  <c r="AL167"/>
  <c r="AK167"/>
  <c r="AJ167"/>
  <c r="AI167"/>
  <c r="AH167"/>
  <c r="AG167"/>
  <c r="AF167"/>
  <c r="AE167"/>
  <c r="AD167"/>
  <c r="AC167"/>
  <c r="AB167"/>
  <c r="AA167"/>
  <c r="Z167"/>
  <c r="U167"/>
  <c r="T167"/>
  <c r="Q167"/>
  <c r="P167"/>
  <c r="O167"/>
  <c r="N167"/>
  <c r="M167"/>
  <c r="L167"/>
  <c r="K167"/>
  <c r="J167"/>
  <c r="A167" a="1"/>
  <c r="A167" s="1"/>
  <c r="I167" s="1"/>
  <c r="BG166"/>
  <c r="BF166"/>
  <c r="BE166"/>
  <c r="BD166"/>
  <c r="BC166"/>
  <c r="BB166"/>
  <c r="BA166"/>
  <c r="AZ166"/>
  <c r="AY166"/>
  <c r="AX166"/>
  <c r="AW166"/>
  <c r="AV166"/>
  <c r="AU166"/>
  <c r="AT166"/>
  <c r="AS166"/>
  <c r="AR166"/>
  <c r="AQ166"/>
  <c r="AP166"/>
  <c r="AO166"/>
  <c r="AN166"/>
  <c r="AM166"/>
  <c r="AL166"/>
  <c r="AK166"/>
  <c r="AJ166"/>
  <c r="AI166"/>
  <c r="AH166"/>
  <c r="AG166"/>
  <c r="AF166"/>
  <c r="AE166"/>
  <c r="AD166"/>
  <c r="AC166"/>
  <c r="AB166"/>
  <c r="AA166"/>
  <c r="Z166"/>
  <c r="U166"/>
  <c r="T166"/>
  <c r="Q166"/>
  <c r="P166"/>
  <c r="O166"/>
  <c r="N166"/>
  <c r="M166"/>
  <c r="L166"/>
  <c r="K166"/>
  <c r="J166"/>
  <c r="A166"/>
  <c r="I166" s="1"/>
  <c r="A166" a="1"/>
  <c r="BG165"/>
  <c r="BF165"/>
  <c r="BE165"/>
  <c r="BD165"/>
  <c r="BC165"/>
  <c r="BB165"/>
  <c r="BA165"/>
  <c r="AZ165"/>
  <c r="AY165"/>
  <c r="AX165"/>
  <c r="AW165"/>
  <c r="AV165"/>
  <c r="AU165"/>
  <c r="AT165"/>
  <c r="AS165"/>
  <c r="AR165"/>
  <c r="AQ165"/>
  <c r="AP165"/>
  <c r="AO165"/>
  <c r="AN165"/>
  <c r="AM165"/>
  <c r="AL165"/>
  <c r="AK165"/>
  <c r="AJ165"/>
  <c r="AI165"/>
  <c r="AH165"/>
  <c r="AG165"/>
  <c r="AF165"/>
  <c r="AE165"/>
  <c r="AD165"/>
  <c r="AC165"/>
  <c r="AB165"/>
  <c r="AA165"/>
  <c r="Z165"/>
  <c r="U165"/>
  <c r="T165"/>
  <c r="Q165"/>
  <c r="P165"/>
  <c r="O165"/>
  <c r="N165"/>
  <c r="M165"/>
  <c r="L165"/>
  <c r="K165"/>
  <c r="J165"/>
  <c r="A165" a="1"/>
  <c r="A165" s="1"/>
  <c r="I165" s="1"/>
  <c r="BG164"/>
  <c r="BF164"/>
  <c r="BE164"/>
  <c r="BD164"/>
  <c r="BC164"/>
  <c r="BB164"/>
  <c r="BA164"/>
  <c r="AZ164"/>
  <c r="AY164"/>
  <c r="AX164"/>
  <c r="AW164"/>
  <c r="AV164"/>
  <c r="AU164"/>
  <c r="AT164"/>
  <c r="AS164"/>
  <c r="AR164"/>
  <c r="AQ164"/>
  <c r="AP164"/>
  <c r="AO164"/>
  <c r="AN164"/>
  <c r="AM164"/>
  <c r="AL164"/>
  <c r="AK164"/>
  <c r="AJ164"/>
  <c r="AI164"/>
  <c r="AH164"/>
  <c r="AG164"/>
  <c r="AF164"/>
  <c r="AE164"/>
  <c r="AD164"/>
  <c r="AC164"/>
  <c r="AB164"/>
  <c r="AA164"/>
  <c r="Z164"/>
  <c r="U164"/>
  <c r="T164"/>
  <c r="Q164"/>
  <c r="P164"/>
  <c r="O164"/>
  <c r="N164"/>
  <c r="M164"/>
  <c r="L164"/>
  <c r="K164"/>
  <c r="J164"/>
  <c r="A164" a="1"/>
  <c r="A164" s="1"/>
  <c r="I164" s="1"/>
  <c r="BG163"/>
  <c r="BF163"/>
  <c r="BE163"/>
  <c r="BD163"/>
  <c r="BC163"/>
  <c r="BB163"/>
  <c r="BA163"/>
  <c r="AZ163"/>
  <c r="AY163"/>
  <c r="AX163"/>
  <c r="AW163"/>
  <c r="AV163"/>
  <c r="AU163"/>
  <c r="AT163"/>
  <c r="AS163"/>
  <c r="AR163"/>
  <c r="AQ163"/>
  <c r="AP163"/>
  <c r="AO163"/>
  <c r="AN163"/>
  <c r="AM163"/>
  <c r="AL163"/>
  <c r="AK163"/>
  <c r="AJ163"/>
  <c r="AI163"/>
  <c r="AH163"/>
  <c r="AG163"/>
  <c r="AF163"/>
  <c r="AE163"/>
  <c r="AD163"/>
  <c r="AC163"/>
  <c r="AB163"/>
  <c r="AA163"/>
  <c r="Z163"/>
  <c r="U163"/>
  <c r="T163"/>
  <c r="Q163"/>
  <c r="P163"/>
  <c r="O163"/>
  <c r="N163"/>
  <c r="M163"/>
  <c r="L163"/>
  <c r="K163"/>
  <c r="J163"/>
  <c r="A163" a="1"/>
  <c r="A163" s="1"/>
  <c r="I163" s="1"/>
  <c r="BG162"/>
  <c r="BF162"/>
  <c r="BE162"/>
  <c r="BD162"/>
  <c r="BC162"/>
  <c r="BB162"/>
  <c r="BA162"/>
  <c r="AZ162"/>
  <c r="AY162"/>
  <c r="AX162"/>
  <c r="AW162"/>
  <c r="AV162"/>
  <c r="AU162"/>
  <c r="AT162"/>
  <c r="AS162"/>
  <c r="AR162"/>
  <c r="AQ162"/>
  <c r="AP162"/>
  <c r="AO162"/>
  <c r="AN162"/>
  <c r="AM162"/>
  <c r="AL162"/>
  <c r="AK162"/>
  <c r="AJ162"/>
  <c r="AI162"/>
  <c r="AH162"/>
  <c r="AG162"/>
  <c r="AF162"/>
  <c r="AE162"/>
  <c r="AD162"/>
  <c r="AC162"/>
  <c r="AB162"/>
  <c r="AA162"/>
  <c r="Z162"/>
  <c r="U162"/>
  <c r="T162"/>
  <c r="Q162"/>
  <c r="P162"/>
  <c r="O162"/>
  <c r="N162"/>
  <c r="M162"/>
  <c r="L162"/>
  <c r="K162"/>
  <c r="J162"/>
  <c r="A162" a="1"/>
  <c r="A162" s="1"/>
  <c r="I162" s="1"/>
  <c r="BG161"/>
  <c r="BF161"/>
  <c r="BE161"/>
  <c r="BD161"/>
  <c r="BC161"/>
  <c r="BB161"/>
  <c r="BA161"/>
  <c r="AZ161"/>
  <c r="AY161"/>
  <c r="AX161"/>
  <c r="AW161"/>
  <c r="AV161"/>
  <c r="AU161"/>
  <c r="AT161"/>
  <c r="AS161"/>
  <c r="AR161"/>
  <c r="AQ161"/>
  <c r="AP161"/>
  <c r="AO161"/>
  <c r="AN161"/>
  <c r="AM161"/>
  <c r="AL161"/>
  <c r="AK161"/>
  <c r="AJ161"/>
  <c r="AI161"/>
  <c r="AH161"/>
  <c r="AG161"/>
  <c r="AF161"/>
  <c r="AE161"/>
  <c r="AD161"/>
  <c r="AC161"/>
  <c r="AB161"/>
  <c r="AA161"/>
  <c r="Z161"/>
  <c r="U161"/>
  <c r="T161"/>
  <c r="Q161"/>
  <c r="P161"/>
  <c r="O161"/>
  <c r="N161"/>
  <c r="M161"/>
  <c r="L161"/>
  <c r="K161"/>
  <c r="J161"/>
  <c r="A161" a="1"/>
  <c r="A161" s="1"/>
  <c r="I161" s="1"/>
  <c r="BG160"/>
  <c r="BF160"/>
  <c r="BE160"/>
  <c r="BD160"/>
  <c r="BC160"/>
  <c r="BB160"/>
  <c r="BA160"/>
  <c r="AZ160"/>
  <c r="AY160"/>
  <c r="AX160"/>
  <c r="AW160"/>
  <c r="AV160"/>
  <c r="AU160"/>
  <c r="AT160"/>
  <c r="AS160"/>
  <c r="AR160"/>
  <c r="AQ160"/>
  <c r="AP160"/>
  <c r="AO160"/>
  <c r="AN160"/>
  <c r="AM160"/>
  <c r="AL160"/>
  <c r="AK160"/>
  <c r="AJ160"/>
  <c r="AI160"/>
  <c r="AH160"/>
  <c r="AG160"/>
  <c r="AF160"/>
  <c r="AE160"/>
  <c r="AD160"/>
  <c r="AC160"/>
  <c r="AB160"/>
  <c r="AA160"/>
  <c r="Z160"/>
  <c r="U160"/>
  <c r="T160"/>
  <c r="Q160"/>
  <c r="P160"/>
  <c r="O160"/>
  <c r="N160"/>
  <c r="M160"/>
  <c r="L160"/>
  <c r="K160"/>
  <c r="J160"/>
  <c r="A160" a="1"/>
  <c r="A160" s="1"/>
  <c r="I160" s="1"/>
  <c r="BG159"/>
  <c r="BF159"/>
  <c r="BE159"/>
  <c r="BD159"/>
  <c r="BC159"/>
  <c r="BB159"/>
  <c r="BA159"/>
  <c r="AZ159"/>
  <c r="AY159"/>
  <c r="AX159"/>
  <c r="AW159"/>
  <c r="AV159"/>
  <c r="AU159"/>
  <c r="AT159"/>
  <c r="AS159"/>
  <c r="AR159"/>
  <c r="AQ159"/>
  <c r="AP159"/>
  <c r="AO159"/>
  <c r="AN159"/>
  <c r="AM159"/>
  <c r="AL159"/>
  <c r="AK159"/>
  <c r="AJ159"/>
  <c r="AI159"/>
  <c r="AH159"/>
  <c r="AG159"/>
  <c r="AF159"/>
  <c r="AE159"/>
  <c r="AD159"/>
  <c r="AC159"/>
  <c r="AB159"/>
  <c r="AA159"/>
  <c r="Z159"/>
  <c r="U159"/>
  <c r="T159"/>
  <c r="Q159"/>
  <c r="P159"/>
  <c r="O159"/>
  <c r="N159"/>
  <c r="M159"/>
  <c r="L159"/>
  <c r="K159"/>
  <c r="J159"/>
  <c r="A159" a="1"/>
  <c r="A159" s="1"/>
  <c r="I159" s="1"/>
  <c r="BG158"/>
  <c r="BF158"/>
  <c r="BE158"/>
  <c r="BD158"/>
  <c r="BC158"/>
  <c r="BB158"/>
  <c r="BA158"/>
  <c r="AZ158"/>
  <c r="AY158"/>
  <c r="AX158"/>
  <c r="AW158"/>
  <c r="AV158"/>
  <c r="AU158"/>
  <c r="AT158"/>
  <c r="AS158"/>
  <c r="AR158"/>
  <c r="AQ158"/>
  <c r="AP158"/>
  <c r="AO158"/>
  <c r="AN158"/>
  <c r="AM158"/>
  <c r="AL158"/>
  <c r="AK158"/>
  <c r="AJ158"/>
  <c r="AI158"/>
  <c r="AH158"/>
  <c r="AG158"/>
  <c r="AF158"/>
  <c r="AE158"/>
  <c r="AD158"/>
  <c r="AC158"/>
  <c r="AB158"/>
  <c r="AA158"/>
  <c r="Z158"/>
  <c r="U158"/>
  <c r="T158"/>
  <c r="Q158"/>
  <c r="P158"/>
  <c r="O158"/>
  <c r="N158"/>
  <c r="M158"/>
  <c r="L158"/>
  <c r="K158"/>
  <c r="J158"/>
  <c r="A158" a="1"/>
  <c r="A158" s="1"/>
  <c r="I158" s="1"/>
  <c r="BG157"/>
  <c r="BF157"/>
  <c r="BE157"/>
  <c r="BD157"/>
  <c r="BC157"/>
  <c r="BB157"/>
  <c r="BA157"/>
  <c r="AZ157"/>
  <c r="AY157"/>
  <c r="AX157"/>
  <c r="AW157"/>
  <c r="AV157"/>
  <c r="AU157"/>
  <c r="AT157"/>
  <c r="AS157"/>
  <c r="AR157"/>
  <c r="AQ157"/>
  <c r="AP157"/>
  <c r="AO157"/>
  <c r="AN157"/>
  <c r="AM157"/>
  <c r="AL157"/>
  <c r="AK157"/>
  <c r="AJ157"/>
  <c r="AI157"/>
  <c r="AH157"/>
  <c r="AG157"/>
  <c r="AF157"/>
  <c r="AE157"/>
  <c r="AD157"/>
  <c r="AC157"/>
  <c r="AB157"/>
  <c r="AA157"/>
  <c r="Z157"/>
  <c r="U157"/>
  <c r="T157"/>
  <c r="Q157"/>
  <c r="P157"/>
  <c r="O157"/>
  <c r="N157"/>
  <c r="M157"/>
  <c r="L157"/>
  <c r="K157"/>
  <c r="J157"/>
  <c r="A157" a="1"/>
  <c r="A157" s="1"/>
  <c r="I157" s="1"/>
  <c r="BG156"/>
  <c r="BF156"/>
  <c r="BE156"/>
  <c r="BD156"/>
  <c r="BC156"/>
  <c r="BB156"/>
  <c r="BA156"/>
  <c r="AZ156"/>
  <c r="AY156"/>
  <c r="AX156"/>
  <c r="AW156"/>
  <c r="AV156"/>
  <c r="AU156"/>
  <c r="AT156"/>
  <c r="AS156"/>
  <c r="AR156"/>
  <c r="AQ156"/>
  <c r="AP156"/>
  <c r="AO156"/>
  <c r="AN156"/>
  <c r="AM156"/>
  <c r="AL156"/>
  <c r="AK156"/>
  <c r="AJ156"/>
  <c r="AI156"/>
  <c r="AH156"/>
  <c r="AG156"/>
  <c r="AF156"/>
  <c r="AE156"/>
  <c r="AD156"/>
  <c r="AC156"/>
  <c r="AB156"/>
  <c r="AA156"/>
  <c r="Z156"/>
  <c r="U156"/>
  <c r="T156"/>
  <c r="Q156"/>
  <c r="P156"/>
  <c r="O156"/>
  <c r="N156"/>
  <c r="M156"/>
  <c r="L156"/>
  <c r="K156"/>
  <c r="J156"/>
  <c r="A156" a="1"/>
  <c r="A156" s="1"/>
  <c r="I156" s="1"/>
  <c r="BG155"/>
  <c r="BF155"/>
  <c r="BE155"/>
  <c r="BD155"/>
  <c r="BC155"/>
  <c r="BB155"/>
  <c r="BA155"/>
  <c r="AZ155"/>
  <c r="AY155"/>
  <c r="AX155"/>
  <c r="AW155"/>
  <c r="AV155"/>
  <c r="AU155"/>
  <c r="AT155"/>
  <c r="AS155"/>
  <c r="AR155"/>
  <c r="AQ155"/>
  <c r="AP155"/>
  <c r="AO155"/>
  <c r="AN155"/>
  <c r="AM155"/>
  <c r="AL155"/>
  <c r="AK155"/>
  <c r="AJ155"/>
  <c r="AI155"/>
  <c r="AH155"/>
  <c r="AG155"/>
  <c r="AF155"/>
  <c r="AE155"/>
  <c r="AD155"/>
  <c r="AC155"/>
  <c r="AB155"/>
  <c r="AA155"/>
  <c r="Z155"/>
  <c r="U155"/>
  <c r="T155"/>
  <c r="Q155"/>
  <c r="P155"/>
  <c r="O155"/>
  <c r="N155"/>
  <c r="M155"/>
  <c r="L155"/>
  <c r="K155"/>
  <c r="J155"/>
  <c r="A155" a="1"/>
  <c r="A155" s="1"/>
  <c r="I155" s="1"/>
  <c r="BG154"/>
  <c r="BF154"/>
  <c r="BE154"/>
  <c r="BD154"/>
  <c r="BC154"/>
  <c r="BB154"/>
  <c r="BA154"/>
  <c r="AZ154"/>
  <c r="AY154"/>
  <c r="AX154"/>
  <c r="AW154"/>
  <c r="AV154"/>
  <c r="AU154"/>
  <c r="AT154"/>
  <c r="AS154"/>
  <c r="AR154"/>
  <c r="AQ154"/>
  <c r="AP154"/>
  <c r="AO154"/>
  <c r="AN154"/>
  <c r="AM154"/>
  <c r="AL154"/>
  <c r="AK154"/>
  <c r="AJ154"/>
  <c r="AI154"/>
  <c r="AH154"/>
  <c r="AG154"/>
  <c r="AF154"/>
  <c r="AE154"/>
  <c r="AD154"/>
  <c r="AC154"/>
  <c r="AB154"/>
  <c r="AA154"/>
  <c r="Z154"/>
  <c r="U154"/>
  <c r="T154"/>
  <c r="Q154"/>
  <c r="P154"/>
  <c r="O154"/>
  <c r="N154"/>
  <c r="M154"/>
  <c r="L154"/>
  <c r="K154"/>
  <c r="J154"/>
  <c r="A154" a="1"/>
  <c r="A154" s="1"/>
  <c r="I154" s="1"/>
  <c r="BG153"/>
  <c r="BF153"/>
  <c r="BE153"/>
  <c r="BD153"/>
  <c r="BC153"/>
  <c r="BB153"/>
  <c r="BA153"/>
  <c r="AZ153"/>
  <c r="AY153"/>
  <c r="AX153"/>
  <c r="AW153"/>
  <c r="AV153"/>
  <c r="AU153"/>
  <c r="AT153"/>
  <c r="AS153"/>
  <c r="AR153"/>
  <c r="AQ153"/>
  <c r="AP153"/>
  <c r="AO153"/>
  <c r="AN153"/>
  <c r="AM153"/>
  <c r="AL153"/>
  <c r="AK153"/>
  <c r="AJ153"/>
  <c r="AI153"/>
  <c r="AH153"/>
  <c r="AG153"/>
  <c r="AF153"/>
  <c r="AE153"/>
  <c r="AD153"/>
  <c r="AC153"/>
  <c r="AB153"/>
  <c r="AA153"/>
  <c r="Z153"/>
  <c r="U153"/>
  <c r="T153"/>
  <c r="Q153"/>
  <c r="P153"/>
  <c r="O153"/>
  <c r="N153"/>
  <c r="M153"/>
  <c r="L153"/>
  <c r="K153"/>
  <c r="J153"/>
  <c r="A153" a="1"/>
  <c r="A153" s="1"/>
  <c r="I153" s="1"/>
  <c r="BG152"/>
  <c r="BF152"/>
  <c r="BE152"/>
  <c r="BD152"/>
  <c r="BC152"/>
  <c r="BB152"/>
  <c r="BA152"/>
  <c r="AZ152"/>
  <c r="AY152"/>
  <c r="AX152"/>
  <c r="AW152"/>
  <c r="AV152"/>
  <c r="AU152"/>
  <c r="AT152"/>
  <c r="AS152"/>
  <c r="AR152"/>
  <c r="AQ152"/>
  <c r="AP152"/>
  <c r="AO152"/>
  <c r="AN152"/>
  <c r="AM152"/>
  <c r="AL152"/>
  <c r="AK152"/>
  <c r="AJ152"/>
  <c r="AI152"/>
  <c r="AH152"/>
  <c r="AG152"/>
  <c r="AF152"/>
  <c r="AE152"/>
  <c r="AD152"/>
  <c r="AC152"/>
  <c r="AB152"/>
  <c r="AA152"/>
  <c r="Z152"/>
  <c r="U152"/>
  <c r="T152"/>
  <c r="Q152"/>
  <c r="P152"/>
  <c r="O152"/>
  <c r="N152"/>
  <c r="M152"/>
  <c r="L152"/>
  <c r="K152"/>
  <c r="J152"/>
  <c r="A152" a="1"/>
  <c r="A152" s="1"/>
  <c r="I152" s="1"/>
  <c r="BG151"/>
  <c r="BF151"/>
  <c r="BE151"/>
  <c r="BD151"/>
  <c r="BC151"/>
  <c r="BB151"/>
  <c r="BA151"/>
  <c r="AZ151"/>
  <c r="AY151"/>
  <c r="AX151"/>
  <c r="AW151"/>
  <c r="AV151"/>
  <c r="AU151"/>
  <c r="AT151"/>
  <c r="AS151"/>
  <c r="AR151"/>
  <c r="AQ151"/>
  <c r="AP151"/>
  <c r="AO151"/>
  <c r="AN151"/>
  <c r="AM151"/>
  <c r="AL151"/>
  <c r="AK151"/>
  <c r="AJ151"/>
  <c r="AI151"/>
  <c r="AH151"/>
  <c r="AG151"/>
  <c r="AF151"/>
  <c r="AE151"/>
  <c r="AD151"/>
  <c r="AC151"/>
  <c r="AB151"/>
  <c r="AA151"/>
  <c r="Z151"/>
  <c r="U151"/>
  <c r="T151"/>
  <c r="Q151"/>
  <c r="P151"/>
  <c r="O151"/>
  <c r="N151"/>
  <c r="M151"/>
  <c r="L151"/>
  <c r="K151"/>
  <c r="J151"/>
  <c r="A151" a="1"/>
  <c r="A151" s="1"/>
  <c r="I151" s="1"/>
  <c r="BG150"/>
  <c r="BF150"/>
  <c r="BE150"/>
  <c r="BD150"/>
  <c r="BC150"/>
  <c r="BB150"/>
  <c r="BA150"/>
  <c r="AZ150"/>
  <c r="AY150"/>
  <c r="AX150"/>
  <c r="AW150"/>
  <c r="AV150"/>
  <c r="AU150"/>
  <c r="AT150"/>
  <c r="AS150"/>
  <c r="AR150"/>
  <c r="AQ150"/>
  <c r="AP150"/>
  <c r="AO150"/>
  <c r="AN150"/>
  <c r="AM150"/>
  <c r="AL150"/>
  <c r="AK150"/>
  <c r="AJ150"/>
  <c r="AI150"/>
  <c r="AH150"/>
  <c r="AG150"/>
  <c r="AF150"/>
  <c r="AE150"/>
  <c r="AD150"/>
  <c r="AC150"/>
  <c r="AB150"/>
  <c r="AA150"/>
  <c r="Z150"/>
  <c r="U150"/>
  <c r="T150"/>
  <c r="Q150"/>
  <c r="P150"/>
  <c r="O150"/>
  <c r="N150"/>
  <c r="M150"/>
  <c r="L150"/>
  <c r="K150"/>
  <c r="J150"/>
  <c r="A150" a="1"/>
  <c r="A150" s="1"/>
  <c r="I150" s="1"/>
  <c r="BG149"/>
  <c r="BF149"/>
  <c r="BE149"/>
  <c r="BD149"/>
  <c r="BC149"/>
  <c r="BB149"/>
  <c r="BA149"/>
  <c r="AZ149"/>
  <c r="AY149"/>
  <c r="AX149"/>
  <c r="AW149"/>
  <c r="AV149"/>
  <c r="AU149"/>
  <c r="AT149"/>
  <c r="AS149"/>
  <c r="AR149"/>
  <c r="AQ149"/>
  <c r="AP149"/>
  <c r="AO149"/>
  <c r="AN149"/>
  <c r="AM149"/>
  <c r="AL149"/>
  <c r="AK149"/>
  <c r="AJ149"/>
  <c r="AI149"/>
  <c r="AH149"/>
  <c r="AG149"/>
  <c r="AF149"/>
  <c r="AE149"/>
  <c r="AD149"/>
  <c r="AC149"/>
  <c r="AB149"/>
  <c r="AA149"/>
  <c r="Z149"/>
  <c r="U149"/>
  <c r="T149"/>
  <c r="Q149"/>
  <c r="P149"/>
  <c r="O149"/>
  <c r="N149"/>
  <c r="M149"/>
  <c r="L149"/>
  <c r="K149"/>
  <c r="J149"/>
  <c r="A149" a="1"/>
  <c r="A149" s="1"/>
  <c r="I149" s="1"/>
  <c r="BG148"/>
  <c r="BF148"/>
  <c r="BE148"/>
  <c r="BD148"/>
  <c r="BC148"/>
  <c r="BB148"/>
  <c r="BA148"/>
  <c r="AZ148"/>
  <c r="AY148"/>
  <c r="AX148"/>
  <c r="AW148"/>
  <c r="AV148"/>
  <c r="AU148"/>
  <c r="AT148"/>
  <c r="AS148"/>
  <c r="AR148"/>
  <c r="AQ148"/>
  <c r="AP148"/>
  <c r="AO148"/>
  <c r="AN148"/>
  <c r="AM148"/>
  <c r="AL148"/>
  <c r="AK148"/>
  <c r="AJ148"/>
  <c r="AI148"/>
  <c r="AH148"/>
  <c r="AG148"/>
  <c r="AF148"/>
  <c r="AE148"/>
  <c r="AD148"/>
  <c r="AC148"/>
  <c r="AB148"/>
  <c r="AA148"/>
  <c r="Z148"/>
  <c r="U148"/>
  <c r="T148"/>
  <c r="Q148"/>
  <c r="P148"/>
  <c r="O148"/>
  <c r="N148"/>
  <c r="M148"/>
  <c r="L148"/>
  <c r="K148"/>
  <c r="J148"/>
  <c r="A148" a="1"/>
  <c r="A148" s="1"/>
  <c r="I148" s="1"/>
  <c r="BG147"/>
  <c r="BF147"/>
  <c r="BE147"/>
  <c r="BD147"/>
  <c r="BC147"/>
  <c r="BB147"/>
  <c r="BA147"/>
  <c r="AZ147"/>
  <c r="AY147"/>
  <c r="AX147"/>
  <c r="AW147"/>
  <c r="AV147"/>
  <c r="AU147"/>
  <c r="AT147"/>
  <c r="AS147"/>
  <c r="AR147"/>
  <c r="AQ147"/>
  <c r="AP147"/>
  <c r="AO147"/>
  <c r="AN147"/>
  <c r="AM147"/>
  <c r="AL147"/>
  <c r="AK147"/>
  <c r="AJ147"/>
  <c r="AI147"/>
  <c r="AH147"/>
  <c r="AG147"/>
  <c r="AF147"/>
  <c r="AE147"/>
  <c r="AD147"/>
  <c r="AC147"/>
  <c r="AB147"/>
  <c r="AA147"/>
  <c r="Z147"/>
  <c r="U147"/>
  <c r="T147"/>
  <c r="Q147"/>
  <c r="P147"/>
  <c r="O147"/>
  <c r="N147"/>
  <c r="M147"/>
  <c r="L147"/>
  <c r="K147"/>
  <c r="J147"/>
  <c r="A147" a="1"/>
  <c r="A147" s="1"/>
  <c r="I147" s="1"/>
  <c r="BG146"/>
  <c r="BF146"/>
  <c r="BE146"/>
  <c r="BD146"/>
  <c r="BC146"/>
  <c r="BB146"/>
  <c r="BA146"/>
  <c r="AZ146"/>
  <c r="AY146"/>
  <c r="AX146"/>
  <c r="AW146"/>
  <c r="AV146"/>
  <c r="AU146"/>
  <c r="AT146"/>
  <c r="AS146"/>
  <c r="AR146"/>
  <c r="AQ146"/>
  <c r="AP146"/>
  <c r="AO146"/>
  <c r="AN146"/>
  <c r="AM146"/>
  <c r="AL146"/>
  <c r="AK146"/>
  <c r="AJ146"/>
  <c r="AI146"/>
  <c r="AH146"/>
  <c r="AG146"/>
  <c r="AF146"/>
  <c r="AE146"/>
  <c r="AD146"/>
  <c r="AC146"/>
  <c r="AB146"/>
  <c r="AA146"/>
  <c r="Z146"/>
  <c r="U146"/>
  <c r="T146"/>
  <c r="Q146"/>
  <c r="P146"/>
  <c r="O146"/>
  <c r="N146"/>
  <c r="M146"/>
  <c r="L146"/>
  <c r="K146"/>
  <c r="J146"/>
  <c r="A146" a="1"/>
  <c r="A146" s="1"/>
  <c r="I146" s="1"/>
  <c r="BG145"/>
  <c r="BF145"/>
  <c r="BE145"/>
  <c r="BD145"/>
  <c r="BC145"/>
  <c r="BB145"/>
  <c r="BA145"/>
  <c r="AZ145"/>
  <c r="AY145"/>
  <c r="AX145"/>
  <c r="AW145"/>
  <c r="AV145"/>
  <c r="AU145"/>
  <c r="AT145"/>
  <c r="AS145"/>
  <c r="AR145"/>
  <c r="AQ145"/>
  <c r="AP145"/>
  <c r="AO145"/>
  <c r="AN145"/>
  <c r="AM145"/>
  <c r="AL145"/>
  <c r="AK145"/>
  <c r="AJ145"/>
  <c r="AI145"/>
  <c r="AH145"/>
  <c r="AG145"/>
  <c r="AF145"/>
  <c r="AE145"/>
  <c r="AD145"/>
  <c r="AC145"/>
  <c r="AB145"/>
  <c r="AA145"/>
  <c r="Z145"/>
  <c r="U145"/>
  <c r="T145"/>
  <c r="Q145"/>
  <c r="P145"/>
  <c r="O145"/>
  <c r="N145"/>
  <c r="M145"/>
  <c r="L145"/>
  <c r="K145"/>
  <c r="J145"/>
  <c r="A145" a="1"/>
  <c r="A145" s="1"/>
  <c r="I145" s="1"/>
  <c r="BG144"/>
  <c r="BF144"/>
  <c r="BE144"/>
  <c r="BD144"/>
  <c r="BC144"/>
  <c r="BB144"/>
  <c r="BA144"/>
  <c r="AZ144"/>
  <c r="AY144"/>
  <c r="AX144"/>
  <c r="AW144"/>
  <c r="AV144"/>
  <c r="AU144"/>
  <c r="AT144"/>
  <c r="AS144"/>
  <c r="AR144"/>
  <c r="AQ144"/>
  <c r="AP144"/>
  <c r="AO144"/>
  <c r="AN144"/>
  <c r="AM144"/>
  <c r="AL144"/>
  <c r="AK144"/>
  <c r="AJ144"/>
  <c r="AI144"/>
  <c r="AH144"/>
  <c r="AG144"/>
  <c r="AF144"/>
  <c r="AE144"/>
  <c r="AD144"/>
  <c r="AC144"/>
  <c r="AB144"/>
  <c r="AA144"/>
  <c r="Z144"/>
  <c r="U144"/>
  <c r="T144"/>
  <c r="Q144"/>
  <c r="P144"/>
  <c r="O144"/>
  <c r="N144"/>
  <c r="M144"/>
  <c r="L144"/>
  <c r="K144"/>
  <c r="J144"/>
  <c r="A144" a="1"/>
  <c r="A144" s="1"/>
  <c r="I144" s="1"/>
  <c r="BG143"/>
  <c r="BF143"/>
  <c r="BE143"/>
  <c r="BD143"/>
  <c r="BC143"/>
  <c r="BB143"/>
  <c r="BA143"/>
  <c r="AZ143"/>
  <c r="AY143"/>
  <c r="AX143"/>
  <c r="AW143"/>
  <c r="AV143"/>
  <c r="AU143"/>
  <c r="AT143"/>
  <c r="AS143"/>
  <c r="AR143"/>
  <c r="AQ143"/>
  <c r="AP143"/>
  <c r="AO143"/>
  <c r="AN143"/>
  <c r="AM143"/>
  <c r="AL143"/>
  <c r="AK143"/>
  <c r="AJ143"/>
  <c r="AI143"/>
  <c r="AH143"/>
  <c r="AG143"/>
  <c r="AF143"/>
  <c r="AE143"/>
  <c r="AD143"/>
  <c r="AC143"/>
  <c r="AB143"/>
  <c r="AA143"/>
  <c r="Z143"/>
  <c r="U143"/>
  <c r="T143"/>
  <c r="Q143"/>
  <c r="P143"/>
  <c r="O143"/>
  <c r="N143"/>
  <c r="M143"/>
  <c r="L143"/>
  <c r="K143"/>
  <c r="J143"/>
  <c r="A143" a="1"/>
  <c r="A143" s="1"/>
  <c r="I143" s="1"/>
  <c r="BG142"/>
  <c r="BF142"/>
  <c r="BE142"/>
  <c r="BD142"/>
  <c r="BC142"/>
  <c r="BB142"/>
  <c r="BA142"/>
  <c r="AZ142"/>
  <c r="AY142"/>
  <c r="AX142"/>
  <c r="AW142"/>
  <c r="AV142"/>
  <c r="AU142"/>
  <c r="AT142"/>
  <c r="AS142"/>
  <c r="AR142"/>
  <c r="AQ142"/>
  <c r="AP142"/>
  <c r="AO142"/>
  <c r="AN142"/>
  <c r="AM142"/>
  <c r="AL142"/>
  <c r="AK142"/>
  <c r="AJ142"/>
  <c r="AI142"/>
  <c r="AH142"/>
  <c r="AG142"/>
  <c r="AF142"/>
  <c r="AE142"/>
  <c r="AD142"/>
  <c r="AC142"/>
  <c r="AB142"/>
  <c r="AA142"/>
  <c r="Z142"/>
  <c r="U142"/>
  <c r="T142"/>
  <c r="Q142"/>
  <c r="P142"/>
  <c r="O142"/>
  <c r="N142"/>
  <c r="M142"/>
  <c r="L142"/>
  <c r="K142"/>
  <c r="J142"/>
  <c r="A142" a="1"/>
  <c r="A142" s="1"/>
  <c r="I142" s="1"/>
  <c r="BG141"/>
  <c r="BF141"/>
  <c r="BE141"/>
  <c r="BD141"/>
  <c r="BC141"/>
  <c r="BB141"/>
  <c r="BA141"/>
  <c r="AZ141"/>
  <c r="AY141"/>
  <c r="AX141"/>
  <c r="AW141"/>
  <c r="AV141"/>
  <c r="AU141"/>
  <c r="AT141"/>
  <c r="AS141"/>
  <c r="AR141"/>
  <c r="AQ141"/>
  <c r="AP141"/>
  <c r="AO141"/>
  <c r="AN141"/>
  <c r="AM141"/>
  <c r="AL141"/>
  <c r="AK141"/>
  <c r="AJ141"/>
  <c r="AI141"/>
  <c r="AH141"/>
  <c r="AG141"/>
  <c r="AF141"/>
  <c r="AE141"/>
  <c r="AD141"/>
  <c r="AC141"/>
  <c r="AB141"/>
  <c r="AA141"/>
  <c r="Z141"/>
  <c r="U141"/>
  <c r="T141"/>
  <c r="Q141"/>
  <c r="P141"/>
  <c r="O141"/>
  <c r="N141"/>
  <c r="M141"/>
  <c r="L141"/>
  <c r="K141"/>
  <c r="J141"/>
  <c r="A141" a="1"/>
  <c r="A141" s="1"/>
  <c r="I141" s="1"/>
  <c r="BG134"/>
  <c r="BF134"/>
  <c r="BE134"/>
  <c r="BD134"/>
  <c r="BC134"/>
  <c r="BB134"/>
  <c r="BA134"/>
  <c r="AZ134"/>
  <c r="AY134"/>
  <c r="AX134"/>
  <c r="AW134"/>
  <c r="AV134"/>
  <c r="AU134"/>
  <c r="AT134"/>
  <c r="AS134"/>
  <c r="AR134"/>
  <c r="AQ134"/>
  <c r="AP134"/>
  <c r="AO134"/>
  <c r="AN134"/>
  <c r="AM134"/>
  <c r="AL134"/>
  <c r="AK134"/>
  <c r="AJ134"/>
  <c r="AI134"/>
  <c r="AH134"/>
  <c r="AG134"/>
  <c r="AF134"/>
  <c r="AE134"/>
  <c r="AD134"/>
  <c r="AC134"/>
  <c r="AB134"/>
  <c r="AA134"/>
  <c r="Z134"/>
  <c r="U134"/>
  <c r="T134"/>
  <c r="Q134"/>
  <c r="P134"/>
  <c r="O134"/>
  <c r="N134"/>
  <c r="M134"/>
  <c r="L134"/>
  <c r="K134"/>
  <c r="J134"/>
  <c r="A134" a="1"/>
  <c r="A134" s="1"/>
  <c r="I134" s="1"/>
  <c r="BG133"/>
  <c r="BF133"/>
  <c r="BE133"/>
  <c r="BD133"/>
  <c r="BC133"/>
  <c r="BB133"/>
  <c r="BA133"/>
  <c r="AZ133"/>
  <c r="AY133"/>
  <c r="AX133"/>
  <c r="AW133"/>
  <c r="AV133"/>
  <c r="AU133"/>
  <c r="AT133"/>
  <c r="AS133"/>
  <c r="AR133"/>
  <c r="AQ133"/>
  <c r="AP133"/>
  <c r="AO133"/>
  <c r="AN133"/>
  <c r="AM133"/>
  <c r="AL133"/>
  <c r="AK133"/>
  <c r="AJ133"/>
  <c r="AI133"/>
  <c r="AH133"/>
  <c r="AG133"/>
  <c r="AF133"/>
  <c r="AE133"/>
  <c r="AD133"/>
  <c r="AC133"/>
  <c r="AB133"/>
  <c r="AA133"/>
  <c r="Z133"/>
  <c r="U133"/>
  <c r="T133"/>
  <c r="Q133"/>
  <c r="P133"/>
  <c r="O133"/>
  <c r="N133"/>
  <c r="M133"/>
  <c r="L133"/>
  <c r="K133"/>
  <c r="J133"/>
  <c r="A133" a="1"/>
  <c r="A133" s="1"/>
  <c r="I133" s="1"/>
  <c r="BG132"/>
  <c r="BF132"/>
  <c r="BE132"/>
  <c r="BD132"/>
  <c r="BC132"/>
  <c r="BB132"/>
  <c r="BA132"/>
  <c r="AZ132"/>
  <c r="AY132"/>
  <c r="AX132"/>
  <c r="AW132"/>
  <c r="AV132"/>
  <c r="AU132"/>
  <c r="AT132"/>
  <c r="AS132"/>
  <c r="AR132"/>
  <c r="AQ132"/>
  <c r="AP132"/>
  <c r="AO132"/>
  <c r="AN132"/>
  <c r="AM132"/>
  <c r="AL132"/>
  <c r="AK132"/>
  <c r="AJ132"/>
  <c r="AI132"/>
  <c r="AH132"/>
  <c r="AG132"/>
  <c r="AF132"/>
  <c r="AE132"/>
  <c r="AD132"/>
  <c r="AC132"/>
  <c r="AB132"/>
  <c r="AA132"/>
  <c r="Z132"/>
  <c r="U132"/>
  <c r="T132"/>
  <c r="Q132"/>
  <c r="P132"/>
  <c r="O132"/>
  <c r="N132"/>
  <c r="M132"/>
  <c r="L132"/>
  <c r="K132"/>
  <c r="J132"/>
  <c r="A132" a="1"/>
  <c r="A132" s="1"/>
  <c r="I132" s="1"/>
  <c r="BG131"/>
  <c r="BF131"/>
  <c r="BE131"/>
  <c r="BD131"/>
  <c r="BC131"/>
  <c r="BB131"/>
  <c r="BA131"/>
  <c r="AZ131"/>
  <c r="AY131"/>
  <c r="AX131"/>
  <c r="AW131"/>
  <c r="AV131"/>
  <c r="AU131"/>
  <c r="AT131"/>
  <c r="AS131"/>
  <c r="AR131"/>
  <c r="AQ131"/>
  <c r="AP131"/>
  <c r="AO131"/>
  <c r="AN131"/>
  <c r="AM131"/>
  <c r="AL131"/>
  <c r="AK131"/>
  <c r="AJ131"/>
  <c r="AI131"/>
  <c r="AH131"/>
  <c r="AG131"/>
  <c r="AF131"/>
  <c r="AE131"/>
  <c r="AD131"/>
  <c r="AC131"/>
  <c r="AB131"/>
  <c r="AA131"/>
  <c r="Z131"/>
  <c r="U131"/>
  <c r="T131"/>
  <c r="Q131"/>
  <c r="P131"/>
  <c r="O131"/>
  <c r="N131"/>
  <c r="M131"/>
  <c r="L131"/>
  <c r="K131"/>
  <c r="J131"/>
  <c r="A131" a="1"/>
  <c r="A131" s="1"/>
  <c r="I131" s="1"/>
  <c r="BG130"/>
  <c r="BF130"/>
  <c r="BE130"/>
  <c r="BD130"/>
  <c r="BC130"/>
  <c r="BB130"/>
  <c r="BA130"/>
  <c r="AZ130"/>
  <c r="AY130"/>
  <c r="AX130"/>
  <c r="AW130"/>
  <c r="AV130"/>
  <c r="AU130"/>
  <c r="AT130"/>
  <c r="AS130"/>
  <c r="AR130"/>
  <c r="AQ130"/>
  <c r="AP130"/>
  <c r="AO130"/>
  <c r="AN130"/>
  <c r="AM130"/>
  <c r="AL130"/>
  <c r="AK130"/>
  <c r="AJ130"/>
  <c r="AI130"/>
  <c r="AH130"/>
  <c r="AG130"/>
  <c r="AF130"/>
  <c r="AE130"/>
  <c r="AD130"/>
  <c r="AC130"/>
  <c r="AB130"/>
  <c r="AA130"/>
  <c r="Z130"/>
  <c r="U130"/>
  <c r="T130"/>
  <c r="Q130"/>
  <c r="P130"/>
  <c r="O130"/>
  <c r="N130"/>
  <c r="M130"/>
  <c r="L130"/>
  <c r="K130"/>
  <c r="J130"/>
  <c r="A130" a="1"/>
  <c r="A130" s="1"/>
  <c r="I130" s="1"/>
  <c r="BG129"/>
  <c r="BF129"/>
  <c r="BE129"/>
  <c r="BD129"/>
  <c r="BC129"/>
  <c r="BB129"/>
  <c r="BA129"/>
  <c r="AZ129"/>
  <c r="AY129"/>
  <c r="AX129"/>
  <c r="AW129"/>
  <c r="AV129"/>
  <c r="AU129"/>
  <c r="AT129"/>
  <c r="AS129"/>
  <c r="AR129"/>
  <c r="AQ129"/>
  <c r="AP129"/>
  <c r="AO129"/>
  <c r="AN129"/>
  <c r="AM129"/>
  <c r="AL129"/>
  <c r="AK129"/>
  <c r="AJ129"/>
  <c r="AI129"/>
  <c r="AH129"/>
  <c r="AG129"/>
  <c r="AF129"/>
  <c r="AE129"/>
  <c r="AD129"/>
  <c r="AC129"/>
  <c r="AB129"/>
  <c r="AA129"/>
  <c r="Z129"/>
  <c r="U129"/>
  <c r="T129"/>
  <c r="Q129"/>
  <c r="P129"/>
  <c r="O129"/>
  <c r="N129"/>
  <c r="M129"/>
  <c r="L129"/>
  <c r="K129"/>
  <c r="J129"/>
  <c r="A129" a="1"/>
  <c r="A129" s="1"/>
  <c r="I129" s="1"/>
  <c r="BG128"/>
  <c r="BF128"/>
  <c r="BE128"/>
  <c r="BD128"/>
  <c r="BC128"/>
  <c r="BB128"/>
  <c r="BA128"/>
  <c r="AZ128"/>
  <c r="AY128"/>
  <c r="AX128"/>
  <c r="AW128"/>
  <c r="AV128"/>
  <c r="AU128"/>
  <c r="AT128"/>
  <c r="AS128"/>
  <c r="AR128"/>
  <c r="AQ128"/>
  <c r="AP128"/>
  <c r="AO128"/>
  <c r="AN128"/>
  <c r="AM128"/>
  <c r="AL128"/>
  <c r="AK128"/>
  <c r="AJ128"/>
  <c r="AI128"/>
  <c r="AH128"/>
  <c r="AG128"/>
  <c r="AF128"/>
  <c r="AE128"/>
  <c r="AD128"/>
  <c r="AC128"/>
  <c r="AB128"/>
  <c r="AA128"/>
  <c r="Z128"/>
  <c r="U128"/>
  <c r="T128"/>
  <c r="Q128"/>
  <c r="P128"/>
  <c r="O128"/>
  <c r="N128"/>
  <c r="M128"/>
  <c r="L128"/>
  <c r="K128"/>
  <c r="J128"/>
  <c r="A128" a="1"/>
  <c r="A128" s="1"/>
  <c r="I128" s="1"/>
  <c r="BG127"/>
  <c r="BF127"/>
  <c r="BE127"/>
  <c r="BD127"/>
  <c r="BC127"/>
  <c r="BB127"/>
  <c r="BA127"/>
  <c r="AZ127"/>
  <c r="AY127"/>
  <c r="AX127"/>
  <c r="AW127"/>
  <c r="AV127"/>
  <c r="AU127"/>
  <c r="AT127"/>
  <c r="AS127"/>
  <c r="AR127"/>
  <c r="AQ127"/>
  <c r="AP127"/>
  <c r="AO127"/>
  <c r="AN127"/>
  <c r="AM127"/>
  <c r="AL127"/>
  <c r="AK127"/>
  <c r="AJ127"/>
  <c r="AI127"/>
  <c r="AH127"/>
  <c r="AG127"/>
  <c r="AF127"/>
  <c r="AE127"/>
  <c r="AD127"/>
  <c r="AC127"/>
  <c r="AB127"/>
  <c r="AA127"/>
  <c r="Z127"/>
  <c r="U127"/>
  <c r="T127"/>
  <c r="Q127"/>
  <c r="P127"/>
  <c r="O127"/>
  <c r="N127"/>
  <c r="M127"/>
  <c r="L127"/>
  <c r="K127"/>
  <c r="J127"/>
  <c r="A127" a="1"/>
  <c r="A127" s="1"/>
  <c r="I127" s="1"/>
  <c r="BG126"/>
  <c r="BF126"/>
  <c r="BE126"/>
  <c r="BD126"/>
  <c r="BC126"/>
  <c r="BB126"/>
  <c r="BA126"/>
  <c r="AZ126"/>
  <c r="AY126"/>
  <c r="AX126"/>
  <c r="AW126"/>
  <c r="AV126"/>
  <c r="AU126"/>
  <c r="AT126"/>
  <c r="AS126"/>
  <c r="AR126"/>
  <c r="AQ126"/>
  <c r="AP126"/>
  <c r="AO126"/>
  <c r="AN126"/>
  <c r="AM126"/>
  <c r="AL126"/>
  <c r="AK126"/>
  <c r="AJ126"/>
  <c r="AI126"/>
  <c r="AH126"/>
  <c r="AG126"/>
  <c r="AF126"/>
  <c r="AE126"/>
  <c r="AD126"/>
  <c r="AC126"/>
  <c r="AB126"/>
  <c r="AA126"/>
  <c r="Z126"/>
  <c r="U126"/>
  <c r="T126"/>
  <c r="Q126"/>
  <c r="P126"/>
  <c r="O126"/>
  <c r="N126"/>
  <c r="M126"/>
  <c r="L126"/>
  <c r="K126"/>
  <c r="J126"/>
  <c r="A126" a="1"/>
  <c r="A126" s="1"/>
  <c r="I126" s="1"/>
  <c r="BG125"/>
  <c r="BF125"/>
  <c r="BE125"/>
  <c r="BD125"/>
  <c r="BC125"/>
  <c r="BB125"/>
  <c r="BA125"/>
  <c r="AZ125"/>
  <c r="AY125"/>
  <c r="AX125"/>
  <c r="AW125"/>
  <c r="AV125"/>
  <c r="AU125"/>
  <c r="AT125"/>
  <c r="AS125"/>
  <c r="AR125"/>
  <c r="AQ125"/>
  <c r="AP125"/>
  <c r="AO125"/>
  <c r="AN125"/>
  <c r="AM125"/>
  <c r="AL125"/>
  <c r="AK125"/>
  <c r="AJ125"/>
  <c r="AI125"/>
  <c r="AH125"/>
  <c r="AG125"/>
  <c r="AF125"/>
  <c r="AE125"/>
  <c r="AD125"/>
  <c r="AC125"/>
  <c r="AB125"/>
  <c r="AA125"/>
  <c r="Z125"/>
  <c r="U125"/>
  <c r="T125"/>
  <c r="Q125"/>
  <c r="P125"/>
  <c r="O125"/>
  <c r="N125"/>
  <c r="M125"/>
  <c r="L125"/>
  <c r="K125"/>
  <c r="J125"/>
  <c r="A125" a="1"/>
  <c r="A125" s="1"/>
  <c r="I125" s="1"/>
  <c r="BG124"/>
  <c r="BF124"/>
  <c r="BE124"/>
  <c r="BD124"/>
  <c r="BC124"/>
  <c r="BB124"/>
  <c r="BA124"/>
  <c r="AZ124"/>
  <c r="AY124"/>
  <c r="AX124"/>
  <c r="AW124"/>
  <c r="AV124"/>
  <c r="AU124"/>
  <c r="AT124"/>
  <c r="AS124"/>
  <c r="AR124"/>
  <c r="AQ124"/>
  <c r="AP124"/>
  <c r="AO124"/>
  <c r="AN124"/>
  <c r="AM124"/>
  <c r="AL124"/>
  <c r="AK124"/>
  <c r="AJ124"/>
  <c r="AI124"/>
  <c r="AH124"/>
  <c r="AG124"/>
  <c r="AF124"/>
  <c r="AE124"/>
  <c r="AD124"/>
  <c r="AC124"/>
  <c r="AB124"/>
  <c r="AA124"/>
  <c r="Z124"/>
  <c r="U124"/>
  <c r="T124"/>
  <c r="Q124"/>
  <c r="P124"/>
  <c r="O124"/>
  <c r="N124"/>
  <c r="M124"/>
  <c r="L124"/>
  <c r="K124"/>
  <c r="J124"/>
  <c r="A124" a="1"/>
  <c r="A124" s="1"/>
  <c r="I124" s="1"/>
  <c r="BG123"/>
  <c r="BF123"/>
  <c r="BE123"/>
  <c r="BD123"/>
  <c r="BC123"/>
  <c r="BB123"/>
  <c r="BA123"/>
  <c r="AZ123"/>
  <c r="AY123"/>
  <c r="AX123"/>
  <c r="AW123"/>
  <c r="AV123"/>
  <c r="AU123"/>
  <c r="AT123"/>
  <c r="AS123"/>
  <c r="AR123"/>
  <c r="AQ123"/>
  <c r="AP123"/>
  <c r="AO123"/>
  <c r="AN123"/>
  <c r="AM123"/>
  <c r="AL123"/>
  <c r="AK123"/>
  <c r="AJ123"/>
  <c r="AI123"/>
  <c r="AH123"/>
  <c r="AG123"/>
  <c r="AF123"/>
  <c r="AE123"/>
  <c r="AD123"/>
  <c r="AC123"/>
  <c r="AB123"/>
  <c r="AA123"/>
  <c r="Z123"/>
  <c r="U123"/>
  <c r="T123"/>
  <c r="Q123"/>
  <c r="P123"/>
  <c r="O123"/>
  <c r="N123"/>
  <c r="M123"/>
  <c r="L123"/>
  <c r="K123"/>
  <c r="J123"/>
  <c r="A123" a="1"/>
  <c r="A123" s="1"/>
  <c r="I123" s="1"/>
  <c r="BG122"/>
  <c r="BF122"/>
  <c r="BE122"/>
  <c r="BD122"/>
  <c r="BC122"/>
  <c r="BB122"/>
  <c r="BA122"/>
  <c r="AZ122"/>
  <c r="AY122"/>
  <c r="AX122"/>
  <c r="AW122"/>
  <c r="AV122"/>
  <c r="AU122"/>
  <c r="AT122"/>
  <c r="AS122"/>
  <c r="AR122"/>
  <c r="AQ122"/>
  <c r="AP122"/>
  <c r="AO122"/>
  <c r="AN122"/>
  <c r="AM122"/>
  <c r="AL122"/>
  <c r="AK122"/>
  <c r="AJ122"/>
  <c r="AI122"/>
  <c r="AH122"/>
  <c r="AG122"/>
  <c r="AF122"/>
  <c r="AE122"/>
  <c r="AD122"/>
  <c r="AC122"/>
  <c r="AB122"/>
  <c r="AA122"/>
  <c r="Z122"/>
  <c r="U122"/>
  <c r="T122"/>
  <c r="Q122"/>
  <c r="P122"/>
  <c r="O122"/>
  <c r="N122"/>
  <c r="M122"/>
  <c r="L122"/>
  <c r="K122"/>
  <c r="J122"/>
  <c r="A122" a="1"/>
  <c r="A122" s="1"/>
  <c r="I122" s="1"/>
  <c r="BG121"/>
  <c r="BF121"/>
  <c r="BE121"/>
  <c r="BD121"/>
  <c r="BC121"/>
  <c r="BB121"/>
  <c r="BA121"/>
  <c r="AZ121"/>
  <c r="AY121"/>
  <c r="AX121"/>
  <c r="AW121"/>
  <c r="AV121"/>
  <c r="AU121"/>
  <c r="AT121"/>
  <c r="AS121"/>
  <c r="AR121"/>
  <c r="AQ121"/>
  <c r="AP121"/>
  <c r="AO121"/>
  <c r="AN121"/>
  <c r="AM121"/>
  <c r="AL121"/>
  <c r="AK121"/>
  <c r="AJ121"/>
  <c r="AI121"/>
  <c r="AH121"/>
  <c r="AG121"/>
  <c r="AF121"/>
  <c r="AE121"/>
  <c r="AD121"/>
  <c r="AC121"/>
  <c r="AB121"/>
  <c r="AA121"/>
  <c r="Z121"/>
  <c r="U121"/>
  <c r="T121"/>
  <c r="Q121"/>
  <c r="P121"/>
  <c r="O121"/>
  <c r="N121"/>
  <c r="M121"/>
  <c r="L121"/>
  <c r="K121"/>
  <c r="J121"/>
  <c r="A121" a="1"/>
  <c r="A121" s="1"/>
  <c r="I121" s="1"/>
  <c r="BG120"/>
  <c r="BF120"/>
  <c r="BE120"/>
  <c r="BD120"/>
  <c r="BC120"/>
  <c r="BB120"/>
  <c r="BA120"/>
  <c r="AZ120"/>
  <c r="AY120"/>
  <c r="AX120"/>
  <c r="AW120"/>
  <c r="AV120"/>
  <c r="AU120"/>
  <c r="AT120"/>
  <c r="AS120"/>
  <c r="AR120"/>
  <c r="AQ120"/>
  <c r="AP120"/>
  <c r="AO120"/>
  <c r="AN120"/>
  <c r="AM120"/>
  <c r="AL120"/>
  <c r="AK120"/>
  <c r="AJ120"/>
  <c r="AI120"/>
  <c r="AH120"/>
  <c r="AG120"/>
  <c r="AF120"/>
  <c r="AE120"/>
  <c r="AD120"/>
  <c r="AC120"/>
  <c r="AB120"/>
  <c r="AA120"/>
  <c r="Z120"/>
  <c r="U120"/>
  <c r="T120"/>
  <c r="Q120"/>
  <c r="P120"/>
  <c r="O120"/>
  <c r="N120"/>
  <c r="M120"/>
  <c r="L120"/>
  <c r="K120"/>
  <c r="J120"/>
  <c r="A120" a="1"/>
  <c r="A120" s="1"/>
  <c r="I120" s="1"/>
  <c r="BG119"/>
  <c r="BF119"/>
  <c r="BE119"/>
  <c r="BD119"/>
  <c r="BC119"/>
  <c r="BB119"/>
  <c r="BA119"/>
  <c r="AZ119"/>
  <c r="AY119"/>
  <c r="AX119"/>
  <c r="AW119"/>
  <c r="AV119"/>
  <c r="AU119"/>
  <c r="AT119"/>
  <c r="AS119"/>
  <c r="AR119"/>
  <c r="AQ119"/>
  <c r="AP119"/>
  <c r="AO119"/>
  <c r="AN119"/>
  <c r="AM119"/>
  <c r="AL119"/>
  <c r="AK119"/>
  <c r="AJ119"/>
  <c r="AI119"/>
  <c r="AH119"/>
  <c r="AG119"/>
  <c r="AF119"/>
  <c r="AE119"/>
  <c r="AD119"/>
  <c r="AC119"/>
  <c r="AB119"/>
  <c r="AA119"/>
  <c r="Z119"/>
  <c r="U119"/>
  <c r="T119"/>
  <c r="Q119"/>
  <c r="P119"/>
  <c r="O119"/>
  <c r="N119"/>
  <c r="M119"/>
  <c r="L119"/>
  <c r="K119"/>
  <c r="J119"/>
  <c r="A119" a="1"/>
  <c r="A119" s="1"/>
  <c r="I119" s="1"/>
  <c r="BG118"/>
  <c r="BF118"/>
  <c r="BE118"/>
  <c r="BD118"/>
  <c r="BC118"/>
  <c r="BB118"/>
  <c r="BA118"/>
  <c r="AZ118"/>
  <c r="AY118"/>
  <c r="AX118"/>
  <c r="AW118"/>
  <c r="AV118"/>
  <c r="AU118"/>
  <c r="AT118"/>
  <c r="AS118"/>
  <c r="AR118"/>
  <c r="AQ118"/>
  <c r="AP118"/>
  <c r="AO118"/>
  <c r="AN118"/>
  <c r="AM118"/>
  <c r="AL118"/>
  <c r="AK118"/>
  <c r="AJ118"/>
  <c r="AI118"/>
  <c r="AH118"/>
  <c r="AG118"/>
  <c r="AF118"/>
  <c r="AE118"/>
  <c r="AD118"/>
  <c r="AC118"/>
  <c r="AB118"/>
  <c r="AA118"/>
  <c r="Z118"/>
  <c r="U118"/>
  <c r="T118"/>
  <c r="Q118"/>
  <c r="P118"/>
  <c r="O118"/>
  <c r="N118"/>
  <c r="M118"/>
  <c r="L118"/>
  <c r="K118"/>
  <c r="J118"/>
  <c r="A118" a="1"/>
  <c r="A118" s="1"/>
  <c r="I118" s="1"/>
  <c r="BG117"/>
  <c r="BF117"/>
  <c r="BE117"/>
  <c r="BD117"/>
  <c r="BC117"/>
  <c r="BB117"/>
  <c r="BA117"/>
  <c r="AZ117"/>
  <c r="AY117"/>
  <c r="AX117"/>
  <c r="AW117"/>
  <c r="AV117"/>
  <c r="AU117"/>
  <c r="AT117"/>
  <c r="AS117"/>
  <c r="AR117"/>
  <c r="AQ117"/>
  <c r="AP117"/>
  <c r="AO117"/>
  <c r="AN117"/>
  <c r="AM117"/>
  <c r="AL117"/>
  <c r="AK117"/>
  <c r="AJ117"/>
  <c r="AI117"/>
  <c r="AH117"/>
  <c r="AG117"/>
  <c r="AF117"/>
  <c r="AE117"/>
  <c r="AD117"/>
  <c r="AC117"/>
  <c r="AB117"/>
  <c r="AA117"/>
  <c r="Z117"/>
  <c r="U117"/>
  <c r="T117"/>
  <c r="Q117"/>
  <c r="P117"/>
  <c r="O117"/>
  <c r="N117"/>
  <c r="M117"/>
  <c r="L117"/>
  <c r="K117"/>
  <c r="J117"/>
  <c r="A117" a="1"/>
  <c r="A117" s="1"/>
  <c r="I117" s="1"/>
  <c r="BG116"/>
  <c r="BF116"/>
  <c r="BE116"/>
  <c r="BD116"/>
  <c r="BC116"/>
  <c r="BB116"/>
  <c r="BA116"/>
  <c r="AZ116"/>
  <c r="AY116"/>
  <c r="AX116"/>
  <c r="AW116"/>
  <c r="AV116"/>
  <c r="AU116"/>
  <c r="AT116"/>
  <c r="AS116"/>
  <c r="AR116"/>
  <c r="AQ116"/>
  <c r="AP116"/>
  <c r="AO116"/>
  <c r="AN116"/>
  <c r="AM116"/>
  <c r="AL116"/>
  <c r="AK116"/>
  <c r="AJ116"/>
  <c r="AI116"/>
  <c r="AH116"/>
  <c r="AG116"/>
  <c r="AF116"/>
  <c r="AE116"/>
  <c r="AD116"/>
  <c r="AC116"/>
  <c r="AB116"/>
  <c r="AA116"/>
  <c r="Z116"/>
  <c r="U116"/>
  <c r="T116"/>
  <c r="Q116"/>
  <c r="P116"/>
  <c r="O116"/>
  <c r="N116"/>
  <c r="M116"/>
  <c r="L116"/>
  <c r="K116"/>
  <c r="J116"/>
  <c r="A116" a="1"/>
  <c r="A116" s="1"/>
  <c r="I116" s="1"/>
  <c r="BG115"/>
  <c r="BF115"/>
  <c r="BE115"/>
  <c r="BD115"/>
  <c r="BC115"/>
  <c r="BB115"/>
  <c r="BA115"/>
  <c r="AZ115"/>
  <c r="AY115"/>
  <c r="AX115"/>
  <c r="AW115"/>
  <c r="AV115"/>
  <c r="AU115"/>
  <c r="AT115"/>
  <c r="AS115"/>
  <c r="AR115"/>
  <c r="AQ115"/>
  <c r="AP115"/>
  <c r="AO115"/>
  <c r="AN115"/>
  <c r="AM115"/>
  <c r="AL115"/>
  <c r="AK115"/>
  <c r="AJ115"/>
  <c r="AI115"/>
  <c r="AH115"/>
  <c r="AG115"/>
  <c r="AF115"/>
  <c r="AE115"/>
  <c r="AD115"/>
  <c r="AC115"/>
  <c r="AB115"/>
  <c r="AA115"/>
  <c r="Z115"/>
  <c r="U115"/>
  <c r="T115"/>
  <c r="Q115"/>
  <c r="P115"/>
  <c r="O115"/>
  <c r="N115"/>
  <c r="M115"/>
  <c r="L115"/>
  <c r="K115"/>
  <c r="J115"/>
  <c r="A115" a="1"/>
  <c r="A115" s="1"/>
  <c r="I115" s="1"/>
  <c r="BG114"/>
  <c r="BF114"/>
  <c r="BE114"/>
  <c r="BD114"/>
  <c r="BC114"/>
  <c r="BB114"/>
  <c r="BA114"/>
  <c r="AZ114"/>
  <c r="AY114"/>
  <c r="AX114"/>
  <c r="AW114"/>
  <c r="AV114"/>
  <c r="AU114"/>
  <c r="AT114"/>
  <c r="AS114"/>
  <c r="AR114"/>
  <c r="AQ114"/>
  <c r="AP114"/>
  <c r="AO114"/>
  <c r="AN114"/>
  <c r="AM114"/>
  <c r="AL114"/>
  <c r="AK114"/>
  <c r="AJ114"/>
  <c r="AI114"/>
  <c r="AH114"/>
  <c r="AG114"/>
  <c r="AF114"/>
  <c r="AE114"/>
  <c r="AD114"/>
  <c r="AC114"/>
  <c r="AB114"/>
  <c r="AA114"/>
  <c r="Z114"/>
  <c r="U114"/>
  <c r="T114"/>
  <c r="Q114"/>
  <c r="P114"/>
  <c r="O114"/>
  <c r="N114"/>
  <c r="M114"/>
  <c r="L114"/>
  <c r="K114"/>
  <c r="J114"/>
  <c r="A114" a="1"/>
  <c r="A114" s="1"/>
  <c r="I114" s="1"/>
  <c r="BG113"/>
  <c r="BF113"/>
  <c r="BE113"/>
  <c r="BD113"/>
  <c r="BC113"/>
  <c r="BB113"/>
  <c r="BA113"/>
  <c r="AZ113"/>
  <c r="AY113"/>
  <c r="AX113"/>
  <c r="AW113"/>
  <c r="AV113"/>
  <c r="AU113"/>
  <c r="AT113"/>
  <c r="AS113"/>
  <c r="AR113"/>
  <c r="AQ113"/>
  <c r="AP113"/>
  <c r="AO113"/>
  <c r="AN113"/>
  <c r="AM113"/>
  <c r="AL113"/>
  <c r="AK113"/>
  <c r="AJ113"/>
  <c r="AI113"/>
  <c r="AH113"/>
  <c r="AG113"/>
  <c r="AF113"/>
  <c r="AE113"/>
  <c r="AD113"/>
  <c r="AC113"/>
  <c r="AB113"/>
  <c r="AA113"/>
  <c r="Z113"/>
  <c r="U113"/>
  <c r="T113"/>
  <c r="Q113"/>
  <c r="P113"/>
  <c r="O113"/>
  <c r="N113"/>
  <c r="M113"/>
  <c r="L113"/>
  <c r="K113"/>
  <c r="J113"/>
  <c r="A113" a="1"/>
  <c r="A113" s="1"/>
  <c r="I113" s="1"/>
  <c r="BG112"/>
  <c r="BF112"/>
  <c r="BE112"/>
  <c r="BD112"/>
  <c r="BC112"/>
  <c r="BB112"/>
  <c r="BA112"/>
  <c r="AZ112"/>
  <c r="AY112"/>
  <c r="AX112"/>
  <c r="AW112"/>
  <c r="AV112"/>
  <c r="AU112"/>
  <c r="AT112"/>
  <c r="AS112"/>
  <c r="AR112"/>
  <c r="AQ112"/>
  <c r="AP112"/>
  <c r="AO112"/>
  <c r="AN112"/>
  <c r="AM112"/>
  <c r="AL112"/>
  <c r="AK112"/>
  <c r="AJ112"/>
  <c r="AI112"/>
  <c r="AH112"/>
  <c r="AG112"/>
  <c r="AF112"/>
  <c r="AE112"/>
  <c r="AD112"/>
  <c r="AC112"/>
  <c r="AB112"/>
  <c r="AA112"/>
  <c r="Z112"/>
  <c r="U112"/>
  <c r="T112"/>
  <c r="Q112"/>
  <c r="P112"/>
  <c r="O112"/>
  <c r="N112"/>
  <c r="M112"/>
  <c r="L112"/>
  <c r="K112"/>
  <c r="J112"/>
  <c r="A112" a="1"/>
  <c r="A112" s="1"/>
  <c r="I112" s="1"/>
  <c r="BG111"/>
  <c r="BF111"/>
  <c r="BE111"/>
  <c r="BD111"/>
  <c r="BC111"/>
  <c r="BB111"/>
  <c r="BA111"/>
  <c r="AZ111"/>
  <c r="AY111"/>
  <c r="AX111"/>
  <c r="AW111"/>
  <c r="AV111"/>
  <c r="AU111"/>
  <c r="AT111"/>
  <c r="AS111"/>
  <c r="AR111"/>
  <c r="AQ111"/>
  <c r="AP111"/>
  <c r="AO111"/>
  <c r="AN111"/>
  <c r="AM111"/>
  <c r="AL111"/>
  <c r="AK111"/>
  <c r="AJ111"/>
  <c r="AI111"/>
  <c r="AH111"/>
  <c r="AG111"/>
  <c r="AF111"/>
  <c r="AE111"/>
  <c r="AD111"/>
  <c r="AC111"/>
  <c r="AB111"/>
  <c r="AA111"/>
  <c r="Z111"/>
  <c r="U111"/>
  <c r="T111"/>
  <c r="Q111"/>
  <c r="P111"/>
  <c r="O111"/>
  <c r="N111"/>
  <c r="M111"/>
  <c r="L111"/>
  <c r="K111"/>
  <c r="J111"/>
  <c r="A111" a="1"/>
  <c r="A111" s="1"/>
  <c r="I111" s="1"/>
  <c r="BG110"/>
  <c r="BF110"/>
  <c r="BE110"/>
  <c r="BD110"/>
  <c r="BC110"/>
  <c r="BB110"/>
  <c r="BA110"/>
  <c r="AZ110"/>
  <c r="AY110"/>
  <c r="AX110"/>
  <c r="AW110"/>
  <c r="AV110"/>
  <c r="AU110"/>
  <c r="AT110"/>
  <c r="AS110"/>
  <c r="AR110"/>
  <c r="AQ110"/>
  <c r="AP110"/>
  <c r="AO110"/>
  <c r="AN110"/>
  <c r="AM110"/>
  <c r="AL110"/>
  <c r="AK110"/>
  <c r="AJ110"/>
  <c r="AI110"/>
  <c r="AH110"/>
  <c r="AG110"/>
  <c r="AF110"/>
  <c r="AE110"/>
  <c r="AD110"/>
  <c r="AC110"/>
  <c r="AB110"/>
  <c r="AA110"/>
  <c r="Z110"/>
  <c r="U110"/>
  <c r="T110"/>
  <c r="Q110"/>
  <c r="P110"/>
  <c r="O110"/>
  <c r="N110"/>
  <c r="M110"/>
  <c r="L110"/>
  <c r="K110"/>
  <c r="J110"/>
  <c r="A110" a="1"/>
  <c r="A110" s="1"/>
  <c r="I110" s="1"/>
  <c r="BG109"/>
  <c r="BF109"/>
  <c r="BE109"/>
  <c r="BD109"/>
  <c r="BC109"/>
  <c r="BB109"/>
  <c r="BA109"/>
  <c r="AZ109"/>
  <c r="AY109"/>
  <c r="AX109"/>
  <c r="AW109"/>
  <c r="AV109"/>
  <c r="AU109"/>
  <c r="AT109"/>
  <c r="AS109"/>
  <c r="AR109"/>
  <c r="AQ109"/>
  <c r="AP109"/>
  <c r="AO109"/>
  <c r="AN109"/>
  <c r="AM109"/>
  <c r="AL109"/>
  <c r="AK109"/>
  <c r="AJ109"/>
  <c r="AI109"/>
  <c r="AH109"/>
  <c r="AG109"/>
  <c r="AF109"/>
  <c r="AE109"/>
  <c r="AD109"/>
  <c r="AC109"/>
  <c r="AB109"/>
  <c r="AA109"/>
  <c r="Z109"/>
  <c r="U109"/>
  <c r="T109"/>
  <c r="Q109"/>
  <c r="P109"/>
  <c r="O109"/>
  <c r="N109"/>
  <c r="M109"/>
  <c r="L109"/>
  <c r="K109"/>
  <c r="J109"/>
  <c r="A109" a="1"/>
  <c r="A109" s="1"/>
  <c r="I109" s="1"/>
  <c r="BG108"/>
  <c r="BF108"/>
  <c r="BE108"/>
  <c r="BD108"/>
  <c r="BC108"/>
  <c r="BB108"/>
  <c r="BA108"/>
  <c r="AZ108"/>
  <c r="AY108"/>
  <c r="AX108"/>
  <c r="AW108"/>
  <c r="AV108"/>
  <c r="AU108"/>
  <c r="AT108"/>
  <c r="AS108"/>
  <c r="AR108"/>
  <c r="AQ108"/>
  <c r="AP108"/>
  <c r="AO108"/>
  <c r="AN108"/>
  <c r="AM108"/>
  <c r="AL108"/>
  <c r="AK108"/>
  <c r="AJ108"/>
  <c r="AI108"/>
  <c r="AH108"/>
  <c r="AG108"/>
  <c r="AF108"/>
  <c r="AE108"/>
  <c r="AD108"/>
  <c r="AC108"/>
  <c r="AB108"/>
  <c r="AA108"/>
  <c r="Z108"/>
  <c r="U108"/>
  <c r="T108"/>
  <c r="Q108"/>
  <c r="P108"/>
  <c r="O108"/>
  <c r="N108"/>
  <c r="M108"/>
  <c r="L108"/>
  <c r="K108"/>
  <c r="J108"/>
  <c r="A108" a="1"/>
  <c r="A108" s="1"/>
  <c r="I108" s="1"/>
  <c r="BG107"/>
  <c r="BF107"/>
  <c r="BE107"/>
  <c r="BD107"/>
  <c r="BC107"/>
  <c r="BB107"/>
  <c r="BA107"/>
  <c r="AZ107"/>
  <c r="AY107"/>
  <c r="AX107"/>
  <c r="AW107"/>
  <c r="AV107"/>
  <c r="AU107"/>
  <c r="AT107"/>
  <c r="AS107"/>
  <c r="AR107"/>
  <c r="AQ107"/>
  <c r="AP107"/>
  <c r="AO107"/>
  <c r="AN107"/>
  <c r="AM107"/>
  <c r="AL107"/>
  <c r="AK107"/>
  <c r="AJ107"/>
  <c r="AI107"/>
  <c r="AH107"/>
  <c r="AG107"/>
  <c r="AF107"/>
  <c r="AE107"/>
  <c r="AD107"/>
  <c r="AC107"/>
  <c r="AB107"/>
  <c r="AA107"/>
  <c r="Z107"/>
  <c r="U107"/>
  <c r="T107"/>
  <c r="Q107"/>
  <c r="P107"/>
  <c r="O107"/>
  <c r="N107"/>
  <c r="M107"/>
  <c r="L107"/>
  <c r="K107"/>
  <c r="J107"/>
  <c r="A107" a="1"/>
  <c r="A107" s="1"/>
  <c r="I107" s="1"/>
  <c r="BG106"/>
  <c r="BF106"/>
  <c r="BE106"/>
  <c r="BD106"/>
  <c r="BC106"/>
  <c r="BB106"/>
  <c r="BA106"/>
  <c r="AZ106"/>
  <c r="AY106"/>
  <c r="AX106"/>
  <c r="AW106"/>
  <c r="AV106"/>
  <c r="AU106"/>
  <c r="AT106"/>
  <c r="AS106"/>
  <c r="AR106"/>
  <c r="AQ106"/>
  <c r="AP106"/>
  <c r="AO106"/>
  <c r="AN106"/>
  <c r="AM106"/>
  <c r="AL106"/>
  <c r="AK106"/>
  <c r="AJ106"/>
  <c r="AI106"/>
  <c r="AH106"/>
  <c r="AG106"/>
  <c r="AF106"/>
  <c r="AE106"/>
  <c r="AD106"/>
  <c r="AC106"/>
  <c r="AB106"/>
  <c r="AA106"/>
  <c r="Z106"/>
  <c r="U106"/>
  <c r="T106"/>
  <c r="Q106"/>
  <c r="P106"/>
  <c r="O106"/>
  <c r="N106"/>
  <c r="M106"/>
  <c r="L106"/>
  <c r="K106"/>
  <c r="J106"/>
  <c r="A106" a="1"/>
  <c r="A106" s="1"/>
  <c r="I106" s="1"/>
  <c r="BG105"/>
  <c r="BF105"/>
  <c r="BE105"/>
  <c r="BD105"/>
  <c r="BC105"/>
  <c r="BB105"/>
  <c r="BA105"/>
  <c r="AZ105"/>
  <c r="AY105"/>
  <c r="AX105"/>
  <c r="AW105"/>
  <c r="AV105"/>
  <c r="AU105"/>
  <c r="AT105"/>
  <c r="AS105"/>
  <c r="AR105"/>
  <c r="AQ105"/>
  <c r="AP105"/>
  <c r="AO105"/>
  <c r="AN105"/>
  <c r="AM105"/>
  <c r="AL105"/>
  <c r="AK105"/>
  <c r="AJ105"/>
  <c r="AI105"/>
  <c r="AH105"/>
  <c r="AG105"/>
  <c r="AF105"/>
  <c r="AE105"/>
  <c r="AD105"/>
  <c r="AC105"/>
  <c r="AB105"/>
  <c r="AA105"/>
  <c r="Z105"/>
  <c r="U105"/>
  <c r="T105"/>
  <c r="Q105"/>
  <c r="P105"/>
  <c r="O105"/>
  <c r="N105"/>
  <c r="M105"/>
  <c r="L105"/>
  <c r="K105"/>
  <c r="J105"/>
  <c r="A105" a="1"/>
  <c r="A105" s="1"/>
  <c r="I105" s="1"/>
  <c r="BG104"/>
  <c r="BF104"/>
  <c r="BE104"/>
  <c r="BD104"/>
  <c r="BC104"/>
  <c r="BB104"/>
  <c r="BA104"/>
  <c r="AZ104"/>
  <c r="AY104"/>
  <c r="AX104"/>
  <c r="AW104"/>
  <c r="AV104"/>
  <c r="AU104"/>
  <c r="AT104"/>
  <c r="AS104"/>
  <c r="AR104"/>
  <c r="AQ104"/>
  <c r="AP104"/>
  <c r="AO104"/>
  <c r="AN104"/>
  <c r="AM104"/>
  <c r="AL104"/>
  <c r="AK104"/>
  <c r="AJ104"/>
  <c r="AI104"/>
  <c r="AH104"/>
  <c r="AG104"/>
  <c r="AF104"/>
  <c r="AE104"/>
  <c r="AD104"/>
  <c r="AC104"/>
  <c r="AB104"/>
  <c r="AA104"/>
  <c r="Z104"/>
  <c r="U104"/>
  <c r="T104"/>
  <c r="Q104"/>
  <c r="P104"/>
  <c r="O104"/>
  <c r="N104"/>
  <c r="M104"/>
  <c r="L104"/>
  <c r="K104"/>
  <c r="J104"/>
  <c r="A104" a="1"/>
  <c r="A104" s="1"/>
  <c r="I104" s="1"/>
  <c r="BG103"/>
  <c r="BF103"/>
  <c r="BE103"/>
  <c r="BD103"/>
  <c r="BC103"/>
  <c r="BB103"/>
  <c r="BA103"/>
  <c r="AZ103"/>
  <c r="AY103"/>
  <c r="AX103"/>
  <c r="AW103"/>
  <c r="AV103"/>
  <c r="AU103"/>
  <c r="AT103"/>
  <c r="AS103"/>
  <c r="AR103"/>
  <c r="AQ103"/>
  <c r="AP103"/>
  <c r="AO103"/>
  <c r="AN103"/>
  <c r="AM103"/>
  <c r="AL103"/>
  <c r="AK103"/>
  <c r="AJ103"/>
  <c r="AI103"/>
  <c r="AH103"/>
  <c r="AG103"/>
  <c r="AF103"/>
  <c r="AE103"/>
  <c r="AD103"/>
  <c r="AC103"/>
  <c r="AB103"/>
  <c r="AA103"/>
  <c r="Z103"/>
  <c r="U103"/>
  <c r="T103"/>
  <c r="Q103"/>
  <c r="P103"/>
  <c r="O103"/>
  <c r="N103"/>
  <c r="M103"/>
  <c r="L103"/>
  <c r="K103"/>
  <c r="J103"/>
  <c r="A103" a="1"/>
  <c r="A103" s="1"/>
  <c r="I103" s="1"/>
  <c r="BG102"/>
  <c r="BF102"/>
  <c r="BE102"/>
  <c r="BD102"/>
  <c r="BC102"/>
  <c r="BB102"/>
  <c r="BA102"/>
  <c r="AZ102"/>
  <c r="AY102"/>
  <c r="AX102"/>
  <c r="AW102"/>
  <c r="AV102"/>
  <c r="AU102"/>
  <c r="AT102"/>
  <c r="AS102"/>
  <c r="AR102"/>
  <c r="AQ102"/>
  <c r="AP102"/>
  <c r="AO102"/>
  <c r="AN102"/>
  <c r="AM102"/>
  <c r="AL102"/>
  <c r="AK102"/>
  <c r="AJ102"/>
  <c r="AI102"/>
  <c r="AH102"/>
  <c r="AG102"/>
  <c r="AF102"/>
  <c r="AE102"/>
  <c r="AD102"/>
  <c r="AC102"/>
  <c r="AB102"/>
  <c r="AA102"/>
  <c r="Z102"/>
  <c r="U102"/>
  <c r="T102"/>
  <c r="Q102"/>
  <c r="P102"/>
  <c r="O102"/>
  <c r="N102"/>
  <c r="M102"/>
  <c r="L102"/>
  <c r="K102"/>
  <c r="J102"/>
  <c r="A102" a="1"/>
  <c r="A102" s="1"/>
  <c r="I102" s="1"/>
  <c r="BG101"/>
  <c r="BF101"/>
  <c r="BE101"/>
  <c r="BD101"/>
  <c r="BC101"/>
  <c r="BB101"/>
  <c r="BA101"/>
  <c r="AZ101"/>
  <c r="AY101"/>
  <c r="AX101"/>
  <c r="AW101"/>
  <c r="AV101"/>
  <c r="AU101"/>
  <c r="AT101"/>
  <c r="AS101"/>
  <c r="AR101"/>
  <c r="AQ101"/>
  <c r="AP101"/>
  <c r="AO101"/>
  <c r="AN101"/>
  <c r="AM101"/>
  <c r="AL101"/>
  <c r="AK101"/>
  <c r="AJ101"/>
  <c r="AI101"/>
  <c r="AH101"/>
  <c r="AG101"/>
  <c r="AF101"/>
  <c r="AE101"/>
  <c r="AD101"/>
  <c r="AC101"/>
  <c r="AB101"/>
  <c r="AA101"/>
  <c r="Z101"/>
  <c r="U101"/>
  <c r="T101"/>
  <c r="Q101"/>
  <c r="P101"/>
  <c r="O101"/>
  <c r="N101"/>
  <c r="M101"/>
  <c r="L101"/>
  <c r="K101"/>
  <c r="J101"/>
  <c r="A101" a="1"/>
  <c r="A101" s="1"/>
  <c r="I101" s="1"/>
  <c r="BG100"/>
  <c r="BF100"/>
  <c r="BE100"/>
  <c r="BD100"/>
  <c r="BC100"/>
  <c r="BB100"/>
  <c r="BA100"/>
  <c r="AZ100"/>
  <c r="AY100"/>
  <c r="AX100"/>
  <c r="AW100"/>
  <c r="AV100"/>
  <c r="AU100"/>
  <c r="AT100"/>
  <c r="AS100"/>
  <c r="AR100"/>
  <c r="AQ100"/>
  <c r="AP100"/>
  <c r="AO100"/>
  <c r="AN100"/>
  <c r="AM100"/>
  <c r="AL100"/>
  <c r="AK100"/>
  <c r="AJ100"/>
  <c r="AI100"/>
  <c r="AH100"/>
  <c r="AG100"/>
  <c r="AF100"/>
  <c r="AE100"/>
  <c r="AD100"/>
  <c r="AC100"/>
  <c r="AB100"/>
  <c r="AA100"/>
  <c r="Z100"/>
  <c r="U100"/>
  <c r="T100"/>
  <c r="Q100"/>
  <c r="P100"/>
  <c r="O100"/>
  <c r="N100"/>
  <c r="M100"/>
  <c r="L100"/>
  <c r="K100"/>
  <c r="J100"/>
  <c r="A100" a="1"/>
  <c r="A100" s="1"/>
  <c r="I100" s="1"/>
  <c r="BG99"/>
  <c r="BF99"/>
  <c r="BE99"/>
  <c r="BD99"/>
  <c r="BC99"/>
  <c r="BB99"/>
  <c r="BA99"/>
  <c r="AZ99"/>
  <c r="AY99"/>
  <c r="AX99"/>
  <c r="AW99"/>
  <c r="AV99"/>
  <c r="AU99"/>
  <c r="AT99"/>
  <c r="AS99"/>
  <c r="AR99"/>
  <c r="AQ99"/>
  <c r="AP99"/>
  <c r="AO99"/>
  <c r="AN99"/>
  <c r="AM99"/>
  <c r="AL99"/>
  <c r="AK99"/>
  <c r="AJ99"/>
  <c r="AI99"/>
  <c r="AH99"/>
  <c r="AG99"/>
  <c r="AF99"/>
  <c r="AE99"/>
  <c r="AD99"/>
  <c r="AC99"/>
  <c r="AB99"/>
  <c r="AA99"/>
  <c r="Z99"/>
  <c r="U99"/>
  <c r="T99"/>
  <c r="Q99"/>
  <c r="P99"/>
  <c r="O99"/>
  <c r="N99"/>
  <c r="M99"/>
  <c r="L99"/>
  <c r="K99"/>
  <c r="J99"/>
  <c r="A99" a="1"/>
  <c r="A99" s="1"/>
  <c r="I99" s="1"/>
  <c r="BG98"/>
  <c r="BF98"/>
  <c r="BE98"/>
  <c r="BD98"/>
  <c r="BC98"/>
  <c r="BB98"/>
  <c r="BA98"/>
  <c r="AZ98"/>
  <c r="AY98"/>
  <c r="AX98"/>
  <c r="AW98"/>
  <c r="AV98"/>
  <c r="AU98"/>
  <c r="AT98"/>
  <c r="AS98"/>
  <c r="AR98"/>
  <c r="AQ98"/>
  <c r="AP98"/>
  <c r="AO98"/>
  <c r="AN98"/>
  <c r="AM98"/>
  <c r="AL98"/>
  <c r="AK98"/>
  <c r="AJ98"/>
  <c r="AI98"/>
  <c r="AH98"/>
  <c r="AG98"/>
  <c r="AF98"/>
  <c r="AE98"/>
  <c r="AD98"/>
  <c r="AC98"/>
  <c r="AB98"/>
  <c r="AA98"/>
  <c r="Z98"/>
  <c r="U98"/>
  <c r="T98"/>
  <c r="Q98"/>
  <c r="P98"/>
  <c r="O98"/>
  <c r="N98"/>
  <c r="M98"/>
  <c r="L98"/>
  <c r="K98"/>
  <c r="J98"/>
  <c r="A98" a="1"/>
  <c r="A98" s="1"/>
  <c r="I98" s="1"/>
  <c r="BG97"/>
  <c r="BF97"/>
  <c r="BE97"/>
  <c r="BD97"/>
  <c r="BC97"/>
  <c r="BB97"/>
  <c r="BA97"/>
  <c r="AZ97"/>
  <c r="AY97"/>
  <c r="AX97"/>
  <c r="AW97"/>
  <c r="AV97"/>
  <c r="AU97"/>
  <c r="AT97"/>
  <c r="AS97"/>
  <c r="AR97"/>
  <c r="AQ97"/>
  <c r="AP97"/>
  <c r="AO97"/>
  <c r="AN97"/>
  <c r="AM97"/>
  <c r="AL97"/>
  <c r="AK97"/>
  <c r="AJ97"/>
  <c r="AI97"/>
  <c r="AH97"/>
  <c r="AG97"/>
  <c r="AF97"/>
  <c r="AE97"/>
  <c r="AD97"/>
  <c r="AC97"/>
  <c r="AB97"/>
  <c r="AA97"/>
  <c r="Z97"/>
  <c r="U97"/>
  <c r="T97"/>
  <c r="Q97"/>
  <c r="P97"/>
  <c r="O97"/>
  <c r="N97"/>
  <c r="M97"/>
  <c r="L97"/>
  <c r="K97"/>
  <c r="J97"/>
  <c r="A97" a="1"/>
  <c r="A97" s="1"/>
  <c r="I97" s="1"/>
  <c r="BG96"/>
  <c r="BF96"/>
  <c r="BE96"/>
  <c r="BD96"/>
  <c r="BC96"/>
  <c r="BB96"/>
  <c r="BA96"/>
  <c r="AZ96"/>
  <c r="AY96"/>
  <c r="AX96"/>
  <c r="AW96"/>
  <c r="AV96"/>
  <c r="AU96"/>
  <c r="AT96"/>
  <c r="AS96"/>
  <c r="AR96"/>
  <c r="AQ96"/>
  <c r="AP96"/>
  <c r="AO96"/>
  <c r="AN96"/>
  <c r="AM96"/>
  <c r="AL96"/>
  <c r="AK96"/>
  <c r="AJ96"/>
  <c r="AI96"/>
  <c r="AH96"/>
  <c r="AG96"/>
  <c r="AF96"/>
  <c r="AE96"/>
  <c r="AD96"/>
  <c r="AC96"/>
  <c r="AB96"/>
  <c r="AA96"/>
  <c r="Z96"/>
  <c r="U96"/>
  <c r="T96"/>
  <c r="Q96"/>
  <c r="P96"/>
  <c r="O96"/>
  <c r="N96"/>
  <c r="M96"/>
  <c r="L96"/>
  <c r="K96"/>
  <c r="J96"/>
  <c r="A96" a="1"/>
  <c r="A96" s="1"/>
  <c r="I96" s="1"/>
  <c r="BG95"/>
  <c r="BF95"/>
  <c r="BE95"/>
  <c r="BD95"/>
  <c r="BC95"/>
  <c r="BB95"/>
  <c r="BA95"/>
  <c r="AZ95"/>
  <c r="AY95"/>
  <c r="AX95"/>
  <c r="AW95"/>
  <c r="AV95"/>
  <c r="AU95"/>
  <c r="AT95"/>
  <c r="AS95"/>
  <c r="AR95"/>
  <c r="AQ95"/>
  <c r="AP95"/>
  <c r="AO95"/>
  <c r="AN95"/>
  <c r="AM95"/>
  <c r="AL95"/>
  <c r="AK95"/>
  <c r="AJ95"/>
  <c r="AI95"/>
  <c r="AH95"/>
  <c r="AG95"/>
  <c r="AF95"/>
  <c r="AE95"/>
  <c r="AD95"/>
  <c r="AC95"/>
  <c r="AB95"/>
  <c r="AA95"/>
  <c r="Z95"/>
  <c r="U95"/>
  <c r="T95"/>
  <c r="Q95"/>
  <c r="P95"/>
  <c r="O95"/>
  <c r="N95"/>
  <c r="M95"/>
  <c r="L95"/>
  <c r="K95"/>
  <c r="J95"/>
  <c r="A95" a="1"/>
  <c r="A95" s="1"/>
  <c r="I95" s="1"/>
  <c r="BG94"/>
  <c r="BF94"/>
  <c r="BE94"/>
  <c r="BD94"/>
  <c r="BC94"/>
  <c r="BB94"/>
  <c r="BA94"/>
  <c r="AZ94"/>
  <c r="AY94"/>
  <c r="AX94"/>
  <c r="AW94"/>
  <c r="AV94"/>
  <c r="AU94"/>
  <c r="AT94"/>
  <c r="AS94"/>
  <c r="AR94"/>
  <c r="AQ94"/>
  <c r="AP94"/>
  <c r="AO94"/>
  <c r="AN94"/>
  <c r="AM94"/>
  <c r="AL94"/>
  <c r="AK94"/>
  <c r="AJ94"/>
  <c r="AI94"/>
  <c r="AH94"/>
  <c r="AG94"/>
  <c r="AF94"/>
  <c r="AE94"/>
  <c r="AD94"/>
  <c r="AC94"/>
  <c r="AB94"/>
  <c r="AA94"/>
  <c r="Z94"/>
  <c r="U94"/>
  <c r="T94"/>
  <c r="Q94"/>
  <c r="P94"/>
  <c r="O94"/>
  <c r="N94"/>
  <c r="M94"/>
  <c r="L94"/>
  <c r="K94"/>
  <c r="J94"/>
  <c r="A94" a="1"/>
  <c r="A94" s="1"/>
  <c r="I94" s="1"/>
  <c r="BG93"/>
  <c r="BF93"/>
  <c r="BE93"/>
  <c r="BD93"/>
  <c r="BC93"/>
  <c r="BB93"/>
  <c r="BA93"/>
  <c r="AZ93"/>
  <c r="AY93"/>
  <c r="AX93"/>
  <c r="AW93"/>
  <c r="AV93"/>
  <c r="AU93"/>
  <c r="AT93"/>
  <c r="AS93"/>
  <c r="AR93"/>
  <c r="AQ93"/>
  <c r="AP93"/>
  <c r="AO93"/>
  <c r="AN93"/>
  <c r="AM93"/>
  <c r="AL93"/>
  <c r="AK93"/>
  <c r="AJ93"/>
  <c r="AI93"/>
  <c r="AH93"/>
  <c r="AG93"/>
  <c r="AF93"/>
  <c r="AE93"/>
  <c r="AD93"/>
  <c r="AC93"/>
  <c r="AB93"/>
  <c r="AA93"/>
  <c r="Z93"/>
  <c r="U93"/>
  <c r="T93"/>
  <c r="Q93"/>
  <c r="P93"/>
  <c r="O93"/>
  <c r="N93"/>
  <c r="M93"/>
  <c r="L93"/>
  <c r="K93"/>
  <c r="J93"/>
  <c r="A93" a="1"/>
  <c r="A93" s="1"/>
  <c r="I93" s="1"/>
  <c r="BG92"/>
  <c r="BF92"/>
  <c r="BE92"/>
  <c r="BD92"/>
  <c r="BC92"/>
  <c r="BB92"/>
  <c r="BA92"/>
  <c r="AZ92"/>
  <c r="AY92"/>
  <c r="AX92"/>
  <c r="AW92"/>
  <c r="AV92"/>
  <c r="AU92"/>
  <c r="AT92"/>
  <c r="AS92"/>
  <c r="AR92"/>
  <c r="AQ92"/>
  <c r="AP92"/>
  <c r="AO92"/>
  <c r="AN92"/>
  <c r="AM92"/>
  <c r="AL92"/>
  <c r="AK92"/>
  <c r="AJ92"/>
  <c r="AI92"/>
  <c r="AH92"/>
  <c r="AG92"/>
  <c r="AF92"/>
  <c r="AE92"/>
  <c r="AD92"/>
  <c r="AC92"/>
  <c r="AB92"/>
  <c r="AA92"/>
  <c r="Z92"/>
  <c r="U92"/>
  <c r="T92"/>
  <c r="Q92"/>
  <c r="P92"/>
  <c r="O92"/>
  <c r="N92"/>
  <c r="M92"/>
  <c r="L92"/>
  <c r="K92"/>
  <c r="J92"/>
  <c r="A92" a="1"/>
  <c r="A92" s="1"/>
  <c r="I92" s="1"/>
  <c r="BG91"/>
  <c r="BF91"/>
  <c r="BE91"/>
  <c r="BD91"/>
  <c r="BC91"/>
  <c r="BB91"/>
  <c r="BA91"/>
  <c r="AZ91"/>
  <c r="AY91"/>
  <c r="AX91"/>
  <c r="AW91"/>
  <c r="AV91"/>
  <c r="AU91"/>
  <c r="AT91"/>
  <c r="AS91"/>
  <c r="AR91"/>
  <c r="AQ91"/>
  <c r="AP91"/>
  <c r="AO91"/>
  <c r="AN91"/>
  <c r="AM91"/>
  <c r="AL91"/>
  <c r="AK91"/>
  <c r="AJ91"/>
  <c r="AI91"/>
  <c r="AH91"/>
  <c r="AG91"/>
  <c r="AF91"/>
  <c r="AE91"/>
  <c r="AD91"/>
  <c r="AC91"/>
  <c r="AB91"/>
  <c r="AA91"/>
  <c r="Z91"/>
  <c r="U91"/>
  <c r="T91"/>
  <c r="Q91"/>
  <c r="P91"/>
  <c r="O91"/>
  <c r="N91"/>
  <c r="M91"/>
  <c r="L91"/>
  <c r="K91"/>
  <c r="J91"/>
  <c r="A91" a="1"/>
  <c r="A91" s="1"/>
  <c r="I91" s="1"/>
  <c r="BG90"/>
  <c r="BF90"/>
  <c r="BE90"/>
  <c r="BD90"/>
  <c r="BC90"/>
  <c r="BB90"/>
  <c r="BA90"/>
  <c r="AZ90"/>
  <c r="AY90"/>
  <c r="AX90"/>
  <c r="AW90"/>
  <c r="AV90"/>
  <c r="AU90"/>
  <c r="AT90"/>
  <c r="AS90"/>
  <c r="AR90"/>
  <c r="AQ90"/>
  <c r="AP90"/>
  <c r="AO90"/>
  <c r="AN90"/>
  <c r="AM90"/>
  <c r="AL90"/>
  <c r="AK90"/>
  <c r="AJ90"/>
  <c r="AI90"/>
  <c r="AH90"/>
  <c r="AG90"/>
  <c r="AF90"/>
  <c r="AE90"/>
  <c r="AD90"/>
  <c r="AC90"/>
  <c r="AB90"/>
  <c r="AA90"/>
  <c r="Z90"/>
  <c r="U90"/>
  <c r="T90"/>
  <c r="Q90"/>
  <c r="P90"/>
  <c r="O90"/>
  <c r="N90"/>
  <c r="M90"/>
  <c r="L90"/>
  <c r="K90"/>
  <c r="J90"/>
  <c r="A90" a="1"/>
  <c r="A90" s="1"/>
  <c r="I90" s="1"/>
  <c r="BG89"/>
  <c r="BF89"/>
  <c r="BE89"/>
  <c r="BD89"/>
  <c r="BC89"/>
  <c r="BB89"/>
  <c r="BA89"/>
  <c r="AZ89"/>
  <c r="AY89"/>
  <c r="AX89"/>
  <c r="AW89"/>
  <c r="AV89"/>
  <c r="AU89"/>
  <c r="AT89"/>
  <c r="AS89"/>
  <c r="AR89"/>
  <c r="AQ89"/>
  <c r="AP89"/>
  <c r="AO89"/>
  <c r="AN89"/>
  <c r="AM89"/>
  <c r="AL89"/>
  <c r="AK89"/>
  <c r="AJ89"/>
  <c r="AI89"/>
  <c r="AH89"/>
  <c r="AG89"/>
  <c r="AF89"/>
  <c r="AE89"/>
  <c r="AD89"/>
  <c r="AC89"/>
  <c r="AB89"/>
  <c r="AA89"/>
  <c r="Z89"/>
  <c r="U89"/>
  <c r="T89"/>
  <c r="Q89"/>
  <c r="P89"/>
  <c r="O89"/>
  <c r="N89"/>
  <c r="M89"/>
  <c r="L89"/>
  <c r="K89"/>
  <c r="J89"/>
  <c r="A89" a="1"/>
  <c r="A89" s="1"/>
  <c r="I89" s="1"/>
  <c r="BG88"/>
  <c r="BF88"/>
  <c r="BE88"/>
  <c r="BD88"/>
  <c r="BC88"/>
  <c r="BB88"/>
  <c r="BA88"/>
  <c r="AZ88"/>
  <c r="AY88"/>
  <c r="AX88"/>
  <c r="AW88"/>
  <c r="AV88"/>
  <c r="AU88"/>
  <c r="AT88"/>
  <c r="AS88"/>
  <c r="AR88"/>
  <c r="AQ88"/>
  <c r="AP88"/>
  <c r="AO88"/>
  <c r="AN88"/>
  <c r="AM88"/>
  <c r="AL88"/>
  <c r="AK88"/>
  <c r="AJ88"/>
  <c r="AI88"/>
  <c r="AH88"/>
  <c r="AG88"/>
  <c r="AF88"/>
  <c r="AE88"/>
  <c r="AD88"/>
  <c r="AC88"/>
  <c r="AB88"/>
  <c r="AA88"/>
  <c r="Z88"/>
  <c r="U88"/>
  <c r="T88"/>
  <c r="Q88"/>
  <c r="P88"/>
  <c r="O88"/>
  <c r="N88"/>
  <c r="M88"/>
  <c r="L88"/>
  <c r="K88"/>
  <c r="J88"/>
  <c r="A88" a="1"/>
  <c r="A88" s="1"/>
  <c r="I88" s="1"/>
  <c r="BG87"/>
  <c r="BF87"/>
  <c r="BE87"/>
  <c r="BD87"/>
  <c r="BC87"/>
  <c r="BB87"/>
  <c r="BA87"/>
  <c r="AZ87"/>
  <c r="AY87"/>
  <c r="AX87"/>
  <c r="AW87"/>
  <c r="AV87"/>
  <c r="AU87"/>
  <c r="AT87"/>
  <c r="AS87"/>
  <c r="AR87"/>
  <c r="AQ87"/>
  <c r="AP87"/>
  <c r="AO87"/>
  <c r="AN87"/>
  <c r="AM87"/>
  <c r="AL87"/>
  <c r="AK87"/>
  <c r="AJ87"/>
  <c r="AI87"/>
  <c r="AH87"/>
  <c r="AG87"/>
  <c r="AF87"/>
  <c r="AE87"/>
  <c r="AD87"/>
  <c r="AC87"/>
  <c r="AB87"/>
  <c r="AA87"/>
  <c r="Z87"/>
  <c r="U87"/>
  <c r="T87"/>
  <c r="Q87"/>
  <c r="P87"/>
  <c r="O87"/>
  <c r="N87"/>
  <c r="M87"/>
  <c r="L87"/>
  <c r="K87"/>
  <c r="J87"/>
  <c r="A87" a="1"/>
  <c r="A87" s="1"/>
  <c r="I87" s="1"/>
  <c r="BG86"/>
  <c r="BF86"/>
  <c r="BE86"/>
  <c r="BD86"/>
  <c r="BC86"/>
  <c r="BB86"/>
  <c r="BA86"/>
  <c r="AZ86"/>
  <c r="AY86"/>
  <c r="AX86"/>
  <c r="AW86"/>
  <c r="AV86"/>
  <c r="AU86"/>
  <c r="AT86"/>
  <c r="AS86"/>
  <c r="AR86"/>
  <c r="AQ86"/>
  <c r="AP86"/>
  <c r="AO86"/>
  <c r="AN86"/>
  <c r="AM86"/>
  <c r="AL86"/>
  <c r="AK86"/>
  <c r="AJ86"/>
  <c r="AI86"/>
  <c r="AH86"/>
  <c r="AG86"/>
  <c r="AF86"/>
  <c r="AE86"/>
  <c r="AD86"/>
  <c r="AC86"/>
  <c r="AB86"/>
  <c r="AA86"/>
  <c r="Z86"/>
  <c r="U86"/>
  <c r="T86"/>
  <c r="Q86"/>
  <c r="P86"/>
  <c r="O86"/>
  <c r="N86"/>
  <c r="M86"/>
  <c r="L86"/>
  <c r="K86"/>
  <c r="J86"/>
  <c r="A86" a="1"/>
  <c r="A86" s="1"/>
  <c r="I86" s="1"/>
  <c r="BG85"/>
  <c r="BF85"/>
  <c r="BE85"/>
  <c r="BD85"/>
  <c r="BC85"/>
  <c r="BB85"/>
  <c r="BA85"/>
  <c r="AZ85"/>
  <c r="AY85"/>
  <c r="AX85"/>
  <c r="AW85"/>
  <c r="AV85"/>
  <c r="AU85"/>
  <c r="AT85"/>
  <c r="AS85"/>
  <c r="AR85"/>
  <c r="AQ85"/>
  <c r="AP85"/>
  <c r="AO85"/>
  <c r="AN85"/>
  <c r="AM85"/>
  <c r="AL85"/>
  <c r="AK85"/>
  <c r="AJ85"/>
  <c r="AI85"/>
  <c r="AH85"/>
  <c r="AG85"/>
  <c r="AF85"/>
  <c r="AE85"/>
  <c r="AD85"/>
  <c r="AC85"/>
  <c r="AB85"/>
  <c r="AA85"/>
  <c r="Z85"/>
  <c r="U85"/>
  <c r="T85"/>
  <c r="Q85"/>
  <c r="P85"/>
  <c r="O85"/>
  <c r="N85"/>
  <c r="M85"/>
  <c r="L85"/>
  <c r="K85"/>
  <c r="J85"/>
  <c r="A85" a="1"/>
  <c r="A85" s="1"/>
  <c r="I85" s="1"/>
  <c r="BG84"/>
  <c r="BF84"/>
  <c r="BE84"/>
  <c r="BD84"/>
  <c r="BC84"/>
  <c r="BB84"/>
  <c r="BA84"/>
  <c r="AZ84"/>
  <c r="AY84"/>
  <c r="AX84"/>
  <c r="AW84"/>
  <c r="AV84"/>
  <c r="AU84"/>
  <c r="AT84"/>
  <c r="AS84"/>
  <c r="AR84"/>
  <c r="AQ84"/>
  <c r="AP84"/>
  <c r="AO84"/>
  <c r="AN84"/>
  <c r="AM84"/>
  <c r="AL84"/>
  <c r="AK84"/>
  <c r="AJ84"/>
  <c r="AI84"/>
  <c r="AH84"/>
  <c r="AG84"/>
  <c r="AF84"/>
  <c r="AE84"/>
  <c r="AD84"/>
  <c r="AC84"/>
  <c r="AB84"/>
  <c r="AA84"/>
  <c r="Z84"/>
  <c r="U84"/>
  <c r="T84"/>
  <c r="Q84"/>
  <c r="P84"/>
  <c r="O84"/>
  <c r="N84"/>
  <c r="M84"/>
  <c r="L84"/>
  <c r="K84"/>
  <c r="J84"/>
  <c r="A84" a="1"/>
  <c r="A84" s="1"/>
  <c r="I84" s="1"/>
  <c r="BG83"/>
  <c r="BF83"/>
  <c r="BE83"/>
  <c r="BD83"/>
  <c r="BC83"/>
  <c r="BB83"/>
  <c r="BA83"/>
  <c r="AZ83"/>
  <c r="AY83"/>
  <c r="AX83"/>
  <c r="AW83"/>
  <c r="AV83"/>
  <c r="AU83"/>
  <c r="AT83"/>
  <c r="AS83"/>
  <c r="AR83"/>
  <c r="AQ83"/>
  <c r="AP83"/>
  <c r="AO83"/>
  <c r="AN83"/>
  <c r="AM83"/>
  <c r="AL83"/>
  <c r="AK83"/>
  <c r="AJ83"/>
  <c r="AI83"/>
  <c r="AH83"/>
  <c r="AG83"/>
  <c r="AF83"/>
  <c r="AE83"/>
  <c r="AD83"/>
  <c r="AC83"/>
  <c r="AB83"/>
  <c r="AA83"/>
  <c r="Z83"/>
  <c r="U83"/>
  <c r="T83"/>
  <c r="Q83"/>
  <c r="P83"/>
  <c r="O83"/>
  <c r="N83"/>
  <c r="M83"/>
  <c r="L83"/>
  <c r="K83"/>
  <c r="J83"/>
  <c r="A83" a="1"/>
  <c r="A83" s="1"/>
  <c r="I83" s="1"/>
  <c r="BG82"/>
  <c r="BF82"/>
  <c r="BE82"/>
  <c r="BD82"/>
  <c r="BC82"/>
  <c r="BB82"/>
  <c r="BA82"/>
  <c r="AZ82"/>
  <c r="AY82"/>
  <c r="AX82"/>
  <c r="AW82"/>
  <c r="AV82"/>
  <c r="AU82"/>
  <c r="AT82"/>
  <c r="AS82"/>
  <c r="AR82"/>
  <c r="AQ82"/>
  <c r="AP82"/>
  <c r="AO82"/>
  <c r="AN82"/>
  <c r="AM82"/>
  <c r="AL82"/>
  <c r="AK82"/>
  <c r="AJ82"/>
  <c r="AI82"/>
  <c r="AH82"/>
  <c r="AG82"/>
  <c r="AF82"/>
  <c r="AE82"/>
  <c r="AD82"/>
  <c r="AC82"/>
  <c r="AB82"/>
  <c r="AA82"/>
  <c r="Z82"/>
  <c r="U82"/>
  <c r="T82"/>
  <c r="Q82"/>
  <c r="P82"/>
  <c r="O82"/>
  <c r="N82"/>
  <c r="M82"/>
  <c r="L82"/>
  <c r="K82"/>
  <c r="J82"/>
  <c r="A82" a="1"/>
  <c r="A82" s="1"/>
  <c r="I82" s="1"/>
  <c r="BG81"/>
  <c r="BF81"/>
  <c r="BE81"/>
  <c r="BD81"/>
  <c r="BC81"/>
  <c r="BB81"/>
  <c r="BA81"/>
  <c r="AZ81"/>
  <c r="AY81"/>
  <c r="AX81"/>
  <c r="AW81"/>
  <c r="AV81"/>
  <c r="AU81"/>
  <c r="AT81"/>
  <c r="AS81"/>
  <c r="AR81"/>
  <c r="AQ81"/>
  <c r="AP81"/>
  <c r="AO81"/>
  <c r="AN81"/>
  <c r="AM81"/>
  <c r="AL81"/>
  <c r="AK81"/>
  <c r="AJ81"/>
  <c r="AI81"/>
  <c r="AH81"/>
  <c r="AG81"/>
  <c r="AF81"/>
  <c r="AE81"/>
  <c r="AD81"/>
  <c r="AC81"/>
  <c r="AB81"/>
  <c r="AA81"/>
  <c r="Z81"/>
  <c r="U81"/>
  <c r="T81"/>
  <c r="Q81"/>
  <c r="P81"/>
  <c r="O81"/>
  <c r="N81"/>
  <c r="M81"/>
  <c r="L81"/>
  <c r="K81"/>
  <c r="J81"/>
  <c r="A81" a="1"/>
  <c r="A81" s="1"/>
  <c r="I81" s="1"/>
  <c r="BG80"/>
  <c r="BF80"/>
  <c r="BE80"/>
  <c r="BD80"/>
  <c r="BC80"/>
  <c r="BB80"/>
  <c r="BA80"/>
  <c r="AZ80"/>
  <c r="AY80"/>
  <c r="AX80"/>
  <c r="AW80"/>
  <c r="AV80"/>
  <c r="AU80"/>
  <c r="AT80"/>
  <c r="AS80"/>
  <c r="AR80"/>
  <c r="AQ80"/>
  <c r="AP80"/>
  <c r="AO80"/>
  <c r="AN80"/>
  <c r="AM80"/>
  <c r="AL80"/>
  <c r="AK80"/>
  <c r="AJ80"/>
  <c r="AI80"/>
  <c r="AH80"/>
  <c r="AG80"/>
  <c r="AF80"/>
  <c r="AE80"/>
  <c r="AD80"/>
  <c r="AC80"/>
  <c r="AB80"/>
  <c r="AA80"/>
  <c r="Z80"/>
  <c r="U80"/>
  <c r="T80"/>
  <c r="Q80"/>
  <c r="P80"/>
  <c r="O80"/>
  <c r="N80"/>
  <c r="M80"/>
  <c r="L80"/>
  <c r="K80"/>
  <c r="J80"/>
  <c r="A80" a="1"/>
  <c r="A80" s="1"/>
  <c r="I80" s="1"/>
  <c r="BG79"/>
  <c r="BF79"/>
  <c r="BE79"/>
  <c r="BD79"/>
  <c r="BC79"/>
  <c r="BB79"/>
  <c r="BA79"/>
  <c r="AZ79"/>
  <c r="AY79"/>
  <c r="AX79"/>
  <c r="AW79"/>
  <c r="AV79"/>
  <c r="AU79"/>
  <c r="AT79"/>
  <c r="AS79"/>
  <c r="AR79"/>
  <c r="AQ79"/>
  <c r="AP79"/>
  <c r="AO79"/>
  <c r="AN79"/>
  <c r="AM79"/>
  <c r="AL79"/>
  <c r="AK79"/>
  <c r="AJ79"/>
  <c r="AI79"/>
  <c r="AH79"/>
  <c r="AG79"/>
  <c r="AF79"/>
  <c r="AE79"/>
  <c r="AD79"/>
  <c r="AC79"/>
  <c r="AB79"/>
  <c r="AA79"/>
  <c r="Z79"/>
  <c r="U79"/>
  <c r="T79"/>
  <c r="Q79"/>
  <c r="P79"/>
  <c r="O79"/>
  <c r="N79"/>
  <c r="M79"/>
  <c r="L79"/>
  <c r="K79"/>
  <c r="J79"/>
  <c r="A79" a="1"/>
  <c r="A79" s="1"/>
  <c r="I79" s="1"/>
  <c r="BG78"/>
  <c r="BF78"/>
  <c r="BE78"/>
  <c r="BD78"/>
  <c r="BC78"/>
  <c r="BB78"/>
  <c r="BA78"/>
  <c r="AZ78"/>
  <c r="AY78"/>
  <c r="AX78"/>
  <c r="AW78"/>
  <c r="AV78"/>
  <c r="AU78"/>
  <c r="AT78"/>
  <c r="AS78"/>
  <c r="AR78"/>
  <c r="AQ78"/>
  <c r="AP78"/>
  <c r="AO78"/>
  <c r="AN78"/>
  <c r="AM78"/>
  <c r="AL78"/>
  <c r="AK78"/>
  <c r="AJ78"/>
  <c r="AI78"/>
  <c r="AH78"/>
  <c r="AG78"/>
  <c r="AF78"/>
  <c r="AE78"/>
  <c r="AD78"/>
  <c r="AC78"/>
  <c r="AB78"/>
  <c r="AA78"/>
  <c r="Z78"/>
  <c r="U78"/>
  <c r="T78"/>
  <c r="Q78"/>
  <c r="P78"/>
  <c r="O78"/>
  <c r="N78"/>
  <c r="M78"/>
  <c r="L78"/>
  <c r="K78"/>
  <c r="J78"/>
  <c r="A78" a="1"/>
  <c r="A78" s="1"/>
  <c r="I78" s="1"/>
  <c r="BG77"/>
  <c r="BF77"/>
  <c r="BE77"/>
  <c r="BD77"/>
  <c r="BC77"/>
  <c r="BB77"/>
  <c r="BA77"/>
  <c r="AZ77"/>
  <c r="AY77"/>
  <c r="AX77"/>
  <c r="AW77"/>
  <c r="AV77"/>
  <c r="AU77"/>
  <c r="AT77"/>
  <c r="AS77"/>
  <c r="AR77"/>
  <c r="AQ77"/>
  <c r="AP77"/>
  <c r="AO77"/>
  <c r="AN77"/>
  <c r="AM77"/>
  <c r="AL77"/>
  <c r="AK77"/>
  <c r="AJ77"/>
  <c r="AI77"/>
  <c r="AH77"/>
  <c r="AG77"/>
  <c r="AF77"/>
  <c r="AE77"/>
  <c r="AD77"/>
  <c r="AC77"/>
  <c r="AB77"/>
  <c r="AA77"/>
  <c r="Z77"/>
  <c r="U77"/>
  <c r="T77"/>
  <c r="Q77"/>
  <c r="P77"/>
  <c r="O77"/>
  <c r="N77"/>
  <c r="M77"/>
  <c r="L77"/>
  <c r="K77"/>
  <c r="J77"/>
  <c r="A77" a="1"/>
  <c r="A77" s="1"/>
  <c r="I77" s="1"/>
  <c r="BG76"/>
  <c r="BF76"/>
  <c r="BE76"/>
  <c r="BD76"/>
  <c r="BC76"/>
  <c r="BB76"/>
  <c r="BA76"/>
  <c r="AZ76"/>
  <c r="AY76"/>
  <c r="AX76"/>
  <c r="AW76"/>
  <c r="AV76"/>
  <c r="AU76"/>
  <c r="AT76"/>
  <c r="AS76"/>
  <c r="AR76"/>
  <c r="AQ76"/>
  <c r="AP76"/>
  <c r="AO76"/>
  <c r="AN76"/>
  <c r="AM76"/>
  <c r="AL76"/>
  <c r="AK76"/>
  <c r="AJ76"/>
  <c r="AI76"/>
  <c r="AH76"/>
  <c r="AG76"/>
  <c r="AF76"/>
  <c r="AE76"/>
  <c r="AD76"/>
  <c r="AC76"/>
  <c r="AB76"/>
  <c r="AA76"/>
  <c r="Z76"/>
  <c r="U76"/>
  <c r="T76"/>
  <c r="Q76"/>
  <c r="P76"/>
  <c r="O76"/>
  <c r="N76"/>
  <c r="M76"/>
  <c r="L76"/>
  <c r="K76"/>
  <c r="J76"/>
  <c r="A76" a="1"/>
  <c r="A76" s="1"/>
  <c r="I76" s="1"/>
  <c r="BG75"/>
  <c r="BF75"/>
  <c r="BE75"/>
  <c r="BD75"/>
  <c r="BC75"/>
  <c r="BB75"/>
  <c r="BA75"/>
  <c r="AZ75"/>
  <c r="AY75"/>
  <c r="AX75"/>
  <c r="AW75"/>
  <c r="AV75"/>
  <c r="AU75"/>
  <c r="AT75"/>
  <c r="AS75"/>
  <c r="AR75"/>
  <c r="AQ75"/>
  <c r="AP75"/>
  <c r="AO75"/>
  <c r="AN75"/>
  <c r="AM75"/>
  <c r="AL75"/>
  <c r="AK75"/>
  <c r="AJ75"/>
  <c r="AI75"/>
  <c r="AH75"/>
  <c r="AG75"/>
  <c r="AF75"/>
  <c r="AE75"/>
  <c r="AD75"/>
  <c r="AC75"/>
  <c r="AB75"/>
  <c r="AA75"/>
  <c r="Z75"/>
  <c r="U75"/>
  <c r="T75"/>
  <c r="Q75"/>
  <c r="P75"/>
  <c r="O75"/>
  <c r="N75"/>
  <c r="M75"/>
  <c r="L75"/>
  <c r="K75"/>
  <c r="J75"/>
  <c r="A75" a="1"/>
  <c r="A75" s="1"/>
  <c r="I75" s="1"/>
  <c r="BG74"/>
  <c r="BF74"/>
  <c r="BE74"/>
  <c r="BD74"/>
  <c r="BC74"/>
  <c r="BB74"/>
  <c r="BA74"/>
  <c r="AZ74"/>
  <c r="AY74"/>
  <c r="AX74"/>
  <c r="AW74"/>
  <c r="AV74"/>
  <c r="AU74"/>
  <c r="AT74"/>
  <c r="AS74"/>
  <c r="AR74"/>
  <c r="AQ74"/>
  <c r="AP74"/>
  <c r="AO74"/>
  <c r="AN74"/>
  <c r="AM74"/>
  <c r="AL74"/>
  <c r="AK74"/>
  <c r="AJ74"/>
  <c r="AI74"/>
  <c r="AH74"/>
  <c r="AG74"/>
  <c r="AF74"/>
  <c r="AE74"/>
  <c r="AD74"/>
  <c r="AC74"/>
  <c r="AB74"/>
  <c r="AA74"/>
  <c r="Z74"/>
  <c r="U74"/>
  <c r="T74"/>
  <c r="Q74"/>
  <c r="P74"/>
  <c r="O74"/>
  <c r="N74"/>
  <c r="M74"/>
  <c r="L74"/>
  <c r="K74"/>
  <c r="J74"/>
  <c r="A74" a="1"/>
  <c r="A74" s="1"/>
  <c r="I74" s="1"/>
  <c r="BG73"/>
  <c r="BF73"/>
  <c r="BE73"/>
  <c r="BD73"/>
  <c r="BC73"/>
  <c r="BB73"/>
  <c r="BA73"/>
  <c r="AZ73"/>
  <c r="AY73"/>
  <c r="AX73"/>
  <c r="AW73"/>
  <c r="AV73"/>
  <c r="AU73"/>
  <c r="AT73"/>
  <c r="AS73"/>
  <c r="AR73"/>
  <c r="AQ73"/>
  <c r="AP73"/>
  <c r="AO73"/>
  <c r="AN73"/>
  <c r="AM73"/>
  <c r="AL73"/>
  <c r="AK73"/>
  <c r="AJ73"/>
  <c r="AI73"/>
  <c r="AH73"/>
  <c r="AG73"/>
  <c r="AF73"/>
  <c r="AE73"/>
  <c r="AD73"/>
  <c r="AC73"/>
  <c r="AB73"/>
  <c r="AA73"/>
  <c r="Z73"/>
  <c r="U73"/>
  <c r="T73"/>
  <c r="Q73"/>
  <c r="P73"/>
  <c r="O73"/>
  <c r="N73"/>
  <c r="M73"/>
  <c r="L73"/>
  <c r="K73"/>
  <c r="J73"/>
  <c r="A73" a="1"/>
  <c r="A73" s="1"/>
  <c r="I73" s="1"/>
  <c r="BG72"/>
  <c r="BF72"/>
  <c r="BE72"/>
  <c r="BD72"/>
  <c r="BC72"/>
  <c r="BB72"/>
  <c r="BA72"/>
  <c r="AZ72"/>
  <c r="AY72"/>
  <c r="AX72"/>
  <c r="AW72"/>
  <c r="AV72"/>
  <c r="AU72"/>
  <c r="AT72"/>
  <c r="AS72"/>
  <c r="AR72"/>
  <c r="AQ72"/>
  <c r="AP72"/>
  <c r="AO72"/>
  <c r="AN72"/>
  <c r="AM72"/>
  <c r="AL72"/>
  <c r="AK72"/>
  <c r="AJ72"/>
  <c r="AI72"/>
  <c r="AH72"/>
  <c r="AG72"/>
  <c r="AF72"/>
  <c r="AE72"/>
  <c r="AD72"/>
  <c r="AC72"/>
  <c r="AB72"/>
  <c r="AA72"/>
  <c r="Z72"/>
  <c r="U72"/>
  <c r="T72"/>
  <c r="Q72"/>
  <c r="P72"/>
  <c r="O72"/>
  <c r="N72"/>
  <c r="M72"/>
  <c r="L72"/>
  <c r="K72"/>
  <c r="J72"/>
  <c r="A72" a="1"/>
  <c r="A72" s="1"/>
  <c r="I72" s="1"/>
  <c r="BG71"/>
  <c r="BF71"/>
  <c r="BE71"/>
  <c r="BD71"/>
  <c r="BC71"/>
  <c r="BB71"/>
  <c r="BA71"/>
  <c r="AZ71"/>
  <c r="AY71"/>
  <c r="AX71"/>
  <c r="AW71"/>
  <c r="AV71"/>
  <c r="AU71"/>
  <c r="AT71"/>
  <c r="AS71"/>
  <c r="AR71"/>
  <c r="AQ71"/>
  <c r="AP71"/>
  <c r="AO71"/>
  <c r="AN71"/>
  <c r="AM71"/>
  <c r="AL71"/>
  <c r="AK71"/>
  <c r="AJ71"/>
  <c r="AI71"/>
  <c r="AH71"/>
  <c r="AG71"/>
  <c r="AF71"/>
  <c r="AE71"/>
  <c r="AD71"/>
  <c r="AC71"/>
  <c r="AB71"/>
  <c r="AA71"/>
  <c r="Z71"/>
  <c r="U71"/>
  <c r="T71"/>
  <c r="Q71"/>
  <c r="P71"/>
  <c r="O71"/>
  <c r="N71"/>
  <c r="M71"/>
  <c r="L71"/>
  <c r="K71"/>
  <c r="J71"/>
  <c r="A71" a="1"/>
  <c r="A71" s="1"/>
  <c r="I71" s="1"/>
  <c r="BG70"/>
  <c r="BF70"/>
  <c r="BE70"/>
  <c r="BD70"/>
  <c r="BC70"/>
  <c r="BB70"/>
  <c r="BA70"/>
  <c r="AZ70"/>
  <c r="AY70"/>
  <c r="AX70"/>
  <c r="AW70"/>
  <c r="AV70"/>
  <c r="AU70"/>
  <c r="AT70"/>
  <c r="AS70"/>
  <c r="AR70"/>
  <c r="AQ70"/>
  <c r="AP70"/>
  <c r="AO70"/>
  <c r="AN70"/>
  <c r="AM70"/>
  <c r="AL70"/>
  <c r="AK70"/>
  <c r="AJ70"/>
  <c r="AI70"/>
  <c r="AH70"/>
  <c r="AG70"/>
  <c r="AF70"/>
  <c r="AE70"/>
  <c r="AD70"/>
  <c r="AC70"/>
  <c r="AB70"/>
  <c r="AA70"/>
  <c r="Z70"/>
  <c r="U70"/>
  <c r="T70"/>
  <c r="Q70"/>
  <c r="P70"/>
  <c r="O70"/>
  <c r="N70"/>
  <c r="M70"/>
  <c r="L70"/>
  <c r="K70"/>
  <c r="J70"/>
  <c r="A70" a="1"/>
  <c r="A70" s="1"/>
  <c r="I70" s="1"/>
  <c r="BG69"/>
  <c r="BF69"/>
  <c r="BE69"/>
  <c r="BD69"/>
  <c r="BC69"/>
  <c r="BB69"/>
  <c r="BA69"/>
  <c r="AZ69"/>
  <c r="AY69"/>
  <c r="AX69"/>
  <c r="AW69"/>
  <c r="AV69"/>
  <c r="AU69"/>
  <c r="AT69"/>
  <c r="AS69"/>
  <c r="AR69"/>
  <c r="AQ69"/>
  <c r="AP69"/>
  <c r="AO69"/>
  <c r="AN69"/>
  <c r="AM69"/>
  <c r="AL69"/>
  <c r="AK69"/>
  <c r="AJ69"/>
  <c r="AI69"/>
  <c r="AH69"/>
  <c r="AG69"/>
  <c r="AF69"/>
  <c r="AE69"/>
  <c r="AD69"/>
  <c r="AC69"/>
  <c r="AB69"/>
  <c r="AA69"/>
  <c r="Z69"/>
  <c r="U69"/>
  <c r="T69"/>
  <c r="Q69"/>
  <c r="P69"/>
  <c r="O69"/>
  <c r="N69"/>
  <c r="M69"/>
  <c r="L69"/>
  <c r="K69"/>
  <c r="J69"/>
  <c r="A69" a="1"/>
  <c r="A69" s="1"/>
  <c r="I69" s="1"/>
  <c r="BG68"/>
  <c r="BF68"/>
  <c r="BE68"/>
  <c r="BD68"/>
  <c r="BC68"/>
  <c r="BB68"/>
  <c r="BA68"/>
  <c r="AZ68"/>
  <c r="AY68"/>
  <c r="AX68"/>
  <c r="AW68"/>
  <c r="AV68"/>
  <c r="AU68"/>
  <c r="AT68"/>
  <c r="AS68"/>
  <c r="AR68"/>
  <c r="AQ68"/>
  <c r="AP68"/>
  <c r="AO68"/>
  <c r="AN68"/>
  <c r="AM68"/>
  <c r="AL68"/>
  <c r="AK68"/>
  <c r="AJ68"/>
  <c r="AI68"/>
  <c r="AH68"/>
  <c r="AG68"/>
  <c r="AF68"/>
  <c r="AE68"/>
  <c r="AD68"/>
  <c r="AC68"/>
  <c r="AB68"/>
  <c r="AA68"/>
  <c r="Z68"/>
  <c r="U68"/>
  <c r="T68"/>
  <c r="Q68"/>
  <c r="P68"/>
  <c r="O68"/>
  <c r="N68"/>
  <c r="M68"/>
  <c r="L68"/>
  <c r="K68"/>
  <c r="J68"/>
  <c r="A68" a="1"/>
  <c r="A68" s="1"/>
  <c r="I68" s="1"/>
  <c r="BG67"/>
  <c r="BF67"/>
  <c r="BE67"/>
  <c r="BD67"/>
  <c r="BC67"/>
  <c r="BB67"/>
  <c r="BA67"/>
  <c r="AZ67"/>
  <c r="AY67"/>
  <c r="AX67"/>
  <c r="AW67"/>
  <c r="AV67"/>
  <c r="AU67"/>
  <c r="AT67"/>
  <c r="AS67"/>
  <c r="AR67"/>
  <c r="AQ67"/>
  <c r="AP67"/>
  <c r="AO67"/>
  <c r="AN67"/>
  <c r="AM67"/>
  <c r="AL67"/>
  <c r="AK67"/>
  <c r="AJ67"/>
  <c r="AI67"/>
  <c r="AH67"/>
  <c r="AG67"/>
  <c r="AF67"/>
  <c r="AE67"/>
  <c r="AD67"/>
  <c r="AC67"/>
  <c r="AB67"/>
  <c r="AA67"/>
  <c r="Z67"/>
  <c r="U67"/>
  <c r="T67"/>
  <c r="Q67"/>
  <c r="P67"/>
  <c r="O67"/>
  <c r="N67"/>
  <c r="M67"/>
  <c r="L67"/>
  <c r="K67"/>
  <c r="J67"/>
  <c r="A67" a="1"/>
  <c r="A67" s="1"/>
  <c r="I67" s="1"/>
  <c r="BG66"/>
  <c r="BF66"/>
  <c r="BE66"/>
  <c r="BD66"/>
  <c r="BC66"/>
  <c r="BB66"/>
  <c r="BA66"/>
  <c r="AZ66"/>
  <c r="AY66"/>
  <c r="AX66"/>
  <c r="AW66"/>
  <c r="AV66"/>
  <c r="AU66"/>
  <c r="AT66"/>
  <c r="AS66"/>
  <c r="AR66"/>
  <c r="AQ66"/>
  <c r="AP66"/>
  <c r="AO66"/>
  <c r="AN66"/>
  <c r="AM66"/>
  <c r="AL66"/>
  <c r="AK66"/>
  <c r="AJ66"/>
  <c r="AI66"/>
  <c r="AH66"/>
  <c r="AG66"/>
  <c r="AF66"/>
  <c r="AE66"/>
  <c r="AD66"/>
  <c r="AC66"/>
  <c r="AB66"/>
  <c r="AA66"/>
  <c r="Z66"/>
  <c r="U66"/>
  <c r="T66"/>
  <c r="Q66"/>
  <c r="P66"/>
  <c r="O66"/>
  <c r="N66"/>
  <c r="M66"/>
  <c r="L66"/>
  <c r="K66"/>
  <c r="J66"/>
  <c r="A66" a="1"/>
  <c r="A66" s="1"/>
  <c r="I66" s="1"/>
  <c r="BG65"/>
  <c r="BF65"/>
  <c r="BE65"/>
  <c r="BD65"/>
  <c r="BC65"/>
  <c r="BB65"/>
  <c r="BA65"/>
  <c r="AZ65"/>
  <c r="AY65"/>
  <c r="AX65"/>
  <c r="AW65"/>
  <c r="AV65"/>
  <c r="AU65"/>
  <c r="AT65"/>
  <c r="AS65"/>
  <c r="AR65"/>
  <c r="AQ65"/>
  <c r="AP65"/>
  <c r="AO65"/>
  <c r="AN65"/>
  <c r="AM65"/>
  <c r="AL65"/>
  <c r="AK65"/>
  <c r="AJ65"/>
  <c r="AI65"/>
  <c r="AH65"/>
  <c r="AG65"/>
  <c r="AF65"/>
  <c r="AE65"/>
  <c r="AD65"/>
  <c r="AC65"/>
  <c r="AB65"/>
  <c r="AA65"/>
  <c r="Z65"/>
  <c r="U65"/>
  <c r="T65"/>
  <c r="Q65"/>
  <c r="P65"/>
  <c r="O65"/>
  <c r="N65"/>
  <c r="M65"/>
  <c r="L65"/>
  <c r="K65"/>
  <c r="J65"/>
  <c r="A65" a="1"/>
  <c r="A65" s="1"/>
  <c r="I65" s="1"/>
  <c r="BG64"/>
  <c r="BF64"/>
  <c r="BE64"/>
  <c r="BD64"/>
  <c r="BC64"/>
  <c r="BB64"/>
  <c r="BA64"/>
  <c r="AZ64"/>
  <c r="AY64"/>
  <c r="AX64"/>
  <c r="AW64"/>
  <c r="AV64"/>
  <c r="AU64"/>
  <c r="AT64"/>
  <c r="AS64"/>
  <c r="AR64"/>
  <c r="AQ64"/>
  <c r="AP64"/>
  <c r="AO64"/>
  <c r="AN64"/>
  <c r="AM64"/>
  <c r="AL64"/>
  <c r="AK64"/>
  <c r="AJ64"/>
  <c r="AI64"/>
  <c r="AH64"/>
  <c r="AG64"/>
  <c r="AF64"/>
  <c r="AE64"/>
  <c r="AD64"/>
  <c r="AC64"/>
  <c r="AB64"/>
  <c r="AA64"/>
  <c r="Z64"/>
  <c r="U64"/>
  <c r="T64"/>
  <c r="Q64"/>
  <c r="P64"/>
  <c r="O64"/>
  <c r="N64"/>
  <c r="M64"/>
  <c r="L64"/>
  <c r="K64"/>
  <c r="J64"/>
  <c r="A64" a="1"/>
  <c r="A64" s="1"/>
  <c r="I64" s="1"/>
  <c r="BG63"/>
  <c r="BF63"/>
  <c r="BE63"/>
  <c r="BD63"/>
  <c r="BC63"/>
  <c r="BB63"/>
  <c r="BA63"/>
  <c r="AZ63"/>
  <c r="AY63"/>
  <c r="AX63"/>
  <c r="AW63"/>
  <c r="AV63"/>
  <c r="AU63"/>
  <c r="AT63"/>
  <c r="AS63"/>
  <c r="AR63"/>
  <c r="AQ63"/>
  <c r="AP63"/>
  <c r="AO63"/>
  <c r="AN63"/>
  <c r="AM63"/>
  <c r="AL63"/>
  <c r="AK63"/>
  <c r="AJ63"/>
  <c r="AI63"/>
  <c r="AH63"/>
  <c r="AG63"/>
  <c r="AF63"/>
  <c r="AE63"/>
  <c r="AD63"/>
  <c r="AC63"/>
  <c r="AB63"/>
  <c r="AA63"/>
  <c r="Z63"/>
  <c r="U63"/>
  <c r="T63"/>
  <c r="Q63"/>
  <c r="P63"/>
  <c r="O63"/>
  <c r="N63"/>
  <c r="M63"/>
  <c r="L63"/>
  <c r="K63"/>
  <c r="J63"/>
  <c r="A63" a="1"/>
  <c r="A63" s="1"/>
  <c r="I63" s="1"/>
  <c r="BG62"/>
  <c r="BF62"/>
  <c r="BE62"/>
  <c r="BD62"/>
  <c r="BC62"/>
  <c r="BB62"/>
  <c r="BA62"/>
  <c r="AZ62"/>
  <c r="AY62"/>
  <c r="AX62"/>
  <c r="AW62"/>
  <c r="AV62"/>
  <c r="AU62"/>
  <c r="AT62"/>
  <c r="AS62"/>
  <c r="AR62"/>
  <c r="AQ62"/>
  <c r="AP62"/>
  <c r="AO62"/>
  <c r="AN62"/>
  <c r="AM62"/>
  <c r="AL62"/>
  <c r="AK62"/>
  <c r="AJ62"/>
  <c r="AI62"/>
  <c r="AH62"/>
  <c r="AG62"/>
  <c r="AF62"/>
  <c r="AE62"/>
  <c r="AD62"/>
  <c r="AC62"/>
  <c r="AB62"/>
  <c r="AA62"/>
  <c r="Z62"/>
  <c r="U62"/>
  <c r="T62"/>
  <c r="Q62"/>
  <c r="P62"/>
  <c r="O62"/>
  <c r="N62"/>
  <c r="M62"/>
  <c r="L62"/>
  <c r="K62"/>
  <c r="J62"/>
  <c r="A62" a="1"/>
  <c r="A62" s="1"/>
  <c r="I62" s="1"/>
  <c r="BG61"/>
  <c r="BF61"/>
  <c r="BE61"/>
  <c r="BD61"/>
  <c r="BC61"/>
  <c r="BB61"/>
  <c r="BA61"/>
  <c r="AZ61"/>
  <c r="AY61"/>
  <c r="AX61"/>
  <c r="AW61"/>
  <c r="AV61"/>
  <c r="AU61"/>
  <c r="AT61"/>
  <c r="AS61"/>
  <c r="AR61"/>
  <c r="AQ61"/>
  <c r="AP61"/>
  <c r="AO61"/>
  <c r="AN61"/>
  <c r="AM61"/>
  <c r="AL61"/>
  <c r="AK61"/>
  <c r="AJ61"/>
  <c r="AI61"/>
  <c r="AH61"/>
  <c r="AG61"/>
  <c r="AF61"/>
  <c r="AE61"/>
  <c r="AD61"/>
  <c r="AC61"/>
  <c r="AB61"/>
  <c r="AA61"/>
  <c r="Z61"/>
  <c r="U61"/>
  <c r="T61"/>
  <c r="Q61"/>
  <c r="P61"/>
  <c r="O61"/>
  <c r="N61"/>
  <c r="M61"/>
  <c r="L61"/>
  <c r="K61"/>
  <c r="J61"/>
  <c r="A61" a="1"/>
  <c r="A61" s="1"/>
  <c r="I61" s="1"/>
  <c r="BG60"/>
  <c r="BF60"/>
  <c r="BE60"/>
  <c r="BD60"/>
  <c r="BC60"/>
  <c r="BB60"/>
  <c r="BA60"/>
  <c r="AZ60"/>
  <c r="AY60"/>
  <c r="AX60"/>
  <c r="AW60"/>
  <c r="AV60"/>
  <c r="AU60"/>
  <c r="AT60"/>
  <c r="AS60"/>
  <c r="AR60"/>
  <c r="AQ60"/>
  <c r="AP60"/>
  <c r="AO60"/>
  <c r="AN60"/>
  <c r="AM60"/>
  <c r="AL60"/>
  <c r="AK60"/>
  <c r="AJ60"/>
  <c r="AI60"/>
  <c r="AH60"/>
  <c r="AG60"/>
  <c r="AF60"/>
  <c r="AE60"/>
  <c r="AD60"/>
  <c r="AC60"/>
  <c r="AB60"/>
  <c r="AA60"/>
  <c r="Z60"/>
  <c r="U60"/>
  <c r="T60"/>
  <c r="Q60"/>
  <c r="P60"/>
  <c r="O60"/>
  <c r="N60"/>
  <c r="M60"/>
  <c r="L60"/>
  <c r="K60"/>
  <c r="J60"/>
  <c r="A60" a="1"/>
  <c r="A60" s="1"/>
  <c r="I60" s="1"/>
  <c r="A6" i="65"/>
  <c r="AE11" i="34" l="1"/>
  <c r="AI11"/>
  <c r="AJ11"/>
  <c r="AK11"/>
  <c r="AE755"/>
  <c r="AI755"/>
  <c r="AJ755"/>
  <c r="AK755"/>
  <c r="AE756"/>
  <c r="AI756"/>
  <c r="AJ756"/>
  <c r="AK756"/>
  <c r="AE757"/>
  <c r="AI757"/>
  <c r="AJ757"/>
  <c r="AK757"/>
  <c r="AE758"/>
  <c r="AI758"/>
  <c r="AJ758"/>
  <c r="AK758"/>
  <c r="AE759"/>
  <c r="AI759"/>
  <c r="AJ759"/>
  <c r="AK759"/>
  <c r="AE760"/>
  <c r="AI760"/>
  <c r="AJ760"/>
  <c r="AK760"/>
  <c r="AK451"/>
  <c r="AK450"/>
  <c r="AK449"/>
  <c r="AK448"/>
  <c r="AK447"/>
  <c r="AK446"/>
  <c r="AK445"/>
  <c r="AK444"/>
  <c r="AK443"/>
  <c r="AK442"/>
  <c r="AK441"/>
  <c r="AK440"/>
  <c r="AK439"/>
  <c r="AK426"/>
  <c r="AK425"/>
  <c r="AK424"/>
  <c r="AK423"/>
  <c r="AK422"/>
  <c r="AK421"/>
  <c r="AK420"/>
  <c r="AK419"/>
  <c r="AK418"/>
  <c r="AK417"/>
  <c r="AK416"/>
  <c r="AK415"/>
  <c r="AK414"/>
  <c r="AK413"/>
  <c r="AK412"/>
  <c r="AK411"/>
  <c r="AK410"/>
  <c r="AK409"/>
  <c r="AK406"/>
  <c r="AK404"/>
  <c r="AK403"/>
  <c r="AK402"/>
  <c r="AK401"/>
  <c r="AK400"/>
  <c r="AK399"/>
  <c r="AK398"/>
  <c r="AK397"/>
  <c r="AK396"/>
  <c r="AK395"/>
  <c r="AK394"/>
  <c r="AK393"/>
  <c r="AK392"/>
  <c r="AK391"/>
  <c r="AK390"/>
  <c r="AK389"/>
  <c r="AK388"/>
  <c r="AK387"/>
  <c r="AK386"/>
  <c r="AK385"/>
  <c r="AK384"/>
  <c r="AK383"/>
  <c r="AK382"/>
  <c r="AK381"/>
  <c r="AK380"/>
  <c r="AK379"/>
  <c r="AK378"/>
  <c r="AK377"/>
  <c r="AK376"/>
  <c r="AK375"/>
  <c r="AK374"/>
  <c r="AK373"/>
  <c r="AK372"/>
  <c r="AK371"/>
  <c r="AK370"/>
  <c r="AK369"/>
  <c r="AK368"/>
  <c r="AK367"/>
  <c r="AK366"/>
  <c r="AK365"/>
  <c r="AK364"/>
  <c r="AK363"/>
  <c r="AK362"/>
  <c r="AK355"/>
  <c r="AK354"/>
  <c r="AK353"/>
  <c r="AK352"/>
  <c r="AK351"/>
  <c r="AK350"/>
  <c r="AK349"/>
  <c r="AK348"/>
  <c r="AK347"/>
  <c r="AK346"/>
  <c r="AK345"/>
  <c r="AK344"/>
  <c r="AK343"/>
  <c r="AK342"/>
  <c r="AK341"/>
  <c r="AK340"/>
  <c r="AK339"/>
  <c r="AK338"/>
  <c r="AK337"/>
  <c r="AK336"/>
  <c r="AK335"/>
  <c r="AK334"/>
  <c r="AK333"/>
  <c r="AK332"/>
  <c r="AK331"/>
  <c r="AK330"/>
  <c r="AK329"/>
  <c r="AK328"/>
  <c r="AK327"/>
  <c r="AK326"/>
  <c r="AK325"/>
  <c r="AK324"/>
  <c r="AK323"/>
  <c r="AK322"/>
  <c r="AK321"/>
  <c r="AK320"/>
  <c r="AK319"/>
  <c r="AK318"/>
  <c r="AK317"/>
  <c r="AK316"/>
  <c r="AK315"/>
  <c r="AK314"/>
  <c r="AK309"/>
  <c r="AK308"/>
  <c r="AK307"/>
  <c r="AK306"/>
  <c r="AK305"/>
  <c r="AK304"/>
  <c r="AK303"/>
  <c r="AK302"/>
  <c r="AK301"/>
  <c r="AK300"/>
  <c r="AK299"/>
  <c r="AK298"/>
  <c r="AK297"/>
  <c r="AK296"/>
  <c r="AK295"/>
  <c r="AK294"/>
  <c r="AK293"/>
  <c r="AK292"/>
  <c r="AK291"/>
  <c r="AK290"/>
  <c r="AK289"/>
  <c r="AK288"/>
  <c r="AK287"/>
  <c r="AK286"/>
  <c r="AK285"/>
  <c r="AK284"/>
  <c r="AK283"/>
  <c r="AK282"/>
  <c r="AK281"/>
  <c r="AK280"/>
  <c r="I9" i="65"/>
  <c r="A6" i="44"/>
  <c r="AD670" i="34" l="1"/>
  <c r="AD674"/>
  <c r="AD692"/>
  <c r="AD684"/>
  <c r="AD687"/>
  <c r="AD695"/>
  <c r="AD725"/>
  <c r="AD19"/>
  <c r="AD23"/>
  <c r="AD679"/>
  <c r="AD694"/>
  <c r="AD704"/>
  <c r="AD721"/>
  <c r="AD717"/>
  <c r="AD710"/>
  <c r="AC711"/>
  <c r="AD716"/>
  <c r="AC717"/>
  <c r="AD718"/>
  <c r="AC719"/>
  <c r="AD720"/>
  <c r="AC721"/>
  <c r="AD722"/>
  <c r="AC723"/>
  <c r="AD724"/>
  <c r="AC725"/>
  <c r="AB727"/>
  <c r="AD660"/>
  <c r="AD661"/>
  <c r="AC661"/>
  <c r="AB704"/>
  <c r="AD705"/>
  <c r="AB703"/>
  <c r="AC703"/>
  <c r="AB709"/>
  <c r="AC709"/>
  <c r="AC695"/>
  <c r="AC697"/>
  <c r="AD701"/>
  <c r="AB691"/>
  <c r="AB695"/>
  <c r="AB699"/>
  <c r="AC699"/>
  <c r="AC679"/>
  <c r="AC680"/>
  <c r="AC688"/>
  <c r="AB687"/>
  <c r="AB689"/>
  <c r="AB690"/>
  <c r="AC690"/>
  <c r="AD686"/>
  <c r="AC682"/>
  <c r="AD683"/>
  <c r="AC683"/>
  <c r="AB685"/>
  <c r="AB684"/>
  <c r="AB677"/>
  <c r="AB679"/>
  <c r="AD680"/>
  <c r="AD681"/>
  <c r="AC668"/>
  <c r="AD669"/>
  <c r="AB671"/>
  <c r="AC672"/>
  <c r="AD673"/>
  <c r="AB675"/>
  <c r="AC676"/>
  <c r="AD700"/>
  <c r="AB693"/>
  <c r="AD698"/>
  <c r="AC669"/>
  <c r="AC671"/>
  <c r="AC673"/>
  <c r="AC675"/>
  <c r="AC700"/>
  <c r="AC693"/>
  <c r="AB667"/>
  <c r="AC667"/>
  <c r="AB18"/>
  <c r="AC19"/>
  <c r="AB20"/>
  <c r="AC21"/>
  <c r="AB22"/>
  <c r="AC23"/>
  <c r="AB24"/>
  <c r="AC18"/>
  <c r="AB19"/>
  <c r="AC22"/>
  <c r="AB23"/>
  <c r="AD668"/>
  <c r="AD672"/>
  <c r="AD676"/>
  <c r="AD678"/>
  <c r="AD682"/>
  <c r="AD691"/>
  <c r="AD715"/>
  <c r="AD712"/>
  <c r="AD21"/>
  <c r="AD677"/>
  <c r="AD688"/>
  <c r="AD697"/>
  <c r="AD714"/>
  <c r="AD713"/>
  <c r="AB713"/>
  <c r="AC712"/>
  <c r="AB712"/>
  <c r="AC713"/>
  <c r="AB711"/>
  <c r="AB719"/>
  <c r="AB723"/>
  <c r="AD711"/>
  <c r="AB717"/>
  <c r="AD719"/>
  <c r="AB721"/>
  <c r="AD723"/>
  <c r="AB710"/>
  <c r="AC714"/>
  <c r="AC715"/>
  <c r="AB716"/>
  <c r="AB718"/>
  <c r="AB720"/>
  <c r="AB722"/>
  <c r="AB724"/>
  <c r="AD727"/>
  <c r="AC710"/>
  <c r="AB714"/>
  <c r="AB715"/>
  <c r="AC716"/>
  <c r="AC718"/>
  <c r="AC720"/>
  <c r="AC722"/>
  <c r="AC724"/>
  <c r="AB725"/>
  <c r="AC727"/>
  <c r="AB660"/>
  <c r="AB661"/>
  <c r="AC660"/>
  <c r="AC704"/>
  <c r="AB705"/>
  <c r="AC705"/>
  <c r="AD703"/>
  <c r="AD709"/>
  <c r="AC691"/>
  <c r="AC694"/>
  <c r="AB701"/>
  <c r="AC701"/>
  <c r="AB694"/>
  <c r="AB697"/>
  <c r="AD699"/>
  <c r="AC677"/>
  <c r="AC678"/>
  <c r="AC689"/>
  <c r="AC687"/>
  <c r="AB688"/>
  <c r="AD689"/>
  <c r="AD690"/>
  <c r="AB686"/>
  <c r="AC686"/>
  <c r="AB683"/>
  <c r="AB682"/>
  <c r="AC684"/>
  <c r="AD685"/>
  <c r="AC685"/>
  <c r="AB678"/>
  <c r="AB680"/>
  <c r="AB681"/>
  <c r="AC681"/>
  <c r="AB669"/>
  <c r="AC670"/>
  <c r="AD671"/>
  <c r="AB673"/>
  <c r="AC674"/>
  <c r="AD675"/>
  <c r="AB700"/>
  <c r="AC692"/>
  <c r="AD693"/>
  <c r="AB698"/>
  <c r="AB668"/>
  <c r="AB670"/>
  <c r="AB672"/>
  <c r="AB674"/>
  <c r="AB676"/>
  <c r="AB692"/>
  <c r="AC698"/>
  <c r="AD667"/>
  <c r="AD18"/>
  <c r="AD20"/>
  <c r="AD22"/>
  <c r="AD24"/>
  <c r="AC20"/>
  <c r="AB21"/>
  <c r="AC24"/>
  <c r="AB708"/>
  <c r="AD696"/>
  <c r="AC696"/>
  <c r="AD708"/>
  <c r="AC708"/>
  <c r="AB696"/>
  <c r="J9" i="65"/>
  <c r="D72" s="1"/>
  <c r="A26" i="12" l="1"/>
  <c r="A27"/>
  <c r="Q755" i="34" l="1"/>
  <c r="X755"/>
  <c r="Q756"/>
  <c r="X756"/>
  <c r="Q757"/>
  <c r="X757"/>
  <c r="Q758"/>
  <c r="X758"/>
  <c r="Q759"/>
  <c r="X759"/>
  <c r="Q760"/>
  <c r="X760"/>
  <c r="D18" i="15" l="1"/>
  <c r="C18"/>
  <c r="B413" i="34" l="1"/>
  <c r="B512"/>
  <c r="B409"/>
  <c r="B410"/>
  <c r="B411"/>
  <c r="B412"/>
  <c r="S10" i="48"/>
  <c r="R10"/>
  <c r="R452" s="1"/>
  <c r="AH412" i="34" l="1"/>
  <c r="A412"/>
  <c r="AH411"/>
  <c r="A411"/>
  <c r="AH409"/>
  <c r="A409"/>
  <c r="AH413"/>
  <c r="A413"/>
  <c r="AH410"/>
  <c r="A410"/>
  <c r="AH512"/>
  <c r="A512"/>
  <c r="AC411"/>
  <c r="AB411"/>
  <c r="AD411"/>
  <c r="AC409"/>
  <c r="AB409"/>
  <c r="AD409"/>
  <c r="AC413"/>
  <c r="AB413"/>
  <c r="AD413"/>
  <c r="AC412"/>
  <c r="AB412"/>
  <c r="AD412"/>
  <c r="AC410"/>
  <c r="AB410"/>
  <c r="AD410"/>
  <c r="AC512"/>
  <c r="AB512"/>
  <c r="AD512"/>
  <c r="B287" l="1"/>
  <c r="AH287" l="1"/>
  <c r="A287"/>
  <c r="AB287"/>
  <c r="AD287"/>
  <c r="AC287"/>
  <c r="B257"/>
  <c r="B256"/>
  <c r="B255"/>
  <c r="B254"/>
  <c r="B432"/>
  <c r="B431"/>
  <c r="AH255" l="1"/>
  <c r="A255"/>
  <c r="AH257"/>
  <c r="A257"/>
  <c r="AH432"/>
  <c r="A432"/>
  <c r="AH431"/>
  <c r="A431"/>
  <c r="AH254"/>
  <c r="A254"/>
  <c r="AH256"/>
  <c r="A256"/>
  <c r="AC431"/>
  <c r="AB431"/>
  <c r="AD431"/>
  <c r="AB254"/>
  <c r="AD254"/>
  <c r="AC254"/>
  <c r="AB256"/>
  <c r="AD256"/>
  <c r="AC256"/>
  <c r="AC432"/>
  <c r="AB432"/>
  <c r="AD432"/>
  <c r="AB255"/>
  <c r="AD255"/>
  <c r="AC255"/>
  <c r="AB257"/>
  <c r="AD257"/>
  <c r="AC257"/>
  <c r="B283" l="1"/>
  <c r="B282"/>
  <c r="AH283" l="1"/>
  <c r="A283"/>
  <c r="AH282"/>
  <c r="A282"/>
  <c r="AB283"/>
  <c r="AD283"/>
  <c r="AC283"/>
  <c r="AB282"/>
  <c r="AD282"/>
  <c r="AC282"/>
  <c r="B270" l="1"/>
  <c r="B271"/>
  <c r="B269"/>
  <c r="B250"/>
  <c r="AH250" s="1"/>
  <c r="B251"/>
  <c r="AH251" s="1"/>
  <c r="AH269" l="1"/>
  <c r="A269"/>
  <c r="AH270"/>
  <c r="A270"/>
  <c r="AH271"/>
  <c r="A271"/>
  <c r="AB251"/>
  <c r="AD251"/>
  <c r="AC251"/>
  <c r="AB269"/>
  <c r="AD269"/>
  <c r="AC269"/>
  <c r="AB270"/>
  <c r="AD270"/>
  <c r="AC270"/>
  <c r="AB250"/>
  <c r="AD250"/>
  <c r="AC250"/>
  <c r="AB271"/>
  <c r="AD271"/>
  <c r="AC271"/>
  <c r="A250"/>
  <c r="A251"/>
  <c r="B266"/>
  <c r="B249"/>
  <c r="AH249" s="1"/>
  <c r="AH266" l="1"/>
  <c r="A266"/>
  <c r="AB249"/>
  <c r="AD249"/>
  <c r="AC249"/>
  <c r="AB266"/>
  <c r="AD266"/>
  <c r="AC266"/>
  <c r="A249"/>
  <c r="E6" i="43"/>
  <c r="B233" i="34" l="1"/>
  <c r="AH233" s="1"/>
  <c r="B236"/>
  <c r="AH236" s="1"/>
  <c r="B224"/>
  <c r="AH224" s="1"/>
  <c r="B222"/>
  <c r="AH222" s="1"/>
  <c r="B220"/>
  <c r="AH220" s="1"/>
  <c r="B219"/>
  <c r="AH219" s="1"/>
  <c r="B218"/>
  <c r="AH218" s="1"/>
  <c r="AB220" l="1"/>
  <c r="AD220"/>
  <c r="AC220"/>
  <c r="AB224"/>
  <c r="AD224"/>
  <c r="AC224"/>
  <c r="AB233"/>
  <c r="AD233"/>
  <c r="AC233"/>
  <c r="AB218"/>
  <c r="AD218"/>
  <c r="AC218"/>
  <c r="AB219"/>
  <c r="AD219"/>
  <c r="AC219"/>
  <c r="AB222"/>
  <c r="AD222"/>
  <c r="AC222"/>
  <c r="AB236"/>
  <c r="AD236"/>
  <c r="AC236"/>
  <c r="A222"/>
  <c r="A236"/>
  <c r="A218"/>
  <c r="A219"/>
  <c r="A220"/>
  <c r="A224"/>
  <c r="A233"/>
  <c r="A6" i="62" l="1"/>
  <c r="A7"/>
  <c r="A8"/>
  <c r="A9"/>
  <c r="A10"/>
  <c r="A11"/>
  <c r="A12"/>
  <c r="A13"/>
  <c r="A14"/>
  <c r="A15"/>
  <c r="A5"/>
  <c r="X11" i="34"/>
  <c r="X10"/>
  <c r="Q10"/>
  <c r="AI10"/>
  <c r="A6" i="45"/>
  <c r="A7"/>
  <c r="A8"/>
  <c r="A9"/>
  <c r="A10"/>
  <c r="A11"/>
  <c r="A12"/>
  <c r="A13"/>
  <c r="A14"/>
  <c r="A15"/>
  <c r="A16"/>
  <c r="A17"/>
  <c r="A18"/>
  <c r="A19"/>
  <c r="A20"/>
  <c r="A21"/>
  <c r="A22"/>
  <c r="A5"/>
  <c r="A5" i="12"/>
  <c r="A6"/>
  <c r="A7"/>
  <c r="A8"/>
  <c r="A9"/>
  <c r="A10"/>
  <c r="A11"/>
  <c r="A12"/>
  <c r="A13"/>
  <c r="A14"/>
  <c r="A15"/>
  <c r="A16"/>
  <c r="A17"/>
  <c r="A18"/>
  <c r="A19"/>
  <c r="A20"/>
  <c r="A21"/>
  <c r="A22"/>
  <c r="A23"/>
  <c r="A24"/>
  <c r="A25"/>
  <c r="A29"/>
  <c r="A4"/>
  <c r="G14" i="62" a="1"/>
  <c r="G14" s="1"/>
  <c r="I14" a="1"/>
  <c r="I14" s="1"/>
  <c r="G15" a="1"/>
  <c r="G15" s="1"/>
  <c r="I15" a="1"/>
  <c r="I15" s="1"/>
  <c r="A31" i="63"/>
  <c r="O16"/>
  <c r="N16"/>
  <c r="M16"/>
  <c r="L16"/>
  <c r="F17" i="62"/>
  <c r="E17"/>
  <c r="D17"/>
  <c r="C17"/>
  <c r="I13" a="1"/>
  <c r="I13" s="1"/>
  <c r="G13" a="1"/>
  <c r="G13" s="1"/>
  <c r="I12" a="1"/>
  <c r="I12" s="1"/>
  <c r="G12" a="1"/>
  <c r="G12" s="1"/>
  <c r="I11" a="1"/>
  <c r="I11" s="1"/>
  <c r="G11" a="1"/>
  <c r="G11" s="1"/>
  <c r="I10" a="1"/>
  <c r="I10" s="1"/>
  <c r="G10" a="1"/>
  <c r="G10" s="1"/>
  <c r="I9" a="1"/>
  <c r="I9" s="1"/>
  <c r="G9" a="1"/>
  <c r="G9" s="1"/>
  <c r="I8" a="1"/>
  <c r="I8" s="1"/>
  <c r="G8" a="1"/>
  <c r="G8" s="1"/>
  <c r="I7" a="1"/>
  <c r="I7" s="1"/>
  <c r="G7" a="1"/>
  <c r="G7" s="1"/>
  <c r="I6" a="1"/>
  <c r="I6" s="1"/>
  <c r="G6" a="1"/>
  <c r="G6" s="1"/>
  <c r="I5" a="1"/>
  <c r="I5" s="1"/>
  <c r="G5" a="1"/>
  <c r="G5" s="1"/>
  <c r="K21" i="63" l="1"/>
  <c r="H24"/>
  <c r="E18"/>
  <c r="C20"/>
  <c r="A20" s="1"/>
  <c r="F17"/>
  <c r="D19"/>
  <c r="B21"/>
  <c r="C28"/>
  <c r="A28" s="1"/>
  <c r="E26"/>
  <c r="B17"/>
  <c r="K17"/>
  <c r="J18"/>
  <c r="I19"/>
  <c r="H20"/>
  <c r="F21"/>
  <c r="J22"/>
  <c r="D27"/>
  <c r="N27" s="1"/>
  <c r="I23"/>
  <c r="F25"/>
  <c r="J29"/>
  <c r="D17"/>
  <c r="I17"/>
  <c r="C18"/>
  <c r="A18" s="1"/>
  <c r="H18"/>
  <c r="B19"/>
  <c r="F19"/>
  <c r="K19"/>
  <c r="E20"/>
  <c r="J20"/>
  <c r="D21"/>
  <c r="I21"/>
  <c r="E22"/>
  <c r="D23"/>
  <c r="N23" s="1"/>
  <c r="C24"/>
  <c r="A24" s="1"/>
  <c r="B25"/>
  <c r="K25"/>
  <c r="J26"/>
  <c r="I27"/>
  <c r="D29"/>
  <c r="N29" s="1"/>
  <c r="C22"/>
  <c r="A22" s="1"/>
  <c r="H22"/>
  <c r="B23"/>
  <c r="F23"/>
  <c r="K23"/>
  <c r="E24"/>
  <c r="J24"/>
  <c r="D25"/>
  <c r="N25" s="1"/>
  <c r="I25"/>
  <c r="C26"/>
  <c r="A26" s="1"/>
  <c r="H26"/>
  <c r="B27"/>
  <c r="F27"/>
  <c r="K27"/>
  <c r="E28"/>
  <c r="I28"/>
  <c r="C29"/>
  <c r="A29" s="1"/>
  <c r="C17"/>
  <c r="A17" s="1"/>
  <c r="E17"/>
  <c r="H17"/>
  <c r="J17"/>
  <c r="B18"/>
  <c r="D18"/>
  <c r="F18"/>
  <c r="I18"/>
  <c r="K18"/>
  <c r="C19"/>
  <c r="A19" s="1"/>
  <c r="E19"/>
  <c r="H19"/>
  <c r="J19"/>
  <c r="B20"/>
  <c r="D20"/>
  <c r="F20"/>
  <c r="I20"/>
  <c r="K20"/>
  <c r="C21"/>
  <c r="A21" s="1"/>
  <c r="E21"/>
  <c r="H21"/>
  <c r="J21"/>
  <c r="B22"/>
  <c r="D22"/>
  <c r="L22" s="1"/>
  <c r="F22"/>
  <c r="I22"/>
  <c r="K22"/>
  <c r="C23"/>
  <c r="A23" s="1"/>
  <c r="E23"/>
  <c r="H23"/>
  <c r="J23"/>
  <c r="B24"/>
  <c r="D24"/>
  <c r="L24" s="1"/>
  <c r="F24"/>
  <c r="I24"/>
  <c r="K24"/>
  <c r="C25"/>
  <c r="A25" s="1"/>
  <c r="E25"/>
  <c r="H25"/>
  <c r="J25"/>
  <c r="B26"/>
  <c r="D26"/>
  <c r="L26" s="1"/>
  <c r="F26"/>
  <c r="I26"/>
  <c r="K26"/>
  <c r="C27"/>
  <c r="A27" s="1"/>
  <c r="E27"/>
  <c r="H27"/>
  <c r="J27"/>
  <c r="B28"/>
  <c r="D28"/>
  <c r="L28" s="1"/>
  <c r="F28"/>
  <c r="J28"/>
  <c r="I29"/>
  <c r="F30"/>
  <c r="J30"/>
  <c r="K28"/>
  <c r="E29"/>
  <c r="D30"/>
  <c r="L30" s="1"/>
  <c r="B30"/>
  <c r="H28"/>
  <c r="B29"/>
  <c r="H29"/>
  <c r="I30"/>
  <c r="C30"/>
  <c r="A30" s="1"/>
  <c r="H30"/>
  <c r="K29"/>
  <c r="E30"/>
  <c r="F29"/>
  <c r="K30"/>
  <c r="K6" i="62"/>
  <c r="M12"/>
  <c r="K10"/>
  <c r="K8"/>
  <c r="M11"/>
  <c r="M9"/>
  <c r="M15"/>
  <c r="M7"/>
  <c r="M13"/>
  <c r="K12"/>
  <c r="M6"/>
  <c r="M8"/>
  <c r="M10"/>
  <c r="K15"/>
  <c r="K14"/>
  <c r="K7"/>
  <c r="K9"/>
  <c r="K11"/>
  <c r="K13"/>
  <c r="M14"/>
  <c r="G17"/>
  <c r="K5"/>
  <c r="M5"/>
  <c r="I17"/>
  <c r="L23" i="63"/>
  <c r="N17" l="1"/>
  <c r="M22"/>
  <c r="M23"/>
  <c r="O25"/>
  <c r="M27"/>
  <c r="L27"/>
  <c r="O17"/>
  <c r="O23"/>
  <c r="O24"/>
  <c r="M17"/>
  <c r="N24"/>
  <c r="L17"/>
  <c r="O27"/>
  <c r="M24"/>
  <c r="M25"/>
  <c r="L29"/>
  <c r="M29"/>
  <c r="L25"/>
  <c r="O29"/>
  <c r="O28"/>
  <c r="M18"/>
  <c r="L18"/>
  <c r="M26"/>
  <c r="I32"/>
  <c r="O26"/>
  <c r="O22"/>
  <c r="N26"/>
  <c r="N22"/>
  <c r="N28"/>
  <c r="M28"/>
  <c r="J32"/>
  <c r="O30"/>
  <c r="N30"/>
  <c r="M30"/>
  <c r="H32"/>
  <c r="K32"/>
  <c r="M17" i="62"/>
  <c r="O18" i="63"/>
  <c r="O19" s="1"/>
  <c r="N18"/>
  <c r="N19" s="1"/>
  <c r="K17" i="62"/>
  <c r="M33" i="63" l="1"/>
  <c r="L33"/>
  <c r="N33"/>
  <c r="O33"/>
  <c r="L19"/>
  <c r="L20" s="1"/>
  <c r="M19"/>
  <c r="M20" s="1"/>
  <c r="N20"/>
  <c r="N21" s="1"/>
  <c r="O20" l="1"/>
  <c r="O21" s="1"/>
  <c r="L21"/>
  <c r="M21" l="1"/>
  <c r="B173" i="34" l="1"/>
  <c r="AH173" s="1"/>
  <c r="B169"/>
  <c r="AH169" s="1"/>
  <c r="B168"/>
  <c r="AH168" s="1"/>
  <c r="B160"/>
  <c r="AH160" s="1"/>
  <c r="B161"/>
  <c r="AH161" s="1"/>
  <c r="AB161" l="1"/>
  <c r="AD161"/>
  <c r="AC161"/>
  <c r="AB168"/>
  <c r="AD168"/>
  <c r="AC168"/>
  <c r="AB173"/>
  <c r="AD173"/>
  <c r="AC173"/>
  <c r="AB160"/>
  <c r="AD160"/>
  <c r="AC160"/>
  <c r="AB169"/>
  <c r="AD169"/>
  <c r="AC169"/>
  <c r="A161"/>
  <c r="A168"/>
  <c r="A173"/>
  <c r="A160"/>
  <c r="A169"/>
  <c r="E35" i="55"/>
  <c r="F35"/>
  <c r="E16" i="61" l="1"/>
  <c r="B11"/>
  <c r="D5"/>
  <c r="V283" i="60"/>
  <c r="V282"/>
  <c r="V281"/>
  <c r="V280"/>
  <c r="V279"/>
  <c r="V278"/>
  <c r="V277"/>
  <c r="W276"/>
  <c r="V274"/>
  <c r="V273"/>
  <c r="V272"/>
  <c r="O272"/>
  <c r="L272"/>
  <c r="E272"/>
  <c r="V271"/>
  <c r="A271"/>
  <c r="V270"/>
  <c r="M270"/>
  <c r="C270"/>
  <c r="D270" s="1"/>
  <c r="G270" s="1"/>
  <c r="A270"/>
  <c r="V269"/>
  <c r="C269"/>
  <c r="D269" s="1"/>
  <c r="G269" s="1"/>
  <c r="A269"/>
  <c r="V268"/>
  <c r="M268"/>
  <c r="C268"/>
  <c r="D268" s="1"/>
  <c r="G268" s="1"/>
  <c r="A268"/>
  <c r="V267"/>
  <c r="C267"/>
  <c r="D267" s="1"/>
  <c r="G267" s="1"/>
  <c r="A267"/>
  <c r="V266"/>
  <c r="C266"/>
  <c r="D266" s="1"/>
  <c r="G266" s="1"/>
  <c r="A266"/>
  <c r="V265"/>
  <c r="M265"/>
  <c r="M272" s="1"/>
  <c r="C265"/>
  <c r="D265" s="1"/>
  <c r="A265"/>
  <c r="V257"/>
  <c r="L245" s="1"/>
  <c r="V256"/>
  <c r="L244" s="1"/>
  <c r="V255"/>
  <c r="L243" s="1"/>
  <c r="V254"/>
  <c r="V253"/>
  <c r="L241" s="1"/>
  <c r="V252"/>
  <c r="L240" s="1"/>
  <c r="W251"/>
  <c r="V249"/>
  <c r="V248"/>
  <c r="V247"/>
  <c r="O247"/>
  <c r="N247"/>
  <c r="E247"/>
  <c r="V246"/>
  <c r="A246"/>
  <c r="V245"/>
  <c r="P245"/>
  <c r="M245"/>
  <c r="D245"/>
  <c r="G245" s="1"/>
  <c r="A245"/>
  <c r="V244"/>
  <c r="P244"/>
  <c r="C244"/>
  <c r="D244" s="1"/>
  <c r="G244" s="1"/>
  <c r="A244"/>
  <c r="V243"/>
  <c r="P243"/>
  <c r="M243"/>
  <c r="C243"/>
  <c r="D243" s="1"/>
  <c r="G243" s="1"/>
  <c r="A243"/>
  <c r="V242"/>
  <c r="P242"/>
  <c r="L242"/>
  <c r="C242"/>
  <c r="D242" s="1"/>
  <c r="G242" s="1"/>
  <c r="A242"/>
  <c r="V241"/>
  <c r="P241"/>
  <c r="C241"/>
  <c r="D241" s="1"/>
  <c r="G241" s="1"/>
  <c r="A241"/>
  <c r="V240"/>
  <c r="P240"/>
  <c r="M240"/>
  <c r="M247" s="1"/>
  <c r="C240"/>
  <c r="D240" s="1"/>
  <c r="G240" s="1"/>
  <c r="A240"/>
  <c r="V233"/>
  <c r="V232"/>
  <c r="V231"/>
  <c r="V230"/>
  <c r="V229"/>
  <c r="V228"/>
  <c r="V227"/>
  <c r="V226"/>
  <c r="W225"/>
  <c r="V223"/>
  <c r="V222"/>
  <c r="V221"/>
  <c r="O221"/>
  <c r="L221"/>
  <c r="E221"/>
  <c r="V220"/>
  <c r="A220"/>
  <c r="V219"/>
  <c r="C219"/>
  <c r="D219" s="1"/>
  <c r="G219" s="1"/>
  <c r="A219"/>
  <c r="V218"/>
  <c r="C218"/>
  <c r="D218" s="1"/>
  <c r="G218" s="1"/>
  <c r="A218"/>
  <c r="V217"/>
  <c r="C217"/>
  <c r="D217" s="1"/>
  <c r="G217" s="1"/>
  <c r="A217"/>
  <c r="V216"/>
  <c r="C216"/>
  <c r="D216" s="1"/>
  <c r="G216" s="1"/>
  <c r="A216"/>
  <c r="V215"/>
  <c r="M215"/>
  <c r="M221" s="1"/>
  <c r="C215"/>
  <c r="D215" s="1"/>
  <c r="G215" s="1"/>
  <c r="A215"/>
  <c r="V214"/>
  <c r="C214"/>
  <c r="D214" s="1"/>
  <c r="A214"/>
  <c r="V206"/>
  <c r="V205"/>
  <c r="V204"/>
  <c r="V203"/>
  <c r="V202"/>
  <c r="V201"/>
  <c r="V200"/>
  <c r="V199"/>
  <c r="W198"/>
  <c r="V196"/>
  <c r="V195"/>
  <c r="V194"/>
  <c r="V193"/>
  <c r="O193"/>
  <c r="L193"/>
  <c r="E193"/>
  <c r="H191" s="1"/>
  <c r="V192"/>
  <c r="A192"/>
  <c r="V191"/>
  <c r="C191"/>
  <c r="D191" s="1"/>
  <c r="G191" s="1"/>
  <c r="A191"/>
  <c r="V190"/>
  <c r="C190"/>
  <c r="D190" s="1"/>
  <c r="G190" s="1"/>
  <c r="A190"/>
  <c r="V189"/>
  <c r="C189"/>
  <c r="D189" s="1"/>
  <c r="G189" s="1"/>
  <c r="A189"/>
  <c r="V188"/>
  <c r="C188"/>
  <c r="D188" s="1"/>
  <c r="G188" s="1"/>
  <c r="A188"/>
  <c r="V187"/>
  <c r="M187"/>
  <c r="M193" s="1"/>
  <c r="C187"/>
  <c r="D187" s="1"/>
  <c r="A187"/>
  <c r="V180"/>
  <c r="V179"/>
  <c r="V178"/>
  <c r="V177"/>
  <c r="V176"/>
  <c r="V175"/>
  <c r="V174"/>
  <c r="V173"/>
  <c r="W172"/>
  <c r="V170"/>
  <c r="V169"/>
  <c r="V168"/>
  <c r="V167"/>
  <c r="V166"/>
  <c r="V165"/>
  <c r="O165"/>
  <c r="L165"/>
  <c r="E165"/>
  <c r="V164"/>
  <c r="C164"/>
  <c r="A164"/>
  <c r="V163"/>
  <c r="M163"/>
  <c r="C163"/>
  <c r="D163" s="1"/>
  <c r="G163" s="1"/>
  <c r="A163"/>
  <c r="V162"/>
  <c r="M162"/>
  <c r="C162"/>
  <c r="D162" s="1"/>
  <c r="G162" s="1"/>
  <c r="A162"/>
  <c r="V161"/>
  <c r="C161"/>
  <c r="D161" s="1"/>
  <c r="G161" s="1"/>
  <c r="A161"/>
  <c r="V160"/>
  <c r="M160"/>
  <c r="M165" s="1"/>
  <c r="C160"/>
  <c r="D160" s="1"/>
  <c r="G160" s="1"/>
  <c r="A160"/>
  <c r="V154"/>
  <c r="V153"/>
  <c r="V152"/>
  <c r="V151"/>
  <c r="V150"/>
  <c r="V149"/>
  <c r="W148"/>
  <c r="V146"/>
  <c r="V145"/>
  <c r="V144"/>
  <c r="V143"/>
  <c r="V142"/>
  <c r="V141"/>
  <c r="O141"/>
  <c r="L141"/>
  <c r="V140"/>
  <c r="M140"/>
  <c r="D140"/>
  <c r="G140" s="1"/>
  <c r="A140"/>
  <c r="V139"/>
  <c r="C139"/>
  <c r="D139" s="1"/>
  <c r="G139" s="1"/>
  <c r="A139"/>
  <c r="V138"/>
  <c r="C138"/>
  <c r="D138" s="1"/>
  <c r="G138" s="1"/>
  <c r="A138"/>
  <c r="V137"/>
  <c r="M137"/>
  <c r="M141" s="1"/>
  <c r="C137"/>
  <c r="D137" s="1"/>
  <c r="G137" s="1"/>
  <c r="A137"/>
  <c r="V130"/>
  <c r="V129"/>
  <c r="V128"/>
  <c r="V127"/>
  <c r="V126"/>
  <c r="V125"/>
  <c r="V124"/>
  <c r="W123"/>
  <c r="V121"/>
  <c r="V120"/>
  <c r="V119"/>
  <c r="V118"/>
  <c r="V117"/>
  <c r="V116"/>
  <c r="V115"/>
  <c r="V114"/>
  <c r="O114"/>
  <c r="L114"/>
  <c r="V113"/>
  <c r="A113"/>
  <c r="V112"/>
  <c r="M112"/>
  <c r="C112"/>
  <c r="D112" s="1"/>
  <c r="G112" s="1"/>
  <c r="A112"/>
  <c r="V111"/>
  <c r="C111"/>
  <c r="D111" s="1"/>
  <c r="G111" s="1"/>
  <c r="A111"/>
  <c r="V110"/>
  <c r="C110"/>
  <c r="D110" s="1"/>
  <c r="A110"/>
  <c r="V109"/>
  <c r="M109"/>
  <c r="M114" s="1"/>
  <c r="C109"/>
  <c r="D109" s="1"/>
  <c r="G109" s="1"/>
  <c r="A109"/>
  <c r="V102"/>
  <c r="V101"/>
  <c r="V100"/>
  <c r="V99"/>
  <c r="V98"/>
  <c r="W97"/>
  <c r="V95"/>
  <c r="V94"/>
  <c r="V93"/>
  <c r="V92"/>
  <c r="O92"/>
  <c r="L92"/>
  <c r="E92"/>
  <c r="V91"/>
  <c r="A91"/>
  <c r="V90"/>
  <c r="C90"/>
  <c r="D90" s="1"/>
  <c r="G90" s="1"/>
  <c r="A90"/>
  <c r="V89"/>
  <c r="M89"/>
  <c r="M92" s="1"/>
  <c r="C89"/>
  <c r="D89" s="1"/>
  <c r="G89" s="1"/>
  <c r="A89"/>
  <c r="V83"/>
  <c r="V82"/>
  <c r="V81"/>
  <c r="V80"/>
  <c r="W79"/>
  <c r="V77"/>
  <c r="V76"/>
  <c r="V75"/>
  <c r="V74"/>
  <c r="V73"/>
  <c r="V72"/>
  <c r="V71"/>
  <c r="V70"/>
  <c r="O70"/>
  <c r="L70"/>
  <c r="V69"/>
  <c r="A69"/>
  <c r="V68"/>
  <c r="C68"/>
  <c r="D68" s="1"/>
  <c r="G68" s="1"/>
  <c r="A68"/>
  <c r="V67"/>
  <c r="M67"/>
  <c r="M70" s="1"/>
  <c r="C67"/>
  <c r="D67" s="1"/>
  <c r="A67"/>
  <c r="V61"/>
  <c r="V60"/>
  <c r="V59"/>
  <c r="V58"/>
  <c r="V57"/>
  <c r="V56"/>
  <c r="W55"/>
  <c r="V53"/>
  <c r="V52"/>
  <c r="V51"/>
  <c r="V50"/>
  <c r="O50"/>
  <c r="M50"/>
  <c r="L50"/>
  <c r="E50"/>
  <c r="V49"/>
  <c r="A49"/>
  <c r="V48"/>
  <c r="P48"/>
  <c r="C48"/>
  <c r="D48" s="1"/>
  <c r="G48" s="1"/>
  <c r="A48"/>
  <c r="V47"/>
  <c r="P47"/>
  <c r="C47"/>
  <c r="D47" s="1"/>
  <c r="G47" s="1"/>
  <c r="A47"/>
  <c r="V46"/>
  <c r="D46"/>
  <c r="G46" s="1"/>
  <c r="A46"/>
  <c r="V40"/>
  <c r="V39"/>
  <c r="V38"/>
  <c r="L28" s="1"/>
  <c r="L31" s="1"/>
  <c r="W37"/>
  <c r="V35"/>
  <c r="V34"/>
  <c r="V33"/>
  <c r="V32"/>
  <c r="V31"/>
  <c r="O31"/>
  <c r="M31"/>
  <c r="E31"/>
  <c r="V30"/>
  <c r="A30"/>
  <c r="V29"/>
  <c r="P29"/>
  <c r="C29"/>
  <c r="D29" s="1"/>
  <c r="G29" s="1"/>
  <c r="A29"/>
  <c r="V28"/>
  <c r="D28"/>
  <c r="G28" s="1"/>
  <c r="A28"/>
  <c r="V22"/>
  <c r="V21"/>
  <c r="V20"/>
  <c r="L8" s="1"/>
  <c r="V19"/>
  <c r="V18"/>
  <c r="W17"/>
  <c r="V15"/>
  <c r="V14"/>
  <c r="V13"/>
  <c r="V12"/>
  <c r="V11"/>
  <c r="O11"/>
  <c r="M11"/>
  <c r="V10"/>
  <c r="P10"/>
  <c r="A10"/>
  <c r="V9"/>
  <c r="P9"/>
  <c r="D9"/>
  <c r="G9" s="1"/>
  <c r="A9"/>
  <c r="V8"/>
  <c r="P8"/>
  <c r="D8"/>
  <c r="A8"/>
  <c r="V7"/>
  <c r="P7"/>
  <c r="D7"/>
  <c r="G7" s="1"/>
  <c r="A7"/>
  <c r="J42" i="59"/>
  <c r="A4"/>
  <c r="A31" i="58"/>
  <c r="I13"/>
  <c r="C8"/>
  <c r="A31" i="57"/>
  <c r="L13"/>
  <c r="K13"/>
  <c r="I7"/>
  <c r="A12" i="56"/>
  <c r="D7"/>
  <c r="C7"/>
  <c r="D5"/>
  <c r="A55" i="55"/>
  <c r="F54"/>
  <c r="E54"/>
  <c r="A54"/>
  <c r="B53"/>
  <c r="A53" s="1"/>
  <c r="I52" a="1"/>
  <c r="I52" s="1"/>
  <c r="G52" a="1"/>
  <c r="G52" s="1"/>
  <c r="B52"/>
  <c r="A52" s="1"/>
  <c r="I51" a="1"/>
  <c r="I51" s="1"/>
  <c r="G51" a="1"/>
  <c r="G51" s="1"/>
  <c r="B51"/>
  <c r="A51" s="1"/>
  <c r="I50" a="1"/>
  <c r="I50" s="1"/>
  <c r="G50" a="1"/>
  <c r="G50" s="1"/>
  <c r="B50"/>
  <c r="A50" s="1"/>
  <c r="I49" a="1"/>
  <c r="I49" s="1"/>
  <c r="G49" a="1"/>
  <c r="G49" s="1"/>
  <c r="B49"/>
  <c r="A49" s="1"/>
  <c r="I48" a="1"/>
  <c r="I48" s="1"/>
  <c r="G48" a="1"/>
  <c r="G48" s="1"/>
  <c r="B48"/>
  <c r="A48" s="1"/>
  <c r="I47" a="1"/>
  <c r="I47" s="1"/>
  <c r="G47" a="1"/>
  <c r="G47" s="1"/>
  <c r="B47"/>
  <c r="A47" s="1"/>
  <c r="I46" a="1"/>
  <c r="I46" s="1"/>
  <c r="G46" a="1"/>
  <c r="G46" s="1"/>
  <c r="B46"/>
  <c r="A46" s="1"/>
  <c r="I45" a="1"/>
  <c r="I45" s="1"/>
  <c r="G45" a="1"/>
  <c r="G45" s="1"/>
  <c r="B45"/>
  <c r="A45" s="1"/>
  <c r="A44"/>
  <c r="F43"/>
  <c r="E43"/>
  <c r="A43"/>
  <c r="B42"/>
  <c r="A42" s="1"/>
  <c r="I41" a="1"/>
  <c r="I41" s="1"/>
  <c r="G41" a="1"/>
  <c r="G41" s="1"/>
  <c r="B41"/>
  <c r="A41" s="1"/>
  <c r="I40" a="1"/>
  <c r="I40" s="1"/>
  <c r="G40" a="1"/>
  <c r="G40" s="1"/>
  <c r="B40"/>
  <c r="A40" s="1"/>
  <c r="I39" a="1"/>
  <c r="I39" s="1"/>
  <c r="G39" a="1"/>
  <c r="G39" s="1"/>
  <c r="B39"/>
  <c r="A39" s="1"/>
  <c r="I38" a="1"/>
  <c r="I38" s="1"/>
  <c r="G38" a="1"/>
  <c r="G38" s="1"/>
  <c r="B38"/>
  <c r="A38" s="1"/>
  <c r="I37" a="1"/>
  <c r="I37" s="1"/>
  <c r="G37" a="1"/>
  <c r="G37" s="1"/>
  <c r="B37"/>
  <c r="A37" s="1"/>
  <c r="A36"/>
  <c r="B34"/>
  <c r="A34" s="1"/>
  <c r="I33" a="1"/>
  <c r="I33" s="1"/>
  <c r="G33" a="1"/>
  <c r="G33" s="1"/>
  <c r="B33"/>
  <c r="A33" s="1"/>
  <c r="I32" a="1"/>
  <c r="I32" s="1"/>
  <c r="G32" a="1"/>
  <c r="G32" s="1"/>
  <c r="I31" a="1"/>
  <c r="I31" s="1"/>
  <c r="G31" a="1"/>
  <c r="G31" s="1"/>
  <c r="I30" a="1"/>
  <c r="I30" s="1"/>
  <c r="G30" a="1"/>
  <c r="G30" s="1"/>
  <c r="I29" a="1"/>
  <c r="I29" s="1"/>
  <c r="G29" a="1"/>
  <c r="G29" s="1"/>
  <c r="I28" a="1"/>
  <c r="I28" s="1"/>
  <c r="G28" a="1"/>
  <c r="G28" s="1"/>
  <c r="I27" a="1"/>
  <c r="I27" s="1"/>
  <c r="G27" a="1"/>
  <c r="G27" s="1"/>
  <c r="I26" a="1"/>
  <c r="I26" s="1"/>
  <c r="G26" a="1"/>
  <c r="G26" s="1"/>
  <c r="I25" a="1"/>
  <c r="I25" s="1"/>
  <c r="G25" a="1"/>
  <c r="G25" s="1"/>
  <c r="I24" a="1"/>
  <c r="I24" s="1"/>
  <c r="G24" a="1"/>
  <c r="G24" s="1"/>
  <c r="I23" a="1"/>
  <c r="I23" s="1"/>
  <c r="G23" a="1"/>
  <c r="G23" s="1"/>
  <c r="I22" a="1"/>
  <c r="I22" s="1"/>
  <c r="G22" a="1"/>
  <c r="G22" s="1"/>
  <c r="I21" a="1"/>
  <c r="I21" s="1"/>
  <c r="G21" a="1"/>
  <c r="G21" s="1"/>
  <c r="I20" a="1"/>
  <c r="I20" s="1"/>
  <c r="G20" a="1"/>
  <c r="G20" s="1"/>
  <c r="I19" a="1"/>
  <c r="I19" s="1"/>
  <c r="G19" a="1"/>
  <c r="G19" s="1"/>
  <c r="I18" a="1"/>
  <c r="I18" s="1"/>
  <c r="G18" a="1"/>
  <c r="G18" s="1"/>
  <c r="I17" a="1"/>
  <c r="I17" s="1"/>
  <c r="G17" a="1"/>
  <c r="G17" s="1"/>
  <c r="I16" a="1"/>
  <c r="I16" s="1"/>
  <c r="G16" a="1"/>
  <c r="G16" s="1"/>
  <c r="I15" a="1"/>
  <c r="I15" s="1"/>
  <c r="G15" a="1"/>
  <c r="G15" s="1"/>
  <c r="I14" a="1"/>
  <c r="I14" s="1"/>
  <c r="G14" a="1"/>
  <c r="G14" s="1"/>
  <c r="I13" a="1"/>
  <c r="I13" s="1"/>
  <c r="G13" a="1"/>
  <c r="G13" s="1"/>
  <c r="I12" a="1"/>
  <c r="I12" s="1"/>
  <c r="G12" a="1"/>
  <c r="G12" s="1"/>
  <c r="B12"/>
  <c r="B13" s="1"/>
  <c r="L13" i="54"/>
  <c r="L23" s="1"/>
  <c r="A25" i="52"/>
  <c r="N16"/>
  <c r="M16"/>
  <c r="L16"/>
  <c r="K16"/>
  <c r="J9"/>
  <c r="A8"/>
  <c r="H23" i="45"/>
  <c r="F23"/>
  <c r="K21" a="1"/>
  <c r="K21" s="1"/>
  <c r="I21" a="1"/>
  <c r="I21" s="1"/>
  <c r="K20" a="1"/>
  <c r="K20" s="1"/>
  <c r="I20" a="1"/>
  <c r="I20" s="1"/>
  <c r="K19" a="1"/>
  <c r="K19" s="1"/>
  <c r="I19" a="1"/>
  <c r="I19" s="1"/>
  <c r="K18" a="1"/>
  <c r="K18" s="1"/>
  <c r="I18" a="1"/>
  <c r="I18" s="1"/>
  <c r="K17" a="1"/>
  <c r="K17" s="1"/>
  <c r="I17" a="1"/>
  <c r="I17" s="1"/>
  <c r="K16" a="1"/>
  <c r="K16" s="1"/>
  <c r="I16" a="1"/>
  <c r="I16" s="1"/>
  <c r="K15" a="1"/>
  <c r="K15" s="1"/>
  <c r="I15" a="1"/>
  <c r="I15" s="1"/>
  <c r="K14" a="1"/>
  <c r="K14" s="1"/>
  <c r="I14" a="1"/>
  <c r="I14" s="1"/>
  <c r="K13" a="1"/>
  <c r="K13" s="1"/>
  <c r="I13" a="1"/>
  <c r="I13" s="1"/>
  <c r="K12" a="1"/>
  <c r="K12" s="1"/>
  <c r="I12" a="1"/>
  <c r="I12" s="1"/>
  <c r="K11" a="1"/>
  <c r="K11" s="1"/>
  <c r="I11" a="1"/>
  <c r="I11" s="1"/>
  <c r="K10" a="1"/>
  <c r="K10" s="1"/>
  <c r="I10" a="1"/>
  <c r="I10" s="1"/>
  <c r="K9" a="1"/>
  <c r="K9" s="1"/>
  <c r="I9" a="1"/>
  <c r="I9" s="1"/>
  <c r="K8" a="1"/>
  <c r="K8" s="1"/>
  <c r="I8" a="1"/>
  <c r="I8" s="1"/>
  <c r="K7" a="1"/>
  <c r="K7" s="1"/>
  <c r="I7" a="1"/>
  <c r="I7" s="1"/>
  <c r="K6" a="1"/>
  <c r="K6" s="1"/>
  <c r="I6" a="1"/>
  <c r="I6" s="1"/>
  <c r="K5" a="1"/>
  <c r="K5" s="1"/>
  <c r="I5" a="1"/>
  <c r="I5" s="1"/>
  <c r="J13" i="14"/>
  <c r="I13"/>
  <c r="D30" i="12"/>
  <c r="C30"/>
  <c r="E68" i="44"/>
  <c r="J9"/>
  <c r="D73" s="1"/>
  <c r="I9"/>
  <c r="N9" i="43"/>
  <c r="G201" s="1"/>
  <c r="M9"/>
  <c r="I6"/>
  <c r="O11" i="42"/>
  <c r="I107" s="1"/>
  <c r="N11"/>
  <c r="A6"/>
  <c r="M24" i="39"/>
  <c r="H24"/>
  <c r="M17"/>
  <c r="H17"/>
  <c r="C11"/>
  <c r="M7"/>
  <c r="L7"/>
  <c r="L6"/>
  <c r="H4"/>
  <c r="L3"/>
  <c r="L2"/>
  <c r="L1"/>
  <c r="I14" i="47"/>
  <c r="H14"/>
  <c r="E8"/>
  <c r="AZ363" i="51"/>
  <c r="BA355"/>
  <c r="AZ355"/>
  <c r="AY355"/>
  <c r="AX355"/>
  <c r="AW355"/>
  <c r="AV355"/>
  <c r="AU355"/>
  <c r="AT355"/>
  <c r="AS355"/>
  <c r="AR355"/>
  <c r="AQ355"/>
  <c r="AP355"/>
  <c r="AO355"/>
  <c r="AN355"/>
  <c r="AM355"/>
  <c r="AL355"/>
  <c r="AK355"/>
  <c r="AJ355"/>
  <c r="AI355"/>
  <c r="AH355"/>
  <c r="AG355"/>
  <c r="AF355"/>
  <c r="AE355"/>
  <c r="AD355"/>
  <c r="AC355"/>
  <c r="AB355"/>
  <c r="AA355"/>
  <c r="Z355"/>
  <c r="Y355"/>
  <c r="X355"/>
  <c r="W355"/>
  <c r="V355"/>
  <c r="U355"/>
  <c r="T355"/>
  <c r="S355"/>
  <c r="R355"/>
  <c r="Q355"/>
  <c r="P355"/>
  <c r="O355"/>
  <c r="N355"/>
  <c r="M355"/>
  <c r="L355"/>
  <c r="K355"/>
  <c r="J355"/>
  <c r="A355" a="1"/>
  <c r="A355" s="1"/>
  <c r="I355" s="1"/>
  <c r="BA354"/>
  <c r="AY354"/>
  <c r="AX354"/>
  <c r="AV354"/>
  <c r="AU354"/>
  <c r="AT354"/>
  <c r="AS354"/>
  <c r="AR354"/>
  <c r="AQ354"/>
  <c r="AP354"/>
  <c r="AO354"/>
  <c r="AN354"/>
  <c r="AM354"/>
  <c r="AL354"/>
  <c r="AK354"/>
  <c r="AJ354"/>
  <c r="AI354"/>
  <c r="AH354"/>
  <c r="AG354"/>
  <c r="AF354"/>
  <c r="AE354"/>
  <c r="AD354"/>
  <c r="AC354"/>
  <c r="AB354"/>
  <c r="AA354"/>
  <c r="Z354"/>
  <c r="Y354"/>
  <c r="X354"/>
  <c r="W354"/>
  <c r="V354"/>
  <c r="U354"/>
  <c r="T354"/>
  <c r="S354"/>
  <c r="R354"/>
  <c r="Q354"/>
  <c r="P354"/>
  <c r="O354"/>
  <c r="N354"/>
  <c r="M354"/>
  <c r="L354"/>
  <c r="K354"/>
  <c r="J354"/>
  <c r="D354"/>
  <c r="AZ353"/>
  <c r="AY353"/>
  <c r="AX353"/>
  <c r="AW353"/>
  <c r="AV353"/>
  <c r="AU353"/>
  <c r="AS353"/>
  <c r="AR353"/>
  <c r="AQ353"/>
  <c r="AP353"/>
  <c r="AO353"/>
  <c r="AN353"/>
  <c r="AM353"/>
  <c r="AL353"/>
  <c r="AK353"/>
  <c r="AJ353"/>
  <c r="AI353"/>
  <c r="AH353"/>
  <c r="AG353"/>
  <c r="AF353"/>
  <c r="AE353"/>
  <c r="AD353"/>
  <c r="AC353"/>
  <c r="AB353"/>
  <c r="AA353"/>
  <c r="Z353"/>
  <c r="Y353"/>
  <c r="X353"/>
  <c r="W353"/>
  <c r="V353"/>
  <c r="U353"/>
  <c r="T353"/>
  <c r="S353"/>
  <c r="R353"/>
  <c r="Q353"/>
  <c r="P353"/>
  <c r="O353"/>
  <c r="N353"/>
  <c r="M353"/>
  <c r="L353"/>
  <c r="K353"/>
  <c r="J353"/>
  <c r="D353"/>
  <c r="AZ352"/>
  <c r="AY352"/>
  <c r="AX352"/>
  <c r="AW352"/>
  <c r="AV352"/>
  <c r="AU352"/>
  <c r="AT352"/>
  <c r="AS352"/>
  <c r="AR352"/>
  <c r="AQ352"/>
  <c r="AP352"/>
  <c r="AO352"/>
  <c r="AM352"/>
  <c r="AL352"/>
  <c r="AK352"/>
  <c r="AJ352"/>
  <c r="AI352"/>
  <c r="AH352"/>
  <c r="AG352"/>
  <c r="AF352"/>
  <c r="AE352"/>
  <c r="AD352"/>
  <c r="AC352"/>
  <c r="AB352"/>
  <c r="AA352"/>
  <c r="Z352"/>
  <c r="Y352"/>
  <c r="X352"/>
  <c r="W352"/>
  <c r="V352"/>
  <c r="U352"/>
  <c r="T352"/>
  <c r="S352"/>
  <c r="R352"/>
  <c r="Q352"/>
  <c r="P352"/>
  <c r="O352"/>
  <c r="N352"/>
  <c r="M352"/>
  <c r="L352"/>
  <c r="K352"/>
  <c r="J352"/>
  <c r="D352"/>
  <c r="BA351"/>
  <c r="AZ351"/>
  <c r="AY351"/>
  <c r="AX351"/>
  <c r="AW351"/>
  <c r="AV351"/>
  <c r="AU351"/>
  <c r="AT351"/>
  <c r="AS351"/>
  <c r="AR351"/>
  <c r="AQ351"/>
  <c r="AP351"/>
  <c r="AO351"/>
  <c r="AN351"/>
  <c r="AM351"/>
  <c r="AL351"/>
  <c r="AK351"/>
  <c r="AJ351"/>
  <c r="AI351"/>
  <c r="AH351"/>
  <c r="AG351"/>
  <c r="AF351"/>
  <c r="AE351"/>
  <c r="AD351"/>
  <c r="AC351"/>
  <c r="AB351"/>
  <c r="AA351"/>
  <c r="Z351"/>
  <c r="Y351"/>
  <c r="X351"/>
  <c r="W351"/>
  <c r="V351"/>
  <c r="U351"/>
  <c r="T351"/>
  <c r="S351"/>
  <c r="R351"/>
  <c r="Q351"/>
  <c r="P351"/>
  <c r="O351"/>
  <c r="N351"/>
  <c r="M351"/>
  <c r="L351"/>
  <c r="K351"/>
  <c r="J351"/>
  <c r="D351"/>
  <c r="BA350"/>
  <c r="AY350"/>
  <c r="AX350"/>
  <c r="AW350"/>
  <c r="AV350"/>
  <c r="AU350"/>
  <c r="AT350"/>
  <c r="AR350"/>
  <c r="AQ350"/>
  <c r="AP350"/>
  <c r="AO350"/>
  <c r="AN350"/>
  <c r="AM350"/>
  <c r="AL350"/>
  <c r="AK350"/>
  <c r="AJ350"/>
  <c r="AI350"/>
  <c r="AH350"/>
  <c r="AG350"/>
  <c r="AF350"/>
  <c r="AE350"/>
  <c r="AD350"/>
  <c r="AC350"/>
  <c r="AB350"/>
  <c r="AA350"/>
  <c r="Z350"/>
  <c r="Y350"/>
  <c r="X350"/>
  <c r="W350"/>
  <c r="V350"/>
  <c r="U350"/>
  <c r="T350"/>
  <c r="S350"/>
  <c r="R350"/>
  <c r="Q350"/>
  <c r="P350"/>
  <c r="O350"/>
  <c r="N350"/>
  <c r="M350"/>
  <c r="L350"/>
  <c r="K350"/>
  <c r="J350"/>
  <c r="D350"/>
  <c r="BA349"/>
  <c r="AZ349"/>
  <c r="AY349"/>
  <c r="AX349"/>
  <c r="AW349"/>
  <c r="AV349"/>
  <c r="AU349"/>
  <c r="AT349"/>
  <c r="AS349"/>
  <c r="AR349"/>
  <c r="AP349"/>
  <c r="AO349"/>
  <c r="AN349"/>
  <c r="AM349"/>
  <c r="AL349"/>
  <c r="AK349"/>
  <c r="AJ349"/>
  <c r="AI349"/>
  <c r="AH349"/>
  <c r="AG349"/>
  <c r="AF349"/>
  <c r="AE349"/>
  <c r="AD349"/>
  <c r="AC349"/>
  <c r="AB349"/>
  <c r="AA349"/>
  <c r="Z349"/>
  <c r="Y349"/>
  <c r="X349"/>
  <c r="W349"/>
  <c r="V349"/>
  <c r="U349"/>
  <c r="S349"/>
  <c r="R349"/>
  <c r="Q349"/>
  <c r="P349"/>
  <c r="O349"/>
  <c r="N349"/>
  <c r="M349"/>
  <c r="L349"/>
  <c r="K349"/>
  <c r="J349"/>
  <c r="D349"/>
  <c r="BA348"/>
  <c r="AZ348"/>
  <c r="AY348"/>
  <c r="AX348"/>
  <c r="AW348"/>
  <c r="AV348"/>
  <c r="AU348"/>
  <c r="AT348"/>
  <c r="AS348"/>
  <c r="AR348"/>
  <c r="AQ348"/>
  <c r="AP348"/>
  <c r="AO348"/>
  <c r="AN348"/>
  <c r="AM348"/>
  <c r="AL348"/>
  <c r="AK348"/>
  <c r="AJ348"/>
  <c r="AI348"/>
  <c r="AH348"/>
  <c r="AG348"/>
  <c r="AF348"/>
  <c r="AE348"/>
  <c r="AD348"/>
  <c r="AC348"/>
  <c r="AB348"/>
  <c r="AA348"/>
  <c r="Z348"/>
  <c r="Y348"/>
  <c r="X348"/>
  <c r="W348"/>
  <c r="V348"/>
  <c r="U348"/>
  <c r="T348"/>
  <c r="S348"/>
  <c r="R348"/>
  <c r="Q348"/>
  <c r="P348"/>
  <c r="O348"/>
  <c r="N348"/>
  <c r="M348"/>
  <c r="L348"/>
  <c r="K348"/>
  <c r="J348"/>
  <c r="A348" a="1"/>
  <c r="A348" s="1"/>
  <c r="I348" s="1"/>
  <c r="BA347"/>
  <c r="AZ347"/>
  <c r="AY347"/>
  <c r="AX347"/>
  <c r="AW347"/>
  <c r="AV347"/>
  <c r="AU347"/>
  <c r="AT347"/>
  <c r="AS347"/>
  <c r="AR347"/>
  <c r="AQ347"/>
  <c r="AP347"/>
  <c r="AO347"/>
  <c r="AN347"/>
  <c r="AM347"/>
  <c r="AL347"/>
  <c r="AK347"/>
  <c r="AJ347"/>
  <c r="AI347"/>
  <c r="AH347"/>
  <c r="AG347"/>
  <c r="AF347"/>
  <c r="AE347"/>
  <c r="AD347"/>
  <c r="AC347"/>
  <c r="AB347"/>
  <c r="AA347"/>
  <c r="Z347"/>
  <c r="Y347"/>
  <c r="X347"/>
  <c r="W347"/>
  <c r="V347"/>
  <c r="U347"/>
  <c r="T347"/>
  <c r="S347"/>
  <c r="R347"/>
  <c r="Q347"/>
  <c r="P347"/>
  <c r="O347"/>
  <c r="N347"/>
  <c r="M347"/>
  <c r="L347"/>
  <c r="K347"/>
  <c r="J347"/>
  <c r="A347" a="1"/>
  <c r="A347" s="1"/>
  <c r="I347" s="1"/>
  <c r="BA346"/>
  <c r="AZ346"/>
  <c r="AY346"/>
  <c r="AX346"/>
  <c r="AW346"/>
  <c r="AV346"/>
  <c r="AU346"/>
  <c r="AT346"/>
  <c r="AS346"/>
  <c r="AR346"/>
  <c r="AQ346"/>
  <c r="AP346"/>
  <c r="AO346"/>
  <c r="AN346"/>
  <c r="AM346"/>
  <c r="AL346"/>
  <c r="AK346"/>
  <c r="AJ346"/>
  <c r="AI346"/>
  <c r="AH346"/>
  <c r="AG346"/>
  <c r="AF346"/>
  <c r="AE346"/>
  <c r="AD346"/>
  <c r="AC346"/>
  <c r="AB346"/>
  <c r="AA346"/>
  <c r="Z346"/>
  <c r="Y346"/>
  <c r="X346"/>
  <c r="W346"/>
  <c r="V346"/>
  <c r="U346"/>
  <c r="T346"/>
  <c r="S346"/>
  <c r="R346"/>
  <c r="Q346"/>
  <c r="P346"/>
  <c r="O346"/>
  <c r="N346"/>
  <c r="M346"/>
  <c r="L346"/>
  <c r="K346"/>
  <c r="J346"/>
  <c r="A346" a="1"/>
  <c r="A346" s="1"/>
  <c r="I346" s="1"/>
  <c r="BA345"/>
  <c r="AZ345"/>
  <c r="AY345"/>
  <c r="AX345"/>
  <c r="AW345"/>
  <c r="AV345"/>
  <c r="AU345"/>
  <c r="AT345"/>
  <c r="AS345"/>
  <c r="AR345"/>
  <c r="AQ345"/>
  <c r="AP345"/>
  <c r="AO345"/>
  <c r="AN345"/>
  <c r="AM345"/>
  <c r="AL345"/>
  <c r="AK345"/>
  <c r="AJ345"/>
  <c r="AI345"/>
  <c r="AH345"/>
  <c r="AG345"/>
  <c r="AF345"/>
  <c r="AE345"/>
  <c r="AD345"/>
  <c r="AC345"/>
  <c r="AB345"/>
  <c r="AA345"/>
  <c r="Z345"/>
  <c r="Y345"/>
  <c r="X345"/>
  <c r="W345"/>
  <c r="V345"/>
  <c r="U345"/>
  <c r="T345"/>
  <c r="S345"/>
  <c r="R345"/>
  <c r="Q345"/>
  <c r="P345"/>
  <c r="O345"/>
  <c r="N345"/>
  <c r="M345"/>
  <c r="L345"/>
  <c r="K345"/>
  <c r="J345"/>
  <c r="A345" a="1"/>
  <c r="A345" s="1"/>
  <c r="I345" s="1"/>
  <c r="BA344"/>
  <c r="AZ344"/>
  <c r="AY344"/>
  <c r="AX344"/>
  <c r="AW344"/>
  <c r="AV344"/>
  <c r="AU344"/>
  <c r="AT344"/>
  <c r="AS344"/>
  <c r="AR344"/>
  <c r="AQ344"/>
  <c r="AP344"/>
  <c r="AO344"/>
  <c r="AN344"/>
  <c r="AM344"/>
  <c r="AL344"/>
  <c r="AK344"/>
  <c r="AJ344"/>
  <c r="AI344"/>
  <c r="AH344"/>
  <c r="AG344"/>
  <c r="AF344"/>
  <c r="AE344"/>
  <c r="AD344"/>
  <c r="AC344"/>
  <c r="AB344"/>
  <c r="AA344"/>
  <c r="Z344"/>
  <c r="Y344"/>
  <c r="X344"/>
  <c r="W344"/>
  <c r="V344"/>
  <c r="U344"/>
  <c r="T344"/>
  <c r="S344"/>
  <c r="R344"/>
  <c r="Q344"/>
  <c r="P344"/>
  <c r="O344"/>
  <c r="N344"/>
  <c r="M344"/>
  <c r="L344"/>
  <c r="K344"/>
  <c r="J344"/>
  <c r="A344" a="1"/>
  <c r="A344" s="1"/>
  <c r="I344" s="1"/>
  <c r="BA343"/>
  <c r="AZ343"/>
  <c r="AY343"/>
  <c r="AX343"/>
  <c r="AW343"/>
  <c r="AV343"/>
  <c r="AU343"/>
  <c r="AT343"/>
  <c r="AS343"/>
  <c r="AR343"/>
  <c r="AQ343"/>
  <c r="AP343"/>
  <c r="AO343"/>
  <c r="AN343"/>
  <c r="AM343"/>
  <c r="AL343"/>
  <c r="AK343"/>
  <c r="AJ343"/>
  <c r="AI343"/>
  <c r="AH343"/>
  <c r="AG343"/>
  <c r="AF343"/>
  <c r="AE343"/>
  <c r="AD343"/>
  <c r="AC343"/>
  <c r="AB343"/>
  <c r="AA343"/>
  <c r="Z343"/>
  <c r="Y343"/>
  <c r="X343"/>
  <c r="W343"/>
  <c r="V343"/>
  <c r="U343"/>
  <c r="T343"/>
  <c r="S343"/>
  <c r="R343"/>
  <c r="Q343"/>
  <c r="P343"/>
  <c r="O343"/>
  <c r="N343"/>
  <c r="M343"/>
  <c r="L343"/>
  <c r="K343"/>
  <c r="J343"/>
  <c r="A343" a="1"/>
  <c r="A343" s="1"/>
  <c r="I343" s="1"/>
  <c r="BA342"/>
  <c r="AZ342"/>
  <c r="AY342"/>
  <c r="AX342"/>
  <c r="AW342"/>
  <c r="AV342"/>
  <c r="AU342"/>
  <c r="AT342"/>
  <c r="AS342"/>
  <c r="AR342"/>
  <c r="AQ342"/>
  <c r="AP342"/>
  <c r="AO342"/>
  <c r="AN342"/>
  <c r="AM342"/>
  <c r="AL342"/>
  <c r="AK342"/>
  <c r="AJ342"/>
  <c r="AI342"/>
  <c r="AH342"/>
  <c r="AG342"/>
  <c r="AF342"/>
  <c r="AE342"/>
  <c r="AD342"/>
  <c r="AC342"/>
  <c r="AB342"/>
  <c r="AA342"/>
  <c r="Z342"/>
  <c r="Y342"/>
  <c r="X342"/>
  <c r="W342"/>
  <c r="V342"/>
  <c r="U342"/>
  <c r="T342"/>
  <c r="S342"/>
  <c r="R342"/>
  <c r="Q342"/>
  <c r="P342"/>
  <c r="O342"/>
  <c r="N342"/>
  <c r="M342"/>
  <c r="L342"/>
  <c r="K342"/>
  <c r="J342"/>
  <c r="A342" a="1"/>
  <c r="A342" s="1"/>
  <c r="I342" s="1"/>
  <c r="BA341"/>
  <c r="AZ341"/>
  <c r="AY341"/>
  <c r="AX341"/>
  <c r="AW341"/>
  <c r="AV341"/>
  <c r="AU341"/>
  <c r="AT341"/>
  <c r="AS341"/>
  <c r="AR341"/>
  <c r="AQ341"/>
  <c r="AP341"/>
  <c r="AO341"/>
  <c r="AN341"/>
  <c r="AM341"/>
  <c r="AL341"/>
  <c r="AK341"/>
  <c r="AJ341"/>
  <c r="AI341"/>
  <c r="AH341"/>
  <c r="AG341"/>
  <c r="AF341"/>
  <c r="AE341"/>
  <c r="AD341"/>
  <c r="AC341"/>
  <c r="AB341"/>
  <c r="AA341"/>
  <c r="Z341"/>
  <c r="Y341"/>
  <c r="X341"/>
  <c r="W341"/>
  <c r="V341"/>
  <c r="U341"/>
  <c r="T341"/>
  <c r="S341"/>
  <c r="R341"/>
  <c r="Q341"/>
  <c r="P341"/>
  <c r="O341"/>
  <c r="N341"/>
  <c r="M341"/>
  <c r="L341"/>
  <c r="K341"/>
  <c r="J341"/>
  <c r="A341" a="1"/>
  <c r="A341" s="1"/>
  <c r="I341" s="1"/>
  <c r="BA340"/>
  <c r="AZ340"/>
  <c r="AY340"/>
  <c r="AX340"/>
  <c r="AW340"/>
  <c r="AV340"/>
  <c r="AU340"/>
  <c r="AT340"/>
  <c r="AS340"/>
  <c r="AR340"/>
  <c r="AQ340"/>
  <c r="AP340"/>
  <c r="AO340"/>
  <c r="AN340"/>
  <c r="AM340"/>
  <c r="AL340"/>
  <c r="AK340"/>
  <c r="AJ340"/>
  <c r="AI340"/>
  <c r="AH340"/>
  <c r="AG340"/>
  <c r="AF340"/>
  <c r="AE340"/>
  <c r="AD340"/>
  <c r="AC340"/>
  <c r="AB340"/>
  <c r="AA340"/>
  <c r="Z340"/>
  <c r="Y340"/>
  <c r="X340"/>
  <c r="W340"/>
  <c r="V340"/>
  <c r="U340"/>
  <c r="T340"/>
  <c r="S340"/>
  <c r="R340"/>
  <c r="Q340"/>
  <c r="P340"/>
  <c r="O340"/>
  <c r="N340"/>
  <c r="M340"/>
  <c r="L340"/>
  <c r="K340"/>
  <c r="J340"/>
  <c r="A340" a="1"/>
  <c r="A340" s="1"/>
  <c r="I340" s="1"/>
  <c r="BA339"/>
  <c r="AZ339"/>
  <c r="AY339"/>
  <c r="AX339"/>
  <c r="AW339"/>
  <c r="AV339"/>
  <c r="AU339"/>
  <c r="AT339"/>
  <c r="AS339"/>
  <c r="AR339"/>
  <c r="AQ339"/>
  <c r="AP339"/>
  <c r="AO339"/>
  <c r="AN339"/>
  <c r="AM339"/>
  <c r="AL339"/>
  <c r="AK339"/>
  <c r="AJ339"/>
  <c r="AI339"/>
  <c r="AH339"/>
  <c r="AG339"/>
  <c r="AF339"/>
  <c r="AE339"/>
  <c r="AD339"/>
  <c r="AC339"/>
  <c r="AB339"/>
  <c r="AA339"/>
  <c r="Z339"/>
  <c r="Y339"/>
  <c r="X339"/>
  <c r="W339"/>
  <c r="V339"/>
  <c r="U339"/>
  <c r="T339"/>
  <c r="S339"/>
  <c r="R339"/>
  <c r="Q339"/>
  <c r="P339"/>
  <c r="O339"/>
  <c r="N339"/>
  <c r="M339"/>
  <c r="L339"/>
  <c r="K339"/>
  <c r="J339"/>
  <c r="A339" a="1"/>
  <c r="A339" s="1"/>
  <c r="I339" s="1"/>
  <c r="BA338"/>
  <c r="AZ338"/>
  <c r="AY338"/>
  <c r="AX338"/>
  <c r="AW338"/>
  <c r="AV338"/>
  <c r="AU338"/>
  <c r="AT338"/>
  <c r="AS338"/>
  <c r="AR338"/>
  <c r="AQ338"/>
  <c r="AP338"/>
  <c r="AO338"/>
  <c r="AN338"/>
  <c r="AM338"/>
  <c r="AL338"/>
  <c r="AK338"/>
  <c r="AJ338"/>
  <c r="AI338"/>
  <c r="AH338"/>
  <c r="AG338"/>
  <c r="AF338"/>
  <c r="AE338"/>
  <c r="AD338"/>
  <c r="AC338"/>
  <c r="AB338"/>
  <c r="AA338"/>
  <c r="Z338"/>
  <c r="Y338"/>
  <c r="X338"/>
  <c r="W338"/>
  <c r="V338"/>
  <c r="U338"/>
  <c r="T338"/>
  <c r="S338"/>
  <c r="R338"/>
  <c r="Q338"/>
  <c r="P338"/>
  <c r="O338"/>
  <c r="N338"/>
  <c r="M338"/>
  <c r="L338"/>
  <c r="K338"/>
  <c r="J338"/>
  <c r="A338" a="1"/>
  <c r="A338" s="1"/>
  <c r="I338" s="1"/>
  <c r="BA337"/>
  <c r="AZ337"/>
  <c r="AY337"/>
  <c r="AX337"/>
  <c r="AW337"/>
  <c r="AV337"/>
  <c r="AU337"/>
  <c r="AT337"/>
  <c r="AS337"/>
  <c r="AR337"/>
  <c r="AQ337"/>
  <c r="AP337"/>
  <c r="AO337"/>
  <c r="AN337"/>
  <c r="AM337"/>
  <c r="AL337"/>
  <c r="AK337"/>
  <c r="AJ337"/>
  <c r="AI337"/>
  <c r="AH337"/>
  <c r="AG337"/>
  <c r="AF337"/>
  <c r="AE337"/>
  <c r="AD337"/>
  <c r="AC337"/>
  <c r="AB337"/>
  <c r="AA337"/>
  <c r="Z337"/>
  <c r="Y337"/>
  <c r="X337"/>
  <c r="W337"/>
  <c r="V337"/>
  <c r="U337"/>
  <c r="T337"/>
  <c r="S337"/>
  <c r="R337"/>
  <c r="Q337"/>
  <c r="P337"/>
  <c r="O337"/>
  <c r="N337"/>
  <c r="M337"/>
  <c r="L337"/>
  <c r="K337"/>
  <c r="J337"/>
  <c r="A337" a="1"/>
  <c r="A337" s="1"/>
  <c r="I337" s="1"/>
  <c r="BA336"/>
  <c r="AZ336"/>
  <c r="AY336"/>
  <c r="AX336"/>
  <c r="AW336"/>
  <c r="AV336"/>
  <c r="AU336"/>
  <c r="AT336"/>
  <c r="AS336"/>
  <c r="AR336"/>
  <c r="AQ336"/>
  <c r="AP336"/>
  <c r="AO336"/>
  <c r="AN336"/>
  <c r="AM336"/>
  <c r="AL336"/>
  <c r="AK336"/>
  <c r="AJ336"/>
  <c r="AI336"/>
  <c r="AH336"/>
  <c r="AG336"/>
  <c r="AF336"/>
  <c r="AE336"/>
  <c r="AD336"/>
  <c r="AC336"/>
  <c r="AB336"/>
  <c r="AA336"/>
  <c r="Z336"/>
  <c r="Y336"/>
  <c r="X336"/>
  <c r="W336"/>
  <c r="V336"/>
  <c r="U336"/>
  <c r="T336"/>
  <c r="S336"/>
  <c r="R336"/>
  <c r="Q336"/>
  <c r="P336"/>
  <c r="O336"/>
  <c r="N336"/>
  <c r="M336"/>
  <c r="L336"/>
  <c r="K336"/>
  <c r="J336"/>
  <c r="A336" a="1"/>
  <c r="A336" s="1"/>
  <c r="I336" s="1"/>
  <c r="BA335"/>
  <c r="AZ335"/>
  <c r="AY335"/>
  <c r="AX335"/>
  <c r="AW335"/>
  <c r="AV335"/>
  <c r="AU335"/>
  <c r="AT335"/>
  <c r="AS335"/>
  <c r="AR335"/>
  <c r="AQ335"/>
  <c r="AP335"/>
  <c r="AO335"/>
  <c r="AN335"/>
  <c r="AM335"/>
  <c r="AL335"/>
  <c r="AK335"/>
  <c r="AJ335"/>
  <c r="AI335"/>
  <c r="AH335"/>
  <c r="AG335"/>
  <c r="AF335"/>
  <c r="AE335"/>
  <c r="AD335"/>
  <c r="AC335"/>
  <c r="AB335"/>
  <c r="AA335"/>
  <c r="Z335"/>
  <c r="Y335"/>
  <c r="X335"/>
  <c r="W335"/>
  <c r="V335"/>
  <c r="U335"/>
  <c r="T335"/>
  <c r="S335"/>
  <c r="R335"/>
  <c r="Q335"/>
  <c r="P335"/>
  <c r="O335"/>
  <c r="N335"/>
  <c r="M335"/>
  <c r="L335"/>
  <c r="K335"/>
  <c r="J335"/>
  <c r="A335" a="1"/>
  <c r="A335" s="1"/>
  <c r="I335" s="1"/>
  <c r="BA334"/>
  <c r="AZ334"/>
  <c r="AY334"/>
  <c r="AX334"/>
  <c r="AW334"/>
  <c r="AV334"/>
  <c r="AU334"/>
  <c r="AT334"/>
  <c r="AS334"/>
  <c r="AR334"/>
  <c r="AQ334"/>
  <c r="AP334"/>
  <c r="AO334"/>
  <c r="AN334"/>
  <c r="AM334"/>
  <c r="AL334"/>
  <c r="AK334"/>
  <c r="AJ334"/>
  <c r="AI334"/>
  <c r="AH334"/>
  <c r="AG334"/>
  <c r="AF334"/>
  <c r="AE334"/>
  <c r="AD334"/>
  <c r="AC334"/>
  <c r="AB334"/>
  <c r="AA334"/>
  <c r="Z334"/>
  <c r="Y334"/>
  <c r="X334"/>
  <c r="W334"/>
  <c r="V334"/>
  <c r="U334"/>
  <c r="T334"/>
  <c r="S334"/>
  <c r="R334"/>
  <c r="Q334"/>
  <c r="P334"/>
  <c r="O334"/>
  <c r="N334"/>
  <c r="M334"/>
  <c r="L334"/>
  <c r="K334"/>
  <c r="J334"/>
  <c r="A334" a="1"/>
  <c r="A334" s="1"/>
  <c r="I334" s="1"/>
  <c r="BA333"/>
  <c r="AZ333"/>
  <c r="AY333"/>
  <c r="AX333"/>
  <c r="AW333"/>
  <c r="AV333"/>
  <c r="AU333"/>
  <c r="AT333"/>
  <c r="AS333"/>
  <c r="AR333"/>
  <c r="AQ333"/>
  <c r="AP333"/>
  <c r="AO333"/>
  <c r="AN333"/>
  <c r="AM333"/>
  <c r="AL333"/>
  <c r="AK333"/>
  <c r="AJ333"/>
  <c r="AI333"/>
  <c r="AH333"/>
  <c r="AG333"/>
  <c r="AF333"/>
  <c r="AE333"/>
  <c r="AD333"/>
  <c r="AC333"/>
  <c r="AB333"/>
  <c r="AA333"/>
  <c r="Z333"/>
  <c r="Y333"/>
  <c r="X333"/>
  <c r="W333"/>
  <c r="V333"/>
  <c r="U333"/>
  <c r="T333"/>
  <c r="S333"/>
  <c r="R333"/>
  <c r="Q333"/>
  <c r="P333"/>
  <c r="O333"/>
  <c r="N333"/>
  <c r="M333"/>
  <c r="L333"/>
  <c r="K333"/>
  <c r="J333"/>
  <c r="A333" a="1"/>
  <c r="A333" s="1"/>
  <c r="I333" s="1"/>
  <c r="BA332"/>
  <c r="AZ332"/>
  <c r="AY332"/>
  <c r="AX332"/>
  <c r="AW332"/>
  <c r="AV332"/>
  <c r="AU332"/>
  <c r="AT332"/>
  <c r="AS332"/>
  <c r="AR332"/>
  <c r="AQ332"/>
  <c r="AP332"/>
  <c r="AO332"/>
  <c r="AN332"/>
  <c r="AM332"/>
  <c r="AL332"/>
  <c r="AK332"/>
  <c r="AJ332"/>
  <c r="AI332"/>
  <c r="AH332"/>
  <c r="AG332"/>
  <c r="AF332"/>
  <c r="AE332"/>
  <c r="AD332"/>
  <c r="AC332"/>
  <c r="AB332"/>
  <c r="AA332"/>
  <c r="Z332"/>
  <c r="Y332"/>
  <c r="X332"/>
  <c r="W332"/>
  <c r="V332"/>
  <c r="U332"/>
  <c r="T332"/>
  <c r="S332"/>
  <c r="R332"/>
  <c r="Q332"/>
  <c r="P332"/>
  <c r="O332"/>
  <c r="N332"/>
  <c r="M332"/>
  <c r="L332"/>
  <c r="K332"/>
  <c r="J332"/>
  <c r="A332" a="1"/>
  <c r="A332" s="1"/>
  <c r="I332" s="1"/>
  <c r="BA331"/>
  <c r="AZ331"/>
  <c r="AY331"/>
  <c r="AX331"/>
  <c r="AW331"/>
  <c r="AV331"/>
  <c r="AU331"/>
  <c r="AT331"/>
  <c r="AS331"/>
  <c r="AR331"/>
  <c r="AQ331"/>
  <c r="AP331"/>
  <c r="AO331"/>
  <c r="AN331"/>
  <c r="AM331"/>
  <c r="AL331"/>
  <c r="AK331"/>
  <c r="AJ331"/>
  <c r="AI331"/>
  <c r="AH331"/>
  <c r="AG331"/>
  <c r="AF331"/>
  <c r="AE331"/>
  <c r="AD331"/>
  <c r="AC331"/>
  <c r="AB331"/>
  <c r="AA331"/>
  <c r="Z331"/>
  <c r="Y331"/>
  <c r="X331"/>
  <c r="W331"/>
  <c r="V331"/>
  <c r="U331"/>
  <c r="T331"/>
  <c r="S331"/>
  <c r="R331"/>
  <c r="Q331"/>
  <c r="P331"/>
  <c r="O331"/>
  <c r="N331"/>
  <c r="M331"/>
  <c r="L331"/>
  <c r="K331"/>
  <c r="J331"/>
  <c r="A331" a="1"/>
  <c r="A331" s="1"/>
  <c r="I331" s="1"/>
  <c r="BA330"/>
  <c r="AZ330"/>
  <c r="AY330"/>
  <c r="AX330"/>
  <c r="AW330"/>
  <c r="AV330"/>
  <c r="AU330"/>
  <c r="AT330"/>
  <c r="AS330"/>
  <c r="AR330"/>
  <c r="AQ330"/>
  <c r="AP330"/>
  <c r="AO330"/>
  <c r="AN330"/>
  <c r="AM330"/>
  <c r="AL330"/>
  <c r="AK330"/>
  <c r="AJ330"/>
  <c r="AI330"/>
  <c r="AH330"/>
  <c r="AG330"/>
  <c r="AF330"/>
  <c r="AE330"/>
  <c r="AD330"/>
  <c r="AC330"/>
  <c r="AB330"/>
  <c r="AA330"/>
  <c r="Z330"/>
  <c r="Y330"/>
  <c r="X330"/>
  <c r="W330"/>
  <c r="V330"/>
  <c r="U330"/>
  <c r="T330"/>
  <c r="S330"/>
  <c r="R330"/>
  <c r="Q330"/>
  <c r="P330"/>
  <c r="O330"/>
  <c r="N330"/>
  <c r="M330"/>
  <c r="L330"/>
  <c r="K330"/>
  <c r="J330"/>
  <c r="A330" a="1"/>
  <c r="A330" s="1"/>
  <c r="I330" s="1"/>
  <c r="BA329"/>
  <c r="AZ329"/>
  <c r="AY329"/>
  <c r="AX329"/>
  <c r="AW329"/>
  <c r="AV329"/>
  <c r="AU329"/>
  <c r="AT329"/>
  <c r="AS329"/>
  <c r="AR329"/>
  <c r="AQ329"/>
  <c r="AP329"/>
  <c r="AO329"/>
  <c r="AN329"/>
  <c r="AM329"/>
  <c r="AL329"/>
  <c r="AK329"/>
  <c r="AJ329"/>
  <c r="AI329"/>
  <c r="AH329"/>
  <c r="AG329"/>
  <c r="AF329"/>
  <c r="AE329"/>
  <c r="AD329"/>
  <c r="AC329"/>
  <c r="AB329"/>
  <c r="AA329"/>
  <c r="Z329"/>
  <c r="Y329"/>
  <c r="X329"/>
  <c r="W329"/>
  <c r="V329"/>
  <c r="U329"/>
  <c r="T329"/>
  <c r="S329"/>
  <c r="R329"/>
  <c r="Q329"/>
  <c r="P329"/>
  <c r="O329"/>
  <c r="N329"/>
  <c r="M329"/>
  <c r="L329"/>
  <c r="K329"/>
  <c r="J329"/>
  <c r="A329" a="1"/>
  <c r="A329" s="1"/>
  <c r="I329" s="1"/>
  <c r="BA328"/>
  <c r="AZ328"/>
  <c r="AY328"/>
  <c r="AX328"/>
  <c r="AW328"/>
  <c r="AV328"/>
  <c r="AU328"/>
  <c r="AT328"/>
  <c r="AS328"/>
  <c r="AR328"/>
  <c r="AQ328"/>
  <c r="AP328"/>
  <c r="AO328"/>
  <c r="AN328"/>
  <c r="AM328"/>
  <c r="AL328"/>
  <c r="AK328"/>
  <c r="AJ328"/>
  <c r="AI328"/>
  <c r="AH328"/>
  <c r="AG328"/>
  <c r="AF328"/>
  <c r="AE328"/>
  <c r="AD328"/>
  <c r="AC328"/>
  <c r="AB328"/>
  <c r="AA328"/>
  <c r="Z328"/>
  <c r="Y328"/>
  <c r="X328"/>
  <c r="W328"/>
  <c r="V328"/>
  <c r="U328"/>
  <c r="T328"/>
  <c r="S328"/>
  <c r="R328"/>
  <c r="Q328"/>
  <c r="P328"/>
  <c r="O328"/>
  <c r="N328"/>
  <c r="M328"/>
  <c r="L328"/>
  <c r="K328"/>
  <c r="J328"/>
  <c r="A328" a="1"/>
  <c r="A328" s="1"/>
  <c r="I328" s="1"/>
  <c r="BA327"/>
  <c r="AZ327"/>
  <c r="AY327"/>
  <c r="AX327"/>
  <c r="AW327"/>
  <c r="AV327"/>
  <c r="AU327"/>
  <c r="AT327"/>
  <c r="AS327"/>
  <c r="AR327"/>
  <c r="AQ327"/>
  <c r="AP327"/>
  <c r="AO327"/>
  <c r="AN327"/>
  <c r="AM327"/>
  <c r="AL327"/>
  <c r="AK327"/>
  <c r="AJ327"/>
  <c r="AI327"/>
  <c r="AH327"/>
  <c r="AG327"/>
  <c r="AF327"/>
  <c r="AE327"/>
  <c r="AD327"/>
  <c r="AC327"/>
  <c r="AB327"/>
  <c r="AA327"/>
  <c r="Z327"/>
  <c r="Y327"/>
  <c r="X327"/>
  <c r="W327"/>
  <c r="V327"/>
  <c r="U327"/>
  <c r="T327"/>
  <c r="S327"/>
  <c r="R327"/>
  <c r="Q327"/>
  <c r="P327"/>
  <c r="O327"/>
  <c r="N327"/>
  <c r="M327"/>
  <c r="L327"/>
  <c r="K327"/>
  <c r="J327"/>
  <c r="A327" a="1"/>
  <c r="A327" s="1"/>
  <c r="I327" s="1"/>
  <c r="BA326"/>
  <c r="AZ326"/>
  <c r="AY326"/>
  <c r="AX326"/>
  <c r="AW326"/>
  <c r="AV326"/>
  <c r="AU326"/>
  <c r="AT326"/>
  <c r="AS326"/>
  <c r="AR326"/>
  <c r="AQ326"/>
  <c r="AP326"/>
  <c r="AO326"/>
  <c r="AN326"/>
  <c r="AM326"/>
  <c r="AL326"/>
  <c r="AK326"/>
  <c r="AJ326"/>
  <c r="AI326"/>
  <c r="AH326"/>
  <c r="AG326"/>
  <c r="AF326"/>
  <c r="AE326"/>
  <c r="AD326"/>
  <c r="AC326"/>
  <c r="AB326"/>
  <c r="AA326"/>
  <c r="Z326"/>
  <c r="Y326"/>
  <c r="X326"/>
  <c r="W326"/>
  <c r="V326"/>
  <c r="U326"/>
  <c r="T326"/>
  <c r="S326"/>
  <c r="R326"/>
  <c r="Q326"/>
  <c r="P326"/>
  <c r="O326"/>
  <c r="N326"/>
  <c r="M326"/>
  <c r="L326"/>
  <c r="K326"/>
  <c r="J326"/>
  <c r="A326" a="1"/>
  <c r="A326" s="1"/>
  <c r="I326" s="1"/>
  <c r="BA325"/>
  <c r="AZ325"/>
  <c r="AY325"/>
  <c r="AX325"/>
  <c r="AW325"/>
  <c r="AV325"/>
  <c r="AU325"/>
  <c r="AT325"/>
  <c r="AS325"/>
  <c r="AR325"/>
  <c r="AQ325"/>
  <c r="AP325"/>
  <c r="AO325"/>
  <c r="AN325"/>
  <c r="AM325"/>
  <c r="AL325"/>
  <c r="AK325"/>
  <c r="AJ325"/>
  <c r="AI325"/>
  <c r="AH325"/>
  <c r="AG325"/>
  <c r="AF325"/>
  <c r="AE325"/>
  <c r="AD325"/>
  <c r="AC325"/>
  <c r="AB325"/>
  <c r="AA325"/>
  <c r="Z325"/>
  <c r="Y325"/>
  <c r="X325"/>
  <c r="W325"/>
  <c r="V325"/>
  <c r="U325"/>
  <c r="T325"/>
  <c r="S325"/>
  <c r="R325"/>
  <c r="Q325"/>
  <c r="P325"/>
  <c r="O325"/>
  <c r="N325"/>
  <c r="M325"/>
  <c r="L325"/>
  <c r="K325"/>
  <c r="J325"/>
  <c r="A325" a="1"/>
  <c r="A325" s="1"/>
  <c r="I325" s="1"/>
  <c r="BA324"/>
  <c r="AZ324"/>
  <c r="AY324"/>
  <c r="AX324"/>
  <c r="AW324"/>
  <c r="AV324"/>
  <c r="AU324"/>
  <c r="AT324"/>
  <c r="AS324"/>
  <c r="AR324"/>
  <c r="AQ324"/>
  <c r="AP324"/>
  <c r="AO324"/>
  <c r="AN324"/>
  <c r="AM324"/>
  <c r="AL324"/>
  <c r="AK324"/>
  <c r="AJ324"/>
  <c r="AI324"/>
  <c r="AH324"/>
  <c r="AG324"/>
  <c r="AF324"/>
  <c r="AE324"/>
  <c r="AD324"/>
  <c r="AC324"/>
  <c r="AB324"/>
  <c r="AA324"/>
  <c r="Z324"/>
  <c r="Y324"/>
  <c r="X324"/>
  <c r="W324"/>
  <c r="V324"/>
  <c r="U324"/>
  <c r="T324"/>
  <c r="S324"/>
  <c r="R324"/>
  <c r="Q324"/>
  <c r="P324"/>
  <c r="O324"/>
  <c r="N324"/>
  <c r="M324"/>
  <c r="L324"/>
  <c r="K324"/>
  <c r="J324"/>
  <c r="A324" a="1"/>
  <c r="A324" s="1"/>
  <c r="I324" s="1"/>
  <c r="BA323"/>
  <c r="AZ323"/>
  <c r="AY323"/>
  <c r="AX323"/>
  <c r="AW323"/>
  <c r="AV323"/>
  <c r="AU323"/>
  <c r="AT323"/>
  <c r="AS323"/>
  <c r="AR323"/>
  <c r="AQ323"/>
  <c r="AP323"/>
  <c r="AO323"/>
  <c r="AN323"/>
  <c r="AM323"/>
  <c r="AL323"/>
  <c r="AK323"/>
  <c r="AJ323"/>
  <c r="AI323"/>
  <c r="AH323"/>
  <c r="AG323"/>
  <c r="AF323"/>
  <c r="AE323"/>
  <c r="AD323"/>
  <c r="AC323"/>
  <c r="AB323"/>
  <c r="AA323"/>
  <c r="Z323"/>
  <c r="Y323"/>
  <c r="X323"/>
  <c r="W323"/>
  <c r="V323"/>
  <c r="U323"/>
  <c r="T323"/>
  <c r="S323"/>
  <c r="R323"/>
  <c r="Q323"/>
  <c r="P323"/>
  <c r="O323"/>
  <c r="N323"/>
  <c r="M323"/>
  <c r="L323"/>
  <c r="K323"/>
  <c r="J323"/>
  <c r="A323" a="1"/>
  <c r="A323" s="1"/>
  <c r="I323" s="1"/>
  <c r="BA322"/>
  <c r="AZ322"/>
  <c r="AY322"/>
  <c r="AX322"/>
  <c r="AW322"/>
  <c r="AV322"/>
  <c r="AU322"/>
  <c r="AT322"/>
  <c r="AS322"/>
  <c r="AR322"/>
  <c r="AQ322"/>
  <c r="AP322"/>
  <c r="AO322"/>
  <c r="AN322"/>
  <c r="AM322"/>
  <c r="AL322"/>
  <c r="AK322"/>
  <c r="AJ322"/>
  <c r="AI322"/>
  <c r="AH322"/>
  <c r="AG322"/>
  <c r="AF322"/>
  <c r="AE322"/>
  <c r="AD322"/>
  <c r="AC322"/>
  <c r="AB322"/>
  <c r="AA322"/>
  <c r="Z322"/>
  <c r="Y322"/>
  <c r="X322"/>
  <c r="W322"/>
  <c r="V322"/>
  <c r="U322"/>
  <c r="T322"/>
  <c r="S322"/>
  <c r="R322"/>
  <c r="Q322"/>
  <c r="P322"/>
  <c r="O322"/>
  <c r="N322"/>
  <c r="M322"/>
  <c r="L322"/>
  <c r="K322"/>
  <c r="J322"/>
  <c r="A322" a="1"/>
  <c r="A322" s="1"/>
  <c r="I322" s="1"/>
  <c r="BA321"/>
  <c r="AZ321"/>
  <c r="AY321"/>
  <c r="AX321"/>
  <c r="AW321"/>
  <c r="AV321"/>
  <c r="AU321"/>
  <c r="AT321"/>
  <c r="AS321"/>
  <c r="AR321"/>
  <c r="AQ321"/>
  <c r="AP321"/>
  <c r="AO321"/>
  <c r="AN321"/>
  <c r="AM321"/>
  <c r="AL321"/>
  <c r="AK321"/>
  <c r="AJ321"/>
  <c r="AI321"/>
  <c r="AH321"/>
  <c r="AG321"/>
  <c r="AF321"/>
  <c r="AE321"/>
  <c r="AD321"/>
  <c r="AC321"/>
  <c r="AB321"/>
  <c r="AA321"/>
  <c r="Z321"/>
  <c r="Y321"/>
  <c r="X321"/>
  <c r="W321"/>
  <c r="V321"/>
  <c r="U321"/>
  <c r="T321"/>
  <c r="S321"/>
  <c r="R321"/>
  <c r="Q321"/>
  <c r="P321"/>
  <c r="O321"/>
  <c r="N321"/>
  <c r="M321"/>
  <c r="L321"/>
  <c r="K321"/>
  <c r="J321"/>
  <c r="A321" a="1"/>
  <c r="A321" s="1"/>
  <c r="I321" s="1"/>
  <c r="BA320"/>
  <c r="AZ320"/>
  <c r="AY320"/>
  <c r="AX320"/>
  <c r="AW320"/>
  <c r="AV320"/>
  <c r="AU320"/>
  <c r="AT320"/>
  <c r="AS320"/>
  <c r="AR320"/>
  <c r="AQ320"/>
  <c r="AP320"/>
  <c r="AO320"/>
  <c r="AN320"/>
  <c r="AM320"/>
  <c r="AL320"/>
  <c r="AK320"/>
  <c r="AJ320"/>
  <c r="AI320"/>
  <c r="AH320"/>
  <c r="AG320"/>
  <c r="AF320"/>
  <c r="AE320"/>
  <c r="AD320"/>
  <c r="AC320"/>
  <c r="AB320"/>
  <c r="AA320"/>
  <c r="Z320"/>
  <c r="Y320"/>
  <c r="X320"/>
  <c r="W320"/>
  <c r="V320"/>
  <c r="U320"/>
  <c r="T320"/>
  <c r="S320"/>
  <c r="R320"/>
  <c r="Q320"/>
  <c r="P320"/>
  <c r="O320"/>
  <c r="N320"/>
  <c r="M320"/>
  <c r="L320"/>
  <c r="K320"/>
  <c r="J320"/>
  <c r="A320" a="1"/>
  <c r="A320" s="1"/>
  <c r="I320" s="1"/>
  <c r="BA319"/>
  <c r="AZ319"/>
  <c r="AY319"/>
  <c r="AX319"/>
  <c r="AW319"/>
  <c r="AV319"/>
  <c r="AU319"/>
  <c r="AT319"/>
  <c r="AS319"/>
  <c r="AR319"/>
  <c r="AQ319"/>
  <c r="AP319"/>
  <c r="AO319"/>
  <c r="AN319"/>
  <c r="AM319"/>
  <c r="AL319"/>
  <c r="AK319"/>
  <c r="AJ319"/>
  <c r="AI319"/>
  <c r="AH319"/>
  <c r="AG319"/>
  <c r="AF319"/>
  <c r="AE319"/>
  <c r="AD319"/>
  <c r="AC319"/>
  <c r="AB319"/>
  <c r="AA319"/>
  <c r="Z319"/>
  <c r="Y319"/>
  <c r="X319"/>
  <c r="W319"/>
  <c r="V319"/>
  <c r="U319"/>
  <c r="T319"/>
  <c r="S319"/>
  <c r="R319"/>
  <c r="Q319"/>
  <c r="P319"/>
  <c r="O319"/>
  <c r="N319"/>
  <c r="M319"/>
  <c r="L319"/>
  <c r="K319"/>
  <c r="J319"/>
  <c r="A319" a="1"/>
  <c r="A319" s="1"/>
  <c r="I319" s="1"/>
  <c r="BA318"/>
  <c r="AZ318"/>
  <c r="AY318"/>
  <c r="AX318"/>
  <c r="AW318"/>
  <c r="AV318"/>
  <c r="AU318"/>
  <c r="AT318"/>
  <c r="AS318"/>
  <c r="AR318"/>
  <c r="AQ318"/>
  <c r="AP318"/>
  <c r="AO318"/>
  <c r="AN318"/>
  <c r="AM318"/>
  <c r="AL318"/>
  <c r="AK318"/>
  <c r="AJ318"/>
  <c r="AI318"/>
  <c r="AH318"/>
  <c r="AG318"/>
  <c r="AF318"/>
  <c r="AE318"/>
  <c r="AD318"/>
  <c r="AC318"/>
  <c r="AB318"/>
  <c r="AA318"/>
  <c r="Z318"/>
  <c r="Y318"/>
  <c r="X318"/>
  <c r="W318"/>
  <c r="V318"/>
  <c r="U318"/>
  <c r="T318"/>
  <c r="S318"/>
  <c r="R318"/>
  <c r="Q318"/>
  <c r="P318"/>
  <c r="O318"/>
  <c r="N318"/>
  <c r="M318"/>
  <c r="L318"/>
  <c r="K318"/>
  <c r="J318"/>
  <c r="A318" a="1"/>
  <c r="A318" s="1"/>
  <c r="I318" s="1"/>
  <c r="BA317"/>
  <c r="AZ317"/>
  <c r="AY317"/>
  <c r="AX317"/>
  <c r="AW317"/>
  <c r="AV317"/>
  <c r="AU317"/>
  <c r="AT317"/>
  <c r="AS317"/>
  <c r="AR317"/>
  <c r="AQ317"/>
  <c r="AP317"/>
  <c r="AO317"/>
  <c r="AN317"/>
  <c r="AM317"/>
  <c r="AL317"/>
  <c r="AK317"/>
  <c r="AJ317"/>
  <c r="AI317"/>
  <c r="AH317"/>
  <c r="AG317"/>
  <c r="AF317"/>
  <c r="AE317"/>
  <c r="AD317"/>
  <c r="AC317"/>
  <c r="AB317"/>
  <c r="AA317"/>
  <c r="Z317"/>
  <c r="Y317"/>
  <c r="X317"/>
  <c r="W317"/>
  <c r="V317"/>
  <c r="U317"/>
  <c r="T317"/>
  <c r="S317"/>
  <c r="R317"/>
  <c r="Q317"/>
  <c r="P317"/>
  <c r="O317"/>
  <c r="N317"/>
  <c r="M317"/>
  <c r="L317"/>
  <c r="K317"/>
  <c r="J317"/>
  <c r="A317" a="1"/>
  <c r="A317" s="1"/>
  <c r="I317" s="1"/>
  <c r="BA316"/>
  <c r="AZ316"/>
  <c r="AY316"/>
  <c r="AX316"/>
  <c r="AW316"/>
  <c r="AV316"/>
  <c r="AU316"/>
  <c r="AT316"/>
  <c r="AS316"/>
  <c r="AR316"/>
  <c r="AQ316"/>
  <c r="AP316"/>
  <c r="AO316"/>
  <c r="AN316"/>
  <c r="AM316"/>
  <c r="AL316"/>
  <c r="AK316"/>
  <c r="AJ316"/>
  <c r="AI316"/>
  <c r="AH316"/>
  <c r="AG316"/>
  <c r="AF316"/>
  <c r="AE316"/>
  <c r="AD316"/>
  <c r="AC316"/>
  <c r="AB316"/>
  <c r="AA316"/>
  <c r="Z316"/>
  <c r="Y316"/>
  <c r="X316"/>
  <c r="W316"/>
  <c r="V316"/>
  <c r="U316"/>
  <c r="T316"/>
  <c r="S316"/>
  <c r="R316"/>
  <c r="Q316"/>
  <c r="P316"/>
  <c r="O316"/>
  <c r="N316"/>
  <c r="M316"/>
  <c r="L316"/>
  <c r="K316"/>
  <c r="J316"/>
  <c r="A316" a="1"/>
  <c r="A316" s="1"/>
  <c r="I316" s="1"/>
  <c r="BA315"/>
  <c r="AZ315"/>
  <c r="AY315"/>
  <c r="AX315"/>
  <c r="AW315"/>
  <c r="AV315"/>
  <c r="AU315"/>
  <c r="AT315"/>
  <c r="AS315"/>
  <c r="AR315"/>
  <c r="AQ315"/>
  <c r="AP315"/>
  <c r="AO315"/>
  <c r="AN315"/>
  <c r="AM315"/>
  <c r="AL315"/>
  <c r="AK315"/>
  <c r="AJ315"/>
  <c r="AI315"/>
  <c r="AH315"/>
  <c r="AG315"/>
  <c r="AF315"/>
  <c r="AE315"/>
  <c r="AD315"/>
  <c r="AC315"/>
  <c r="AB315"/>
  <c r="AA315"/>
  <c r="Z315"/>
  <c r="Y315"/>
  <c r="X315"/>
  <c r="W315"/>
  <c r="V315"/>
  <c r="U315"/>
  <c r="T315"/>
  <c r="S315"/>
  <c r="R315"/>
  <c r="Q315"/>
  <c r="P315"/>
  <c r="O315"/>
  <c r="N315"/>
  <c r="M315"/>
  <c r="L315"/>
  <c r="K315"/>
  <c r="J315"/>
  <c r="A315" a="1"/>
  <c r="A315" s="1"/>
  <c r="I315" s="1"/>
  <c r="BA314"/>
  <c r="AZ314"/>
  <c r="AY314"/>
  <c r="AX314"/>
  <c r="AW314"/>
  <c r="AV314"/>
  <c r="AU314"/>
  <c r="AT314"/>
  <c r="AS314"/>
  <c r="AR314"/>
  <c r="AQ314"/>
  <c r="AP314"/>
  <c r="AO314"/>
  <c r="AN314"/>
  <c r="AM314"/>
  <c r="AL314"/>
  <c r="AK314"/>
  <c r="AJ314"/>
  <c r="AI314"/>
  <c r="AH314"/>
  <c r="AG314"/>
  <c r="AF314"/>
  <c r="AE314"/>
  <c r="AD314"/>
  <c r="AC314"/>
  <c r="AB314"/>
  <c r="AA314"/>
  <c r="Z314"/>
  <c r="Y314"/>
  <c r="X314"/>
  <c r="W314"/>
  <c r="V314"/>
  <c r="U314"/>
  <c r="T314"/>
  <c r="S314"/>
  <c r="R314"/>
  <c r="Q314"/>
  <c r="P314"/>
  <c r="O314"/>
  <c r="N314"/>
  <c r="M314"/>
  <c r="L314"/>
  <c r="K314"/>
  <c r="J314"/>
  <c r="A314" a="1"/>
  <c r="A314" s="1"/>
  <c r="I314" s="1"/>
  <c r="BA313"/>
  <c r="AZ313"/>
  <c r="AY313"/>
  <c r="AX313"/>
  <c r="AW313"/>
  <c r="AV313"/>
  <c r="AU313"/>
  <c r="AT313"/>
  <c r="AS313"/>
  <c r="AR313"/>
  <c r="AQ313"/>
  <c r="AP313"/>
  <c r="AO313"/>
  <c r="AN313"/>
  <c r="AM313"/>
  <c r="AL313"/>
  <c r="AK313"/>
  <c r="AJ313"/>
  <c r="AI313"/>
  <c r="AH313"/>
  <c r="AG313"/>
  <c r="AF313"/>
  <c r="AE313"/>
  <c r="AD313"/>
  <c r="AC313"/>
  <c r="AB313"/>
  <c r="AA313"/>
  <c r="Z313"/>
  <c r="Y313"/>
  <c r="X313"/>
  <c r="W313"/>
  <c r="V313"/>
  <c r="U313"/>
  <c r="T313"/>
  <c r="S313"/>
  <c r="R313"/>
  <c r="Q313"/>
  <c r="P313"/>
  <c r="O313"/>
  <c r="N313"/>
  <c r="M313"/>
  <c r="L313"/>
  <c r="K313"/>
  <c r="J313"/>
  <c r="A313" a="1"/>
  <c r="A313" s="1"/>
  <c r="I313" s="1"/>
  <c r="BA312"/>
  <c r="AZ312"/>
  <c r="AY312"/>
  <c r="AX312"/>
  <c r="AW312"/>
  <c r="AV312"/>
  <c r="AU312"/>
  <c r="AT312"/>
  <c r="AS312"/>
  <c r="AR312"/>
  <c r="AQ312"/>
  <c r="AP312"/>
  <c r="AO312"/>
  <c r="AN312"/>
  <c r="AM312"/>
  <c r="AL312"/>
  <c r="AK312"/>
  <c r="AJ312"/>
  <c r="AI312"/>
  <c r="AH312"/>
  <c r="AG312"/>
  <c r="AF312"/>
  <c r="AE312"/>
  <c r="AD312"/>
  <c r="AC312"/>
  <c r="AB312"/>
  <c r="AA312"/>
  <c r="Z312"/>
  <c r="Y312"/>
  <c r="X312"/>
  <c r="W312"/>
  <c r="V312"/>
  <c r="U312"/>
  <c r="T312"/>
  <c r="S312"/>
  <c r="R312"/>
  <c r="Q312"/>
  <c r="P312"/>
  <c r="O312"/>
  <c r="N312"/>
  <c r="M312"/>
  <c r="L312"/>
  <c r="K312"/>
  <c r="J312"/>
  <c r="A312" a="1"/>
  <c r="A312" s="1"/>
  <c r="I312" s="1"/>
  <c r="BA311"/>
  <c r="AZ311"/>
  <c r="AY311"/>
  <c r="AX311"/>
  <c r="AW311"/>
  <c r="AV311"/>
  <c r="AU311"/>
  <c r="AT311"/>
  <c r="AS311"/>
  <c r="AR311"/>
  <c r="AQ311"/>
  <c r="AP311"/>
  <c r="AO311"/>
  <c r="AN311"/>
  <c r="AM311"/>
  <c r="AL311"/>
  <c r="AK311"/>
  <c r="AJ311"/>
  <c r="AI311"/>
  <c r="AH311"/>
  <c r="AG311"/>
  <c r="AF311"/>
  <c r="AE311"/>
  <c r="AD311"/>
  <c r="AC311"/>
  <c r="AB311"/>
  <c r="AA311"/>
  <c r="Z311"/>
  <c r="Y311"/>
  <c r="X311"/>
  <c r="W311"/>
  <c r="V311"/>
  <c r="U311"/>
  <c r="T311"/>
  <c r="S311"/>
  <c r="R311"/>
  <c r="Q311"/>
  <c r="P311"/>
  <c r="O311"/>
  <c r="N311"/>
  <c r="M311"/>
  <c r="L311"/>
  <c r="K311"/>
  <c r="J311"/>
  <c r="A311" a="1"/>
  <c r="A311" s="1"/>
  <c r="I311" s="1"/>
  <c r="BA310"/>
  <c r="AZ310"/>
  <c r="AY310"/>
  <c r="AX310"/>
  <c r="AW310"/>
  <c r="AV310"/>
  <c r="AU310"/>
  <c r="AT310"/>
  <c r="AS310"/>
  <c r="AR310"/>
  <c r="AQ310"/>
  <c r="AP310"/>
  <c r="AO310"/>
  <c r="AN310"/>
  <c r="AM310"/>
  <c r="AL310"/>
  <c r="AK310"/>
  <c r="AJ310"/>
  <c r="AI310"/>
  <c r="AH310"/>
  <c r="AG310"/>
  <c r="AF310"/>
  <c r="AE310"/>
  <c r="AD310"/>
  <c r="AC310"/>
  <c r="AB310"/>
  <c r="AA310"/>
  <c r="Z310"/>
  <c r="Y310"/>
  <c r="X310"/>
  <c r="W310"/>
  <c r="V310"/>
  <c r="U310"/>
  <c r="T310"/>
  <c r="S310"/>
  <c r="R310"/>
  <c r="Q310"/>
  <c r="P310"/>
  <c r="O310"/>
  <c r="N310"/>
  <c r="M310"/>
  <c r="L310"/>
  <c r="K310"/>
  <c r="J310"/>
  <c r="A310" a="1"/>
  <c r="A310" s="1"/>
  <c r="I310" s="1"/>
  <c r="BA309"/>
  <c r="AZ309"/>
  <c r="AY309"/>
  <c r="AX309"/>
  <c r="AW309"/>
  <c r="AV309"/>
  <c r="AU309"/>
  <c r="AT309"/>
  <c r="AS309"/>
  <c r="AR309"/>
  <c r="AQ309"/>
  <c r="AP309"/>
  <c r="AO309"/>
  <c r="AN309"/>
  <c r="AM309"/>
  <c r="AL309"/>
  <c r="AK309"/>
  <c r="AJ309"/>
  <c r="AI309"/>
  <c r="AH309"/>
  <c r="AG309"/>
  <c r="AF309"/>
  <c r="AE309"/>
  <c r="AD309"/>
  <c r="AC309"/>
  <c r="AB309"/>
  <c r="AA309"/>
  <c r="Z309"/>
  <c r="Y309"/>
  <c r="X309"/>
  <c r="W309"/>
  <c r="V309"/>
  <c r="U309"/>
  <c r="T309"/>
  <c r="S309"/>
  <c r="R309"/>
  <c r="Q309"/>
  <c r="P309"/>
  <c r="O309"/>
  <c r="N309"/>
  <c r="M309"/>
  <c r="L309"/>
  <c r="K309"/>
  <c r="J309"/>
  <c r="A309" a="1"/>
  <c r="A309" s="1"/>
  <c r="I309" s="1"/>
  <c r="BA308"/>
  <c r="AZ308"/>
  <c r="AY308"/>
  <c r="AX308"/>
  <c r="AW308"/>
  <c r="AV308"/>
  <c r="AU308"/>
  <c r="AT308"/>
  <c r="AS308"/>
  <c r="AR308"/>
  <c r="AQ308"/>
  <c r="AP308"/>
  <c r="AO308"/>
  <c r="AN308"/>
  <c r="AM308"/>
  <c r="AL308"/>
  <c r="AK308"/>
  <c r="AJ308"/>
  <c r="AI308"/>
  <c r="AH308"/>
  <c r="AG308"/>
  <c r="AF308"/>
  <c r="AE308"/>
  <c r="AD308"/>
  <c r="AC308"/>
  <c r="AB308"/>
  <c r="AA308"/>
  <c r="Z308"/>
  <c r="Y308"/>
  <c r="X308"/>
  <c r="W308"/>
  <c r="V308"/>
  <c r="U308"/>
  <c r="T308"/>
  <c r="S308"/>
  <c r="R308"/>
  <c r="Q308"/>
  <c r="P308"/>
  <c r="O308"/>
  <c r="N308"/>
  <c r="M308"/>
  <c r="L308"/>
  <c r="K308"/>
  <c r="J308"/>
  <c r="A308" a="1"/>
  <c r="A308" s="1"/>
  <c r="I308" s="1"/>
  <c r="BA307"/>
  <c r="AZ307"/>
  <c r="AY307"/>
  <c r="AX307"/>
  <c r="AW307"/>
  <c r="AV307"/>
  <c r="AU307"/>
  <c r="AT307"/>
  <c r="AS307"/>
  <c r="AR307"/>
  <c r="AQ307"/>
  <c r="AP307"/>
  <c r="AO307"/>
  <c r="AN307"/>
  <c r="AM307"/>
  <c r="AL307"/>
  <c r="AK307"/>
  <c r="AJ307"/>
  <c r="AI307"/>
  <c r="AH307"/>
  <c r="AG307"/>
  <c r="AF307"/>
  <c r="AE307"/>
  <c r="AD307"/>
  <c r="AC307"/>
  <c r="AB307"/>
  <c r="AA307"/>
  <c r="Z307"/>
  <c r="Y307"/>
  <c r="X307"/>
  <c r="W307"/>
  <c r="V307"/>
  <c r="U307"/>
  <c r="T307"/>
  <c r="S307"/>
  <c r="R307"/>
  <c r="Q307"/>
  <c r="P307"/>
  <c r="O307"/>
  <c r="N307"/>
  <c r="M307"/>
  <c r="L307"/>
  <c r="K307"/>
  <c r="J307"/>
  <c r="A307" a="1"/>
  <c r="A307" s="1"/>
  <c r="I307" s="1"/>
  <c r="BA306"/>
  <c r="AZ306"/>
  <c r="AY306"/>
  <c r="AX306"/>
  <c r="AW306"/>
  <c r="AV306"/>
  <c r="AU306"/>
  <c r="AT306"/>
  <c r="AS306"/>
  <c r="AR306"/>
  <c r="AQ306"/>
  <c r="AP306"/>
  <c r="AO306"/>
  <c r="AN306"/>
  <c r="AM306"/>
  <c r="AL306"/>
  <c r="AK306"/>
  <c r="AJ306"/>
  <c r="AI306"/>
  <c r="AH306"/>
  <c r="AG306"/>
  <c r="AF306"/>
  <c r="AE306"/>
  <c r="AD306"/>
  <c r="AC306"/>
  <c r="AB306"/>
  <c r="AA306"/>
  <c r="Z306"/>
  <c r="Y306"/>
  <c r="X306"/>
  <c r="W306"/>
  <c r="V306"/>
  <c r="U306"/>
  <c r="T306"/>
  <c r="S306"/>
  <c r="R306"/>
  <c r="Q306"/>
  <c r="P306"/>
  <c r="O306"/>
  <c r="N306"/>
  <c r="M306"/>
  <c r="L306"/>
  <c r="K306"/>
  <c r="J306"/>
  <c r="A306" a="1"/>
  <c r="A306" s="1"/>
  <c r="I306" s="1"/>
  <c r="BA305"/>
  <c r="AZ305"/>
  <c r="AY305"/>
  <c r="AX305"/>
  <c r="AW305"/>
  <c r="AV305"/>
  <c r="AU305"/>
  <c r="AT305"/>
  <c r="AS305"/>
  <c r="AR305"/>
  <c r="AQ305"/>
  <c r="AP305"/>
  <c r="AO305"/>
  <c r="AN305"/>
  <c r="AM305"/>
  <c r="AL305"/>
  <c r="AK305"/>
  <c r="AJ305"/>
  <c r="AI305"/>
  <c r="AH305"/>
  <c r="AG305"/>
  <c r="AF305"/>
  <c r="AE305"/>
  <c r="AD305"/>
  <c r="AC305"/>
  <c r="AB305"/>
  <c r="AA305"/>
  <c r="Z305"/>
  <c r="Y305"/>
  <c r="X305"/>
  <c r="W305"/>
  <c r="V305"/>
  <c r="U305"/>
  <c r="T305"/>
  <c r="S305"/>
  <c r="R305"/>
  <c r="Q305"/>
  <c r="P305"/>
  <c r="O305"/>
  <c r="N305"/>
  <c r="M305"/>
  <c r="L305"/>
  <c r="K305"/>
  <c r="J305"/>
  <c r="A305" a="1"/>
  <c r="A305" s="1"/>
  <c r="I305" s="1"/>
  <c r="BA304"/>
  <c r="AZ304"/>
  <c r="AY304"/>
  <c r="AX304"/>
  <c r="AW304"/>
  <c r="AV304"/>
  <c r="AU304"/>
  <c r="AT304"/>
  <c r="AS304"/>
  <c r="AR304"/>
  <c r="AQ304"/>
  <c r="AP304"/>
  <c r="AO304"/>
  <c r="AN304"/>
  <c r="AM304"/>
  <c r="AL304"/>
  <c r="AK304"/>
  <c r="AJ304"/>
  <c r="AI304"/>
  <c r="AH304"/>
  <c r="AG304"/>
  <c r="AF304"/>
  <c r="AE304"/>
  <c r="AD304"/>
  <c r="AC304"/>
  <c r="AB304"/>
  <c r="AA304"/>
  <c r="Z304"/>
  <c r="Y304"/>
  <c r="X304"/>
  <c r="W304"/>
  <c r="V304"/>
  <c r="U304"/>
  <c r="T304"/>
  <c r="S304"/>
  <c r="R304"/>
  <c r="Q304"/>
  <c r="P304"/>
  <c r="O304"/>
  <c r="N304"/>
  <c r="M304"/>
  <c r="L304"/>
  <c r="K304"/>
  <c r="J304"/>
  <c r="A304" a="1"/>
  <c r="A304" s="1"/>
  <c r="I304" s="1"/>
  <c r="BA303"/>
  <c r="AZ303"/>
  <c r="AY303"/>
  <c r="AX303"/>
  <c r="AW303"/>
  <c r="AV303"/>
  <c r="AU303"/>
  <c r="AT303"/>
  <c r="AS303"/>
  <c r="AR303"/>
  <c r="AQ303"/>
  <c r="AP303"/>
  <c r="AO303"/>
  <c r="AN303"/>
  <c r="AM303"/>
  <c r="AL303"/>
  <c r="AK303"/>
  <c r="AJ303"/>
  <c r="AI303"/>
  <c r="AH303"/>
  <c r="AG303"/>
  <c r="AF303"/>
  <c r="AE303"/>
  <c r="AD303"/>
  <c r="AC303"/>
  <c r="AB303"/>
  <c r="AA303"/>
  <c r="Z303"/>
  <c r="Y303"/>
  <c r="X303"/>
  <c r="W303"/>
  <c r="V303"/>
  <c r="U303"/>
  <c r="T303"/>
  <c r="S303"/>
  <c r="R303"/>
  <c r="Q303"/>
  <c r="P303"/>
  <c r="O303"/>
  <c r="N303"/>
  <c r="M303"/>
  <c r="L303"/>
  <c r="K303"/>
  <c r="J303"/>
  <c r="A303" a="1"/>
  <c r="A303" s="1"/>
  <c r="I303" s="1"/>
  <c r="BA302"/>
  <c r="AZ302"/>
  <c r="AY302"/>
  <c r="AX302"/>
  <c r="AW302"/>
  <c r="AV302"/>
  <c r="AU302"/>
  <c r="AT302"/>
  <c r="AS302"/>
  <c r="AR302"/>
  <c r="AQ302"/>
  <c r="AP302"/>
  <c r="AO302"/>
  <c r="AN302"/>
  <c r="AM302"/>
  <c r="AL302"/>
  <c r="AK302"/>
  <c r="AJ302"/>
  <c r="AI302"/>
  <c r="AH302"/>
  <c r="AG302"/>
  <c r="AF302"/>
  <c r="AE302"/>
  <c r="AD302"/>
  <c r="AC302"/>
  <c r="AB302"/>
  <c r="AA302"/>
  <c r="Z302"/>
  <c r="Y302"/>
  <c r="X302"/>
  <c r="W302"/>
  <c r="V302"/>
  <c r="U302"/>
  <c r="T302"/>
  <c r="S302"/>
  <c r="R302"/>
  <c r="Q302"/>
  <c r="P302"/>
  <c r="O302"/>
  <c r="N302"/>
  <c r="M302"/>
  <c r="L302"/>
  <c r="K302"/>
  <c r="J302"/>
  <c r="A302" a="1"/>
  <c r="A302" s="1"/>
  <c r="I302" s="1"/>
  <c r="BA301"/>
  <c r="AZ301"/>
  <c r="AY301"/>
  <c r="AX301"/>
  <c r="AW301"/>
  <c r="AV301"/>
  <c r="AU301"/>
  <c r="AT301"/>
  <c r="AS301"/>
  <c r="AR301"/>
  <c r="AQ301"/>
  <c r="AP301"/>
  <c r="AO301"/>
  <c r="AN301"/>
  <c r="AM301"/>
  <c r="AL301"/>
  <c r="AK301"/>
  <c r="AJ301"/>
  <c r="AI301"/>
  <c r="AH301"/>
  <c r="AG301"/>
  <c r="AF301"/>
  <c r="AE301"/>
  <c r="AD301"/>
  <c r="AC301"/>
  <c r="AB301"/>
  <c r="AA301"/>
  <c r="Z301"/>
  <c r="Y301"/>
  <c r="X301"/>
  <c r="W301"/>
  <c r="V301"/>
  <c r="U301"/>
  <c r="T301"/>
  <c r="S301"/>
  <c r="R301"/>
  <c r="Q301"/>
  <c r="P301"/>
  <c r="O301"/>
  <c r="N301"/>
  <c r="M301"/>
  <c r="L301"/>
  <c r="K301"/>
  <c r="J301"/>
  <c r="A301" a="1"/>
  <c r="A301" s="1"/>
  <c r="I301" s="1"/>
  <c r="BA300"/>
  <c r="AZ300"/>
  <c r="AY300"/>
  <c r="AX300"/>
  <c r="AW300"/>
  <c r="AV300"/>
  <c r="AU300"/>
  <c r="AT300"/>
  <c r="AS300"/>
  <c r="AR300"/>
  <c r="AQ300"/>
  <c r="AP300"/>
  <c r="AO300"/>
  <c r="AN300"/>
  <c r="AM300"/>
  <c r="AL300"/>
  <c r="AK300"/>
  <c r="AJ300"/>
  <c r="AI300"/>
  <c r="AH300"/>
  <c r="AG300"/>
  <c r="AF300"/>
  <c r="AE300"/>
  <c r="AD300"/>
  <c r="AC300"/>
  <c r="AB300"/>
  <c r="AA300"/>
  <c r="Z300"/>
  <c r="Y300"/>
  <c r="X300"/>
  <c r="W300"/>
  <c r="V300"/>
  <c r="U300"/>
  <c r="T300"/>
  <c r="S300"/>
  <c r="R300"/>
  <c r="Q300"/>
  <c r="P300"/>
  <c r="O300"/>
  <c r="N300"/>
  <c r="M300"/>
  <c r="L300"/>
  <c r="K300"/>
  <c r="J300"/>
  <c r="A300" a="1"/>
  <c r="A300" s="1"/>
  <c r="I300" s="1"/>
  <c r="BA299"/>
  <c r="AZ299"/>
  <c r="AY299"/>
  <c r="AX299"/>
  <c r="AW299"/>
  <c r="AV299"/>
  <c r="AU299"/>
  <c r="AT299"/>
  <c r="AS299"/>
  <c r="AR299"/>
  <c r="AQ299"/>
  <c r="AP299"/>
  <c r="AO299"/>
  <c r="AN299"/>
  <c r="AM299"/>
  <c r="AL299"/>
  <c r="AK299"/>
  <c r="AJ299"/>
  <c r="AI299"/>
  <c r="AH299"/>
  <c r="AG299"/>
  <c r="AF299"/>
  <c r="AE299"/>
  <c r="AD299"/>
  <c r="AC299"/>
  <c r="AB299"/>
  <c r="AA299"/>
  <c r="Z299"/>
  <c r="Y299"/>
  <c r="X299"/>
  <c r="W299"/>
  <c r="V299"/>
  <c r="U299"/>
  <c r="T299"/>
  <c r="S299"/>
  <c r="R299"/>
  <c r="Q299"/>
  <c r="P299"/>
  <c r="O299"/>
  <c r="N299"/>
  <c r="M299"/>
  <c r="L299"/>
  <c r="K299"/>
  <c r="J299"/>
  <c r="A299" a="1"/>
  <c r="A299" s="1"/>
  <c r="I299" s="1"/>
  <c r="BA298"/>
  <c r="AZ298"/>
  <c r="AY298"/>
  <c r="AX298"/>
  <c r="AW298"/>
  <c r="AV298"/>
  <c r="AU298"/>
  <c r="AT298"/>
  <c r="AS298"/>
  <c r="AR298"/>
  <c r="AQ298"/>
  <c r="AP298"/>
  <c r="AO298"/>
  <c r="AN298"/>
  <c r="AM298"/>
  <c r="AL298"/>
  <c r="AK298"/>
  <c r="AJ298"/>
  <c r="AI298"/>
  <c r="AH298"/>
  <c r="AG298"/>
  <c r="AF298"/>
  <c r="AE298"/>
  <c r="AD298"/>
  <c r="AC298"/>
  <c r="AB298"/>
  <c r="AA298"/>
  <c r="Z298"/>
  <c r="Y298"/>
  <c r="X298"/>
  <c r="W298"/>
  <c r="V298"/>
  <c r="U298"/>
  <c r="T298"/>
  <c r="S298"/>
  <c r="R298"/>
  <c r="Q298"/>
  <c r="P298"/>
  <c r="O298"/>
  <c r="N298"/>
  <c r="M298"/>
  <c r="L298"/>
  <c r="K298"/>
  <c r="J298"/>
  <c r="A298" a="1"/>
  <c r="A298" s="1"/>
  <c r="I298" s="1"/>
  <c r="BA297"/>
  <c r="AZ297"/>
  <c r="AY297"/>
  <c r="AX297"/>
  <c r="AW297"/>
  <c r="AV297"/>
  <c r="AU297"/>
  <c r="AT297"/>
  <c r="AS297"/>
  <c r="AR297"/>
  <c r="AQ297"/>
  <c r="AP297"/>
  <c r="AO297"/>
  <c r="AN297"/>
  <c r="AM297"/>
  <c r="AL297"/>
  <c r="AK297"/>
  <c r="AJ297"/>
  <c r="AI297"/>
  <c r="AH297"/>
  <c r="AG297"/>
  <c r="AF297"/>
  <c r="AE297"/>
  <c r="AD297"/>
  <c r="AC297"/>
  <c r="AB297"/>
  <c r="AA297"/>
  <c r="Z297"/>
  <c r="Y297"/>
  <c r="X297"/>
  <c r="W297"/>
  <c r="V297"/>
  <c r="U297"/>
  <c r="T297"/>
  <c r="S297"/>
  <c r="R297"/>
  <c r="Q297"/>
  <c r="P297"/>
  <c r="O297"/>
  <c r="N297"/>
  <c r="M297"/>
  <c r="L297"/>
  <c r="K297"/>
  <c r="J297"/>
  <c r="A297" a="1"/>
  <c r="A297" s="1"/>
  <c r="I297" s="1"/>
  <c r="BA296"/>
  <c r="AZ296"/>
  <c r="AY296"/>
  <c r="AX296"/>
  <c r="AW296"/>
  <c r="AV296"/>
  <c r="AU296"/>
  <c r="AT296"/>
  <c r="AS296"/>
  <c r="AR296"/>
  <c r="AQ296"/>
  <c r="AP296"/>
  <c r="AO296"/>
  <c r="AN296"/>
  <c r="AM296"/>
  <c r="AL296"/>
  <c r="AK296"/>
  <c r="AJ296"/>
  <c r="AI296"/>
  <c r="AH296"/>
  <c r="AG296"/>
  <c r="AF296"/>
  <c r="AE296"/>
  <c r="AD296"/>
  <c r="AC296"/>
  <c r="AB296"/>
  <c r="AA296"/>
  <c r="Z296"/>
  <c r="Y296"/>
  <c r="X296"/>
  <c r="W296"/>
  <c r="V296"/>
  <c r="U296"/>
  <c r="T296"/>
  <c r="S296"/>
  <c r="R296"/>
  <c r="Q296"/>
  <c r="P296"/>
  <c r="O296"/>
  <c r="N296"/>
  <c r="M296"/>
  <c r="L296"/>
  <c r="K296"/>
  <c r="J296"/>
  <c r="A296" a="1"/>
  <c r="A296" s="1"/>
  <c r="I296" s="1"/>
  <c r="BA295"/>
  <c r="AZ295"/>
  <c r="AY295"/>
  <c r="AX295"/>
  <c r="AW295"/>
  <c r="AV295"/>
  <c r="AU295"/>
  <c r="AT295"/>
  <c r="AS295"/>
  <c r="AR295"/>
  <c r="AQ295"/>
  <c r="AP295"/>
  <c r="AO295"/>
  <c r="AN295"/>
  <c r="AM295"/>
  <c r="AL295"/>
  <c r="AK295"/>
  <c r="AJ295"/>
  <c r="AI295"/>
  <c r="AH295"/>
  <c r="AG295"/>
  <c r="AF295"/>
  <c r="AE295"/>
  <c r="AD295"/>
  <c r="AC295"/>
  <c r="AB295"/>
  <c r="AA295"/>
  <c r="Z295"/>
  <c r="Y295"/>
  <c r="X295"/>
  <c r="W295"/>
  <c r="V295"/>
  <c r="U295"/>
  <c r="T295"/>
  <c r="S295"/>
  <c r="R295"/>
  <c r="Q295"/>
  <c r="P295"/>
  <c r="O295"/>
  <c r="N295"/>
  <c r="M295"/>
  <c r="L295"/>
  <c r="K295"/>
  <c r="J295"/>
  <c r="A295" a="1"/>
  <c r="A295" s="1"/>
  <c r="I295" s="1"/>
  <c r="BA294"/>
  <c r="AZ294"/>
  <c r="AY294"/>
  <c r="AX294"/>
  <c r="AW294"/>
  <c r="AV294"/>
  <c r="AU294"/>
  <c r="AT294"/>
  <c r="AS294"/>
  <c r="AR294"/>
  <c r="AQ294"/>
  <c r="AP294"/>
  <c r="AO294"/>
  <c r="AN294"/>
  <c r="AM294"/>
  <c r="AL294"/>
  <c r="AK294"/>
  <c r="AJ294"/>
  <c r="AI294"/>
  <c r="AH294"/>
  <c r="AG294"/>
  <c r="AF294"/>
  <c r="AE294"/>
  <c r="AD294"/>
  <c r="AC294"/>
  <c r="AB294"/>
  <c r="AA294"/>
  <c r="Z294"/>
  <c r="Y294"/>
  <c r="X294"/>
  <c r="W294"/>
  <c r="V294"/>
  <c r="U294"/>
  <c r="T294"/>
  <c r="S294"/>
  <c r="R294"/>
  <c r="Q294"/>
  <c r="P294"/>
  <c r="O294"/>
  <c r="N294"/>
  <c r="M294"/>
  <c r="L294"/>
  <c r="K294"/>
  <c r="J294"/>
  <c r="A294" a="1"/>
  <c r="A294" s="1"/>
  <c r="I294" s="1"/>
  <c r="BA293"/>
  <c r="AZ293"/>
  <c r="AY293"/>
  <c r="AX293"/>
  <c r="AW293"/>
  <c r="AV293"/>
  <c r="AU293"/>
  <c r="AT293"/>
  <c r="AS293"/>
  <c r="AR293"/>
  <c r="AQ293"/>
  <c r="AP293"/>
  <c r="AO293"/>
  <c r="AN293"/>
  <c r="AM293"/>
  <c r="AL293"/>
  <c r="AK293"/>
  <c r="AJ293"/>
  <c r="AI293"/>
  <c r="AH293"/>
  <c r="AG293"/>
  <c r="AF293"/>
  <c r="AE293"/>
  <c r="AD293"/>
  <c r="AC293"/>
  <c r="AB293"/>
  <c r="AA293"/>
  <c r="Z293"/>
  <c r="Y293"/>
  <c r="X293"/>
  <c r="W293"/>
  <c r="V293"/>
  <c r="U293"/>
  <c r="T293"/>
  <c r="S293"/>
  <c r="R293"/>
  <c r="Q293"/>
  <c r="P293"/>
  <c r="O293"/>
  <c r="N293"/>
  <c r="M293"/>
  <c r="L293"/>
  <c r="K293"/>
  <c r="J293"/>
  <c r="A293" a="1"/>
  <c r="A293" s="1"/>
  <c r="I293" s="1"/>
  <c r="BA292"/>
  <c r="AZ292"/>
  <c r="AY292"/>
  <c r="AX292"/>
  <c r="AW292"/>
  <c r="AV292"/>
  <c r="AU292"/>
  <c r="AT292"/>
  <c r="AS292"/>
  <c r="AR292"/>
  <c r="AQ292"/>
  <c r="AP292"/>
  <c r="AO292"/>
  <c r="AN292"/>
  <c r="AM292"/>
  <c r="AL292"/>
  <c r="AK292"/>
  <c r="AJ292"/>
  <c r="AI292"/>
  <c r="AH292"/>
  <c r="AG292"/>
  <c r="AF292"/>
  <c r="AE292"/>
  <c r="AD292"/>
  <c r="AC292"/>
  <c r="AB292"/>
  <c r="AA292"/>
  <c r="Z292"/>
  <c r="Y292"/>
  <c r="X292"/>
  <c r="W292"/>
  <c r="V292"/>
  <c r="U292"/>
  <c r="T292"/>
  <c r="S292"/>
  <c r="R292"/>
  <c r="Q292"/>
  <c r="P292"/>
  <c r="O292"/>
  <c r="N292"/>
  <c r="M292"/>
  <c r="L292"/>
  <c r="K292"/>
  <c r="J292"/>
  <c r="A292" a="1"/>
  <c r="A292" s="1"/>
  <c r="I292" s="1"/>
  <c r="BA291"/>
  <c r="AZ291"/>
  <c r="AY291"/>
  <c r="AX291"/>
  <c r="AW291"/>
  <c r="AV291"/>
  <c r="AU291"/>
  <c r="AT291"/>
  <c r="AS291"/>
  <c r="AR291"/>
  <c r="AQ291"/>
  <c r="AP291"/>
  <c r="AO291"/>
  <c r="AN291"/>
  <c r="AM291"/>
  <c r="AL291"/>
  <c r="AK291"/>
  <c r="AJ291"/>
  <c r="AI291"/>
  <c r="AH291"/>
  <c r="AG291"/>
  <c r="AF291"/>
  <c r="AE291"/>
  <c r="AD291"/>
  <c r="AC291"/>
  <c r="AB291"/>
  <c r="AA291"/>
  <c r="Z291"/>
  <c r="Y291"/>
  <c r="X291"/>
  <c r="W291"/>
  <c r="V291"/>
  <c r="U291"/>
  <c r="T291"/>
  <c r="S291"/>
  <c r="R291"/>
  <c r="Q291"/>
  <c r="P291"/>
  <c r="O291"/>
  <c r="N291"/>
  <c r="M291"/>
  <c r="L291"/>
  <c r="K291"/>
  <c r="J291"/>
  <c r="A291" a="1"/>
  <c r="A291" s="1"/>
  <c r="I291" s="1"/>
  <c r="BA290"/>
  <c r="AZ290"/>
  <c r="AY290"/>
  <c r="AX290"/>
  <c r="AW290"/>
  <c r="AV290"/>
  <c r="AU290"/>
  <c r="AT290"/>
  <c r="AS290"/>
  <c r="AR290"/>
  <c r="AQ290"/>
  <c r="AP290"/>
  <c r="AO290"/>
  <c r="AN290"/>
  <c r="AM290"/>
  <c r="AL290"/>
  <c r="AK290"/>
  <c r="AJ290"/>
  <c r="AI290"/>
  <c r="AH290"/>
  <c r="AG290"/>
  <c r="AF290"/>
  <c r="AE290"/>
  <c r="AD290"/>
  <c r="AC290"/>
  <c r="AB290"/>
  <c r="AA290"/>
  <c r="Z290"/>
  <c r="Y290"/>
  <c r="X290"/>
  <c r="W290"/>
  <c r="V290"/>
  <c r="U290"/>
  <c r="T290"/>
  <c r="S290"/>
  <c r="R290"/>
  <c r="Q290"/>
  <c r="P290"/>
  <c r="O290"/>
  <c r="N290"/>
  <c r="M290"/>
  <c r="L290"/>
  <c r="K290"/>
  <c r="J290"/>
  <c r="A290" a="1"/>
  <c r="A290" s="1"/>
  <c r="I290" s="1"/>
  <c r="BA289"/>
  <c r="AZ289"/>
  <c r="AY289"/>
  <c r="AX289"/>
  <c r="AW289"/>
  <c r="AV289"/>
  <c r="AU289"/>
  <c r="AT289"/>
  <c r="AS289"/>
  <c r="AR289"/>
  <c r="AQ289"/>
  <c r="AP289"/>
  <c r="AO289"/>
  <c r="AN289"/>
  <c r="AM289"/>
  <c r="AL289"/>
  <c r="AK289"/>
  <c r="AJ289"/>
  <c r="AI289"/>
  <c r="AH289"/>
  <c r="AG289"/>
  <c r="AF289"/>
  <c r="AE289"/>
  <c r="AD289"/>
  <c r="AC289"/>
  <c r="AB289"/>
  <c r="AA289"/>
  <c r="Z289"/>
  <c r="Y289"/>
  <c r="X289"/>
  <c r="W289"/>
  <c r="V289"/>
  <c r="U289"/>
  <c r="T289"/>
  <c r="S289"/>
  <c r="R289"/>
  <c r="Q289"/>
  <c r="P289"/>
  <c r="O289"/>
  <c r="N289"/>
  <c r="M289"/>
  <c r="L289"/>
  <c r="K289"/>
  <c r="J289"/>
  <c r="A289" a="1"/>
  <c r="A289" s="1"/>
  <c r="I289" s="1"/>
  <c r="BA288"/>
  <c r="AZ288"/>
  <c r="AY288"/>
  <c r="AX288"/>
  <c r="AW288"/>
  <c r="AV288"/>
  <c r="AU288"/>
  <c r="AT288"/>
  <c r="AS288"/>
  <c r="AR288"/>
  <c r="AQ288"/>
  <c r="AP288"/>
  <c r="AO288"/>
  <c r="AN288"/>
  <c r="AM288"/>
  <c r="AL288"/>
  <c r="AK288"/>
  <c r="AJ288"/>
  <c r="AI288"/>
  <c r="AH288"/>
  <c r="AG288"/>
  <c r="AF288"/>
  <c r="AE288"/>
  <c r="AD288"/>
  <c r="AC288"/>
  <c r="AB288"/>
  <c r="AA288"/>
  <c r="Z288"/>
  <c r="Y288"/>
  <c r="X288"/>
  <c r="W288"/>
  <c r="V288"/>
  <c r="U288"/>
  <c r="T288"/>
  <c r="S288"/>
  <c r="R288"/>
  <c r="Q288"/>
  <c r="P288"/>
  <c r="O288"/>
  <c r="N288"/>
  <c r="M288"/>
  <c r="L288"/>
  <c r="K288"/>
  <c r="J288"/>
  <c r="A288" a="1"/>
  <c r="A288" s="1"/>
  <c r="I288" s="1"/>
  <c r="BA287"/>
  <c r="AZ287"/>
  <c r="AY287"/>
  <c r="AX287"/>
  <c r="AW287"/>
  <c r="AV287"/>
  <c r="AU287"/>
  <c r="AT287"/>
  <c r="AS287"/>
  <c r="AR287"/>
  <c r="AQ287"/>
  <c r="AP287"/>
  <c r="AO287"/>
  <c r="AN287"/>
  <c r="AM287"/>
  <c r="AL287"/>
  <c r="AK287"/>
  <c r="AJ287"/>
  <c r="AI287"/>
  <c r="AH287"/>
  <c r="AG287"/>
  <c r="AF287"/>
  <c r="AE287"/>
  <c r="AD287"/>
  <c r="AC287"/>
  <c r="AB287"/>
  <c r="AA287"/>
  <c r="Z287"/>
  <c r="Y287"/>
  <c r="X287"/>
  <c r="W287"/>
  <c r="V287"/>
  <c r="U287"/>
  <c r="T287"/>
  <c r="S287"/>
  <c r="R287"/>
  <c r="Q287"/>
  <c r="P287"/>
  <c r="O287"/>
  <c r="N287"/>
  <c r="M287"/>
  <c r="L287"/>
  <c r="K287"/>
  <c r="J287"/>
  <c r="A287" a="1"/>
  <c r="A287" s="1"/>
  <c r="I287" s="1"/>
  <c r="BA286"/>
  <c r="AZ286"/>
  <c r="AY286"/>
  <c r="AX286"/>
  <c r="AW286"/>
  <c r="AV286"/>
  <c r="AU286"/>
  <c r="AT286"/>
  <c r="AS286"/>
  <c r="AR286"/>
  <c r="AQ286"/>
  <c r="AP286"/>
  <c r="AO286"/>
  <c r="AN286"/>
  <c r="AM286"/>
  <c r="AL286"/>
  <c r="AK286"/>
  <c r="AJ286"/>
  <c r="AI286"/>
  <c r="AH286"/>
  <c r="AG286"/>
  <c r="AF286"/>
  <c r="AE286"/>
  <c r="AD286"/>
  <c r="AC286"/>
  <c r="AB286"/>
  <c r="AA286"/>
  <c r="Z286"/>
  <c r="Y286"/>
  <c r="X286"/>
  <c r="W286"/>
  <c r="V286"/>
  <c r="U286"/>
  <c r="T286"/>
  <c r="S286"/>
  <c r="R286"/>
  <c r="Q286"/>
  <c r="P286"/>
  <c r="O286"/>
  <c r="N286"/>
  <c r="M286"/>
  <c r="L286"/>
  <c r="K286"/>
  <c r="J286"/>
  <c r="A286" a="1"/>
  <c r="A286" s="1"/>
  <c r="I286" s="1"/>
  <c r="BA285"/>
  <c r="AZ285"/>
  <c r="AY285"/>
  <c r="AX285"/>
  <c r="AW285"/>
  <c r="AV285"/>
  <c r="AU285"/>
  <c r="AT285"/>
  <c r="AS285"/>
  <c r="AR285"/>
  <c r="AQ285"/>
  <c r="AP285"/>
  <c r="AO285"/>
  <c r="AN285"/>
  <c r="AM285"/>
  <c r="AL285"/>
  <c r="AK285"/>
  <c r="AJ285"/>
  <c r="AI285"/>
  <c r="AH285"/>
  <c r="AG285"/>
  <c r="AF285"/>
  <c r="AE285"/>
  <c r="AD285"/>
  <c r="AC285"/>
  <c r="AB285"/>
  <c r="AA285"/>
  <c r="Z285"/>
  <c r="Y285"/>
  <c r="X285"/>
  <c r="W285"/>
  <c r="V285"/>
  <c r="U285"/>
  <c r="T285"/>
  <c r="S285"/>
  <c r="R285"/>
  <c r="Q285"/>
  <c r="P285"/>
  <c r="O285"/>
  <c r="N285"/>
  <c r="M285"/>
  <c r="L285"/>
  <c r="K285"/>
  <c r="J285"/>
  <c r="A285" a="1"/>
  <c r="A285" s="1"/>
  <c r="I285" s="1"/>
  <c r="BA284"/>
  <c r="AZ284"/>
  <c r="AY284"/>
  <c r="AX284"/>
  <c r="AW284"/>
  <c r="AV284"/>
  <c r="AU284"/>
  <c r="AT284"/>
  <c r="AS284"/>
  <c r="AR284"/>
  <c r="AQ284"/>
  <c r="AP284"/>
  <c r="AO284"/>
  <c r="AN284"/>
  <c r="AM284"/>
  <c r="AL284"/>
  <c r="AK284"/>
  <c r="AJ284"/>
  <c r="AI284"/>
  <c r="AH284"/>
  <c r="AG284"/>
  <c r="AF284"/>
  <c r="AE284"/>
  <c r="AD284"/>
  <c r="AC284"/>
  <c r="AB284"/>
  <c r="AA284"/>
  <c r="Z284"/>
  <c r="Y284"/>
  <c r="X284"/>
  <c r="W284"/>
  <c r="V284"/>
  <c r="U284"/>
  <c r="T284"/>
  <c r="S284"/>
  <c r="R284"/>
  <c r="Q284"/>
  <c r="P284"/>
  <c r="O284"/>
  <c r="N284"/>
  <c r="M284"/>
  <c r="L284"/>
  <c r="K284"/>
  <c r="J284"/>
  <c r="A284" a="1"/>
  <c r="A284" s="1"/>
  <c r="I284" s="1"/>
  <c r="BA283"/>
  <c r="AZ283"/>
  <c r="AY283"/>
  <c r="AX283"/>
  <c r="AW283"/>
  <c r="AV283"/>
  <c r="AU283"/>
  <c r="AT283"/>
  <c r="AS283"/>
  <c r="AR283"/>
  <c r="AQ283"/>
  <c r="AP283"/>
  <c r="AO283"/>
  <c r="AN283"/>
  <c r="AM283"/>
  <c r="AL283"/>
  <c r="AK283"/>
  <c r="AJ283"/>
  <c r="AI283"/>
  <c r="AH283"/>
  <c r="AG283"/>
  <c r="AF283"/>
  <c r="AE283"/>
  <c r="AD283"/>
  <c r="AC283"/>
  <c r="AB283"/>
  <c r="AA283"/>
  <c r="Z283"/>
  <c r="Y283"/>
  <c r="X283"/>
  <c r="W283"/>
  <c r="V283"/>
  <c r="U283"/>
  <c r="T283"/>
  <c r="S283"/>
  <c r="R283"/>
  <c r="Q283"/>
  <c r="P283"/>
  <c r="O283"/>
  <c r="N283"/>
  <c r="M283"/>
  <c r="L283"/>
  <c r="K283"/>
  <c r="J283"/>
  <c r="A283" a="1"/>
  <c r="A283" s="1"/>
  <c r="I283" s="1"/>
  <c r="BA282"/>
  <c r="AZ282"/>
  <c r="AY282"/>
  <c r="AX282"/>
  <c r="AW282"/>
  <c r="AV282"/>
  <c r="AU282"/>
  <c r="AT282"/>
  <c r="AS282"/>
  <c r="AR282"/>
  <c r="AQ282"/>
  <c r="AP282"/>
  <c r="AO282"/>
  <c r="AN282"/>
  <c r="AM282"/>
  <c r="AL282"/>
  <c r="AK282"/>
  <c r="AJ282"/>
  <c r="AI282"/>
  <c r="AH282"/>
  <c r="AG282"/>
  <c r="AF282"/>
  <c r="AE282"/>
  <c r="AD282"/>
  <c r="AC282"/>
  <c r="AB282"/>
  <c r="AA282"/>
  <c r="Z282"/>
  <c r="Y282"/>
  <c r="X282"/>
  <c r="W282"/>
  <c r="V282"/>
  <c r="U282"/>
  <c r="T282"/>
  <c r="S282"/>
  <c r="R282"/>
  <c r="Q282"/>
  <c r="P282"/>
  <c r="O282"/>
  <c r="N282"/>
  <c r="M282"/>
  <c r="L282"/>
  <c r="K282"/>
  <c r="J282"/>
  <c r="A282" a="1"/>
  <c r="A282" s="1"/>
  <c r="I282" s="1"/>
  <c r="BA281"/>
  <c r="AZ281"/>
  <c r="AY281"/>
  <c r="AX281"/>
  <c r="AW281"/>
  <c r="AV281"/>
  <c r="AU281"/>
  <c r="AT281"/>
  <c r="AS281"/>
  <c r="AR281"/>
  <c r="AQ281"/>
  <c r="AP281"/>
  <c r="AO281"/>
  <c r="AN281"/>
  <c r="AM281"/>
  <c r="AL281"/>
  <c r="AK281"/>
  <c r="AJ281"/>
  <c r="AI281"/>
  <c r="AH281"/>
  <c r="AG281"/>
  <c r="AF281"/>
  <c r="AE281"/>
  <c r="AD281"/>
  <c r="AC281"/>
  <c r="AB281"/>
  <c r="AA281"/>
  <c r="Z281"/>
  <c r="Y281"/>
  <c r="X281"/>
  <c r="W281"/>
  <c r="V281"/>
  <c r="U281"/>
  <c r="T281"/>
  <c r="S281"/>
  <c r="R281"/>
  <c r="Q281"/>
  <c r="P281"/>
  <c r="O281"/>
  <c r="N281"/>
  <c r="M281"/>
  <c r="L281"/>
  <c r="K281"/>
  <c r="J281"/>
  <c r="A281" a="1"/>
  <c r="A281" s="1"/>
  <c r="I281" s="1"/>
  <c r="BA280"/>
  <c r="AZ280"/>
  <c r="AY280"/>
  <c r="AX280"/>
  <c r="AW280"/>
  <c r="AV280"/>
  <c r="AU280"/>
  <c r="AT280"/>
  <c r="AS280"/>
  <c r="AR280"/>
  <c r="AQ280"/>
  <c r="AP280"/>
  <c r="AO280"/>
  <c r="AN280"/>
  <c r="AM280"/>
  <c r="AL280"/>
  <c r="AK280"/>
  <c r="AJ280"/>
  <c r="AI280"/>
  <c r="AH280"/>
  <c r="AG280"/>
  <c r="AF280"/>
  <c r="AE280"/>
  <c r="AD280"/>
  <c r="AC280"/>
  <c r="AB280"/>
  <c r="AA280"/>
  <c r="Z280"/>
  <c r="Y280"/>
  <c r="X280"/>
  <c r="W280"/>
  <c r="V280"/>
  <c r="U280"/>
  <c r="T280"/>
  <c r="S280"/>
  <c r="R280"/>
  <c r="Q280"/>
  <c r="P280"/>
  <c r="O280"/>
  <c r="N280"/>
  <c r="M280"/>
  <c r="L280"/>
  <c r="K280"/>
  <c r="J280"/>
  <c r="A280" a="1"/>
  <c r="A280" s="1"/>
  <c r="I280" s="1"/>
  <c r="BA279"/>
  <c r="AZ279"/>
  <c r="AY279"/>
  <c r="AX279"/>
  <c r="AW279"/>
  <c r="AV279"/>
  <c r="AU279"/>
  <c r="AT279"/>
  <c r="AS279"/>
  <c r="AR279"/>
  <c r="AQ279"/>
  <c r="AP279"/>
  <c r="AO279"/>
  <c r="AN279"/>
  <c r="AM279"/>
  <c r="AL279"/>
  <c r="AK279"/>
  <c r="AJ279"/>
  <c r="AI279"/>
  <c r="AH279"/>
  <c r="AG279"/>
  <c r="AF279"/>
  <c r="AE279"/>
  <c r="AD279"/>
  <c r="AC279"/>
  <c r="AB279"/>
  <c r="AA279"/>
  <c r="Z279"/>
  <c r="Y279"/>
  <c r="X279"/>
  <c r="W279"/>
  <c r="V279"/>
  <c r="U279"/>
  <c r="T279"/>
  <c r="S279"/>
  <c r="R279"/>
  <c r="Q279"/>
  <c r="P279"/>
  <c r="O279"/>
  <c r="N279"/>
  <c r="M279"/>
  <c r="L279"/>
  <c r="K279"/>
  <c r="J279"/>
  <c r="A279" a="1"/>
  <c r="A279" s="1"/>
  <c r="I279" s="1"/>
  <c r="BA278"/>
  <c r="AZ278"/>
  <c r="AY278"/>
  <c r="AX278"/>
  <c r="AW278"/>
  <c r="AV278"/>
  <c r="AU278"/>
  <c r="AT278"/>
  <c r="AS278"/>
  <c r="AR278"/>
  <c r="AQ278"/>
  <c r="AP278"/>
  <c r="AO278"/>
  <c r="AN278"/>
  <c r="AM278"/>
  <c r="AL278"/>
  <c r="AK278"/>
  <c r="AJ278"/>
  <c r="AI278"/>
  <c r="AH278"/>
  <c r="AG278"/>
  <c r="AF278"/>
  <c r="AE278"/>
  <c r="AD278"/>
  <c r="AC278"/>
  <c r="AB278"/>
  <c r="AA278"/>
  <c r="Z278"/>
  <c r="Y278"/>
  <c r="X278"/>
  <c r="W278"/>
  <c r="V278"/>
  <c r="U278"/>
  <c r="T278"/>
  <c r="S278"/>
  <c r="R278"/>
  <c r="Q278"/>
  <c r="P278"/>
  <c r="O278"/>
  <c r="N278"/>
  <c r="M278"/>
  <c r="L278"/>
  <c r="K278"/>
  <c r="J278"/>
  <c r="A278" a="1"/>
  <c r="A278" s="1"/>
  <c r="I278" s="1"/>
  <c r="BA277"/>
  <c r="AZ277"/>
  <c r="AY277"/>
  <c r="AX277"/>
  <c r="AW277"/>
  <c r="AV277"/>
  <c r="AU277"/>
  <c r="AT277"/>
  <c r="AS277"/>
  <c r="AR277"/>
  <c r="AQ277"/>
  <c r="AP277"/>
  <c r="AO277"/>
  <c r="AN277"/>
  <c r="AM277"/>
  <c r="AL277"/>
  <c r="AK277"/>
  <c r="AJ277"/>
  <c r="AI277"/>
  <c r="AH277"/>
  <c r="AG277"/>
  <c r="AF277"/>
  <c r="AE277"/>
  <c r="AD277"/>
  <c r="AC277"/>
  <c r="AB277"/>
  <c r="AA277"/>
  <c r="Z277"/>
  <c r="Y277"/>
  <c r="X277"/>
  <c r="W277"/>
  <c r="V277"/>
  <c r="U277"/>
  <c r="T277"/>
  <c r="S277"/>
  <c r="R277"/>
  <c r="Q277"/>
  <c r="P277"/>
  <c r="O277"/>
  <c r="N277"/>
  <c r="M277"/>
  <c r="L277"/>
  <c r="K277"/>
  <c r="J277"/>
  <c r="A277" a="1"/>
  <c r="A277" s="1"/>
  <c r="I277" s="1"/>
  <c r="BA276"/>
  <c r="AZ276"/>
  <c r="AY276"/>
  <c r="AX276"/>
  <c r="AW276"/>
  <c r="AV276"/>
  <c r="AU276"/>
  <c r="AT276"/>
  <c r="AS276"/>
  <c r="AR276"/>
  <c r="AQ276"/>
  <c r="AP276"/>
  <c r="AO276"/>
  <c r="AN276"/>
  <c r="AM276"/>
  <c r="AL276"/>
  <c r="AK276"/>
  <c r="AJ276"/>
  <c r="AI276"/>
  <c r="AH276"/>
  <c r="AG276"/>
  <c r="AF276"/>
  <c r="AE276"/>
  <c r="AD276"/>
  <c r="AC276"/>
  <c r="AB276"/>
  <c r="AA276"/>
  <c r="Z276"/>
  <c r="Y276"/>
  <c r="X276"/>
  <c r="W276"/>
  <c r="V276"/>
  <c r="U276"/>
  <c r="T276"/>
  <c r="S276"/>
  <c r="R276"/>
  <c r="Q276"/>
  <c r="P276"/>
  <c r="O276"/>
  <c r="N276"/>
  <c r="M276"/>
  <c r="L276"/>
  <c r="K276"/>
  <c r="J276"/>
  <c r="A276" a="1"/>
  <c r="A276" s="1"/>
  <c r="I276" s="1"/>
  <c r="BA275"/>
  <c r="AZ275"/>
  <c r="AY275"/>
  <c r="AX275"/>
  <c r="AW275"/>
  <c r="AV275"/>
  <c r="AU275"/>
  <c r="AT275"/>
  <c r="AS275"/>
  <c r="AR275"/>
  <c r="AQ275"/>
  <c r="AP275"/>
  <c r="AO275"/>
  <c r="AN275"/>
  <c r="AM275"/>
  <c r="AL275"/>
  <c r="AK275"/>
  <c r="AJ275"/>
  <c r="AI275"/>
  <c r="AH275"/>
  <c r="AG275"/>
  <c r="AF275"/>
  <c r="AE275"/>
  <c r="AD275"/>
  <c r="AC275"/>
  <c r="AB275"/>
  <c r="AA275"/>
  <c r="Z275"/>
  <c r="Y275"/>
  <c r="X275"/>
  <c r="W275"/>
  <c r="V275"/>
  <c r="U275"/>
  <c r="T275"/>
  <c r="S275"/>
  <c r="R275"/>
  <c r="Q275"/>
  <c r="P275"/>
  <c r="O275"/>
  <c r="N275"/>
  <c r="M275"/>
  <c r="L275"/>
  <c r="K275"/>
  <c r="J275"/>
  <c r="A275" a="1"/>
  <c r="A275" s="1"/>
  <c r="I275" s="1"/>
  <c r="BA274"/>
  <c r="AZ274"/>
  <c r="AY274"/>
  <c r="AX274"/>
  <c r="AW274"/>
  <c r="AV274"/>
  <c r="AU274"/>
  <c r="AT274"/>
  <c r="AS274"/>
  <c r="AR274"/>
  <c r="AQ274"/>
  <c r="AP274"/>
  <c r="AO274"/>
  <c r="AN274"/>
  <c r="AM274"/>
  <c r="AL274"/>
  <c r="AK274"/>
  <c r="AJ274"/>
  <c r="AI274"/>
  <c r="AH274"/>
  <c r="AG274"/>
  <c r="AF274"/>
  <c r="AE274"/>
  <c r="AD274"/>
  <c r="AC274"/>
  <c r="AB274"/>
  <c r="AA274"/>
  <c r="Z274"/>
  <c r="Y274"/>
  <c r="X274"/>
  <c r="W274"/>
  <c r="V274"/>
  <c r="U274"/>
  <c r="T274"/>
  <c r="S274"/>
  <c r="R274"/>
  <c r="Q274"/>
  <c r="P274"/>
  <c r="O274"/>
  <c r="N274"/>
  <c r="M274"/>
  <c r="L274"/>
  <c r="K274"/>
  <c r="J274"/>
  <c r="A274" a="1"/>
  <c r="A274" s="1"/>
  <c r="I274" s="1"/>
  <c r="BA273"/>
  <c r="AZ273"/>
  <c r="AY273"/>
  <c r="AX273"/>
  <c r="AW273"/>
  <c r="AV273"/>
  <c r="AU273"/>
  <c r="AT273"/>
  <c r="AS273"/>
  <c r="AR273"/>
  <c r="AQ273"/>
  <c r="AP273"/>
  <c r="AO273"/>
  <c r="AN273"/>
  <c r="AM273"/>
  <c r="AL273"/>
  <c r="AK273"/>
  <c r="AJ273"/>
  <c r="AI273"/>
  <c r="AH273"/>
  <c r="AG273"/>
  <c r="AF273"/>
  <c r="AE273"/>
  <c r="AD273"/>
  <c r="AC273"/>
  <c r="AB273"/>
  <c r="AA273"/>
  <c r="Z273"/>
  <c r="Y273"/>
  <c r="X273"/>
  <c r="W273"/>
  <c r="V273"/>
  <c r="U273"/>
  <c r="T273"/>
  <c r="S273"/>
  <c r="R273"/>
  <c r="Q273"/>
  <c r="P273"/>
  <c r="O273"/>
  <c r="N273"/>
  <c r="M273"/>
  <c r="L273"/>
  <c r="K273"/>
  <c r="J273"/>
  <c r="A273" a="1"/>
  <c r="A273" s="1"/>
  <c r="I273" s="1"/>
  <c r="BA272"/>
  <c r="AZ272"/>
  <c r="AY272"/>
  <c r="AX272"/>
  <c r="AW272"/>
  <c r="AV272"/>
  <c r="AU272"/>
  <c r="AT272"/>
  <c r="AS272"/>
  <c r="AR272"/>
  <c r="AQ272"/>
  <c r="AP272"/>
  <c r="AO272"/>
  <c r="AN272"/>
  <c r="AM272"/>
  <c r="AL272"/>
  <c r="AK272"/>
  <c r="AJ272"/>
  <c r="AI272"/>
  <c r="AH272"/>
  <c r="AG272"/>
  <c r="AF272"/>
  <c r="AE272"/>
  <c r="AD272"/>
  <c r="AC272"/>
  <c r="AB272"/>
  <c r="AA272"/>
  <c r="Z272"/>
  <c r="Y272"/>
  <c r="X272"/>
  <c r="W272"/>
  <c r="V272"/>
  <c r="U272"/>
  <c r="T272"/>
  <c r="S272"/>
  <c r="R272"/>
  <c r="Q272"/>
  <c r="P272"/>
  <c r="O272"/>
  <c r="N272"/>
  <c r="M272"/>
  <c r="L272"/>
  <c r="K272"/>
  <c r="J272"/>
  <c r="A272" a="1"/>
  <c r="A272" s="1"/>
  <c r="I272" s="1"/>
  <c r="BA271"/>
  <c r="AZ271"/>
  <c r="AY271"/>
  <c r="AX271"/>
  <c r="AW271"/>
  <c r="AV271"/>
  <c r="AU271"/>
  <c r="AT271"/>
  <c r="AS271"/>
  <c r="AR271"/>
  <c r="AQ271"/>
  <c r="AP271"/>
  <c r="AO271"/>
  <c r="AN271"/>
  <c r="AM271"/>
  <c r="AL271"/>
  <c r="AK271"/>
  <c r="AJ271"/>
  <c r="AI271"/>
  <c r="AH271"/>
  <c r="AG271"/>
  <c r="AF271"/>
  <c r="AE271"/>
  <c r="AD271"/>
  <c r="AC271"/>
  <c r="AB271"/>
  <c r="AA271"/>
  <c r="Z271"/>
  <c r="Y271"/>
  <c r="X271"/>
  <c r="W271"/>
  <c r="V271"/>
  <c r="U271"/>
  <c r="T271"/>
  <c r="S271"/>
  <c r="R271"/>
  <c r="Q271"/>
  <c r="P271"/>
  <c r="O271"/>
  <c r="N271"/>
  <c r="M271"/>
  <c r="L271"/>
  <c r="K271"/>
  <c r="J271"/>
  <c r="A271" a="1"/>
  <c r="A271" s="1"/>
  <c r="I271" s="1"/>
  <c r="BA270"/>
  <c r="AZ270"/>
  <c r="AY270"/>
  <c r="AX270"/>
  <c r="AW270"/>
  <c r="AV270"/>
  <c r="AU270"/>
  <c r="AT270"/>
  <c r="AS270"/>
  <c r="AR270"/>
  <c r="AQ270"/>
  <c r="AP270"/>
  <c r="AO270"/>
  <c r="AN270"/>
  <c r="AM270"/>
  <c r="AL270"/>
  <c r="AK270"/>
  <c r="AJ270"/>
  <c r="AI270"/>
  <c r="AH270"/>
  <c r="AG270"/>
  <c r="AF270"/>
  <c r="AE270"/>
  <c r="AD270"/>
  <c r="AC270"/>
  <c r="AB270"/>
  <c r="AA270"/>
  <c r="Z270"/>
  <c r="Y270"/>
  <c r="X270"/>
  <c r="W270"/>
  <c r="V270"/>
  <c r="U270"/>
  <c r="T270"/>
  <c r="S270"/>
  <c r="R270"/>
  <c r="Q270"/>
  <c r="P270"/>
  <c r="O270"/>
  <c r="N270"/>
  <c r="M270"/>
  <c r="L270"/>
  <c r="K270"/>
  <c r="J270"/>
  <c r="A270" a="1"/>
  <c r="A270" s="1"/>
  <c r="I270" s="1"/>
  <c r="BA269"/>
  <c r="AZ269"/>
  <c r="AY269"/>
  <c r="AX269"/>
  <c r="AW269"/>
  <c r="AV269"/>
  <c r="AU269"/>
  <c r="AT269"/>
  <c r="AS269"/>
  <c r="AR269"/>
  <c r="AQ269"/>
  <c r="AP269"/>
  <c r="AO269"/>
  <c r="AN269"/>
  <c r="AM269"/>
  <c r="AL269"/>
  <c r="AK269"/>
  <c r="AJ269"/>
  <c r="AI269"/>
  <c r="AH269"/>
  <c r="AG269"/>
  <c r="AF269"/>
  <c r="AE269"/>
  <c r="AD269"/>
  <c r="AC269"/>
  <c r="AB269"/>
  <c r="AA269"/>
  <c r="Z269"/>
  <c r="Y269"/>
  <c r="X269"/>
  <c r="W269"/>
  <c r="V269"/>
  <c r="U269"/>
  <c r="T269"/>
  <c r="S269"/>
  <c r="R269"/>
  <c r="Q269"/>
  <c r="P269"/>
  <c r="O269"/>
  <c r="N269"/>
  <c r="M269"/>
  <c r="L269"/>
  <c r="K269"/>
  <c r="J269"/>
  <c r="A269" a="1"/>
  <c r="A269" s="1"/>
  <c r="I269" s="1"/>
  <c r="BA268"/>
  <c r="AZ268"/>
  <c r="AY268"/>
  <c r="AX268"/>
  <c r="AW268"/>
  <c r="AV268"/>
  <c r="AU268"/>
  <c r="AT268"/>
  <c r="AS268"/>
  <c r="AR268"/>
  <c r="AQ268"/>
  <c r="AP268"/>
  <c r="AO268"/>
  <c r="AN268"/>
  <c r="AM268"/>
  <c r="AL268"/>
  <c r="AK268"/>
  <c r="AJ268"/>
  <c r="AI268"/>
  <c r="AH268"/>
  <c r="AG268"/>
  <c r="AF268"/>
  <c r="AE268"/>
  <c r="AD268"/>
  <c r="AC268"/>
  <c r="AB268"/>
  <c r="AA268"/>
  <c r="Z268"/>
  <c r="Y268"/>
  <c r="X268"/>
  <c r="W268"/>
  <c r="V268"/>
  <c r="U268"/>
  <c r="T268"/>
  <c r="S268"/>
  <c r="R268"/>
  <c r="Q268"/>
  <c r="P268"/>
  <c r="O268"/>
  <c r="N268"/>
  <c r="M268"/>
  <c r="L268"/>
  <c r="K268"/>
  <c r="J268"/>
  <c r="A268" a="1"/>
  <c r="A268" s="1"/>
  <c r="I268" s="1"/>
  <c r="BA267"/>
  <c r="AZ267"/>
  <c r="AY267"/>
  <c r="AX267"/>
  <c r="AW267"/>
  <c r="AV267"/>
  <c r="AU267"/>
  <c r="AT267"/>
  <c r="AS267"/>
  <c r="AR267"/>
  <c r="AQ267"/>
  <c r="AP267"/>
  <c r="AO267"/>
  <c r="AN267"/>
  <c r="AM267"/>
  <c r="AL267"/>
  <c r="AK267"/>
  <c r="AJ267"/>
  <c r="AI267"/>
  <c r="AH267"/>
  <c r="AG267"/>
  <c r="AF267"/>
  <c r="AE267"/>
  <c r="AD267"/>
  <c r="AC267"/>
  <c r="AB267"/>
  <c r="AA267"/>
  <c r="Z267"/>
  <c r="Y267"/>
  <c r="X267"/>
  <c r="W267"/>
  <c r="V267"/>
  <c r="U267"/>
  <c r="T267"/>
  <c r="S267"/>
  <c r="R267"/>
  <c r="Q267"/>
  <c r="P267"/>
  <c r="O267"/>
  <c r="N267"/>
  <c r="M267"/>
  <c r="L267"/>
  <c r="K267"/>
  <c r="J267"/>
  <c r="A267" a="1"/>
  <c r="A267" s="1"/>
  <c r="I267" s="1"/>
  <c r="BA266"/>
  <c r="AZ266"/>
  <c r="AY266"/>
  <c r="AX266"/>
  <c r="AW266"/>
  <c r="AV266"/>
  <c r="AU266"/>
  <c r="AT266"/>
  <c r="AS266"/>
  <c r="AR266"/>
  <c r="AQ266"/>
  <c r="AP266"/>
  <c r="AO266"/>
  <c r="AN266"/>
  <c r="AM266"/>
  <c r="AL266"/>
  <c r="AK266"/>
  <c r="AJ266"/>
  <c r="AI266"/>
  <c r="AH266"/>
  <c r="AG266"/>
  <c r="AF266"/>
  <c r="AE266"/>
  <c r="AD266"/>
  <c r="AC266"/>
  <c r="AB266"/>
  <c r="AA266"/>
  <c r="Z266"/>
  <c r="Y266"/>
  <c r="X266"/>
  <c r="W266"/>
  <c r="V266"/>
  <c r="U266"/>
  <c r="T266"/>
  <c r="S266"/>
  <c r="R266"/>
  <c r="Q266"/>
  <c r="P266"/>
  <c r="O266"/>
  <c r="N266"/>
  <c r="M266"/>
  <c r="L266"/>
  <c r="K266"/>
  <c r="J266"/>
  <c r="A266" a="1"/>
  <c r="A266" s="1"/>
  <c r="I266" s="1"/>
  <c r="BA265"/>
  <c r="AZ265"/>
  <c r="AY265"/>
  <c r="AX265"/>
  <c r="AW265"/>
  <c r="AV265"/>
  <c r="AU265"/>
  <c r="AT265"/>
  <c r="AS265"/>
  <c r="AR265"/>
  <c r="AQ265"/>
  <c r="AP265"/>
  <c r="AO265"/>
  <c r="AN265"/>
  <c r="AM265"/>
  <c r="AL265"/>
  <c r="AK265"/>
  <c r="AJ265"/>
  <c r="AI265"/>
  <c r="AH265"/>
  <c r="AG265"/>
  <c r="AF265"/>
  <c r="AE265"/>
  <c r="AD265"/>
  <c r="AC265"/>
  <c r="AB265"/>
  <c r="AA265"/>
  <c r="Z265"/>
  <c r="Y265"/>
  <c r="X265"/>
  <c r="W265"/>
  <c r="V265"/>
  <c r="U265"/>
  <c r="T265"/>
  <c r="S265"/>
  <c r="R265"/>
  <c r="Q265"/>
  <c r="P265"/>
  <c r="O265"/>
  <c r="N265"/>
  <c r="M265"/>
  <c r="L265"/>
  <c r="K265"/>
  <c r="J265"/>
  <c r="A265" a="1"/>
  <c r="A265" s="1"/>
  <c r="I265" s="1"/>
  <c r="BA264"/>
  <c r="AZ264"/>
  <c r="AY264"/>
  <c r="AX264"/>
  <c r="AW264"/>
  <c r="AV264"/>
  <c r="AU264"/>
  <c r="AT264"/>
  <c r="AS264"/>
  <c r="AR264"/>
  <c r="AQ264"/>
  <c r="AP264"/>
  <c r="AO264"/>
  <c r="AN264"/>
  <c r="AM264"/>
  <c r="AL264"/>
  <c r="AK264"/>
  <c r="AJ264"/>
  <c r="AI264"/>
  <c r="AH264"/>
  <c r="AG264"/>
  <c r="AF264"/>
  <c r="AE264"/>
  <c r="AD264"/>
  <c r="AC264"/>
  <c r="AB264"/>
  <c r="AA264"/>
  <c r="Z264"/>
  <c r="Y264"/>
  <c r="X264"/>
  <c r="W264"/>
  <c r="V264"/>
  <c r="U264"/>
  <c r="T264"/>
  <c r="S264"/>
  <c r="R264"/>
  <c r="Q264"/>
  <c r="P264"/>
  <c r="O264"/>
  <c r="N264"/>
  <c r="M264"/>
  <c r="L264"/>
  <c r="K264"/>
  <c r="J264"/>
  <c r="A264" a="1"/>
  <c r="A264" s="1"/>
  <c r="I264" s="1"/>
  <c r="BA263"/>
  <c r="AZ263"/>
  <c r="AY263"/>
  <c r="AX263"/>
  <c r="AW263"/>
  <c r="AV263"/>
  <c r="AU263"/>
  <c r="AT263"/>
  <c r="AS263"/>
  <c r="AR263"/>
  <c r="AQ263"/>
  <c r="AP263"/>
  <c r="AO263"/>
  <c r="AN263"/>
  <c r="AM263"/>
  <c r="AL263"/>
  <c r="AK263"/>
  <c r="AJ263"/>
  <c r="AI263"/>
  <c r="AH263"/>
  <c r="AG263"/>
  <c r="AF263"/>
  <c r="AE263"/>
  <c r="AD263"/>
  <c r="AC263"/>
  <c r="AB263"/>
  <c r="AA263"/>
  <c r="Z263"/>
  <c r="Y263"/>
  <c r="X263"/>
  <c r="W263"/>
  <c r="V263"/>
  <c r="U263"/>
  <c r="T263"/>
  <c r="S263"/>
  <c r="R263"/>
  <c r="Q263"/>
  <c r="P263"/>
  <c r="O263"/>
  <c r="N263"/>
  <c r="M263"/>
  <c r="L263"/>
  <c r="K263"/>
  <c r="J263"/>
  <c r="A263" a="1"/>
  <c r="A263" s="1"/>
  <c r="I263" s="1"/>
  <c r="BA262"/>
  <c r="AZ262"/>
  <c r="AY262"/>
  <c r="AX262"/>
  <c r="AW262"/>
  <c r="AV262"/>
  <c r="AU262"/>
  <c r="AT262"/>
  <c r="AS262"/>
  <c r="AR262"/>
  <c r="AQ262"/>
  <c r="AP262"/>
  <c r="AO262"/>
  <c r="AN262"/>
  <c r="AM262"/>
  <c r="AL262"/>
  <c r="AK262"/>
  <c r="AJ262"/>
  <c r="AI262"/>
  <c r="AH262"/>
  <c r="AG262"/>
  <c r="AF262"/>
  <c r="AE262"/>
  <c r="AD262"/>
  <c r="AC262"/>
  <c r="AB262"/>
  <c r="AA262"/>
  <c r="Z262"/>
  <c r="Y262"/>
  <c r="X262"/>
  <c r="W262"/>
  <c r="V262"/>
  <c r="U262"/>
  <c r="T262"/>
  <c r="S262"/>
  <c r="R262"/>
  <c r="Q262"/>
  <c r="P262"/>
  <c r="O262"/>
  <c r="N262"/>
  <c r="M262"/>
  <c r="L262"/>
  <c r="K262"/>
  <c r="J262"/>
  <c r="A262" a="1"/>
  <c r="A262" s="1"/>
  <c r="I262" s="1"/>
  <c r="BA261"/>
  <c r="AZ261"/>
  <c r="AY261"/>
  <c r="AX261"/>
  <c r="AW261"/>
  <c r="AV261"/>
  <c r="AU261"/>
  <c r="AT261"/>
  <c r="AS261"/>
  <c r="AR261"/>
  <c r="AQ261"/>
  <c r="AP261"/>
  <c r="AO261"/>
  <c r="AN261"/>
  <c r="AM261"/>
  <c r="AL261"/>
  <c r="AK261"/>
  <c r="AJ261"/>
  <c r="AI261"/>
  <c r="AH261"/>
  <c r="AG261"/>
  <c r="AF261"/>
  <c r="AE261"/>
  <c r="AD261"/>
  <c r="AC261"/>
  <c r="AB261"/>
  <c r="AA261"/>
  <c r="Z261"/>
  <c r="Y261"/>
  <c r="X261"/>
  <c r="W261"/>
  <c r="V261"/>
  <c r="U261"/>
  <c r="T261"/>
  <c r="S261"/>
  <c r="R261"/>
  <c r="Q261"/>
  <c r="P261"/>
  <c r="O261"/>
  <c r="N261"/>
  <c r="M261"/>
  <c r="L261"/>
  <c r="K261"/>
  <c r="J261"/>
  <c r="A261" a="1"/>
  <c r="A261" s="1"/>
  <c r="I261" s="1"/>
  <c r="BA260"/>
  <c r="AZ260"/>
  <c r="AY260"/>
  <c r="AX260"/>
  <c r="AW260"/>
  <c r="AV260"/>
  <c r="AU260"/>
  <c r="AT260"/>
  <c r="AS260"/>
  <c r="AR260"/>
  <c r="AQ260"/>
  <c r="AP260"/>
  <c r="AO260"/>
  <c r="AN260"/>
  <c r="AM260"/>
  <c r="AL260"/>
  <c r="AK260"/>
  <c r="AJ260"/>
  <c r="AI260"/>
  <c r="AH260"/>
  <c r="AG260"/>
  <c r="AF260"/>
  <c r="AE260"/>
  <c r="AD260"/>
  <c r="AC260"/>
  <c r="AB260"/>
  <c r="AA260"/>
  <c r="Z260"/>
  <c r="Y260"/>
  <c r="X260"/>
  <c r="W260"/>
  <c r="V260"/>
  <c r="U260"/>
  <c r="T260"/>
  <c r="S260"/>
  <c r="R260"/>
  <c r="Q260"/>
  <c r="P260"/>
  <c r="O260"/>
  <c r="N260"/>
  <c r="M260"/>
  <c r="L260"/>
  <c r="K260"/>
  <c r="J260"/>
  <c r="A260" a="1"/>
  <c r="A260" s="1"/>
  <c r="I260" s="1"/>
  <c r="BA259"/>
  <c r="AZ259"/>
  <c r="AY259"/>
  <c r="AX259"/>
  <c r="AW259"/>
  <c r="AV259"/>
  <c r="AU259"/>
  <c r="AT259"/>
  <c r="AS259"/>
  <c r="AR259"/>
  <c r="AQ259"/>
  <c r="AP259"/>
  <c r="AO259"/>
  <c r="AN259"/>
  <c r="AM259"/>
  <c r="AL259"/>
  <c r="AK259"/>
  <c r="AJ259"/>
  <c r="AI259"/>
  <c r="AH259"/>
  <c r="AG259"/>
  <c r="AF259"/>
  <c r="AE259"/>
  <c r="AD259"/>
  <c r="AC259"/>
  <c r="AB259"/>
  <c r="AA259"/>
  <c r="Z259"/>
  <c r="Y259"/>
  <c r="X259"/>
  <c r="W259"/>
  <c r="V259"/>
  <c r="U259"/>
  <c r="T259"/>
  <c r="S259"/>
  <c r="R259"/>
  <c r="Q259"/>
  <c r="P259"/>
  <c r="O259"/>
  <c r="N259"/>
  <c r="M259"/>
  <c r="L259"/>
  <c r="K259"/>
  <c r="J259"/>
  <c r="A259" a="1"/>
  <c r="A259" s="1"/>
  <c r="I259" s="1"/>
  <c r="BA258"/>
  <c r="AZ258"/>
  <c r="AY258"/>
  <c r="AX258"/>
  <c r="AW258"/>
  <c r="AV258"/>
  <c r="AU258"/>
  <c r="AT258"/>
  <c r="AS258"/>
  <c r="AR258"/>
  <c r="AQ258"/>
  <c r="AP258"/>
  <c r="AO258"/>
  <c r="AN258"/>
  <c r="AM258"/>
  <c r="AL258"/>
  <c r="AK258"/>
  <c r="AJ258"/>
  <c r="AI258"/>
  <c r="AH258"/>
  <c r="AG258"/>
  <c r="AF258"/>
  <c r="AE258"/>
  <c r="AD258"/>
  <c r="AC258"/>
  <c r="AB258"/>
  <c r="AA258"/>
  <c r="Z258"/>
  <c r="Y258"/>
  <c r="X258"/>
  <c r="W258"/>
  <c r="V258"/>
  <c r="U258"/>
  <c r="T258"/>
  <c r="S258"/>
  <c r="R258"/>
  <c r="Q258"/>
  <c r="P258"/>
  <c r="O258"/>
  <c r="N258"/>
  <c r="M258"/>
  <c r="L258"/>
  <c r="K258"/>
  <c r="J258"/>
  <c r="A258" a="1"/>
  <c r="A258" s="1"/>
  <c r="I258" s="1"/>
  <c r="BA257"/>
  <c r="AZ257"/>
  <c r="AY257"/>
  <c r="AX257"/>
  <c r="AW257"/>
  <c r="AV257"/>
  <c r="AU257"/>
  <c r="AT257"/>
  <c r="AS257"/>
  <c r="AR257"/>
  <c r="AQ257"/>
  <c r="AP257"/>
  <c r="AO257"/>
  <c r="AN257"/>
  <c r="AM257"/>
  <c r="AL257"/>
  <c r="AK257"/>
  <c r="AJ257"/>
  <c r="AI257"/>
  <c r="AH257"/>
  <c r="AG257"/>
  <c r="AF257"/>
  <c r="AE257"/>
  <c r="AD257"/>
  <c r="AC257"/>
  <c r="AB257"/>
  <c r="AA257"/>
  <c r="Z257"/>
  <c r="Y257"/>
  <c r="X257"/>
  <c r="W257"/>
  <c r="V257"/>
  <c r="U257"/>
  <c r="T257"/>
  <c r="S257"/>
  <c r="R257"/>
  <c r="Q257"/>
  <c r="P257"/>
  <c r="O257"/>
  <c r="N257"/>
  <c r="M257"/>
  <c r="L257"/>
  <c r="K257"/>
  <c r="J257"/>
  <c r="A257" a="1"/>
  <c r="A257" s="1"/>
  <c r="I257" s="1"/>
  <c r="BA256"/>
  <c r="AZ256"/>
  <c r="AY256"/>
  <c r="AX256"/>
  <c r="AW256"/>
  <c r="AV256"/>
  <c r="AU256"/>
  <c r="AT256"/>
  <c r="AS256"/>
  <c r="AR256"/>
  <c r="AQ256"/>
  <c r="AP256"/>
  <c r="AO256"/>
  <c r="AN256"/>
  <c r="AM256"/>
  <c r="AL256"/>
  <c r="AK256"/>
  <c r="AJ256"/>
  <c r="AI256"/>
  <c r="AH256"/>
  <c r="AG256"/>
  <c r="AF256"/>
  <c r="AE256"/>
  <c r="AD256"/>
  <c r="AC256"/>
  <c r="AB256"/>
  <c r="AA256"/>
  <c r="Z256"/>
  <c r="Y256"/>
  <c r="X256"/>
  <c r="W256"/>
  <c r="V256"/>
  <c r="U256"/>
  <c r="T256"/>
  <c r="S256"/>
  <c r="R256"/>
  <c r="Q256"/>
  <c r="P256"/>
  <c r="O256"/>
  <c r="N256"/>
  <c r="M256"/>
  <c r="L256"/>
  <c r="K256"/>
  <c r="J256"/>
  <c r="A256" a="1"/>
  <c r="A256" s="1"/>
  <c r="I256" s="1"/>
  <c r="BA255"/>
  <c r="AZ255"/>
  <c r="AY255"/>
  <c r="AX255"/>
  <c r="AW255"/>
  <c r="AV255"/>
  <c r="AU255"/>
  <c r="AT255"/>
  <c r="AS255"/>
  <c r="AR255"/>
  <c r="AQ255"/>
  <c r="AP255"/>
  <c r="AO255"/>
  <c r="AN255"/>
  <c r="AM255"/>
  <c r="AL255"/>
  <c r="AK255"/>
  <c r="AJ255"/>
  <c r="AI255"/>
  <c r="AH255"/>
  <c r="AG255"/>
  <c r="AF255"/>
  <c r="AE255"/>
  <c r="AD255"/>
  <c r="AC255"/>
  <c r="AB255"/>
  <c r="AA255"/>
  <c r="Z255"/>
  <c r="Y255"/>
  <c r="X255"/>
  <c r="W255"/>
  <c r="V255"/>
  <c r="U255"/>
  <c r="T255"/>
  <c r="S255"/>
  <c r="R255"/>
  <c r="Q255"/>
  <c r="P255"/>
  <c r="O255"/>
  <c r="N255"/>
  <c r="M255"/>
  <c r="L255"/>
  <c r="K255"/>
  <c r="J255"/>
  <c r="A255" a="1"/>
  <c r="A255" s="1"/>
  <c r="I255" s="1"/>
  <c r="BA254"/>
  <c r="AZ254"/>
  <c r="AY254"/>
  <c r="AX254"/>
  <c r="AW254"/>
  <c r="AV254"/>
  <c r="AU254"/>
  <c r="AT254"/>
  <c r="AS254"/>
  <c r="AR254"/>
  <c r="AQ254"/>
  <c r="AP254"/>
  <c r="AO254"/>
  <c r="AN254"/>
  <c r="AM254"/>
  <c r="AL254"/>
  <c r="AK254"/>
  <c r="AJ254"/>
  <c r="AI254"/>
  <c r="AH254"/>
  <c r="AG254"/>
  <c r="AF254"/>
  <c r="AE254"/>
  <c r="AD254"/>
  <c r="AC254"/>
  <c r="AB254"/>
  <c r="AA254"/>
  <c r="Z254"/>
  <c r="Y254"/>
  <c r="X254"/>
  <c r="W254"/>
  <c r="V254"/>
  <c r="U254"/>
  <c r="T254"/>
  <c r="S254"/>
  <c r="R254"/>
  <c r="Q254"/>
  <c r="P254"/>
  <c r="O254"/>
  <c r="N254"/>
  <c r="M254"/>
  <c r="L254"/>
  <c r="K254"/>
  <c r="J254"/>
  <c r="A254" a="1"/>
  <c r="A254" s="1"/>
  <c r="I254" s="1"/>
  <c r="BA253"/>
  <c r="AZ253"/>
  <c r="AY253"/>
  <c r="AX253"/>
  <c r="AW253"/>
  <c r="AV253"/>
  <c r="AU253"/>
  <c r="AT253"/>
  <c r="AS253"/>
  <c r="AR253"/>
  <c r="AQ253"/>
  <c r="AP253"/>
  <c r="AO253"/>
  <c r="AN253"/>
  <c r="AM253"/>
  <c r="AL253"/>
  <c r="AK253"/>
  <c r="AJ253"/>
  <c r="AI253"/>
  <c r="AH253"/>
  <c r="AG253"/>
  <c r="AF253"/>
  <c r="AE253"/>
  <c r="AD253"/>
  <c r="AC253"/>
  <c r="AB253"/>
  <c r="AA253"/>
  <c r="Z253"/>
  <c r="Y253"/>
  <c r="X253"/>
  <c r="W253"/>
  <c r="V253"/>
  <c r="U253"/>
  <c r="T253"/>
  <c r="S253"/>
  <c r="R253"/>
  <c r="Q253"/>
  <c r="P253"/>
  <c r="O253"/>
  <c r="N253"/>
  <c r="M253"/>
  <c r="L253"/>
  <c r="K253"/>
  <c r="J253"/>
  <c r="A253" a="1"/>
  <c r="A253" s="1"/>
  <c r="I253" s="1"/>
  <c r="BA252"/>
  <c r="AZ252"/>
  <c r="AY252"/>
  <c r="AX252"/>
  <c r="AW252"/>
  <c r="AV252"/>
  <c r="AU252"/>
  <c r="AT252"/>
  <c r="AS252"/>
  <c r="AR252"/>
  <c r="AQ252"/>
  <c r="AP252"/>
  <c r="AO252"/>
  <c r="AN252"/>
  <c r="AM252"/>
  <c r="AL252"/>
  <c r="AK252"/>
  <c r="AJ252"/>
  <c r="AI252"/>
  <c r="AH252"/>
  <c r="AG252"/>
  <c r="AF252"/>
  <c r="AE252"/>
  <c r="AD252"/>
  <c r="AC252"/>
  <c r="AB252"/>
  <c r="AA252"/>
  <c r="Z252"/>
  <c r="Y252"/>
  <c r="X252"/>
  <c r="W252"/>
  <c r="V252"/>
  <c r="U252"/>
  <c r="T252"/>
  <c r="S252"/>
  <c r="R252"/>
  <c r="Q252"/>
  <c r="P252"/>
  <c r="O252"/>
  <c r="N252"/>
  <c r="M252"/>
  <c r="L252"/>
  <c r="K252"/>
  <c r="J252"/>
  <c r="A252" a="1"/>
  <c r="A252" s="1"/>
  <c r="I252" s="1"/>
  <c r="BA251"/>
  <c r="AZ251"/>
  <c r="AY251"/>
  <c r="AX251"/>
  <c r="AW251"/>
  <c r="AV251"/>
  <c r="AU251"/>
  <c r="AT251"/>
  <c r="AS251"/>
  <c r="AR251"/>
  <c r="AQ251"/>
  <c r="AP251"/>
  <c r="AO251"/>
  <c r="AN251"/>
  <c r="AM251"/>
  <c r="AL251"/>
  <c r="AK251"/>
  <c r="AJ251"/>
  <c r="AI251"/>
  <c r="AH251"/>
  <c r="AG251"/>
  <c r="AF251"/>
  <c r="AE251"/>
  <c r="AD251"/>
  <c r="AC251"/>
  <c r="AB251"/>
  <c r="AA251"/>
  <c r="Z251"/>
  <c r="Y251"/>
  <c r="X251"/>
  <c r="W251"/>
  <c r="V251"/>
  <c r="U251"/>
  <c r="T251"/>
  <c r="S251"/>
  <c r="R251"/>
  <c r="Q251"/>
  <c r="P251"/>
  <c r="O251"/>
  <c r="N251"/>
  <c r="M251"/>
  <c r="L251"/>
  <c r="K251"/>
  <c r="J251"/>
  <c r="A251" a="1"/>
  <c r="A251" s="1"/>
  <c r="I251" s="1"/>
  <c r="BA250"/>
  <c r="AZ250"/>
  <c r="AY250"/>
  <c r="AX250"/>
  <c r="AW250"/>
  <c r="AV250"/>
  <c r="AU250"/>
  <c r="AT250"/>
  <c r="AS250"/>
  <c r="AR250"/>
  <c r="AQ250"/>
  <c r="AP250"/>
  <c r="AO250"/>
  <c r="AN250"/>
  <c r="AM250"/>
  <c r="AL250"/>
  <c r="AK250"/>
  <c r="AJ250"/>
  <c r="AI250"/>
  <c r="AH250"/>
  <c r="AG250"/>
  <c r="AF250"/>
  <c r="AE250"/>
  <c r="AD250"/>
  <c r="AC250"/>
  <c r="AB250"/>
  <c r="AA250"/>
  <c r="Z250"/>
  <c r="Y250"/>
  <c r="X250"/>
  <c r="W250"/>
  <c r="V250"/>
  <c r="U250"/>
  <c r="T250"/>
  <c r="S250"/>
  <c r="R250"/>
  <c r="Q250"/>
  <c r="P250"/>
  <c r="O250"/>
  <c r="N250"/>
  <c r="M250"/>
  <c r="L250"/>
  <c r="K250"/>
  <c r="J250"/>
  <c r="A250" a="1"/>
  <c r="A250" s="1"/>
  <c r="I250" s="1"/>
  <c r="BA249"/>
  <c r="AZ249"/>
  <c r="AY249"/>
  <c r="AX249"/>
  <c r="AW249"/>
  <c r="AV249"/>
  <c r="AU249"/>
  <c r="AT249"/>
  <c r="AS249"/>
  <c r="AR249"/>
  <c r="AQ249"/>
  <c r="AP249"/>
  <c r="AO249"/>
  <c r="AN249"/>
  <c r="AM249"/>
  <c r="AL249"/>
  <c r="AK249"/>
  <c r="AJ249"/>
  <c r="AI249"/>
  <c r="AH249"/>
  <c r="AG249"/>
  <c r="AF249"/>
  <c r="AE249"/>
  <c r="AD249"/>
  <c r="AC249"/>
  <c r="AB249"/>
  <c r="AA249"/>
  <c r="Z249"/>
  <c r="Y249"/>
  <c r="X249"/>
  <c r="W249"/>
  <c r="V249"/>
  <c r="U249"/>
  <c r="T249"/>
  <c r="S249"/>
  <c r="R249"/>
  <c r="Q249"/>
  <c r="P249"/>
  <c r="O249"/>
  <c r="N249"/>
  <c r="M249"/>
  <c r="L249"/>
  <c r="K249"/>
  <c r="J249"/>
  <c r="A249" a="1"/>
  <c r="A249" s="1"/>
  <c r="I249" s="1"/>
  <c r="BA248"/>
  <c r="AZ248"/>
  <c r="AY248"/>
  <c r="AX248"/>
  <c r="AW248"/>
  <c r="AV248"/>
  <c r="AU248"/>
  <c r="AT248"/>
  <c r="AS248"/>
  <c r="AR248"/>
  <c r="AQ248"/>
  <c r="AP248"/>
  <c r="AO248"/>
  <c r="AN248"/>
  <c r="AM248"/>
  <c r="AL248"/>
  <c r="AK248"/>
  <c r="AJ248"/>
  <c r="AI248"/>
  <c r="AH248"/>
  <c r="AG248"/>
  <c r="AF248"/>
  <c r="AE248"/>
  <c r="AD248"/>
  <c r="AC248"/>
  <c r="AB248"/>
  <c r="AA248"/>
  <c r="Z248"/>
  <c r="Y248"/>
  <c r="X248"/>
  <c r="W248"/>
  <c r="V248"/>
  <c r="U248"/>
  <c r="T248"/>
  <c r="S248"/>
  <c r="R248"/>
  <c r="Q248"/>
  <c r="P248"/>
  <c r="O248"/>
  <c r="N248"/>
  <c r="M248"/>
  <c r="L248"/>
  <c r="K248"/>
  <c r="J248"/>
  <c r="A248" a="1"/>
  <c r="A248" s="1"/>
  <c r="I248" s="1"/>
  <c r="BA247"/>
  <c r="AZ247"/>
  <c r="AY247"/>
  <c r="AX247"/>
  <c r="AW247"/>
  <c r="AV247"/>
  <c r="AU247"/>
  <c r="AT247"/>
  <c r="AS247"/>
  <c r="AR247"/>
  <c r="AQ247"/>
  <c r="AP247"/>
  <c r="AO247"/>
  <c r="AN247"/>
  <c r="AM247"/>
  <c r="AL247"/>
  <c r="AK247"/>
  <c r="AJ247"/>
  <c r="AI247"/>
  <c r="AH247"/>
  <c r="AG247"/>
  <c r="AF247"/>
  <c r="AE247"/>
  <c r="AD247"/>
  <c r="AC247"/>
  <c r="AB247"/>
  <c r="AA247"/>
  <c r="Z247"/>
  <c r="Y247"/>
  <c r="X247"/>
  <c r="W247"/>
  <c r="V247"/>
  <c r="U247"/>
  <c r="T247"/>
  <c r="S247"/>
  <c r="R247"/>
  <c r="Q247"/>
  <c r="P247"/>
  <c r="O247"/>
  <c r="N247"/>
  <c r="M247"/>
  <c r="L247"/>
  <c r="K247"/>
  <c r="J247"/>
  <c r="A247" a="1"/>
  <c r="A247" s="1"/>
  <c r="I247" s="1"/>
  <c r="BA246"/>
  <c r="AZ246"/>
  <c r="AY246"/>
  <c r="AX246"/>
  <c r="AW246"/>
  <c r="AV246"/>
  <c r="AU246"/>
  <c r="AT246"/>
  <c r="AS246"/>
  <c r="AR246"/>
  <c r="AQ246"/>
  <c r="AP246"/>
  <c r="AO246"/>
  <c r="AN246"/>
  <c r="AM246"/>
  <c r="AL246"/>
  <c r="AK246"/>
  <c r="AJ246"/>
  <c r="AI246"/>
  <c r="AH246"/>
  <c r="AG246"/>
  <c r="AF246"/>
  <c r="AE246"/>
  <c r="AD246"/>
  <c r="AC246"/>
  <c r="AB246"/>
  <c r="AA246"/>
  <c r="Z246"/>
  <c r="Y246"/>
  <c r="X246"/>
  <c r="W246"/>
  <c r="V246"/>
  <c r="U246"/>
  <c r="T246"/>
  <c r="S246"/>
  <c r="R246"/>
  <c r="Q246"/>
  <c r="P246"/>
  <c r="O246"/>
  <c r="N246"/>
  <c r="M246"/>
  <c r="L246"/>
  <c r="K246"/>
  <c r="J246"/>
  <c r="A246" a="1"/>
  <c r="A246" s="1"/>
  <c r="I246" s="1"/>
  <c r="BA245"/>
  <c r="AZ245"/>
  <c r="AY245"/>
  <c r="AX245"/>
  <c r="AW245"/>
  <c r="AV245"/>
  <c r="AU245"/>
  <c r="AT245"/>
  <c r="AS245"/>
  <c r="AR245"/>
  <c r="AQ245"/>
  <c r="AP245"/>
  <c r="AO245"/>
  <c r="AN245"/>
  <c r="AM245"/>
  <c r="AL245"/>
  <c r="AK245"/>
  <c r="AJ245"/>
  <c r="AI245"/>
  <c r="AH245"/>
  <c r="AG245"/>
  <c r="AF245"/>
  <c r="AE245"/>
  <c r="AD245"/>
  <c r="AC245"/>
  <c r="AB245"/>
  <c r="AA245"/>
  <c r="Z245"/>
  <c r="Y245"/>
  <c r="X245"/>
  <c r="W245"/>
  <c r="V245"/>
  <c r="U245"/>
  <c r="T245"/>
  <c r="S245"/>
  <c r="R245"/>
  <c r="Q245"/>
  <c r="P245"/>
  <c r="O245"/>
  <c r="N245"/>
  <c r="M245"/>
  <c r="L245"/>
  <c r="K245"/>
  <c r="J245"/>
  <c r="A245" a="1"/>
  <c r="A245" s="1"/>
  <c r="I245" s="1"/>
  <c r="BA244"/>
  <c r="AZ244"/>
  <c r="AY244"/>
  <c r="AX244"/>
  <c r="AW244"/>
  <c r="AV244"/>
  <c r="AU244"/>
  <c r="AT244"/>
  <c r="AS244"/>
  <c r="AR244"/>
  <c r="AQ244"/>
  <c r="AP244"/>
  <c r="AO244"/>
  <c r="AN244"/>
  <c r="AM244"/>
  <c r="AL244"/>
  <c r="AK244"/>
  <c r="AJ244"/>
  <c r="AI244"/>
  <c r="AH244"/>
  <c r="AG244"/>
  <c r="AF244"/>
  <c r="AE244"/>
  <c r="AD244"/>
  <c r="AC244"/>
  <c r="AB244"/>
  <c r="AA244"/>
  <c r="Z244"/>
  <c r="Y244"/>
  <c r="X244"/>
  <c r="W244"/>
  <c r="V244"/>
  <c r="U244"/>
  <c r="T244"/>
  <c r="S244"/>
  <c r="R244"/>
  <c r="Q244"/>
  <c r="P244"/>
  <c r="O244"/>
  <c r="N244"/>
  <c r="M244"/>
  <c r="L244"/>
  <c r="K244"/>
  <c r="J244"/>
  <c r="A244" a="1"/>
  <c r="A244" s="1"/>
  <c r="I244" s="1"/>
  <c r="BA243"/>
  <c r="AZ243"/>
  <c r="AY243"/>
  <c r="AX243"/>
  <c r="AW243"/>
  <c r="AV243"/>
  <c r="AU243"/>
  <c r="AT243"/>
  <c r="AS243"/>
  <c r="AR243"/>
  <c r="AQ243"/>
  <c r="AP243"/>
  <c r="AO243"/>
  <c r="AN243"/>
  <c r="AM243"/>
  <c r="AL243"/>
  <c r="AK243"/>
  <c r="AJ243"/>
  <c r="AI243"/>
  <c r="AH243"/>
  <c r="AG243"/>
  <c r="AF243"/>
  <c r="AE243"/>
  <c r="AD243"/>
  <c r="AC243"/>
  <c r="AB243"/>
  <c r="AA243"/>
  <c r="Z243"/>
  <c r="Y243"/>
  <c r="X243"/>
  <c r="W243"/>
  <c r="V243"/>
  <c r="U243"/>
  <c r="T243"/>
  <c r="S243"/>
  <c r="R243"/>
  <c r="Q243"/>
  <c r="P243"/>
  <c r="O243"/>
  <c r="N243"/>
  <c r="M243"/>
  <c r="L243"/>
  <c r="K243"/>
  <c r="J243"/>
  <c r="A243" a="1"/>
  <c r="A243" s="1"/>
  <c r="I243" s="1"/>
  <c r="BA242"/>
  <c r="AZ242"/>
  <c r="AY242"/>
  <c r="AX242"/>
  <c r="AW242"/>
  <c r="AV242"/>
  <c r="AU242"/>
  <c r="AT242"/>
  <c r="AS242"/>
  <c r="AR242"/>
  <c r="AQ242"/>
  <c r="AP242"/>
  <c r="AO242"/>
  <c r="AN242"/>
  <c r="AM242"/>
  <c r="AL242"/>
  <c r="AK242"/>
  <c r="AJ242"/>
  <c r="AI242"/>
  <c r="AH242"/>
  <c r="AG242"/>
  <c r="AF242"/>
  <c r="AE242"/>
  <c r="AD242"/>
  <c r="AC242"/>
  <c r="AB242"/>
  <c r="AA242"/>
  <c r="Z242"/>
  <c r="Y242"/>
  <c r="X242"/>
  <c r="W242"/>
  <c r="V242"/>
  <c r="U242"/>
  <c r="T242"/>
  <c r="S242"/>
  <c r="R242"/>
  <c r="Q242"/>
  <c r="P242"/>
  <c r="O242"/>
  <c r="N242"/>
  <c r="M242"/>
  <c r="L242"/>
  <c r="K242"/>
  <c r="J242"/>
  <c r="A242" a="1"/>
  <c r="A242" s="1"/>
  <c r="I242" s="1"/>
  <c r="BA241"/>
  <c r="AZ241"/>
  <c r="AY241"/>
  <c r="AX241"/>
  <c r="AW241"/>
  <c r="AV241"/>
  <c r="AU241"/>
  <c r="AT241"/>
  <c r="AS241"/>
  <c r="AR241"/>
  <c r="AQ241"/>
  <c r="AP241"/>
  <c r="AO241"/>
  <c r="AN241"/>
  <c r="AM241"/>
  <c r="AL241"/>
  <c r="AK241"/>
  <c r="AJ241"/>
  <c r="AI241"/>
  <c r="AH241"/>
  <c r="AG241"/>
  <c r="AF241"/>
  <c r="AE241"/>
  <c r="AD241"/>
  <c r="AC241"/>
  <c r="AB241"/>
  <c r="AA241"/>
  <c r="Z241"/>
  <c r="Y241"/>
  <c r="X241"/>
  <c r="W241"/>
  <c r="V241"/>
  <c r="U241"/>
  <c r="T241"/>
  <c r="S241"/>
  <c r="R241"/>
  <c r="Q241"/>
  <c r="P241"/>
  <c r="O241"/>
  <c r="N241"/>
  <c r="M241"/>
  <c r="L241"/>
  <c r="K241"/>
  <c r="J241"/>
  <c r="A241" a="1"/>
  <c r="A241" s="1"/>
  <c r="I241" s="1"/>
  <c r="BA240"/>
  <c r="AZ240"/>
  <c r="AY240"/>
  <c r="AX240"/>
  <c r="AW240"/>
  <c r="AV240"/>
  <c r="AU240"/>
  <c r="AT240"/>
  <c r="AS240"/>
  <c r="AR240"/>
  <c r="AQ240"/>
  <c r="AP240"/>
  <c r="AO240"/>
  <c r="AN240"/>
  <c r="AM240"/>
  <c r="AL240"/>
  <c r="AK240"/>
  <c r="AJ240"/>
  <c r="AI240"/>
  <c r="AH240"/>
  <c r="AG240"/>
  <c r="AF240"/>
  <c r="AE240"/>
  <c r="AD240"/>
  <c r="AC240"/>
  <c r="AB240"/>
  <c r="AA240"/>
  <c r="Z240"/>
  <c r="Y240"/>
  <c r="X240"/>
  <c r="W240"/>
  <c r="V240"/>
  <c r="U240"/>
  <c r="T240"/>
  <c r="S240"/>
  <c r="R240"/>
  <c r="Q240"/>
  <c r="P240"/>
  <c r="O240"/>
  <c r="N240"/>
  <c r="M240"/>
  <c r="L240"/>
  <c r="K240"/>
  <c r="J240"/>
  <c r="A240" a="1"/>
  <c r="A240" s="1"/>
  <c r="I240" s="1"/>
  <c r="BA239"/>
  <c r="AZ239"/>
  <c r="AY239"/>
  <c r="AX239"/>
  <c r="AW239"/>
  <c r="AV239"/>
  <c r="AU239"/>
  <c r="AT239"/>
  <c r="AS239"/>
  <c r="AR239"/>
  <c r="AQ239"/>
  <c r="AP239"/>
  <c r="AO239"/>
  <c r="AN239"/>
  <c r="AM239"/>
  <c r="AL239"/>
  <c r="AK239"/>
  <c r="AJ239"/>
  <c r="AI239"/>
  <c r="AH239"/>
  <c r="AG239"/>
  <c r="AF239"/>
  <c r="AE239"/>
  <c r="AD239"/>
  <c r="AC239"/>
  <c r="AB239"/>
  <c r="AA239"/>
  <c r="Z239"/>
  <c r="Y239"/>
  <c r="X239"/>
  <c r="W239"/>
  <c r="V239"/>
  <c r="U239"/>
  <c r="T239"/>
  <c r="S239"/>
  <c r="R239"/>
  <c r="Q239"/>
  <c r="P239"/>
  <c r="O239"/>
  <c r="N239"/>
  <c r="M239"/>
  <c r="L239"/>
  <c r="K239"/>
  <c r="J239"/>
  <c r="A239" a="1"/>
  <c r="A239" s="1"/>
  <c r="I239" s="1"/>
  <c r="BA238"/>
  <c r="AZ238"/>
  <c r="AY238"/>
  <c r="AX238"/>
  <c r="AW238"/>
  <c r="AV238"/>
  <c r="AU238"/>
  <c r="AT238"/>
  <c r="AS238"/>
  <c r="AR238"/>
  <c r="AQ238"/>
  <c r="AP238"/>
  <c r="AO238"/>
  <c r="AN238"/>
  <c r="AM238"/>
  <c r="AL238"/>
  <c r="AK238"/>
  <c r="AJ238"/>
  <c r="AI238"/>
  <c r="AH238"/>
  <c r="AG238"/>
  <c r="AF238"/>
  <c r="AE238"/>
  <c r="AD238"/>
  <c r="AC238"/>
  <c r="AB238"/>
  <c r="AA238"/>
  <c r="Z238"/>
  <c r="Y238"/>
  <c r="X238"/>
  <c r="W238"/>
  <c r="V238"/>
  <c r="U238"/>
  <c r="T238"/>
  <c r="S238"/>
  <c r="R238"/>
  <c r="Q238"/>
  <c r="P238"/>
  <c r="O238"/>
  <c r="N238"/>
  <c r="M238"/>
  <c r="L238"/>
  <c r="K238"/>
  <c r="J238"/>
  <c r="A238" a="1"/>
  <c r="A238" s="1"/>
  <c r="I238" s="1"/>
  <c r="BA237"/>
  <c r="AZ237"/>
  <c r="AY237"/>
  <c r="AX237"/>
  <c r="AW237"/>
  <c r="AV237"/>
  <c r="AU237"/>
  <c r="AT237"/>
  <c r="AS237"/>
  <c r="AR237"/>
  <c r="AQ237"/>
  <c r="AP237"/>
  <c r="AO237"/>
  <c r="AN237"/>
  <c r="AM237"/>
  <c r="AL237"/>
  <c r="AK237"/>
  <c r="AJ237"/>
  <c r="AI237"/>
  <c r="AH237"/>
  <c r="AG237"/>
  <c r="AF237"/>
  <c r="AE237"/>
  <c r="AD237"/>
  <c r="AC237"/>
  <c r="AB237"/>
  <c r="AA237"/>
  <c r="Z237"/>
  <c r="Y237"/>
  <c r="X237"/>
  <c r="W237"/>
  <c r="V237"/>
  <c r="U237"/>
  <c r="T237"/>
  <c r="S237"/>
  <c r="R237"/>
  <c r="Q237"/>
  <c r="P237"/>
  <c r="O237"/>
  <c r="N237"/>
  <c r="M237"/>
  <c r="L237"/>
  <c r="K237"/>
  <c r="J237"/>
  <c r="A237" a="1"/>
  <c r="A237" s="1"/>
  <c r="I237" s="1"/>
  <c r="BA236"/>
  <c r="AZ236"/>
  <c r="AY236"/>
  <c r="AX236"/>
  <c r="AW236"/>
  <c r="AV236"/>
  <c r="AU236"/>
  <c r="AT236"/>
  <c r="AS236"/>
  <c r="AR236"/>
  <c r="AQ236"/>
  <c r="AP236"/>
  <c r="AO236"/>
  <c r="AN236"/>
  <c r="AM236"/>
  <c r="AL236"/>
  <c r="AK236"/>
  <c r="AJ236"/>
  <c r="AI236"/>
  <c r="AH236"/>
  <c r="AG236"/>
  <c r="AF236"/>
  <c r="AE236"/>
  <c r="AD236"/>
  <c r="AC236"/>
  <c r="AB236"/>
  <c r="AA236"/>
  <c r="Z236"/>
  <c r="Y236"/>
  <c r="X236"/>
  <c r="W236"/>
  <c r="V236"/>
  <c r="U236"/>
  <c r="T236"/>
  <c r="S236"/>
  <c r="R236"/>
  <c r="Q236"/>
  <c r="P236"/>
  <c r="O236"/>
  <c r="N236"/>
  <c r="M236"/>
  <c r="L236"/>
  <c r="K236"/>
  <c r="J236"/>
  <c r="A236" a="1"/>
  <c r="A236" s="1"/>
  <c r="I236" s="1"/>
  <c r="BA235"/>
  <c r="AZ235"/>
  <c r="AY235"/>
  <c r="AX235"/>
  <c r="AW235"/>
  <c r="AV235"/>
  <c r="AU235"/>
  <c r="AT235"/>
  <c r="AS235"/>
  <c r="AR235"/>
  <c r="AQ235"/>
  <c r="AP235"/>
  <c r="AO235"/>
  <c r="AN235"/>
  <c r="AM235"/>
  <c r="AL235"/>
  <c r="AK235"/>
  <c r="AJ235"/>
  <c r="AI235"/>
  <c r="AH235"/>
  <c r="AG235"/>
  <c r="AF235"/>
  <c r="AE235"/>
  <c r="AD235"/>
  <c r="AC235"/>
  <c r="AB235"/>
  <c r="AA235"/>
  <c r="Z235"/>
  <c r="Y235"/>
  <c r="X235"/>
  <c r="W235"/>
  <c r="V235"/>
  <c r="U235"/>
  <c r="T235"/>
  <c r="S235"/>
  <c r="R235"/>
  <c r="Q235"/>
  <c r="P235"/>
  <c r="O235"/>
  <c r="N235"/>
  <c r="M235"/>
  <c r="L235"/>
  <c r="K235"/>
  <c r="J235"/>
  <c r="A235" a="1"/>
  <c r="A235" s="1"/>
  <c r="I235" s="1"/>
  <c r="BA234"/>
  <c r="AZ234"/>
  <c r="AY234"/>
  <c r="AX234"/>
  <c r="AW234"/>
  <c r="AV234"/>
  <c r="AU234"/>
  <c r="AT234"/>
  <c r="AS234"/>
  <c r="AR234"/>
  <c r="AQ234"/>
  <c r="AP234"/>
  <c r="AO234"/>
  <c r="AN234"/>
  <c r="AM234"/>
  <c r="AL234"/>
  <c r="AK234"/>
  <c r="AJ234"/>
  <c r="AI234"/>
  <c r="AH234"/>
  <c r="AG234"/>
  <c r="AF234"/>
  <c r="AE234"/>
  <c r="AD234"/>
  <c r="AC234"/>
  <c r="AB234"/>
  <c r="AA234"/>
  <c r="Z234"/>
  <c r="Y234"/>
  <c r="X234"/>
  <c r="W234"/>
  <c r="V234"/>
  <c r="U234"/>
  <c r="T234"/>
  <c r="S234"/>
  <c r="R234"/>
  <c r="Q234"/>
  <c r="P234"/>
  <c r="O234"/>
  <c r="N234"/>
  <c r="M234"/>
  <c r="L234"/>
  <c r="K234"/>
  <c r="J234"/>
  <c r="A234" a="1"/>
  <c r="A234" s="1"/>
  <c r="I234" s="1"/>
  <c r="BA233"/>
  <c r="AZ233"/>
  <c r="AY233"/>
  <c r="AX233"/>
  <c r="AW233"/>
  <c r="AV233"/>
  <c r="AU233"/>
  <c r="AT233"/>
  <c r="AS233"/>
  <c r="AR233"/>
  <c r="AQ233"/>
  <c r="AP233"/>
  <c r="AO233"/>
  <c r="AN233"/>
  <c r="AM233"/>
  <c r="AL233"/>
  <c r="AK233"/>
  <c r="AJ233"/>
  <c r="AI233"/>
  <c r="AH233"/>
  <c r="AG233"/>
  <c r="AF233"/>
  <c r="AE233"/>
  <c r="AD233"/>
  <c r="AC233"/>
  <c r="AB233"/>
  <c r="AA233"/>
  <c r="Z233"/>
  <c r="Y233"/>
  <c r="X233"/>
  <c r="W233"/>
  <c r="V233"/>
  <c r="U233"/>
  <c r="T233"/>
  <c r="S233"/>
  <c r="R233"/>
  <c r="Q233"/>
  <c r="P233"/>
  <c r="O233"/>
  <c r="N233"/>
  <c r="M233"/>
  <c r="L233"/>
  <c r="K233"/>
  <c r="J233"/>
  <c r="A233" a="1"/>
  <c r="A233" s="1"/>
  <c r="I233" s="1"/>
  <c r="BA232"/>
  <c r="AZ232"/>
  <c r="AY232"/>
  <c r="AX232"/>
  <c r="AW232"/>
  <c r="AV232"/>
  <c r="AU232"/>
  <c r="AT232"/>
  <c r="AS232"/>
  <c r="AR232"/>
  <c r="AQ232"/>
  <c r="AP232"/>
  <c r="AO232"/>
  <c r="AN232"/>
  <c r="AM232"/>
  <c r="AL232"/>
  <c r="AK232"/>
  <c r="AJ232"/>
  <c r="AI232"/>
  <c r="AH232"/>
  <c r="AG232"/>
  <c r="AF232"/>
  <c r="AE232"/>
  <c r="AD232"/>
  <c r="AC232"/>
  <c r="AB232"/>
  <c r="AA232"/>
  <c r="Z232"/>
  <c r="Y232"/>
  <c r="X232"/>
  <c r="W232"/>
  <c r="V232"/>
  <c r="U232"/>
  <c r="T232"/>
  <c r="S232"/>
  <c r="R232"/>
  <c r="Q232"/>
  <c r="P232"/>
  <c r="O232"/>
  <c r="N232"/>
  <c r="M232"/>
  <c r="L232"/>
  <c r="K232"/>
  <c r="J232"/>
  <c r="A232" a="1"/>
  <c r="A232" s="1"/>
  <c r="I232" s="1"/>
  <c r="BA231"/>
  <c r="AZ231"/>
  <c r="AY231"/>
  <c r="AX231"/>
  <c r="AW231"/>
  <c r="AV231"/>
  <c r="AU231"/>
  <c r="AT231"/>
  <c r="AS231"/>
  <c r="AR231"/>
  <c r="AQ231"/>
  <c r="AP231"/>
  <c r="AO231"/>
  <c r="AN231"/>
  <c r="AM231"/>
  <c r="AL231"/>
  <c r="AK231"/>
  <c r="AJ231"/>
  <c r="AI231"/>
  <c r="AH231"/>
  <c r="AG231"/>
  <c r="AF231"/>
  <c r="AE231"/>
  <c r="AD231"/>
  <c r="AC231"/>
  <c r="AB231"/>
  <c r="AA231"/>
  <c r="Z231"/>
  <c r="Y231"/>
  <c r="X231"/>
  <c r="W231"/>
  <c r="V231"/>
  <c r="U231"/>
  <c r="T231"/>
  <c r="S231"/>
  <c r="R231"/>
  <c r="Q231"/>
  <c r="P231"/>
  <c r="O231"/>
  <c r="N231"/>
  <c r="M231"/>
  <c r="L231"/>
  <c r="K231"/>
  <c r="J231"/>
  <c r="A231" a="1"/>
  <c r="A231" s="1"/>
  <c r="I231" s="1"/>
  <c r="BA230"/>
  <c r="AZ230"/>
  <c r="AY230"/>
  <c r="AX230"/>
  <c r="AW230"/>
  <c r="AV230"/>
  <c r="AU230"/>
  <c r="AT230"/>
  <c r="AS230"/>
  <c r="AR230"/>
  <c r="AQ230"/>
  <c r="AP230"/>
  <c r="AO230"/>
  <c r="AN230"/>
  <c r="AM230"/>
  <c r="AL230"/>
  <c r="AK230"/>
  <c r="AJ230"/>
  <c r="AI230"/>
  <c r="AH230"/>
  <c r="AG230"/>
  <c r="AF230"/>
  <c r="AE230"/>
  <c r="AD230"/>
  <c r="AC230"/>
  <c r="AB230"/>
  <c r="AA230"/>
  <c r="Z230"/>
  <c r="Y230"/>
  <c r="X230"/>
  <c r="W230"/>
  <c r="V230"/>
  <c r="U230"/>
  <c r="T230"/>
  <c r="S230"/>
  <c r="R230"/>
  <c r="Q230"/>
  <c r="P230"/>
  <c r="O230"/>
  <c r="N230"/>
  <c r="M230"/>
  <c r="L230"/>
  <c r="K230"/>
  <c r="J230"/>
  <c r="A230" a="1"/>
  <c r="A230" s="1"/>
  <c r="I230" s="1"/>
  <c r="BA229"/>
  <c r="AZ229"/>
  <c r="AY229"/>
  <c r="AX229"/>
  <c r="AW229"/>
  <c r="AV229"/>
  <c r="AU229"/>
  <c r="AT229"/>
  <c r="AS229"/>
  <c r="AR229"/>
  <c r="AQ229"/>
  <c r="AP229"/>
  <c r="AO229"/>
  <c r="AN229"/>
  <c r="AM229"/>
  <c r="AL229"/>
  <c r="AK229"/>
  <c r="AJ229"/>
  <c r="AI229"/>
  <c r="AH229"/>
  <c r="AG229"/>
  <c r="AF229"/>
  <c r="AE229"/>
  <c r="AD229"/>
  <c r="AC229"/>
  <c r="AB229"/>
  <c r="AA229"/>
  <c r="Z229"/>
  <c r="Y229"/>
  <c r="X229"/>
  <c r="W229"/>
  <c r="V229"/>
  <c r="U229"/>
  <c r="T229"/>
  <c r="S229"/>
  <c r="R229"/>
  <c r="Q229"/>
  <c r="P229"/>
  <c r="O229"/>
  <c r="N229"/>
  <c r="M229"/>
  <c r="L229"/>
  <c r="K229"/>
  <c r="J229"/>
  <c r="A229" a="1"/>
  <c r="A229" s="1"/>
  <c r="I229" s="1"/>
  <c r="BA228"/>
  <c r="AZ228"/>
  <c r="AY228"/>
  <c r="AX228"/>
  <c r="AW228"/>
  <c r="AV228"/>
  <c r="AU228"/>
  <c r="AT228"/>
  <c r="AS228"/>
  <c r="AR228"/>
  <c r="AQ228"/>
  <c r="AP228"/>
  <c r="AO228"/>
  <c r="AN228"/>
  <c r="AM228"/>
  <c r="AL228"/>
  <c r="AK228"/>
  <c r="AJ228"/>
  <c r="AI228"/>
  <c r="AH228"/>
  <c r="AG228"/>
  <c r="AF228"/>
  <c r="AE228"/>
  <c r="AD228"/>
  <c r="AC228"/>
  <c r="AB228"/>
  <c r="AA228"/>
  <c r="Z228"/>
  <c r="Y228"/>
  <c r="X228"/>
  <c r="W228"/>
  <c r="V228"/>
  <c r="U228"/>
  <c r="T228"/>
  <c r="S228"/>
  <c r="R228"/>
  <c r="Q228"/>
  <c r="P228"/>
  <c r="O228"/>
  <c r="N228"/>
  <c r="M228"/>
  <c r="L228"/>
  <c r="K228"/>
  <c r="J228"/>
  <c r="A228" a="1"/>
  <c r="A228" s="1"/>
  <c r="I228" s="1"/>
  <c r="BA227"/>
  <c r="AZ227"/>
  <c r="AY227"/>
  <c r="AX227"/>
  <c r="AW227"/>
  <c r="AV227"/>
  <c r="AU227"/>
  <c r="AT227"/>
  <c r="AS227"/>
  <c r="AR227"/>
  <c r="AQ227"/>
  <c r="AP227"/>
  <c r="AO227"/>
  <c r="AN227"/>
  <c r="AM227"/>
  <c r="AL227"/>
  <c r="AK227"/>
  <c r="AJ227"/>
  <c r="AI227"/>
  <c r="AH227"/>
  <c r="AG227"/>
  <c r="AF227"/>
  <c r="AE227"/>
  <c r="AD227"/>
  <c r="AC227"/>
  <c r="AB227"/>
  <c r="AA227"/>
  <c r="Z227"/>
  <c r="Y227"/>
  <c r="X227"/>
  <c r="W227"/>
  <c r="V227"/>
  <c r="U227"/>
  <c r="T227"/>
  <c r="S227"/>
  <c r="R227"/>
  <c r="Q227"/>
  <c r="P227"/>
  <c r="O227"/>
  <c r="N227"/>
  <c r="M227"/>
  <c r="L227"/>
  <c r="K227"/>
  <c r="J227"/>
  <c r="A227" a="1"/>
  <c r="A227" s="1"/>
  <c r="I227" s="1"/>
  <c r="BA226"/>
  <c r="AZ226"/>
  <c r="AY226"/>
  <c r="AX226"/>
  <c r="AW226"/>
  <c r="AV226"/>
  <c r="AU226"/>
  <c r="AT226"/>
  <c r="AS226"/>
  <c r="AR226"/>
  <c r="AQ226"/>
  <c r="AP226"/>
  <c r="AO226"/>
  <c r="AN226"/>
  <c r="AM226"/>
  <c r="AL226"/>
  <c r="AK226"/>
  <c r="AJ226"/>
  <c r="AI226"/>
  <c r="AH226"/>
  <c r="AG226"/>
  <c r="AF226"/>
  <c r="AE226"/>
  <c r="AD226"/>
  <c r="AC226"/>
  <c r="AB226"/>
  <c r="AA226"/>
  <c r="Z226"/>
  <c r="Y226"/>
  <c r="X226"/>
  <c r="W226"/>
  <c r="V226"/>
  <c r="U226"/>
  <c r="T226"/>
  <c r="S226"/>
  <c r="R226"/>
  <c r="Q226"/>
  <c r="P226"/>
  <c r="O226"/>
  <c r="N226"/>
  <c r="M226"/>
  <c r="L226"/>
  <c r="K226"/>
  <c r="J226"/>
  <c r="A226" a="1"/>
  <c r="A226" s="1"/>
  <c r="I226" s="1"/>
  <c r="BA225"/>
  <c r="AZ225"/>
  <c r="AY225"/>
  <c r="AX225"/>
  <c r="AW225"/>
  <c r="AV225"/>
  <c r="AU225"/>
  <c r="AT225"/>
  <c r="AS225"/>
  <c r="AR225"/>
  <c r="AQ225"/>
  <c r="AP225"/>
  <c r="AO225"/>
  <c r="AN225"/>
  <c r="AM225"/>
  <c r="AL225"/>
  <c r="AK225"/>
  <c r="AJ225"/>
  <c r="AI225"/>
  <c r="AH225"/>
  <c r="AG225"/>
  <c r="AF225"/>
  <c r="AE225"/>
  <c r="AD225"/>
  <c r="AC225"/>
  <c r="AB225"/>
  <c r="AA225"/>
  <c r="Z225"/>
  <c r="Y225"/>
  <c r="X225"/>
  <c r="W225"/>
  <c r="V225"/>
  <c r="U225"/>
  <c r="T225"/>
  <c r="S225"/>
  <c r="R225"/>
  <c r="Q225"/>
  <c r="P225"/>
  <c r="O225"/>
  <c r="N225"/>
  <c r="M225"/>
  <c r="L225"/>
  <c r="K225"/>
  <c r="J225"/>
  <c r="A225" a="1"/>
  <c r="A225" s="1"/>
  <c r="I225" s="1"/>
  <c r="BA224"/>
  <c r="AZ224"/>
  <c r="AY224"/>
  <c r="AX224"/>
  <c r="AW224"/>
  <c r="AV224"/>
  <c r="AU224"/>
  <c r="AT224"/>
  <c r="AS224"/>
  <c r="AR224"/>
  <c r="AQ224"/>
  <c r="AP224"/>
  <c r="AO224"/>
  <c r="AN224"/>
  <c r="AM224"/>
  <c r="AL224"/>
  <c r="AK224"/>
  <c r="AJ224"/>
  <c r="AI224"/>
  <c r="AH224"/>
  <c r="AG224"/>
  <c r="AF224"/>
  <c r="AE224"/>
  <c r="AD224"/>
  <c r="AC224"/>
  <c r="AB224"/>
  <c r="AA224"/>
  <c r="Z224"/>
  <c r="Y224"/>
  <c r="X224"/>
  <c r="W224"/>
  <c r="V224"/>
  <c r="U224"/>
  <c r="T224"/>
  <c r="S224"/>
  <c r="R224"/>
  <c r="Q224"/>
  <c r="P224"/>
  <c r="O224"/>
  <c r="N224"/>
  <c r="M224"/>
  <c r="L224"/>
  <c r="K224"/>
  <c r="J224"/>
  <c r="A224" a="1"/>
  <c r="A224" s="1"/>
  <c r="I224" s="1"/>
  <c r="BA223"/>
  <c r="AZ223"/>
  <c r="AY223"/>
  <c r="AX223"/>
  <c r="AW223"/>
  <c r="AV223"/>
  <c r="AU223"/>
  <c r="AT223"/>
  <c r="AS223"/>
  <c r="AR223"/>
  <c r="AQ223"/>
  <c r="AP223"/>
  <c r="AO223"/>
  <c r="AN223"/>
  <c r="AM223"/>
  <c r="AL223"/>
  <c r="AK223"/>
  <c r="AJ223"/>
  <c r="AI223"/>
  <c r="AH223"/>
  <c r="AG223"/>
  <c r="AF223"/>
  <c r="AE223"/>
  <c r="AD223"/>
  <c r="AC223"/>
  <c r="AB223"/>
  <c r="AA223"/>
  <c r="Z223"/>
  <c r="Y223"/>
  <c r="X223"/>
  <c r="W223"/>
  <c r="V223"/>
  <c r="U223"/>
  <c r="T223"/>
  <c r="S223"/>
  <c r="R223"/>
  <c r="Q223"/>
  <c r="P223"/>
  <c r="O223"/>
  <c r="N223"/>
  <c r="M223"/>
  <c r="L223"/>
  <c r="K223"/>
  <c r="J223"/>
  <c r="A223" a="1"/>
  <c r="A223" s="1"/>
  <c r="I223" s="1"/>
  <c r="BA222"/>
  <c r="AZ222"/>
  <c r="AY222"/>
  <c r="AX222"/>
  <c r="AW222"/>
  <c r="AV222"/>
  <c r="AU222"/>
  <c r="AT222"/>
  <c r="AS222"/>
  <c r="AR222"/>
  <c r="AQ222"/>
  <c r="AP222"/>
  <c r="AO222"/>
  <c r="AN222"/>
  <c r="AM222"/>
  <c r="AL222"/>
  <c r="AK222"/>
  <c r="AJ222"/>
  <c r="AI222"/>
  <c r="AH222"/>
  <c r="AG222"/>
  <c r="AF222"/>
  <c r="AE222"/>
  <c r="AD222"/>
  <c r="AC222"/>
  <c r="AB222"/>
  <c r="AA222"/>
  <c r="Z222"/>
  <c r="Y222"/>
  <c r="X222"/>
  <c r="W222"/>
  <c r="V222"/>
  <c r="U222"/>
  <c r="T222"/>
  <c r="S222"/>
  <c r="R222"/>
  <c r="Q222"/>
  <c r="P222"/>
  <c r="O222"/>
  <c r="N222"/>
  <c r="M222"/>
  <c r="L222"/>
  <c r="K222"/>
  <c r="J222"/>
  <c r="A222" a="1"/>
  <c r="A222" s="1"/>
  <c r="I222" s="1"/>
  <c r="BA221"/>
  <c r="AZ221"/>
  <c r="AY221"/>
  <c r="AX221"/>
  <c r="AW221"/>
  <c r="AV221"/>
  <c r="AU221"/>
  <c r="AT221"/>
  <c r="AS221"/>
  <c r="AR221"/>
  <c r="AQ221"/>
  <c r="AP221"/>
  <c r="AO221"/>
  <c r="AN221"/>
  <c r="AM221"/>
  <c r="AL221"/>
  <c r="AK221"/>
  <c r="AJ221"/>
  <c r="AI221"/>
  <c r="AH221"/>
  <c r="AG221"/>
  <c r="AF221"/>
  <c r="AE221"/>
  <c r="AD221"/>
  <c r="AC221"/>
  <c r="AB221"/>
  <c r="AA221"/>
  <c r="Z221"/>
  <c r="Y221"/>
  <c r="X221"/>
  <c r="W221"/>
  <c r="V221"/>
  <c r="U221"/>
  <c r="T221"/>
  <c r="S221"/>
  <c r="R221"/>
  <c r="Q221"/>
  <c r="P221"/>
  <c r="O221"/>
  <c r="N221"/>
  <c r="M221"/>
  <c r="L221"/>
  <c r="K221"/>
  <c r="J221"/>
  <c r="A221" a="1"/>
  <c r="A221" s="1"/>
  <c r="I221" s="1"/>
  <c r="BA220"/>
  <c r="AZ220"/>
  <c r="AY220"/>
  <c r="AX220"/>
  <c r="AW220"/>
  <c r="AV220"/>
  <c r="AU220"/>
  <c r="AT220"/>
  <c r="AS220"/>
  <c r="AR220"/>
  <c r="AQ220"/>
  <c r="AP220"/>
  <c r="AO220"/>
  <c r="AN220"/>
  <c r="AM220"/>
  <c r="AL220"/>
  <c r="AK220"/>
  <c r="AJ220"/>
  <c r="AI220"/>
  <c r="AH220"/>
  <c r="AG220"/>
  <c r="AF220"/>
  <c r="AE220"/>
  <c r="AD220"/>
  <c r="AC220"/>
  <c r="AB220"/>
  <c r="AA220"/>
  <c r="Z220"/>
  <c r="Y220"/>
  <c r="X220"/>
  <c r="W220"/>
  <c r="V220"/>
  <c r="U220"/>
  <c r="T220"/>
  <c r="S220"/>
  <c r="R220"/>
  <c r="Q220"/>
  <c r="P220"/>
  <c r="O220"/>
  <c r="N220"/>
  <c r="M220"/>
  <c r="L220"/>
  <c r="K220"/>
  <c r="J220"/>
  <c r="A220" a="1"/>
  <c r="A220" s="1"/>
  <c r="I220" s="1"/>
  <c r="BA219"/>
  <c r="AZ219"/>
  <c r="AY219"/>
  <c r="AX219"/>
  <c r="AW219"/>
  <c r="AV219"/>
  <c r="AU219"/>
  <c r="AT219"/>
  <c r="AS219"/>
  <c r="AR219"/>
  <c r="AQ219"/>
  <c r="AP219"/>
  <c r="AO219"/>
  <c r="AN219"/>
  <c r="AM219"/>
  <c r="AL219"/>
  <c r="AK219"/>
  <c r="AJ219"/>
  <c r="AI219"/>
  <c r="AH219"/>
  <c r="AG219"/>
  <c r="AF219"/>
  <c r="AE219"/>
  <c r="AD219"/>
  <c r="AC219"/>
  <c r="AB219"/>
  <c r="AA219"/>
  <c r="Z219"/>
  <c r="Y219"/>
  <c r="X219"/>
  <c r="W219"/>
  <c r="V219"/>
  <c r="U219"/>
  <c r="T219"/>
  <c r="S219"/>
  <c r="R219"/>
  <c r="Q219"/>
  <c r="P219"/>
  <c r="O219"/>
  <c r="N219"/>
  <c r="M219"/>
  <c r="L219"/>
  <c r="K219"/>
  <c r="J219"/>
  <c r="A219" a="1"/>
  <c r="A219" s="1"/>
  <c r="I219" s="1"/>
  <c r="BA218"/>
  <c r="AZ218"/>
  <c r="AY218"/>
  <c r="AX218"/>
  <c r="AW218"/>
  <c r="AV218"/>
  <c r="AU218"/>
  <c r="AT218"/>
  <c r="AS218"/>
  <c r="AR218"/>
  <c r="AQ218"/>
  <c r="AP218"/>
  <c r="AO218"/>
  <c r="AN218"/>
  <c r="AM218"/>
  <c r="AL218"/>
  <c r="AK218"/>
  <c r="AJ218"/>
  <c r="AI218"/>
  <c r="AH218"/>
  <c r="AG218"/>
  <c r="AF218"/>
  <c r="AE218"/>
  <c r="AD218"/>
  <c r="AC218"/>
  <c r="AB218"/>
  <c r="AA218"/>
  <c r="Z218"/>
  <c r="Y218"/>
  <c r="X218"/>
  <c r="W218"/>
  <c r="V218"/>
  <c r="U218"/>
  <c r="T218"/>
  <c r="S218"/>
  <c r="R218"/>
  <c r="Q218"/>
  <c r="P218"/>
  <c r="O218"/>
  <c r="N218"/>
  <c r="M218"/>
  <c r="L218"/>
  <c r="K218"/>
  <c r="J218"/>
  <c r="A218" a="1"/>
  <c r="A218" s="1"/>
  <c r="I218" s="1"/>
  <c r="BA217"/>
  <c r="AZ217"/>
  <c r="AY217"/>
  <c r="AX217"/>
  <c r="AW217"/>
  <c r="AV217"/>
  <c r="AU217"/>
  <c r="AT217"/>
  <c r="AS217"/>
  <c r="AR217"/>
  <c r="AQ217"/>
  <c r="AP217"/>
  <c r="AO217"/>
  <c r="AN217"/>
  <c r="AM217"/>
  <c r="AL217"/>
  <c r="AK217"/>
  <c r="AJ217"/>
  <c r="AI217"/>
  <c r="AH217"/>
  <c r="AG217"/>
  <c r="AF217"/>
  <c r="AE217"/>
  <c r="AD217"/>
  <c r="AC217"/>
  <c r="AB217"/>
  <c r="AA217"/>
  <c r="Z217"/>
  <c r="Y217"/>
  <c r="X217"/>
  <c r="W217"/>
  <c r="V217"/>
  <c r="U217"/>
  <c r="T217"/>
  <c r="S217"/>
  <c r="R217"/>
  <c r="Q217"/>
  <c r="P217"/>
  <c r="O217"/>
  <c r="N217"/>
  <c r="M217"/>
  <c r="L217"/>
  <c r="K217"/>
  <c r="J217"/>
  <c r="A217" a="1"/>
  <c r="A217" s="1"/>
  <c r="I217" s="1"/>
  <c r="BA216"/>
  <c r="AZ216"/>
  <c r="AY216"/>
  <c r="AX216"/>
  <c r="AW216"/>
  <c r="AV216"/>
  <c r="AU216"/>
  <c r="AT216"/>
  <c r="AS216"/>
  <c r="AR216"/>
  <c r="AQ216"/>
  <c r="AP216"/>
  <c r="AO216"/>
  <c r="AN216"/>
  <c r="AM216"/>
  <c r="AL216"/>
  <c r="AK216"/>
  <c r="AJ216"/>
  <c r="AI216"/>
  <c r="AH216"/>
  <c r="AG216"/>
  <c r="AF216"/>
  <c r="AE216"/>
  <c r="AD216"/>
  <c r="AC216"/>
  <c r="AB216"/>
  <c r="AA216"/>
  <c r="Z216"/>
  <c r="Y216"/>
  <c r="X216"/>
  <c r="W216"/>
  <c r="V216"/>
  <c r="U216"/>
  <c r="T216"/>
  <c r="S216"/>
  <c r="R216"/>
  <c r="Q216"/>
  <c r="P216"/>
  <c r="O216"/>
  <c r="N216"/>
  <c r="M216"/>
  <c r="L216"/>
  <c r="K216"/>
  <c r="J216"/>
  <c r="A216" a="1"/>
  <c r="A216" s="1"/>
  <c r="I216" s="1"/>
  <c r="BA215"/>
  <c r="AZ215"/>
  <c r="AY215"/>
  <c r="AX215"/>
  <c r="AW215"/>
  <c r="AV215"/>
  <c r="AU215"/>
  <c r="AT215"/>
  <c r="AS215"/>
  <c r="AR215"/>
  <c r="AQ215"/>
  <c r="AP215"/>
  <c r="AO215"/>
  <c r="AN215"/>
  <c r="AM215"/>
  <c r="AL215"/>
  <c r="AK215"/>
  <c r="AJ215"/>
  <c r="AI215"/>
  <c r="AH215"/>
  <c r="AG215"/>
  <c r="AF215"/>
  <c r="AE215"/>
  <c r="AD215"/>
  <c r="AC215"/>
  <c r="AB215"/>
  <c r="AA215"/>
  <c r="Z215"/>
  <c r="Y215"/>
  <c r="X215"/>
  <c r="W215"/>
  <c r="V215"/>
  <c r="U215"/>
  <c r="T215"/>
  <c r="S215"/>
  <c r="R215"/>
  <c r="Q215"/>
  <c r="P215"/>
  <c r="O215"/>
  <c r="N215"/>
  <c r="M215"/>
  <c r="L215"/>
  <c r="K215"/>
  <c r="J215"/>
  <c r="A215" a="1"/>
  <c r="A215" s="1"/>
  <c r="I215" s="1"/>
  <c r="BA214"/>
  <c r="AZ214"/>
  <c r="AY214"/>
  <c r="AX214"/>
  <c r="AW214"/>
  <c r="AV214"/>
  <c r="AU214"/>
  <c r="AT214"/>
  <c r="AS214"/>
  <c r="AR214"/>
  <c r="AQ214"/>
  <c r="AP214"/>
  <c r="AO214"/>
  <c r="AN214"/>
  <c r="AM214"/>
  <c r="AL214"/>
  <c r="AK214"/>
  <c r="AJ214"/>
  <c r="AI214"/>
  <c r="AH214"/>
  <c r="AG214"/>
  <c r="AF214"/>
  <c r="AE214"/>
  <c r="AD214"/>
  <c r="AC214"/>
  <c r="AB214"/>
  <c r="AA214"/>
  <c r="Z214"/>
  <c r="Y214"/>
  <c r="X214"/>
  <c r="W214"/>
  <c r="V214"/>
  <c r="U214"/>
  <c r="T214"/>
  <c r="S214"/>
  <c r="R214"/>
  <c r="Q214"/>
  <c r="P214"/>
  <c r="O214"/>
  <c r="N214"/>
  <c r="M214"/>
  <c r="L214"/>
  <c r="K214"/>
  <c r="J214"/>
  <c r="A214" a="1"/>
  <c r="A214" s="1"/>
  <c r="I214" s="1"/>
  <c r="BA213"/>
  <c r="AZ213"/>
  <c r="AY213"/>
  <c r="AX213"/>
  <c r="AW213"/>
  <c r="AV213"/>
  <c r="AU213"/>
  <c r="AT213"/>
  <c r="AS213"/>
  <c r="AR213"/>
  <c r="AQ213"/>
  <c r="AP213"/>
  <c r="AO213"/>
  <c r="AN213"/>
  <c r="AM213"/>
  <c r="AL213"/>
  <c r="AK213"/>
  <c r="AJ213"/>
  <c r="AI213"/>
  <c r="AH213"/>
  <c r="AG213"/>
  <c r="AF213"/>
  <c r="AE213"/>
  <c r="AD213"/>
  <c r="AC213"/>
  <c r="AB213"/>
  <c r="AA213"/>
  <c r="Z213"/>
  <c r="Y213"/>
  <c r="X213"/>
  <c r="W213"/>
  <c r="V213"/>
  <c r="U213"/>
  <c r="T213"/>
  <c r="S213"/>
  <c r="R213"/>
  <c r="Q213"/>
  <c r="P213"/>
  <c r="O213"/>
  <c r="N213"/>
  <c r="M213"/>
  <c r="L213"/>
  <c r="K213"/>
  <c r="J213"/>
  <c r="A213" a="1"/>
  <c r="A213" s="1"/>
  <c r="I213" s="1"/>
  <c r="BA212"/>
  <c r="AZ212"/>
  <c r="AY212"/>
  <c r="AX212"/>
  <c r="AW212"/>
  <c r="AV212"/>
  <c r="AU212"/>
  <c r="AT212"/>
  <c r="AS212"/>
  <c r="AR212"/>
  <c r="AQ212"/>
  <c r="AP212"/>
  <c r="AO212"/>
  <c r="AN212"/>
  <c r="AM212"/>
  <c r="AL212"/>
  <c r="AK212"/>
  <c r="AJ212"/>
  <c r="AI212"/>
  <c r="AH212"/>
  <c r="AG212"/>
  <c r="AF212"/>
  <c r="AE212"/>
  <c r="AD212"/>
  <c r="AC212"/>
  <c r="AB212"/>
  <c r="AA212"/>
  <c r="Z212"/>
  <c r="Y212"/>
  <c r="X212"/>
  <c r="W212"/>
  <c r="V212"/>
  <c r="U212"/>
  <c r="T212"/>
  <c r="S212"/>
  <c r="R212"/>
  <c r="Q212"/>
  <c r="P212"/>
  <c r="O212"/>
  <c r="N212"/>
  <c r="M212"/>
  <c r="L212"/>
  <c r="K212"/>
  <c r="J212"/>
  <c r="A212" a="1"/>
  <c r="A212" s="1"/>
  <c r="I212" s="1"/>
  <c r="BA211"/>
  <c r="AZ211"/>
  <c r="AY211"/>
  <c r="AX211"/>
  <c r="AW211"/>
  <c r="AV211"/>
  <c r="AU211"/>
  <c r="AT211"/>
  <c r="AS211"/>
  <c r="AR211"/>
  <c r="AQ211"/>
  <c r="AP211"/>
  <c r="AO211"/>
  <c r="AN211"/>
  <c r="AM211"/>
  <c r="AL211"/>
  <c r="AK211"/>
  <c r="AJ211"/>
  <c r="AI211"/>
  <c r="AH211"/>
  <c r="AG211"/>
  <c r="AF211"/>
  <c r="AE211"/>
  <c r="AD211"/>
  <c r="AC211"/>
  <c r="AB211"/>
  <c r="AA211"/>
  <c r="Z211"/>
  <c r="Y211"/>
  <c r="X211"/>
  <c r="W211"/>
  <c r="V211"/>
  <c r="U211"/>
  <c r="T211"/>
  <c r="S211"/>
  <c r="R211"/>
  <c r="Q211"/>
  <c r="P211"/>
  <c r="O211"/>
  <c r="N211"/>
  <c r="M211"/>
  <c r="L211"/>
  <c r="K211"/>
  <c r="J211"/>
  <c r="A211" a="1"/>
  <c r="A211" s="1"/>
  <c r="I211" s="1"/>
  <c r="BA210"/>
  <c r="AZ210"/>
  <c r="AY210"/>
  <c r="AX210"/>
  <c r="AW210"/>
  <c r="AV210"/>
  <c r="AU210"/>
  <c r="AT210"/>
  <c r="AS210"/>
  <c r="AR210"/>
  <c r="AQ210"/>
  <c r="AP210"/>
  <c r="AO210"/>
  <c r="AN210"/>
  <c r="AM210"/>
  <c r="AL210"/>
  <c r="AK210"/>
  <c r="AJ210"/>
  <c r="AI210"/>
  <c r="AH210"/>
  <c r="AG210"/>
  <c r="AF210"/>
  <c r="AE210"/>
  <c r="AD210"/>
  <c r="AC210"/>
  <c r="AB210"/>
  <c r="AA210"/>
  <c r="Z210"/>
  <c r="Y210"/>
  <c r="X210"/>
  <c r="W210"/>
  <c r="V210"/>
  <c r="U210"/>
  <c r="T210"/>
  <c r="S210"/>
  <c r="R210"/>
  <c r="Q210"/>
  <c r="P210"/>
  <c r="O210"/>
  <c r="N210"/>
  <c r="M210"/>
  <c r="L210"/>
  <c r="K210"/>
  <c r="J210"/>
  <c r="A210" a="1"/>
  <c r="A210" s="1"/>
  <c r="I210" s="1"/>
  <c r="BA209"/>
  <c r="AZ209"/>
  <c r="AY209"/>
  <c r="AX209"/>
  <c r="AW209"/>
  <c r="AV209"/>
  <c r="AU209"/>
  <c r="AT209"/>
  <c r="AS209"/>
  <c r="AR209"/>
  <c r="AQ209"/>
  <c r="AP209"/>
  <c r="AO209"/>
  <c r="AN209"/>
  <c r="AM209"/>
  <c r="AL209"/>
  <c r="AK209"/>
  <c r="AJ209"/>
  <c r="AI209"/>
  <c r="AH209"/>
  <c r="AG209"/>
  <c r="AF209"/>
  <c r="AE209"/>
  <c r="AD209"/>
  <c r="AC209"/>
  <c r="AB209"/>
  <c r="AA209"/>
  <c r="Z209"/>
  <c r="Y209"/>
  <c r="X209"/>
  <c r="W209"/>
  <c r="V209"/>
  <c r="U209"/>
  <c r="T209"/>
  <c r="S209"/>
  <c r="R209"/>
  <c r="Q209"/>
  <c r="P209"/>
  <c r="O209"/>
  <c r="N209"/>
  <c r="M209"/>
  <c r="L209"/>
  <c r="K209"/>
  <c r="J209"/>
  <c r="A209" a="1"/>
  <c r="A209" s="1"/>
  <c r="I209" s="1"/>
  <c r="BA208"/>
  <c r="AZ208"/>
  <c r="AY208"/>
  <c r="AX208"/>
  <c r="AW208"/>
  <c r="AV208"/>
  <c r="AU208"/>
  <c r="AT208"/>
  <c r="AS208"/>
  <c r="AR208"/>
  <c r="AQ208"/>
  <c r="AP208"/>
  <c r="AO208"/>
  <c r="AN208"/>
  <c r="AM208"/>
  <c r="AL208"/>
  <c r="AK208"/>
  <c r="AJ208"/>
  <c r="AI208"/>
  <c r="AH208"/>
  <c r="AG208"/>
  <c r="AF208"/>
  <c r="AE208"/>
  <c r="AD208"/>
  <c r="AC208"/>
  <c r="AB208"/>
  <c r="AA208"/>
  <c r="Z208"/>
  <c r="Y208"/>
  <c r="X208"/>
  <c r="W208"/>
  <c r="V208"/>
  <c r="U208"/>
  <c r="T208"/>
  <c r="S208"/>
  <c r="R208"/>
  <c r="Q208"/>
  <c r="P208"/>
  <c r="O208"/>
  <c r="N208"/>
  <c r="M208"/>
  <c r="L208"/>
  <c r="K208"/>
  <c r="J208"/>
  <c r="A208" a="1"/>
  <c r="A208" s="1"/>
  <c r="I208" s="1"/>
  <c r="BA207"/>
  <c r="AZ207"/>
  <c r="AY207"/>
  <c r="AX207"/>
  <c r="AW207"/>
  <c r="AV207"/>
  <c r="AU207"/>
  <c r="AT207"/>
  <c r="AS207"/>
  <c r="AR207"/>
  <c r="AQ207"/>
  <c r="AP207"/>
  <c r="AO207"/>
  <c r="AN207"/>
  <c r="AM207"/>
  <c r="AL207"/>
  <c r="AK207"/>
  <c r="AJ207"/>
  <c r="AI207"/>
  <c r="AH207"/>
  <c r="AG207"/>
  <c r="AF207"/>
  <c r="AE207"/>
  <c r="AD207"/>
  <c r="AC207"/>
  <c r="AB207"/>
  <c r="AA207"/>
  <c r="Z207"/>
  <c r="Y207"/>
  <c r="X207"/>
  <c r="W207"/>
  <c r="V207"/>
  <c r="U207"/>
  <c r="T207"/>
  <c r="S207"/>
  <c r="R207"/>
  <c r="Q207"/>
  <c r="P207"/>
  <c r="O207"/>
  <c r="N207"/>
  <c r="M207"/>
  <c r="L207"/>
  <c r="K207"/>
  <c r="J207"/>
  <c r="A207" a="1"/>
  <c r="A207" s="1"/>
  <c r="I207" s="1"/>
  <c r="BA206"/>
  <c r="AZ206"/>
  <c r="AY206"/>
  <c r="AX206"/>
  <c r="AW206"/>
  <c r="AV206"/>
  <c r="AU206"/>
  <c r="AT206"/>
  <c r="AS206"/>
  <c r="AR206"/>
  <c r="AQ206"/>
  <c r="AP206"/>
  <c r="AO206"/>
  <c r="AN206"/>
  <c r="AM206"/>
  <c r="AL206"/>
  <c r="AK206"/>
  <c r="AJ206"/>
  <c r="AI206"/>
  <c r="AH206"/>
  <c r="AG206"/>
  <c r="AF206"/>
  <c r="AE206"/>
  <c r="AD206"/>
  <c r="AC206"/>
  <c r="AB206"/>
  <c r="AA206"/>
  <c r="Z206"/>
  <c r="Y206"/>
  <c r="X206"/>
  <c r="W206"/>
  <c r="V206"/>
  <c r="U206"/>
  <c r="T206"/>
  <c r="S206"/>
  <c r="R206"/>
  <c r="Q206"/>
  <c r="P206"/>
  <c r="O206"/>
  <c r="N206"/>
  <c r="M206"/>
  <c r="L206"/>
  <c r="K206"/>
  <c r="J206"/>
  <c r="A206" a="1"/>
  <c r="A206" s="1"/>
  <c r="I206" s="1"/>
  <c r="BA205"/>
  <c r="AZ205"/>
  <c r="AY205"/>
  <c r="AX205"/>
  <c r="AW205"/>
  <c r="AV205"/>
  <c r="AU205"/>
  <c r="AT205"/>
  <c r="AS205"/>
  <c r="AR205"/>
  <c r="AQ205"/>
  <c r="AP205"/>
  <c r="AO205"/>
  <c r="AN205"/>
  <c r="AM205"/>
  <c r="AL205"/>
  <c r="AK205"/>
  <c r="AJ205"/>
  <c r="AI205"/>
  <c r="AH205"/>
  <c r="AG205"/>
  <c r="AF205"/>
  <c r="AE205"/>
  <c r="AD205"/>
  <c r="AC205"/>
  <c r="AB205"/>
  <c r="AA205"/>
  <c r="Z205"/>
  <c r="Y205"/>
  <c r="X205"/>
  <c r="W205"/>
  <c r="V205"/>
  <c r="U205"/>
  <c r="T205"/>
  <c r="S205"/>
  <c r="R205"/>
  <c r="Q205"/>
  <c r="P205"/>
  <c r="O205"/>
  <c r="N205"/>
  <c r="M205"/>
  <c r="L205"/>
  <c r="K205"/>
  <c r="J205"/>
  <c r="A205" a="1"/>
  <c r="A205" s="1"/>
  <c r="I205" s="1"/>
  <c r="BA204"/>
  <c r="AZ204"/>
  <c r="AY204"/>
  <c r="AX204"/>
  <c r="AW204"/>
  <c r="AV204"/>
  <c r="AU204"/>
  <c r="AT204"/>
  <c r="AS204"/>
  <c r="AR204"/>
  <c r="AQ204"/>
  <c r="AP204"/>
  <c r="AO204"/>
  <c r="AN204"/>
  <c r="AM204"/>
  <c r="AL204"/>
  <c r="AK204"/>
  <c r="AJ204"/>
  <c r="AI204"/>
  <c r="AH204"/>
  <c r="AG204"/>
  <c r="AF204"/>
  <c r="AE204"/>
  <c r="AD204"/>
  <c r="AC204"/>
  <c r="AB204"/>
  <c r="AA204"/>
  <c r="Z204"/>
  <c r="Y204"/>
  <c r="X204"/>
  <c r="W204"/>
  <c r="V204"/>
  <c r="U204"/>
  <c r="T204"/>
  <c r="S204"/>
  <c r="R204"/>
  <c r="Q204"/>
  <c r="P204"/>
  <c r="O204"/>
  <c r="N204"/>
  <c r="M204"/>
  <c r="L204"/>
  <c r="K204"/>
  <c r="J204"/>
  <c r="A204" a="1"/>
  <c r="A204" s="1"/>
  <c r="I204" s="1"/>
  <c r="BA203"/>
  <c r="AZ203"/>
  <c r="AY203"/>
  <c r="AX203"/>
  <c r="AW203"/>
  <c r="AV203"/>
  <c r="AU203"/>
  <c r="AT203"/>
  <c r="AS203"/>
  <c r="AR203"/>
  <c r="AQ203"/>
  <c r="AP203"/>
  <c r="AO203"/>
  <c r="AN203"/>
  <c r="AM203"/>
  <c r="AL203"/>
  <c r="AK203"/>
  <c r="AJ203"/>
  <c r="AI203"/>
  <c r="AH203"/>
  <c r="AG203"/>
  <c r="AF203"/>
  <c r="AE203"/>
  <c r="AD203"/>
  <c r="AC203"/>
  <c r="AB203"/>
  <c r="AA203"/>
  <c r="Z203"/>
  <c r="Y203"/>
  <c r="X203"/>
  <c r="W203"/>
  <c r="V203"/>
  <c r="U203"/>
  <c r="T203"/>
  <c r="S203"/>
  <c r="R203"/>
  <c r="Q203"/>
  <c r="P203"/>
  <c r="O203"/>
  <c r="N203"/>
  <c r="M203"/>
  <c r="L203"/>
  <c r="K203"/>
  <c r="J203"/>
  <c r="A203" a="1"/>
  <c r="A203" s="1"/>
  <c r="I203" s="1"/>
  <c r="BA202"/>
  <c r="AZ202"/>
  <c r="AY202"/>
  <c r="AX202"/>
  <c r="AW202"/>
  <c r="AV202"/>
  <c r="AU202"/>
  <c r="AT202"/>
  <c r="AS202"/>
  <c r="AR202"/>
  <c r="AQ202"/>
  <c r="AP202"/>
  <c r="AO202"/>
  <c r="AN202"/>
  <c r="AM202"/>
  <c r="AL202"/>
  <c r="AK202"/>
  <c r="AJ202"/>
  <c r="AI202"/>
  <c r="AH202"/>
  <c r="AG202"/>
  <c r="AF202"/>
  <c r="AE202"/>
  <c r="AD202"/>
  <c r="AC202"/>
  <c r="AB202"/>
  <c r="AA202"/>
  <c r="Z202"/>
  <c r="Y202"/>
  <c r="X202"/>
  <c r="W202"/>
  <c r="V202"/>
  <c r="U202"/>
  <c r="T202"/>
  <c r="S202"/>
  <c r="R202"/>
  <c r="Q202"/>
  <c r="P202"/>
  <c r="O202"/>
  <c r="N202"/>
  <c r="M202"/>
  <c r="L202"/>
  <c r="K202"/>
  <c r="J202"/>
  <c r="A202" a="1"/>
  <c r="A202" s="1"/>
  <c r="I202" s="1"/>
  <c r="BA201"/>
  <c r="AZ201"/>
  <c r="AY201"/>
  <c r="AX201"/>
  <c r="AW201"/>
  <c r="AV201"/>
  <c r="AU201"/>
  <c r="AT201"/>
  <c r="AS201"/>
  <c r="AR201"/>
  <c r="AQ201"/>
  <c r="AP201"/>
  <c r="AO201"/>
  <c r="AN201"/>
  <c r="AM201"/>
  <c r="AL201"/>
  <c r="AK201"/>
  <c r="AJ201"/>
  <c r="AI201"/>
  <c r="AH201"/>
  <c r="AG201"/>
  <c r="AF201"/>
  <c r="AE201"/>
  <c r="AD201"/>
  <c r="AC201"/>
  <c r="AB201"/>
  <c r="AA201"/>
  <c r="Z201"/>
  <c r="Y201"/>
  <c r="X201"/>
  <c r="W201"/>
  <c r="V201"/>
  <c r="U201"/>
  <c r="T201"/>
  <c r="S201"/>
  <c r="R201"/>
  <c r="Q201"/>
  <c r="P201"/>
  <c r="O201"/>
  <c r="N201"/>
  <c r="M201"/>
  <c r="L201"/>
  <c r="K201"/>
  <c r="J201"/>
  <c r="A201" a="1"/>
  <c r="A201" s="1"/>
  <c r="I201" s="1"/>
  <c r="BA200"/>
  <c r="AZ200"/>
  <c r="AY200"/>
  <c r="AX200"/>
  <c r="AW200"/>
  <c r="AV200"/>
  <c r="AU200"/>
  <c r="AT200"/>
  <c r="AS200"/>
  <c r="AR200"/>
  <c r="AQ200"/>
  <c r="AP200"/>
  <c r="AO200"/>
  <c r="AN200"/>
  <c r="AM200"/>
  <c r="AL200"/>
  <c r="AK200"/>
  <c r="AJ200"/>
  <c r="AI200"/>
  <c r="AH200"/>
  <c r="AG200"/>
  <c r="AF200"/>
  <c r="AE200"/>
  <c r="AD200"/>
  <c r="AC200"/>
  <c r="AB200"/>
  <c r="AA200"/>
  <c r="Z200"/>
  <c r="Y200"/>
  <c r="X200"/>
  <c r="W200"/>
  <c r="V200"/>
  <c r="U200"/>
  <c r="T200"/>
  <c r="S200"/>
  <c r="R200"/>
  <c r="Q200"/>
  <c r="P200"/>
  <c r="O200"/>
  <c r="N200"/>
  <c r="M200"/>
  <c r="L200"/>
  <c r="K200"/>
  <c r="J200"/>
  <c r="A200" a="1"/>
  <c r="A200" s="1"/>
  <c r="I200" s="1"/>
  <c r="BA199"/>
  <c r="AZ199"/>
  <c r="AY199"/>
  <c r="AX199"/>
  <c r="AW199"/>
  <c r="AV199"/>
  <c r="AU199"/>
  <c r="AT199"/>
  <c r="AS199"/>
  <c r="AR199"/>
  <c r="AQ199"/>
  <c r="AP199"/>
  <c r="AO199"/>
  <c r="AN199"/>
  <c r="AM199"/>
  <c r="AL199"/>
  <c r="AK199"/>
  <c r="AJ199"/>
  <c r="AI199"/>
  <c r="AH199"/>
  <c r="AG199"/>
  <c r="AF199"/>
  <c r="AE199"/>
  <c r="AD199"/>
  <c r="AC199"/>
  <c r="AB199"/>
  <c r="AA199"/>
  <c r="Z199"/>
  <c r="Y199"/>
  <c r="X199"/>
  <c r="W199"/>
  <c r="V199"/>
  <c r="U199"/>
  <c r="T199"/>
  <c r="S199"/>
  <c r="R199"/>
  <c r="Q199"/>
  <c r="P199"/>
  <c r="O199"/>
  <c r="N199"/>
  <c r="M199"/>
  <c r="L199"/>
  <c r="K199"/>
  <c r="J199"/>
  <c r="A199" a="1"/>
  <c r="A199" s="1"/>
  <c r="I199" s="1"/>
  <c r="BA198"/>
  <c r="AZ198"/>
  <c r="AY198"/>
  <c r="AX198"/>
  <c r="AW198"/>
  <c r="AV198"/>
  <c r="AU198"/>
  <c r="AT198"/>
  <c r="AS198"/>
  <c r="AR198"/>
  <c r="AQ198"/>
  <c r="AP198"/>
  <c r="AO198"/>
  <c r="AN198"/>
  <c r="AM198"/>
  <c r="AL198"/>
  <c r="AK198"/>
  <c r="AJ198"/>
  <c r="AI198"/>
  <c r="AH198"/>
  <c r="AG198"/>
  <c r="AF198"/>
  <c r="AE198"/>
  <c r="AD198"/>
  <c r="AC198"/>
  <c r="AB198"/>
  <c r="AA198"/>
  <c r="Z198"/>
  <c r="Y198"/>
  <c r="X198"/>
  <c r="W198"/>
  <c r="V198"/>
  <c r="U198"/>
  <c r="T198"/>
  <c r="S198"/>
  <c r="R198"/>
  <c r="Q198"/>
  <c r="P198"/>
  <c r="O198"/>
  <c r="N198"/>
  <c r="M198"/>
  <c r="L198"/>
  <c r="K198"/>
  <c r="J198"/>
  <c r="A198" a="1"/>
  <c r="A198" s="1"/>
  <c r="I198" s="1"/>
  <c r="BA197"/>
  <c r="AZ197"/>
  <c r="AY197"/>
  <c r="AX197"/>
  <c r="AW197"/>
  <c r="AV197"/>
  <c r="AU197"/>
  <c r="AT197"/>
  <c r="AS197"/>
  <c r="AR197"/>
  <c r="AQ197"/>
  <c r="AP197"/>
  <c r="AO197"/>
  <c r="AN197"/>
  <c r="AM197"/>
  <c r="AL197"/>
  <c r="AK197"/>
  <c r="AJ197"/>
  <c r="AI197"/>
  <c r="AH197"/>
  <c r="AG197"/>
  <c r="AF197"/>
  <c r="AE197"/>
  <c r="AD197"/>
  <c r="AC197"/>
  <c r="AB197"/>
  <c r="AA197"/>
  <c r="Z197"/>
  <c r="Y197"/>
  <c r="X197"/>
  <c r="W197"/>
  <c r="V197"/>
  <c r="U197"/>
  <c r="T197"/>
  <c r="S197"/>
  <c r="R197"/>
  <c r="Q197"/>
  <c r="P197"/>
  <c r="O197"/>
  <c r="N197"/>
  <c r="M197"/>
  <c r="L197"/>
  <c r="K197"/>
  <c r="J197"/>
  <c r="A197" a="1"/>
  <c r="A197" s="1"/>
  <c r="I197" s="1"/>
  <c r="BA196"/>
  <c r="AZ196"/>
  <c r="AY196"/>
  <c r="AX196"/>
  <c r="AW196"/>
  <c r="AV196"/>
  <c r="AU196"/>
  <c r="AT196"/>
  <c r="AS196"/>
  <c r="AR196"/>
  <c r="AQ196"/>
  <c r="AP196"/>
  <c r="AO196"/>
  <c r="AN196"/>
  <c r="AM196"/>
  <c r="AL196"/>
  <c r="AK196"/>
  <c r="AJ196"/>
  <c r="AI196"/>
  <c r="AH196"/>
  <c r="AG196"/>
  <c r="AF196"/>
  <c r="AE196"/>
  <c r="AD196"/>
  <c r="AC196"/>
  <c r="AB196"/>
  <c r="AA196"/>
  <c r="Z196"/>
  <c r="Y196"/>
  <c r="X196"/>
  <c r="W196"/>
  <c r="V196"/>
  <c r="U196"/>
  <c r="T196"/>
  <c r="S196"/>
  <c r="R196"/>
  <c r="Q196"/>
  <c r="P196"/>
  <c r="O196"/>
  <c r="N196"/>
  <c r="M196"/>
  <c r="L196"/>
  <c r="K196"/>
  <c r="J196"/>
  <c r="A196" a="1"/>
  <c r="A196" s="1"/>
  <c r="I196" s="1"/>
  <c r="BA195"/>
  <c r="AZ195"/>
  <c r="AY195"/>
  <c r="AX195"/>
  <c r="AW195"/>
  <c r="AV195"/>
  <c r="AU195"/>
  <c r="AT195"/>
  <c r="AS195"/>
  <c r="AR195"/>
  <c r="AQ195"/>
  <c r="AP195"/>
  <c r="AO195"/>
  <c r="AN195"/>
  <c r="AM195"/>
  <c r="AL195"/>
  <c r="AK195"/>
  <c r="AJ195"/>
  <c r="AI195"/>
  <c r="AH195"/>
  <c r="AG195"/>
  <c r="AF195"/>
  <c r="AE195"/>
  <c r="AD195"/>
  <c r="AC195"/>
  <c r="AB195"/>
  <c r="AA195"/>
  <c r="Z195"/>
  <c r="Y195"/>
  <c r="X195"/>
  <c r="W195"/>
  <c r="V195"/>
  <c r="U195"/>
  <c r="T195"/>
  <c r="S195"/>
  <c r="R195"/>
  <c r="Q195"/>
  <c r="P195"/>
  <c r="O195"/>
  <c r="N195"/>
  <c r="M195"/>
  <c r="L195"/>
  <c r="K195"/>
  <c r="J195"/>
  <c r="A195" a="1"/>
  <c r="A195" s="1"/>
  <c r="I195" s="1"/>
  <c r="BA194"/>
  <c r="AZ194"/>
  <c r="AY194"/>
  <c r="AX194"/>
  <c r="AW194"/>
  <c r="AV194"/>
  <c r="AU194"/>
  <c r="AT194"/>
  <c r="AS194"/>
  <c r="AR194"/>
  <c r="AQ194"/>
  <c r="AP194"/>
  <c r="AO194"/>
  <c r="AN194"/>
  <c r="AM194"/>
  <c r="AL194"/>
  <c r="AK194"/>
  <c r="AJ194"/>
  <c r="AI194"/>
  <c r="AH194"/>
  <c r="AG194"/>
  <c r="AF194"/>
  <c r="AE194"/>
  <c r="AD194"/>
  <c r="AC194"/>
  <c r="AB194"/>
  <c r="AA194"/>
  <c r="Z194"/>
  <c r="Y194"/>
  <c r="X194"/>
  <c r="W194"/>
  <c r="V194"/>
  <c r="U194"/>
  <c r="T194"/>
  <c r="S194"/>
  <c r="R194"/>
  <c r="Q194"/>
  <c r="P194"/>
  <c r="O194"/>
  <c r="N194"/>
  <c r="M194"/>
  <c r="L194"/>
  <c r="K194"/>
  <c r="J194"/>
  <c r="A194" a="1"/>
  <c r="A194" s="1"/>
  <c r="I194" s="1"/>
  <c r="BA193"/>
  <c r="AZ193"/>
  <c r="AY193"/>
  <c r="AX193"/>
  <c r="AW193"/>
  <c r="AV193"/>
  <c r="AU193"/>
  <c r="AT193"/>
  <c r="AS193"/>
  <c r="AR193"/>
  <c r="AQ193"/>
  <c r="AP193"/>
  <c r="AO193"/>
  <c r="AN193"/>
  <c r="AM193"/>
  <c r="AL193"/>
  <c r="AK193"/>
  <c r="AJ193"/>
  <c r="AI193"/>
  <c r="AH193"/>
  <c r="AG193"/>
  <c r="AF193"/>
  <c r="AE193"/>
  <c r="AD193"/>
  <c r="AC193"/>
  <c r="AB193"/>
  <c r="AA193"/>
  <c r="Z193"/>
  <c r="Y193"/>
  <c r="X193"/>
  <c r="W193"/>
  <c r="V193"/>
  <c r="U193"/>
  <c r="T193"/>
  <c r="S193"/>
  <c r="R193"/>
  <c r="Q193"/>
  <c r="P193"/>
  <c r="O193"/>
  <c r="N193"/>
  <c r="M193"/>
  <c r="L193"/>
  <c r="K193"/>
  <c r="J193"/>
  <c r="A193" a="1"/>
  <c r="A193" s="1"/>
  <c r="I193" s="1"/>
  <c r="BA192"/>
  <c r="AZ192"/>
  <c r="AY192"/>
  <c r="AX192"/>
  <c r="AW192"/>
  <c r="AV192"/>
  <c r="AU192"/>
  <c r="AT192"/>
  <c r="AS192"/>
  <c r="AR192"/>
  <c r="AQ192"/>
  <c r="AP192"/>
  <c r="AO192"/>
  <c r="AN192"/>
  <c r="AM192"/>
  <c r="AL192"/>
  <c r="AK192"/>
  <c r="AJ192"/>
  <c r="AI192"/>
  <c r="AH192"/>
  <c r="AG192"/>
  <c r="AF192"/>
  <c r="AE192"/>
  <c r="AD192"/>
  <c r="AC192"/>
  <c r="AB192"/>
  <c r="AA192"/>
  <c r="Z192"/>
  <c r="Y192"/>
  <c r="X192"/>
  <c r="W192"/>
  <c r="V192"/>
  <c r="U192"/>
  <c r="T192"/>
  <c r="S192"/>
  <c r="R192"/>
  <c r="Q192"/>
  <c r="P192"/>
  <c r="O192"/>
  <c r="N192"/>
  <c r="M192"/>
  <c r="L192"/>
  <c r="K192"/>
  <c r="J192"/>
  <c r="A192" a="1"/>
  <c r="A192" s="1"/>
  <c r="I192" s="1"/>
  <c r="BA191"/>
  <c r="AZ191"/>
  <c r="AY191"/>
  <c r="AX191"/>
  <c r="AW191"/>
  <c r="AV191"/>
  <c r="AU191"/>
  <c r="AT191"/>
  <c r="AS191"/>
  <c r="AR191"/>
  <c r="AQ191"/>
  <c r="AP191"/>
  <c r="AO191"/>
  <c r="AN191"/>
  <c r="AM191"/>
  <c r="AL191"/>
  <c r="AK191"/>
  <c r="AJ191"/>
  <c r="AI191"/>
  <c r="AH191"/>
  <c r="AG191"/>
  <c r="AF191"/>
  <c r="AE191"/>
  <c r="AD191"/>
  <c r="AC191"/>
  <c r="AB191"/>
  <c r="AA191"/>
  <c r="Z191"/>
  <c r="Y191"/>
  <c r="X191"/>
  <c r="W191"/>
  <c r="V191"/>
  <c r="U191"/>
  <c r="T191"/>
  <c r="S191"/>
  <c r="R191"/>
  <c r="Q191"/>
  <c r="P191"/>
  <c r="O191"/>
  <c r="N191"/>
  <c r="M191"/>
  <c r="L191"/>
  <c r="K191"/>
  <c r="J191"/>
  <c r="A191" a="1"/>
  <c r="A191" s="1"/>
  <c r="I191" s="1"/>
  <c r="BA190"/>
  <c r="AZ190"/>
  <c r="AY190"/>
  <c r="AX190"/>
  <c r="AW190"/>
  <c r="AV190"/>
  <c r="AU190"/>
  <c r="AT190"/>
  <c r="AS190"/>
  <c r="AR190"/>
  <c r="AQ190"/>
  <c r="AP190"/>
  <c r="AO190"/>
  <c r="AN190"/>
  <c r="AM190"/>
  <c r="AL190"/>
  <c r="AK190"/>
  <c r="AJ190"/>
  <c r="AI190"/>
  <c r="AH190"/>
  <c r="AG190"/>
  <c r="AF190"/>
  <c r="AE190"/>
  <c r="AD190"/>
  <c r="AC190"/>
  <c r="AB190"/>
  <c r="AA190"/>
  <c r="Z190"/>
  <c r="Y190"/>
  <c r="X190"/>
  <c r="W190"/>
  <c r="V190"/>
  <c r="U190"/>
  <c r="T190"/>
  <c r="S190"/>
  <c r="R190"/>
  <c r="Q190"/>
  <c r="P190"/>
  <c r="O190"/>
  <c r="N190"/>
  <c r="M190"/>
  <c r="L190"/>
  <c r="K190"/>
  <c r="J190"/>
  <c r="A190" a="1"/>
  <c r="A190" s="1"/>
  <c r="I190" s="1"/>
  <c r="BA189"/>
  <c r="AZ189"/>
  <c r="AY189"/>
  <c r="AX189"/>
  <c r="AW189"/>
  <c r="AV189"/>
  <c r="AU189"/>
  <c r="AT189"/>
  <c r="AS189"/>
  <c r="AR189"/>
  <c r="AQ189"/>
  <c r="AP189"/>
  <c r="AO189"/>
  <c r="AN189"/>
  <c r="AM189"/>
  <c r="AL189"/>
  <c r="AK189"/>
  <c r="AJ189"/>
  <c r="AI189"/>
  <c r="AH189"/>
  <c r="AG189"/>
  <c r="AF189"/>
  <c r="AE189"/>
  <c r="AD189"/>
  <c r="AC189"/>
  <c r="AB189"/>
  <c r="AA189"/>
  <c r="Z189"/>
  <c r="Y189"/>
  <c r="X189"/>
  <c r="W189"/>
  <c r="V189"/>
  <c r="U189"/>
  <c r="T189"/>
  <c r="S189"/>
  <c r="R189"/>
  <c r="Q189"/>
  <c r="P189"/>
  <c r="O189"/>
  <c r="N189"/>
  <c r="M189"/>
  <c r="L189"/>
  <c r="K189"/>
  <c r="J189"/>
  <c r="A189" a="1"/>
  <c r="A189" s="1"/>
  <c r="I189" s="1"/>
  <c r="BA188"/>
  <c r="AZ188"/>
  <c r="AY188"/>
  <c r="AX188"/>
  <c r="AW188"/>
  <c r="AV188"/>
  <c r="AU188"/>
  <c r="AT188"/>
  <c r="AS188"/>
  <c r="AR188"/>
  <c r="AQ188"/>
  <c r="AP188"/>
  <c r="AO188"/>
  <c r="AN188"/>
  <c r="AM188"/>
  <c r="AL188"/>
  <c r="AK188"/>
  <c r="AJ188"/>
  <c r="AI188"/>
  <c r="AH188"/>
  <c r="AG188"/>
  <c r="AF188"/>
  <c r="AE188"/>
  <c r="AD188"/>
  <c r="AC188"/>
  <c r="AB188"/>
  <c r="AA188"/>
  <c r="Z188"/>
  <c r="Y188"/>
  <c r="X188"/>
  <c r="W188"/>
  <c r="V188"/>
  <c r="U188"/>
  <c r="T188"/>
  <c r="S188"/>
  <c r="R188"/>
  <c r="Q188"/>
  <c r="P188"/>
  <c r="O188"/>
  <c r="N188"/>
  <c r="M188"/>
  <c r="L188"/>
  <c r="K188"/>
  <c r="J188"/>
  <c r="A188" a="1"/>
  <c r="A188" s="1"/>
  <c r="I188" s="1"/>
  <c r="BA187"/>
  <c r="AZ187"/>
  <c r="AY187"/>
  <c r="AX187"/>
  <c r="AW187"/>
  <c r="AV187"/>
  <c r="AU187"/>
  <c r="AT187"/>
  <c r="AS187"/>
  <c r="AR187"/>
  <c r="AQ187"/>
  <c r="AP187"/>
  <c r="AO187"/>
  <c r="AN187"/>
  <c r="AM187"/>
  <c r="AL187"/>
  <c r="AK187"/>
  <c r="AJ187"/>
  <c r="AI187"/>
  <c r="AH187"/>
  <c r="AG187"/>
  <c r="AF187"/>
  <c r="AE187"/>
  <c r="AD187"/>
  <c r="AC187"/>
  <c r="AB187"/>
  <c r="AA187"/>
  <c r="Z187"/>
  <c r="Y187"/>
  <c r="X187"/>
  <c r="W187"/>
  <c r="V187"/>
  <c r="U187"/>
  <c r="T187"/>
  <c r="S187"/>
  <c r="R187"/>
  <c r="Q187"/>
  <c r="P187"/>
  <c r="O187"/>
  <c r="N187"/>
  <c r="M187"/>
  <c r="L187"/>
  <c r="K187"/>
  <c r="J187"/>
  <c r="A187" a="1"/>
  <c r="A187" s="1"/>
  <c r="I187" s="1"/>
  <c r="BA186"/>
  <c r="AZ186"/>
  <c r="AY186"/>
  <c r="AX186"/>
  <c r="AW186"/>
  <c r="AV186"/>
  <c r="AU186"/>
  <c r="AT186"/>
  <c r="AS186"/>
  <c r="AR186"/>
  <c r="AQ186"/>
  <c r="AP186"/>
  <c r="AO186"/>
  <c r="AN186"/>
  <c r="AM186"/>
  <c r="AL186"/>
  <c r="AK186"/>
  <c r="AJ186"/>
  <c r="AI186"/>
  <c r="AH186"/>
  <c r="AG186"/>
  <c r="AF186"/>
  <c r="AE186"/>
  <c r="AD186"/>
  <c r="AC186"/>
  <c r="AB186"/>
  <c r="AA186"/>
  <c r="Z186"/>
  <c r="Y186"/>
  <c r="X186"/>
  <c r="W186"/>
  <c r="V186"/>
  <c r="U186"/>
  <c r="T186"/>
  <c r="S186"/>
  <c r="R186"/>
  <c r="Q186"/>
  <c r="P186"/>
  <c r="O186"/>
  <c r="N186"/>
  <c r="M186"/>
  <c r="L186"/>
  <c r="K186"/>
  <c r="J186"/>
  <c r="A186" a="1"/>
  <c r="A186" s="1"/>
  <c r="I186" s="1"/>
  <c r="BA185"/>
  <c r="AZ185"/>
  <c r="AY185"/>
  <c r="AX185"/>
  <c r="AW185"/>
  <c r="AV185"/>
  <c r="AU185"/>
  <c r="AT185"/>
  <c r="AS185"/>
  <c r="AR185"/>
  <c r="AQ185"/>
  <c r="AP185"/>
  <c r="AO185"/>
  <c r="AN185"/>
  <c r="AM185"/>
  <c r="AL185"/>
  <c r="AK185"/>
  <c r="AJ185"/>
  <c r="AI185"/>
  <c r="AH185"/>
  <c r="AG185"/>
  <c r="AF185"/>
  <c r="AE185"/>
  <c r="AD185"/>
  <c r="AC185"/>
  <c r="AB185"/>
  <c r="AA185"/>
  <c r="Z185"/>
  <c r="Y185"/>
  <c r="X185"/>
  <c r="W185"/>
  <c r="V185"/>
  <c r="U185"/>
  <c r="T185"/>
  <c r="S185"/>
  <c r="R185"/>
  <c r="Q185"/>
  <c r="P185"/>
  <c r="O185"/>
  <c r="N185"/>
  <c r="M185"/>
  <c r="L185"/>
  <c r="K185"/>
  <c r="J185"/>
  <c r="A185" a="1"/>
  <c r="A185" s="1"/>
  <c r="I185" s="1"/>
  <c r="BA184"/>
  <c r="AZ184"/>
  <c r="AY184"/>
  <c r="AX184"/>
  <c r="AW184"/>
  <c r="AV184"/>
  <c r="AU184"/>
  <c r="AT184"/>
  <c r="AS184"/>
  <c r="AR184"/>
  <c r="AQ184"/>
  <c r="AP184"/>
  <c r="AO184"/>
  <c r="AN184"/>
  <c r="AM184"/>
  <c r="AL184"/>
  <c r="AK184"/>
  <c r="AJ184"/>
  <c r="AI184"/>
  <c r="AH184"/>
  <c r="AG184"/>
  <c r="AF184"/>
  <c r="AE184"/>
  <c r="AD184"/>
  <c r="AC184"/>
  <c r="AB184"/>
  <c r="AA184"/>
  <c r="Z184"/>
  <c r="Y184"/>
  <c r="X184"/>
  <c r="W184"/>
  <c r="V184"/>
  <c r="U184"/>
  <c r="T184"/>
  <c r="S184"/>
  <c r="R184"/>
  <c r="Q184"/>
  <c r="P184"/>
  <c r="O184"/>
  <c r="N184"/>
  <c r="M184"/>
  <c r="L184"/>
  <c r="K184"/>
  <c r="J184"/>
  <c r="A184" a="1"/>
  <c r="A184" s="1"/>
  <c r="I184" s="1"/>
  <c r="BA183"/>
  <c r="AZ183"/>
  <c r="AY183"/>
  <c r="AX183"/>
  <c r="AW183"/>
  <c r="AV183"/>
  <c r="AU183"/>
  <c r="AT183"/>
  <c r="AS183"/>
  <c r="AR183"/>
  <c r="AQ183"/>
  <c r="AP183"/>
  <c r="AO183"/>
  <c r="AN183"/>
  <c r="AM183"/>
  <c r="AL183"/>
  <c r="AK183"/>
  <c r="AJ183"/>
  <c r="AI183"/>
  <c r="AH183"/>
  <c r="AG183"/>
  <c r="AF183"/>
  <c r="AE183"/>
  <c r="AD183"/>
  <c r="AC183"/>
  <c r="AB183"/>
  <c r="AA183"/>
  <c r="Z183"/>
  <c r="Y183"/>
  <c r="X183"/>
  <c r="W183"/>
  <c r="V183"/>
  <c r="U183"/>
  <c r="T183"/>
  <c r="S183"/>
  <c r="R183"/>
  <c r="Q183"/>
  <c r="P183"/>
  <c r="O183"/>
  <c r="N183"/>
  <c r="M183"/>
  <c r="L183"/>
  <c r="K183"/>
  <c r="J183"/>
  <c r="A183" a="1"/>
  <c r="A183" s="1"/>
  <c r="I183" s="1"/>
  <c r="BA182"/>
  <c r="AZ182"/>
  <c r="AY182"/>
  <c r="AX182"/>
  <c r="AW182"/>
  <c r="AV182"/>
  <c r="AU182"/>
  <c r="AT182"/>
  <c r="AS182"/>
  <c r="AR182"/>
  <c r="AQ182"/>
  <c r="AP182"/>
  <c r="AO182"/>
  <c r="AN182"/>
  <c r="AM182"/>
  <c r="AL182"/>
  <c r="AK182"/>
  <c r="AJ182"/>
  <c r="AI182"/>
  <c r="AH182"/>
  <c r="AG182"/>
  <c r="AF182"/>
  <c r="AE182"/>
  <c r="AD182"/>
  <c r="AC182"/>
  <c r="AB182"/>
  <c r="AA182"/>
  <c r="Z182"/>
  <c r="Y182"/>
  <c r="X182"/>
  <c r="W182"/>
  <c r="V182"/>
  <c r="U182"/>
  <c r="T182"/>
  <c r="S182"/>
  <c r="R182"/>
  <c r="Q182"/>
  <c r="P182"/>
  <c r="O182"/>
  <c r="N182"/>
  <c r="M182"/>
  <c r="L182"/>
  <c r="K182"/>
  <c r="J182"/>
  <c r="A182" a="1"/>
  <c r="A182" s="1"/>
  <c r="I182" s="1"/>
  <c r="BA181"/>
  <c r="AZ181"/>
  <c r="AY181"/>
  <c r="AX181"/>
  <c r="AW181"/>
  <c r="AV181"/>
  <c r="AU181"/>
  <c r="AT181"/>
  <c r="AS181"/>
  <c r="AR181"/>
  <c r="AQ181"/>
  <c r="AP181"/>
  <c r="AO181"/>
  <c r="AN181"/>
  <c r="AM181"/>
  <c r="AL181"/>
  <c r="AK181"/>
  <c r="AJ181"/>
  <c r="AI181"/>
  <c r="AH181"/>
  <c r="AG181"/>
  <c r="AF181"/>
  <c r="AE181"/>
  <c r="AD181"/>
  <c r="AC181"/>
  <c r="AB181"/>
  <c r="AA181"/>
  <c r="Z181"/>
  <c r="Y181"/>
  <c r="X181"/>
  <c r="W181"/>
  <c r="V181"/>
  <c r="U181"/>
  <c r="T181"/>
  <c r="S181"/>
  <c r="R181"/>
  <c r="Q181"/>
  <c r="P181"/>
  <c r="O181"/>
  <c r="N181"/>
  <c r="M181"/>
  <c r="L181"/>
  <c r="K181"/>
  <c r="J181"/>
  <c r="A181" a="1"/>
  <c r="A181" s="1"/>
  <c r="I181" s="1"/>
  <c r="BA180"/>
  <c r="AZ180"/>
  <c r="AY180"/>
  <c r="AX180"/>
  <c r="AW180"/>
  <c r="AV180"/>
  <c r="AU180"/>
  <c r="AT180"/>
  <c r="AS180"/>
  <c r="AR180"/>
  <c r="AQ180"/>
  <c r="AP180"/>
  <c r="AO180"/>
  <c r="AN180"/>
  <c r="AM180"/>
  <c r="AL180"/>
  <c r="AK180"/>
  <c r="AJ180"/>
  <c r="AI180"/>
  <c r="AH180"/>
  <c r="AG180"/>
  <c r="AF180"/>
  <c r="AE180"/>
  <c r="AD180"/>
  <c r="AC180"/>
  <c r="AB180"/>
  <c r="AA180"/>
  <c r="Z180"/>
  <c r="Y180"/>
  <c r="X180"/>
  <c r="W180"/>
  <c r="V180"/>
  <c r="U180"/>
  <c r="T180"/>
  <c r="S180"/>
  <c r="R180"/>
  <c r="Q180"/>
  <c r="P180"/>
  <c r="O180"/>
  <c r="N180"/>
  <c r="M180"/>
  <c r="L180"/>
  <c r="K180"/>
  <c r="J180"/>
  <c r="A180" a="1"/>
  <c r="A180" s="1"/>
  <c r="I180" s="1"/>
  <c r="BA179"/>
  <c r="AZ179"/>
  <c r="AY179"/>
  <c r="AX179"/>
  <c r="AW179"/>
  <c r="AV179"/>
  <c r="AU179"/>
  <c r="AT179"/>
  <c r="AS179"/>
  <c r="AR179"/>
  <c r="AQ179"/>
  <c r="AP179"/>
  <c r="AO179"/>
  <c r="AN179"/>
  <c r="AM179"/>
  <c r="AL179"/>
  <c r="AK179"/>
  <c r="AJ179"/>
  <c r="AI179"/>
  <c r="AH179"/>
  <c r="AG179"/>
  <c r="AF179"/>
  <c r="AE179"/>
  <c r="AD179"/>
  <c r="AC179"/>
  <c r="AB179"/>
  <c r="AA179"/>
  <c r="Z179"/>
  <c r="Y179"/>
  <c r="X179"/>
  <c r="W179"/>
  <c r="V179"/>
  <c r="U179"/>
  <c r="T179"/>
  <c r="S179"/>
  <c r="R179"/>
  <c r="Q179"/>
  <c r="P179"/>
  <c r="O179"/>
  <c r="N179"/>
  <c r="M179"/>
  <c r="L179"/>
  <c r="K179"/>
  <c r="J179"/>
  <c r="A179" a="1"/>
  <c r="A179" s="1"/>
  <c r="I179" s="1"/>
  <c r="BA178"/>
  <c r="AZ178"/>
  <c r="AY178"/>
  <c r="AX178"/>
  <c r="AW178"/>
  <c r="AV178"/>
  <c r="AU178"/>
  <c r="AT178"/>
  <c r="AS178"/>
  <c r="AR178"/>
  <c r="AQ178"/>
  <c r="AP178"/>
  <c r="AO178"/>
  <c r="AN178"/>
  <c r="AM178"/>
  <c r="AL178"/>
  <c r="AK178"/>
  <c r="AJ178"/>
  <c r="AI178"/>
  <c r="AH178"/>
  <c r="AG178"/>
  <c r="AF178"/>
  <c r="AE178"/>
  <c r="AD178"/>
  <c r="AC178"/>
  <c r="AB178"/>
  <c r="AA178"/>
  <c r="Z178"/>
  <c r="Y178"/>
  <c r="X178"/>
  <c r="W178"/>
  <c r="V178"/>
  <c r="U178"/>
  <c r="T178"/>
  <c r="S178"/>
  <c r="R178"/>
  <c r="Q178"/>
  <c r="P178"/>
  <c r="O178"/>
  <c r="N178"/>
  <c r="M178"/>
  <c r="L178"/>
  <c r="K178"/>
  <c r="J178"/>
  <c r="A178" a="1"/>
  <c r="A178" s="1"/>
  <c r="I178" s="1"/>
  <c r="BA177"/>
  <c r="AZ177"/>
  <c r="AY177"/>
  <c r="AX177"/>
  <c r="AW177"/>
  <c r="AV177"/>
  <c r="AU177"/>
  <c r="AT177"/>
  <c r="AS177"/>
  <c r="AR177"/>
  <c r="AQ177"/>
  <c r="AP177"/>
  <c r="AO177"/>
  <c r="AN177"/>
  <c r="AM177"/>
  <c r="AL177"/>
  <c r="AK177"/>
  <c r="AJ177"/>
  <c r="AI177"/>
  <c r="AH177"/>
  <c r="AG177"/>
  <c r="AF177"/>
  <c r="AE177"/>
  <c r="AD177"/>
  <c r="AC177"/>
  <c r="AB177"/>
  <c r="AA177"/>
  <c r="Z177"/>
  <c r="Y177"/>
  <c r="X177"/>
  <c r="W177"/>
  <c r="V177"/>
  <c r="U177"/>
  <c r="T177"/>
  <c r="S177"/>
  <c r="R177"/>
  <c r="Q177"/>
  <c r="P177"/>
  <c r="O177"/>
  <c r="N177"/>
  <c r="M177"/>
  <c r="L177"/>
  <c r="K177"/>
  <c r="J177"/>
  <c r="A177" a="1"/>
  <c r="A177" s="1"/>
  <c r="I177" s="1"/>
  <c r="BA176"/>
  <c r="AZ176"/>
  <c r="AY176"/>
  <c r="AX176"/>
  <c r="AW176"/>
  <c r="AV176"/>
  <c r="AU176"/>
  <c r="AT176"/>
  <c r="AS176"/>
  <c r="AR176"/>
  <c r="AQ176"/>
  <c r="AP176"/>
  <c r="AO176"/>
  <c r="AN176"/>
  <c r="AM176"/>
  <c r="AL176"/>
  <c r="AK176"/>
  <c r="AJ176"/>
  <c r="AI176"/>
  <c r="AH176"/>
  <c r="AG176"/>
  <c r="AF176"/>
  <c r="AE176"/>
  <c r="AD176"/>
  <c r="AC176"/>
  <c r="AB176"/>
  <c r="AA176"/>
  <c r="Z176"/>
  <c r="Y176"/>
  <c r="X176"/>
  <c r="W176"/>
  <c r="V176"/>
  <c r="U176"/>
  <c r="T176"/>
  <c r="S176"/>
  <c r="R176"/>
  <c r="Q176"/>
  <c r="P176"/>
  <c r="O176"/>
  <c r="N176"/>
  <c r="M176"/>
  <c r="L176"/>
  <c r="K176"/>
  <c r="J176"/>
  <c r="A176" a="1"/>
  <c r="A176" s="1"/>
  <c r="I176" s="1"/>
  <c r="BA175"/>
  <c r="AZ175"/>
  <c r="AY175"/>
  <c r="AX175"/>
  <c r="AW175"/>
  <c r="AV175"/>
  <c r="AU175"/>
  <c r="AT175"/>
  <c r="AS175"/>
  <c r="AR175"/>
  <c r="AQ175"/>
  <c r="AP175"/>
  <c r="AO175"/>
  <c r="AN175"/>
  <c r="AM175"/>
  <c r="AL175"/>
  <c r="AK175"/>
  <c r="AJ175"/>
  <c r="AI175"/>
  <c r="AH175"/>
  <c r="AG175"/>
  <c r="AF175"/>
  <c r="AE175"/>
  <c r="AD175"/>
  <c r="AC175"/>
  <c r="AB175"/>
  <c r="AA175"/>
  <c r="Z175"/>
  <c r="Y175"/>
  <c r="X175"/>
  <c r="W175"/>
  <c r="V175"/>
  <c r="U175"/>
  <c r="T175"/>
  <c r="S175"/>
  <c r="R175"/>
  <c r="Q175"/>
  <c r="P175"/>
  <c r="O175"/>
  <c r="N175"/>
  <c r="M175"/>
  <c r="L175"/>
  <c r="K175"/>
  <c r="J175"/>
  <c r="A175" a="1"/>
  <c r="A175" s="1"/>
  <c r="I175" s="1"/>
  <c r="BA174"/>
  <c r="AZ174"/>
  <c r="AY174"/>
  <c r="AX174"/>
  <c r="AW174"/>
  <c r="AV174"/>
  <c r="AU174"/>
  <c r="AT174"/>
  <c r="AS174"/>
  <c r="AR174"/>
  <c r="AQ174"/>
  <c r="AP174"/>
  <c r="AO174"/>
  <c r="AN174"/>
  <c r="AM174"/>
  <c r="AL174"/>
  <c r="AK174"/>
  <c r="AJ174"/>
  <c r="AI174"/>
  <c r="AH174"/>
  <c r="AG174"/>
  <c r="AF174"/>
  <c r="AE174"/>
  <c r="AD174"/>
  <c r="AC174"/>
  <c r="AB174"/>
  <c r="AA174"/>
  <c r="Z174"/>
  <c r="Y174"/>
  <c r="X174"/>
  <c r="W174"/>
  <c r="V174"/>
  <c r="U174"/>
  <c r="T174"/>
  <c r="S174"/>
  <c r="R174"/>
  <c r="Q174"/>
  <c r="P174"/>
  <c r="O174"/>
  <c r="N174"/>
  <c r="M174"/>
  <c r="L174"/>
  <c r="K174"/>
  <c r="J174"/>
  <c r="A174" a="1"/>
  <c r="A174" s="1"/>
  <c r="I174" s="1"/>
  <c r="BA173"/>
  <c r="AZ173"/>
  <c r="AY173"/>
  <c r="AX173"/>
  <c r="AW173"/>
  <c r="AV173"/>
  <c r="AU173"/>
  <c r="AT173"/>
  <c r="AS173"/>
  <c r="AR173"/>
  <c r="AQ173"/>
  <c r="AP173"/>
  <c r="AO173"/>
  <c r="AN173"/>
  <c r="AM173"/>
  <c r="AL173"/>
  <c r="AK173"/>
  <c r="AJ173"/>
  <c r="AI173"/>
  <c r="AH173"/>
  <c r="AG173"/>
  <c r="AF173"/>
  <c r="AE173"/>
  <c r="AD173"/>
  <c r="AC173"/>
  <c r="AB173"/>
  <c r="AA173"/>
  <c r="Z173"/>
  <c r="Y173"/>
  <c r="X173"/>
  <c r="W173"/>
  <c r="V173"/>
  <c r="U173"/>
  <c r="T173"/>
  <c r="S173"/>
  <c r="R173"/>
  <c r="Q173"/>
  <c r="P173"/>
  <c r="O173"/>
  <c r="N173"/>
  <c r="M173"/>
  <c r="L173"/>
  <c r="K173"/>
  <c r="J173"/>
  <c r="A173" a="1"/>
  <c r="A173" s="1"/>
  <c r="I173" s="1"/>
  <c r="BA172"/>
  <c r="AZ172"/>
  <c r="AY172"/>
  <c r="AX172"/>
  <c r="AW172"/>
  <c r="AV172"/>
  <c r="AU172"/>
  <c r="AT172"/>
  <c r="AS172"/>
  <c r="AR172"/>
  <c r="AQ172"/>
  <c r="AP172"/>
  <c r="AO172"/>
  <c r="AN172"/>
  <c r="AM172"/>
  <c r="AL172"/>
  <c r="AK172"/>
  <c r="AJ172"/>
  <c r="AI172"/>
  <c r="AH172"/>
  <c r="AG172"/>
  <c r="AF172"/>
  <c r="AE172"/>
  <c r="AD172"/>
  <c r="AC172"/>
  <c r="AB172"/>
  <c r="AA172"/>
  <c r="Z172"/>
  <c r="Y172"/>
  <c r="X172"/>
  <c r="W172"/>
  <c r="V172"/>
  <c r="U172"/>
  <c r="T172"/>
  <c r="S172"/>
  <c r="R172"/>
  <c r="Q172"/>
  <c r="P172"/>
  <c r="O172"/>
  <c r="N172"/>
  <c r="M172"/>
  <c r="L172"/>
  <c r="K172"/>
  <c r="J172"/>
  <c r="A172" a="1"/>
  <c r="A172" s="1"/>
  <c r="I172" s="1"/>
  <c r="BA171"/>
  <c r="AZ171"/>
  <c r="AY171"/>
  <c r="AX171"/>
  <c r="AW171"/>
  <c r="AV171"/>
  <c r="AU171"/>
  <c r="AT171"/>
  <c r="AS171"/>
  <c r="AR171"/>
  <c r="AQ171"/>
  <c r="AP171"/>
  <c r="AO171"/>
  <c r="AN171"/>
  <c r="AM171"/>
  <c r="AL171"/>
  <c r="AK171"/>
  <c r="AJ171"/>
  <c r="AI171"/>
  <c r="AH171"/>
  <c r="AG171"/>
  <c r="AF171"/>
  <c r="AE171"/>
  <c r="AD171"/>
  <c r="AC171"/>
  <c r="AB171"/>
  <c r="AA171"/>
  <c r="Z171"/>
  <c r="Y171"/>
  <c r="X171"/>
  <c r="W171"/>
  <c r="V171"/>
  <c r="U171"/>
  <c r="T171"/>
  <c r="S171"/>
  <c r="R171"/>
  <c r="Q171"/>
  <c r="P171"/>
  <c r="O171"/>
  <c r="N171"/>
  <c r="M171"/>
  <c r="L171"/>
  <c r="K171"/>
  <c r="J171"/>
  <c r="A171" a="1"/>
  <c r="A171" s="1"/>
  <c r="I171" s="1"/>
  <c r="BA170"/>
  <c r="AZ170"/>
  <c r="AY170"/>
  <c r="AX170"/>
  <c r="AW170"/>
  <c r="AV170"/>
  <c r="AU170"/>
  <c r="AT170"/>
  <c r="AS170"/>
  <c r="AR170"/>
  <c r="AQ170"/>
  <c r="AP170"/>
  <c r="AO170"/>
  <c r="AN170"/>
  <c r="AM170"/>
  <c r="AL170"/>
  <c r="AK170"/>
  <c r="AJ170"/>
  <c r="AI170"/>
  <c r="AH170"/>
  <c r="AG170"/>
  <c r="AF170"/>
  <c r="AE170"/>
  <c r="AD170"/>
  <c r="AC170"/>
  <c r="AB170"/>
  <c r="AA170"/>
  <c r="Z170"/>
  <c r="Y170"/>
  <c r="X170"/>
  <c r="W170"/>
  <c r="V170"/>
  <c r="U170"/>
  <c r="T170"/>
  <c r="S170"/>
  <c r="R170"/>
  <c r="Q170"/>
  <c r="P170"/>
  <c r="O170"/>
  <c r="N170"/>
  <c r="M170"/>
  <c r="L170"/>
  <c r="K170"/>
  <c r="J170"/>
  <c r="A170" a="1"/>
  <c r="A170" s="1"/>
  <c r="I170" s="1"/>
  <c r="BA169"/>
  <c r="AZ169"/>
  <c r="AY169"/>
  <c r="AX169"/>
  <c r="AW169"/>
  <c r="AV169"/>
  <c r="AU169"/>
  <c r="AT169"/>
  <c r="AS169"/>
  <c r="AR169"/>
  <c r="AQ169"/>
  <c r="AP169"/>
  <c r="AO169"/>
  <c r="AN169"/>
  <c r="AM169"/>
  <c r="AL169"/>
  <c r="AK169"/>
  <c r="AJ169"/>
  <c r="AI169"/>
  <c r="AH169"/>
  <c r="AG169"/>
  <c r="AF169"/>
  <c r="AE169"/>
  <c r="AD169"/>
  <c r="AC169"/>
  <c r="AB169"/>
  <c r="AA169"/>
  <c r="Z169"/>
  <c r="Y169"/>
  <c r="X169"/>
  <c r="W169"/>
  <c r="V169"/>
  <c r="U169"/>
  <c r="T169"/>
  <c r="S169"/>
  <c r="R169"/>
  <c r="Q169"/>
  <c r="P169"/>
  <c r="O169"/>
  <c r="N169"/>
  <c r="M169"/>
  <c r="L169"/>
  <c r="K169"/>
  <c r="J169"/>
  <c r="A169" a="1"/>
  <c r="A169" s="1"/>
  <c r="I169" s="1"/>
  <c r="BA168"/>
  <c r="AZ168"/>
  <c r="AY168"/>
  <c r="AX168"/>
  <c r="AW168"/>
  <c r="AV168"/>
  <c r="AU168"/>
  <c r="AT168"/>
  <c r="AS168"/>
  <c r="AR168"/>
  <c r="AQ168"/>
  <c r="AP168"/>
  <c r="AO168"/>
  <c r="AN168"/>
  <c r="AM168"/>
  <c r="AL168"/>
  <c r="AK168"/>
  <c r="AJ168"/>
  <c r="AI168"/>
  <c r="AH168"/>
  <c r="AG168"/>
  <c r="AF168"/>
  <c r="AE168"/>
  <c r="AD168"/>
  <c r="AC168"/>
  <c r="AB168"/>
  <c r="AA168"/>
  <c r="Z168"/>
  <c r="Y168"/>
  <c r="X168"/>
  <c r="W168"/>
  <c r="V168"/>
  <c r="U168"/>
  <c r="T168"/>
  <c r="S168"/>
  <c r="R168"/>
  <c r="Q168"/>
  <c r="P168"/>
  <c r="O168"/>
  <c r="N168"/>
  <c r="M168"/>
  <c r="L168"/>
  <c r="K168"/>
  <c r="J168"/>
  <c r="A168" a="1"/>
  <c r="A168" s="1"/>
  <c r="I168" s="1"/>
  <c r="BA167"/>
  <c r="AZ167"/>
  <c r="AY167"/>
  <c r="AX167"/>
  <c r="AW167"/>
  <c r="AV167"/>
  <c r="AU167"/>
  <c r="AT167"/>
  <c r="AS167"/>
  <c r="AR167"/>
  <c r="AQ167"/>
  <c r="AP167"/>
  <c r="AO167"/>
  <c r="AN167"/>
  <c r="AM167"/>
  <c r="AL167"/>
  <c r="AK167"/>
  <c r="AJ167"/>
  <c r="AI167"/>
  <c r="AH167"/>
  <c r="AG167"/>
  <c r="AF167"/>
  <c r="AE167"/>
  <c r="AD167"/>
  <c r="AC167"/>
  <c r="AB167"/>
  <c r="AA167"/>
  <c r="Z167"/>
  <c r="Y167"/>
  <c r="X167"/>
  <c r="W167"/>
  <c r="V167"/>
  <c r="U167"/>
  <c r="T167"/>
  <c r="S167"/>
  <c r="R167"/>
  <c r="Q167"/>
  <c r="P167"/>
  <c r="O167"/>
  <c r="N167"/>
  <c r="M167"/>
  <c r="L167"/>
  <c r="K167"/>
  <c r="J167"/>
  <c r="A167" a="1"/>
  <c r="A167" s="1"/>
  <c r="I167" s="1"/>
  <c r="BA166"/>
  <c r="AZ166"/>
  <c r="AY166"/>
  <c r="AX166"/>
  <c r="AW166"/>
  <c r="AV166"/>
  <c r="AU166"/>
  <c r="AT166"/>
  <c r="AS166"/>
  <c r="AR166"/>
  <c r="AQ166"/>
  <c r="AP166"/>
  <c r="AO166"/>
  <c r="AN166"/>
  <c r="AM166"/>
  <c r="AL166"/>
  <c r="AK166"/>
  <c r="AJ166"/>
  <c r="AI166"/>
  <c r="AH166"/>
  <c r="AG166"/>
  <c r="AF166"/>
  <c r="AE166"/>
  <c r="AD166"/>
  <c r="AC166"/>
  <c r="AB166"/>
  <c r="AA166"/>
  <c r="Z166"/>
  <c r="Y166"/>
  <c r="X166"/>
  <c r="W166"/>
  <c r="V166"/>
  <c r="U166"/>
  <c r="T166"/>
  <c r="S166"/>
  <c r="R166"/>
  <c r="Q166"/>
  <c r="P166"/>
  <c r="O166"/>
  <c r="N166"/>
  <c r="M166"/>
  <c r="L166"/>
  <c r="K166"/>
  <c r="J166"/>
  <c r="A166" a="1"/>
  <c r="A166" s="1"/>
  <c r="I166" s="1"/>
  <c r="BA165"/>
  <c r="AZ165"/>
  <c r="AY165"/>
  <c r="AX165"/>
  <c r="AW165"/>
  <c r="AV165"/>
  <c r="AU165"/>
  <c r="AT165"/>
  <c r="AS165"/>
  <c r="AR165"/>
  <c r="AQ165"/>
  <c r="AP165"/>
  <c r="AO165"/>
  <c r="AN165"/>
  <c r="AM165"/>
  <c r="AL165"/>
  <c r="AK165"/>
  <c r="AJ165"/>
  <c r="AI165"/>
  <c r="AH165"/>
  <c r="AG165"/>
  <c r="AF165"/>
  <c r="AE165"/>
  <c r="AD165"/>
  <c r="AC165"/>
  <c r="AB165"/>
  <c r="AA165"/>
  <c r="Z165"/>
  <c r="Y165"/>
  <c r="X165"/>
  <c r="W165"/>
  <c r="V165"/>
  <c r="U165"/>
  <c r="T165"/>
  <c r="S165"/>
  <c r="R165"/>
  <c r="Q165"/>
  <c r="P165"/>
  <c r="O165"/>
  <c r="N165"/>
  <c r="M165"/>
  <c r="L165"/>
  <c r="K165"/>
  <c r="J165"/>
  <c r="A165" a="1"/>
  <c r="A165" s="1"/>
  <c r="I165" s="1"/>
  <c r="BA164"/>
  <c r="AZ164"/>
  <c r="AY164"/>
  <c r="AX164"/>
  <c r="AW164"/>
  <c r="AV164"/>
  <c r="AU164"/>
  <c r="AT164"/>
  <c r="AS164"/>
  <c r="AR164"/>
  <c r="AQ164"/>
  <c r="AP164"/>
  <c r="AO164"/>
  <c r="AN164"/>
  <c r="AM164"/>
  <c r="AL164"/>
  <c r="AK164"/>
  <c r="AJ164"/>
  <c r="AI164"/>
  <c r="AH164"/>
  <c r="AG164"/>
  <c r="AF164"/>
  <c r="AE164"/>
  <c r="AD164"/>
  <c r="AC164"/>
  <c r="AB164"/>
  <c r="AA164"/>
  <c r="Z164"/>
  <c r="Y164"/>
  <c r="X164"/>
  <c r="W164"/>
  <c r="V164"/>
  <c r="U164"/>
  <c r="T164"/>
  <c r="S164"/>
  <c r="R164"/>
  <c r="Q164"/>
  <c r="P164"/>
  <c r="O164"/>
  <c r="N164"/>
  <c r="M164"/>
  <c r="L164"/>
  <c r="K164"/>
  <c r="J164"/>
  <c r="A164" a="1"/>
  <c r="A164" s="1"/>
  <c r="I164" s="1"/>
  <c r="BA163"/>
  <c r="AZ163"/>
  <c r="AY163"/>
  <c r="AX163"/>
  <c r="AW163"/>
  <c r="AV163"/>
  <c r="AU163"/>
  <c r="AT163"/>
  <c r="AS163"/>
  <c r="AR163"/>
  <c r="AQ163"/>
  <c r="AP163"/>
  <c r="AO163"/>
  <c r="AN163"/>
  <c r="AM163"/>
  <c r="AL163"/>
  <c r="AK163"/>
  <c r="AJ163"/>
  <c r="AI163"/>
  <c r="AH163"/>
  <c r="AG163"/>
  <c r="AF163"/>
  <c r="AE163"/>
  <c r="AD163"/>
  <c r="AC163"/>
  <c r="AB163"/>
  <c r="AA163"/>
  <c r="Z163"/>
  <c r="Y163"/>
  <c r="X163"/>
  <c r="W163"/>
  <c r="V163"/>
  <c r="U163"/>
  <c r="T163"/>
  <c r="S163"/>
  <c r="R163"/>
  <c r="Q163"/>
  <c r="P163"/>
  <c r="O163"/>
  <c r="N163"/>
  <c r="M163"/>
  <c r="L163"/>
  <c r="K163"/>
  <c r="J163"/>
  <c r="A163" a="1"/>
  <c r="A163" s="1"/>
  <c r="I163" s="1"/>
  <c r="BA162"/>
  <c r="AZ162"/>
  <c r="AY162"/>
  <c r="AX162"/>
  <c r="AW162"/>
  <c r="AV162"/>
  <c r="AU162"/>
  <c r="AT162"/>
  <c r="AS162"/>
  <c r="AR162"/>
  <c r="AQ162"/>
  <c r="AP162"/>
  <c r="AO162"/>
  <c r="AN162"/>
  <c r="AM162"/>
  <c r="AL162"/>
  <c r="AK162"/>
  <c r="AJ162"/>
  <c r="AI162"/>
  <c r="AH162"/>
  <c r="AG162"/>
  <c r="AF162"/>
  <c r="AE162"/>
  <c r="AD162"/>
  <c r="AC162"/>
  <c r="AB162"/>
  <c r="AA162"/>
  <c r="Z162"/>
  <c r="Y162"/>
  <c r="X162"/>
  <c r="W162"/>
  <c r="V162"/>
  <c r="U162"/>
  <c r="T162"/>
  <c r="S162"/>
  <c r="R162"/>
  <c r="Q162"/>
  <c r="P162"/>
  <c r="O162"/>
  <c r="N162"/>
  <c r="M162"/>
  <c r="L162"/>
  <c r="K162"/>
  <c r="J162"/>
  <c r="A162" a="1"/>
  <c r="A162" s="1"/>
  <c r="I162" s="1"/>
  <c r="BA161"/>
  <c r="AZ161"/>
  <c r="AY161"/>
  <c r="AX161"/>
  <c r="AW161"/>
  <c r="AV161"/>
  <c r="AU161"/>
  <c r="AT161"/>
  <c r="AS161"/>
  <c r="AR161"/>
  <c r="AQ161"/>
  <c r="AP161"/>
  <c r="AO161"/>
  <c r="AN161"/>
  <c r="AM161"/>
  <c r="AL161"/>
  <c r="AK161"/>
  <c r="AJ161"/>
  <c r="AI161"/>
  <c r="AH161"/>
  <c r="AG161"/>
  <c r="AF161"/>
  <c r="AE161"/>
  <c r="AD161"/>
  <c r="AC161"/>
  <c r="AB161"/>
  <c r="AA161"/>
  <c r="Z161"/>
  <c r="Y161"/>
  <c r="X161"/>
  <c r="W161"/>
  <c r="V161"/>
  <c r="U161"/>
  <c r="T161"/>
  <c r="S161"/>
  <c r="R161"/>
  <c r="Q161"/>
  <c r="P161"/>
  <c r="O161"/>
  <c r="N161"/>
  <c r="M161"/>
  <c r="L161"/>
  <c r="K161"/>
  <c r="J161"/>
  <c r="A161" a="1"/>
  <c r="A161" s="1"/>
  <c r="I161" s="1"/>
  <c r="BA160"/>
  <c r="AZ160"/>
  <c r="AY160"/>
  <c r="AX160"/>
  <c r="AW160"/>
  <c r="AV160"/>
  <c r="AU160"/>
  <c r="AT160"/>
  <c r="AS160"/>
  <c r="AR160"/>
  <c r="AQ160"/>
  <c r="AP160"/>
  <c r="AO160"/>
  <c r="AN160"/>
  <c r="AM160"/>
  <c r="AL160"/>
  <c r="AK160"/>
  <c r="AJ160"/>
  <c r="AI160"/>
  <c r="AH160"/>
  <c r="AG160"/>
  <c r="AF160"/>
  <c r="AE160"/>
  <c r="AD160"/>
  <c r="AC160"/>
  <c r="AB160"/>
  <c r="AA160"/>
  <c r="Z160"/>
  <c r="Y160"/>
  <c r="X160"/>
  <c r="W160"/>
  <c r="V160"/>
  <c r="U160"/>
  <c r="T160"/>
  <c r="S160"/>
  <c r="R160"/>
  <c r="Q160"/>
  <c r="P160"/>
  <c r="O160"/>
  <c r="N160"/>
  <c r="M160"/>
  <c r="L160"/>
  <c r="K160"/>
  <c r="J160"/>
  <c r="A160" a="1"/>
  <c r="A160" s="1"/>
  <c r="I160" s="1"/>
  <c r="BA159"/>
  <c r="AZ159"/>
  <c r="AY159"/>
  <c r="AX159"/>
  <c r="AW159"/>
  <c r="AV159"/>
  <c r="AU159"/>
  <c r="AT159"/>
  <c r="AS159"/>
  <c r="AR159"/>
  <c r="AQ159"/>
  <c r="AP159"/>
  <c r="AO159"/>
  <c r="AN159"/>
  <c r="AM159"/>
  <c r="AL159"/>
  <c r="AK159"/>
  <c r="AJ159"/>
  <c r="AI159"/>
  <c r="AH159"/>
  <c r="AG159"/>
  <c r="AF159"/>
  <c r="AE159"/>
  <c r="AD159"/>
  <c r="AC159"/>
  <c r="AB159"/>
  <c r="AA159"/>
  <c r="Z159"/>
  <c r="Y159"/>
  <c r="X159"/>
  <c r="W159"/>
  <c r="V159"/>
  <c r="U159"/>
  <c r="T159"/>
  <c r="S159"/>
  <c r="R159"/>
  <c r="Q159"/>
  <c r="P159"/>
  <c r="O159"/>
  <c r="N159"/>
  <c r="M159"/>
  <c r="L159"/>
  <c r="K159"/>
  <c r="J159"/>
  <c r="A159" a="1"/>
  <c r="A159" s="1"/>
  <c r="I159" s="1"/>
  <c r="BA158"/>
  <c r="AZ158"/>
  <c r="AY158"/>
  <c r="AX158"/>
  <c r="AW158"/>
  <c r="AV158"/>
  <c r="AU158"/>
  <c r="AT158"/>
  <c r="AS158"/>
  <c r="AR158"/>
  <c r="AQ158"/>
  <c r="AP158"/>
  <c r="AO158"/>
  <c r="AN158"/>
  <c r="AM158"/>
  <c r="AL158"/>
  <c r="AK158"/>
  <c r="AJ158"/>
  <c r="AI158"/>
  <c r="AH158"/>
  <c r="AG158"/>
  <c r="AF158"/>
  <c r="AE158"/>
  <c r="AD158"/>
  <c r="AC158"/>
  <c r="AB158"/>
  <c r="AA158"/>
  <c r="Z158"/>
  <c r="Y158"/>
  <c r="X158"/>
  <c r="W158"/>
  <c r="V158"/>
  <c r="U158"/>
  <c r="T158"/>
  <c r="S158"/>
  <c r="R158"/>
  <c r="Q158"/>
  <c r="P158"/>
  <c r="O158"/>
  <c r="N158"/>
  <c r="M158"/>
  <c r="L158"/>
  <c r="K158"/>
  <c r="J158"/>
  <c r="A158" a="1"/>
  <c r="A158" s="1"/>
  <c r="I158" s="1"/>
  <c r="BA157"/>
  <c r="AZ157"/>
  <c r="AY157"/>
  <c r="AX157"/>
  <c r="AW157"/>
  <c r="AV157"/>
  <c r="AU157"/>
  <c r="AT157"/>
  <c r="AS157"/>
  <c r="AR157"/>
  <c r="AQ157"/>
  <c r="AP157"/>
  <c r="AO157"/>
  <c r="AN157"/>
  <c r="AM157"/>
  <c r="AL157"/>
  <c r="AK157"/>
  <c r="AJ157"/>
  <c r="AI157"/>
  <c r="AH157"/>
  <c r="AG157"/>
  <c r="AF157"/>
  <c r="AE157"/>
  <c r="AD157"/>
  <c r="AC157"/>
  <c r="AB157"/>
  <c r="AA157"/>
  <c r="Z157"/>
  <c r="Y157"/>
  <c r="X157"/>
  <c r="W157"/>
  <c r="V157"/>
  <c r="U157"/>
  <c r="T157"/>
  <c r="S157"/>
  <c r="R157"/>
  <c r="Q157"/>
  <c r="P157"/>
  <c r="O157"/>
  <c r="N157"/>
  <c r="M157"/>
  <c r="L157"/>
  <c r="K157"/>
  <c r="J157"/>
  <c r="A157" a="1"/>
  <c r="A157" s="1"/>
  <c r="I157" s="1"/>
  <c r="BA156"/>
  <c r="AZ156"/>
  <c r="AY156"/>
  <c r="AX156"/>
  <c r="AW156"/>
  <c r="AV156"/>
  <c r="AU156"/>
  <c r="AT156"/>
  <c r="AS156"/>
  <c r="AR156"/>
  <c r="AQ156"/>
  <c r="AP156"/>
  <c r="AO156"/>
  <c r="AN156"/>
  <c r="AM156"/>
  <c r="AL156"/>
  <c r="AK156"/>
  <c r="AJ156"/>
  <c r="AI156"/>
  <c r="AH156"/>
  <c r="AG156"/>
  <c r="AF156"/>
  <c r="AE156"/>
  <c r="AD156"/>
  <c r="AC156"/>
  <c r="AB156"/>
  <c r="AA156"/>
  <c r="Z156"/>
  <c r="Y156"/>
  <c r="X156"/>
  <c r="W156"/>
  <c r="V156"/>
  <c r="U156"/>
  <c r="T156"/>
  <c r="S156"/>
  <c r="R156"/>
  <c r="Q156"/>
  <c r="P156"/>
  <c r="O156"/>
  <c r="N156"/>
  <c r="M156"/>
  <c r="L156"/>
  <c r="K156"/>
  <c r="J156"/>
  <c r="A156" a="1"/>
  <c r="A156" s="1"/>
  <c r="I156" s="1"/>
  <c r="BA155"/>
  <c r="AZ155"/>
  <c r="AY155"/>
  <c r="AX155"/>
  <c r="AW155"/>
  <c r="AV155"/>
  <c r="AU155"/>
  <c r="AT155"/>
  <c r="AS155"/>
  <c r="AR155"/>
  <c r="AQ155"/>
  <c r="AP155"/>
  <c r="AO155"/>
  <c r="AN155"/>
  <c r="AM155"/>
  <c r="AL155"/>
  <c r="AK155"/>
  <c r="AJ155"/>
  <c r="AI155"/>
  <c r="AH155"/>
  <c r="AG155"/>
  <c r="AF155"/>
  <c r="AE155"/>
  <c r="AD155"/>
  <c r="AC155"/>
  <c r="AB155"/>
  <c r="AA155"/>
  <c r="Z155"/>
  <c r="Y155"/>
  <c r="X155"/>
  <c r="W155"/>
  <c r="V155"/>
  <c r="U155"/>
  <c r="T155"/>
  <c r="S155"/>
  <c r="R155"/>
  <c r="Q155"/>
  <c r="P155"/>
  <c r="O155"/>
  <c r="N155"/>
  <c r="M155"/>
  <c r="L155"/>
  <c r="K155"/>
  <c r="J155"/>
  <c r="A155" a="1"/>
  <c r="A155" s="1"/>
  <c r="I155" s="1"/>
  <c r="BA154"/>
  <c r="AZ154"/>
  <c r="AY154"/>
  <c r="AX154"/>
  <c r="AW154"/>
  <c r="AV154"/>
  <c r="AU154"/>
  <c r="AT154"/>
  <c r="AS154"/>
  <c r="AR154"/>
  <c r="AQ154"/>
  <c r="AP154"/>
  <c r="AO154"/>
  <c r="AN154"/>
  <c r="AM154"/>
  <c r="AL154"/>
  <c r="AK154"/>
  <c r="AJ154"/>
  <c r="AI154"/>
  <c r="AH154"/>
  <c r="AG154"/>
  <c r="AF154"/>
  <c r="AE154"/>
  <c r="AD154"/>
  <c r="AC154"/>
  <c r="AB154"/>
  <c r="AA154"/>
  <c r="Z154"/>
  <c r="Y154"/>
  <c r="X154"/>
  <c r="W154"/>
  <c r="V154"/>
  <c r="U154"/>
  <c r="T154"/>
  <c r="S154"/>
  <c r="R154"/>
  <c r="Q154"/>
  <c r="P154"/>
  <c r="O154"/>
  <c r="N154"/>
  <c r="M154"/>
  <c r="L154"/>
  <c r="K154"/>
  <c r="J154"/>
  <c r="A154" a="1"/>
  <c r="A154" s="1"/>
  <c r="I154" s="1"/>
  <c r="BA153"/>
  <c r="AZ153"/>
  <c r="AY153"/>
  <c r="AX153"/>
  <c r="AW153"/>
  <c r="AV153"/>
  <c r="AU153"/>
  <c r="AT153"/>
  <c r="AS153"/>
  <c r="AR153"/>
  <c r="AQ153"/>
  <c r="AP153"/>
  <c r="AO153"/>
  <c r="AN153"/>
  <c r="AM153"/>
  <c r="AL153"/>
  <c r="AK153"/>
  <c r="AJ153"/>
  <c r="AI153"/>
  <c r="AH153"/>
  <c r="AG153"/>
  <c r="AF153"/>
  <c r="AE153"/>
  <c r="AD153"/>
  <c r="AC153"/>
  <c r="AB153"/>
  <c r="AA153"/>
  <c r="Z153"/>
  <c r="Y153"/>
  <c r="X153"/>
  <c r="W153"/>
  <c r="V153"/>
  <c r="U153"/>
  <c r="T153"/>
  <c r="S153"/>
  <c r="R153"/>
  <c r="Q153"/>
  <c r="P153"/>
  <c r="O153"/>
  <c r="N153"/>
  <c r="M153"/>
  <c r="L153"/>
  <c r="K153"/>
  <c r="J153"/>
  <c r="A153" a="1"/>
  <c r="A153" s="1"/>
  <c r="I153" s="1"/>
  <c r="BA152"/>
  <c r="AZ152"/>
  <c r="AY152"/>
  <c r="AX152"/>
  <c r="AW152"/>
  <c r="AV152"/>
  <c r="AU152"/>
  <c r="AT152"/>
  <c r="AS152"/>
  <c r="AR152"/>
  <c r="AQ152"/>
  <c r="AP152"/>
  <c r="AO152"/>
  <c r="AN152"/>
  <c r="AM152"/>
  <c r="AL152"/>
  <c r="AK152"/>
  <c r="AJ152"/>
  <c r="AI152"/>
  <c r="AH152"/>
  <c r="AG152"/>
  <c r="AF152"/>
  <c r="AE152"/>
  <c r="AD152"/>
  <c r="AC152"/>
  <c r="AB152"/>
  <c r="AA152"/>
  <c r="Z152"/>
  <c r="Y152"/>
  <c r="X152"/>
  <c r="W152"/>
  <c r="V152"/>
  <c r="U152"/>
  <c r="T152"/>
  <c r="S152"/>
  <c r="R152"/>
  <c r="Q152"/>
  <c r="P152"/>
  <c r="O152"/>
  <c r="N152"/>
  <c r="M152"/>
  <c r="L152"/>
  <c r="K152"/>
  <c r="J152"/>
  <c r="A152" a="1"/>
  <c r="A152" s="1"/>
  <c r="I152" s="1"/>
  <c r="BA151"/>
  <c r="AZ151"/>
  <c r="AY151"/>
  <c r="AX151"/>
  <c r="AW151"/>
  <c r="AV151"/>
  <c r="AU151"/>
  <c r="AT151"/>
  <c r="AS151"/>
  <c r="AR151"/>
  <c r="AQ151"/>
  <c r="AP151"/>
  <c r="AO151"/>
  <c r="AN151"/>
  <c r="AM151"/>
  <c r="AL151"/>
  <c r="AK151"/>
  <c r="AJ151"/>
  <c r="AI151"/>
  <c r="AH151"/>
  <c r="AG151"/>
  <c r="AF151"/>
  <c r="AE151"/>
  <c r="AD151"/>
  <c r="AC151"/>
  <c r="AB151"/>
  <c r="AA151"/>
  <c r="Z151"/>
  <c r="Y151"/>
  <c r="X151"/>
  <c r="W151"/>
  <c r="V151"/>
  <c r="U151"/>
  <c r="T151"/>
  <c r="S151"/>
  <c r="R151"/>
  <c r="Q151"/>
  <c r="P151"/>
  <c r="O151"/>
  <c r="N151"/>
  <c r="M151"/>
  <c r="L151"/>
  <c r="K151"/>
  <c r="J151"/>
  <c r="A151" a="1"/>
  <c r="A151" s="1"/>
  <c r="I151" s="1"/>
  <c r="BA150"/>
  <c r="AZ150"/>
  <c r="AY150"/>
  <c r="AX150"/>
  <c r="AW150"/>
  <c r="AV150"/>
  <c r="AU150"/>
  <c r="AT150"/>
  <c r="AS150"/>
  <c r="AR150"/>
  <c r="AQ150"/>
  <c r="AP150"/>
  <c r="AO150"/>
  <c r="AN150"/>
  <c r="AM150"/>
  <c r="AL150"/>
  <c r="AK150"/>
  <c r="AJ150"/>
  <c r="AI150"/>
  <c r="AH150"/>
  <c r="AG150"/>
  <c r="AF150"/>
  <c r="AE150"/>
  <c r="AD150"/>
  <c r="AC150"/>
  <c r="AB150"/>
  <c r="AA150"/>
  <c r="Z150"/>
  <c r="Y150"/>
  <c r="X150"/>
  <c r="W150"/>
  <c r="V150"/>
  <c r="U150"/>
  <c r="T150"/>
  <c r="S150"/>
  <c r="R150"/>
  <c r="Q150"/>
  <c r="P150"/>
  <c r="O150"/>
  <c r="N150"/>
  <c r="M150"/>
  <c r="L150"/>
  <c r="K150"/>
  <c r="J150"/>
  <c r="A150" a="1"/>
  <c r="A150" s="1"/>
  <c r="I150" s="1"/>
  <c r="BA149"/>
  <c r="AZ149"/>
  <c r="AY149"/>
  <c r="AX149"/>
  <c r="AW149"/>
  <c r="AV149"/>
  <c r="AU149"/>
  <c r="AT149"/>
  <c r="AS149"/>
  <c r="AR149"/>
  <c r="AQ149"/>
  <c r="AP149"/>
  <c r="AO149"/>
  <c r="AN149"/>
  <c r="AM149"/>
  <c r="AL149"/>
  <c r="AK149"/>
  <c r="AJ149"/>
  <c r="AI149"/>
  <c r="AH149"/>
  <c r="AG149"/>
  <c r="AF149"/>
  <c r="AE149"/>
  <c r="AD149"/>
  <c r="AC149"/>
  <c r="AB149"/>
  <c r="AA149"/>
  <c r="Z149"/>
  <c r="Y149"/>
  <c r="X149"/>
  <c r="W149"/>
  <c r="V149"/>
  <c r="U149"/>
  <c r="T149"/>
  <c r="S149"/>
  <c r="R149"/>
  <c r="Q149"/>
  <c r="P149"/>
  <c r="O149"/>
  <c r="N149"/>
  <c r="M149"/>
  <c r="L149"/>
  <c r="K149"/>
  <c r="J149"/>
  <c r="A149" a="1"/>
  <c r="A149" s="1"/>
  <c r="I149" s="1"/>
  <c r="BA148"/>
  <c r="AZ148"/>
  <c r="AY148"/>
  <c r="AX148"/>
  <c r="AW148"/>
  <c r="AV148"/>
  <c r="AU148"/>
  <c r="AT148"/>
  <c r="AS148"/>
  <c r="AR148"/>
  <c r="AQ148"/>
  <c r="AP148"/>
  <c r="AO148"/>
  <c r="AN148"/>
  <c r="AM148"/>
  <c r="AL148"/>
  <c r="AK148"/>
  <c r="AJ148"/>
  <c r="AI148"/>
  <c r="AH148"/>
  <c r="AG148"/>
  <c r="AF148"/>
  <c r="AE148"/>
  <c r="AD148"/>
  <c r="AC148"/>
  <c r="AB148"/>
  <c r="AA148"/>
  <c r="Z148"/>
  <c r="Y148"/>
  <c r="X148"/>
  <c r="W148"/>
  <c r="V148"/>
  <c r="U148"/>
  <c r="T148"/>
  <c r="S148"/>
  <c r="R148"/>
  <c r="Q148"/>
  <c r="P148"/>
  <c r="O148"/>
  <c r="N148"/>
  <c r="M148"/>
  <c r="L148"/>
  <c r="K148"/>
  <c r="J148"/>
  <c r="A148" a="1"/>
  <c r="A148" s="1"/>
  <c r="I148" s="1"/>
  <c r="BA147"/>
  <c r="AZ147"/>
  <c r="AY147"/>
  <c r="AX147"/>
  <c r="AW147"/>
  <c r="AV147"/>
  <c r="AU147"/>
  <c r="AT147"/>
  <c r="AS147"/>
  <c r="AR147"/>
  <c r="AQ147"/>
  <c r="AP147"/>
  <c r="AO147"/>
  <c r="AN147"/>
  <c r="AM147"/>
  <c r="AL147"/>
  <c r="AK147"/>
  <c r="AJ147"/>
  <c r="AI147"/>
  <c r="AH147"/>
  <c r="AG147"/>
  <c r="AF147"/>
  <c r="AE147"/>
  <c r="AD147"/>
  <c r="AC147"/>
  <c r="AB147"/>
  <c r="AA147"/>
  <c r="Z147"/>
  <c r="Y147"/>
  <c r="X147"/>
  <c r="W147"/>
  <c r="V147"/>
  <c r="U147"/>
  <c r="T147"/>
  <c r="S147"/>
  <c r="R147"/>
  <c r="Q147"/>
  <c r="P147"/>
  <c r="O147"/>
  <c r="N147"/>
  <c r="M147"/>
  <c r="L147"/>
  <c r="K147"/>
  <c r="J147"/>
  <c r="A147" a="1"/>
  <c r="A147" s="1"/>
  <c r="I147" s="1"/>
  <c r="BA146"/>
  <c r="AZ146"/>
  <c r="AY146"/>
  <c r="AX146"/>
  <c r="AW146"/>
  <c r="AV146"/>
  <c r="AU146"/>
  <c r="AT146"/>
  <c r="AS146"/>
  <c r="AR146"/>
  <c r="AQ146"/>
  <c r="AP146"/>
  <c r="AO146"/>
  <c r="AN146"/>
  <c r="AM146"/>
  <c r="AL146"/>
  <c r="AK146"/>
  <c r="AJ146"/>
  <c r="AI146"/>
  <c r="AH146"/>
  <c r="AG146"/>
  <c r="AF146"/>
  <c r="AE146"/>
  <c r="AD146"/>
  <c r="AC146"/>
  <c r="AB146"/>
  <c r="AA146"/>
  <c r="Z146"/>
  <c r="Y146"/>
  <c r="X146"/>
  <c r="W146"/>
  <c r="V146"/>
  <c r="U146"/>
  <c r="T146"/>
  <c r="S146"/>
  <c r="R146"/>
  <c r="Q146"/>
  <c r="P146"/>
  <c r="O146"/>
  <c r="N146"/>
  <c r="M146"/>
  <c r="L146"/>
  <c r="K146"/>
  <c r="J146"/>
  <c r="A146" a="1"/>
  <c r="A146" s="1"/>
  <c r="I146" s="1"/>
  <c r="BA145"/>
  <c r="AZ145"/>
  <c r="AY145"/>
  <c r="AX145"/>
  <c r="AW145"/>
  <c r="AV145"/>
  <c r="AU145"/>
  <c r="AT145"/>
  <c r="AS145"/>
  <c r="AR145"/>
  <c r="AQ145"/>
  <c r="AP145"/>
  <c r="AO145"/>
  <c r="AN145"/>
  <c r="AM145"/>
  <c r="AL145"/>
  <c r="AK145"/>
  <c r="AJ145"/>
  <c r="AI145"/>
  <c r="AH145"/>
  <c r="AG145"/>
  <c r="AF145"/>
  <c r="AE145"/>
  <c r="AD145"/>
  <c r="AC145"/>
  <c r="AB145"/>
  <c r="AA145"/>
  <c r="Z145"/>
  <c r="Y145"/>
  <c r="X145"/>
  <c r="W145"/>
  <c r="V145"/>
  <c r="U145"/>
  <c r="T145"/>
  <c r="S145"/>
  <c r="R145"/>
  <c r="Q145"/>
  <c r="P145"/>
  <c r="O145"/>
  <c r="N145"/>
  <c r="M145"/>
  <c r="L145"/>
  <c r="K145"/>
  <c r="J145"/>
  <c r="A145" a="1"/>
  <c r="A145" s="1"/>
  <c r="I145" s="1"/>
  <c r="BA144"/>
  <c r="AZ144"/>
  <c r="AY144"/>
  <c r="AX144"/>
  <c r="AW144"/>
  <c r="AV144"/>
  <c r="AU144"/>
  <c r="AT144"/>
  <c r="AS144"/>
  <c r="AR144"/>
  <c r="AQ144"/>
  <c r="AP144"/>
  <c r="AO144"/>
  <c r="AN144"/>
  <c r="AM144"/>
  <c r="AL144"/>
  <c r="AK144"/>
  <c r="AJ144"/>
  <c r="AI144"/>
  <c r="AH144"/>
  <c r="AG144"/>
  <c r="AF144"/>
  <c r="AE144"/>
  <c r="AD144"/>
  <c r="AC144"/>
  <c r="AB144"/>
  <c r="AA144"/>
  <c r="Z144"/>
  <c r="Y144"/>
  <c r="X144"/>
  <c r="W144"/>
  <c r="V144"/>
  <c r="U144"/>
  <c r="T144"/>
  <c r="S144"/>
  <c r="R144"/>
  <c r="Q144"/>
  <c r="P144"/>
  <c r="O144"/>
  <c r="N144"/>
  <c r="M144"/>
  <c r="L144"/>
  <c r="K144"/>
  <c r="J144"/>
  <c r="A144" a="1"/>
  <c r="A144" s="1"/>
  <c r="I144" s="1"/>
  <c r="BA143"/>
  <c r="AZ143"/>
  <c r="AY143"/>
  <c r="AX143"/>
  <c r="AW143"/>
  <c r="AV143"/>
  <c r="AU143"/>
  <c r="AT143"/>
  <c r="AS143"/>
  <c r="AR143"/>
  <c r="AQ143"/>
  <c r="AP143"/>
  <c r="AO143"/>
  <c r="AN143"/>
  <c r="AM143"/>
  <c r="AL143"/>
  <c r="AK143"/>
  <c r="AJ143"/>
  <c r="AI143"/>
  <c r="AH143"/>
  <c r="AG143"/>
  <c r="AF143"/>
  <c r="AE143"/>
  <c r="AD143"/>
  <c r="AC143"/>
  <c r="AB143"/>
  <c r="AA143"/>
  <c r="Z143"/>
  <c r="Y143"/>
  <c r="X143"/>
  <c r="W143"/>
  <c r="V143"/>
  <c r="U143"/>
  <c r="T143"/>
  <c r="S143"/>
  <c r="R143"/>
  <c r="Q143"/>
  <c r="P143"/>
  <c r="O143"/>
  <c r="N143"/>
  <c r="M143"/>
  <c r="L143"/>
  <c r="K143"/>
  <c r="J143"/>
  <c r="A143" a="1"/>
  <c r="A143" s="1"/>
  <c r="I143" s="1"/>
  <c r="BA142"/>
  <c r="AZ142"/>
  <c r="AY142"/>
  <c r="AX142"/>
  <c r="AW142"/>
  <c r="AV142"/>
  <c r="AU142"/>
  <c r="AT142"/>
  <c r="AS142"/>
  <c r="AR142"/>
  <c r="AQ142"/>
  <c r="AP142"/>
  <c r="AO142"/>
  <c r="AN142"/>
  <c r="AM142"/>
  <c r="AL142"/>
  <c r="AK142"/>
  <c r="AJ142"/>
  <c r="AI142"/>
  <c r="AH142"/>
  <c r="AG142"/>
  <c r="AF142"/>
  <c r="AE142"/>
  <c r="AD142"/>
  <c r="AC142"/>
  <c r="AB142"/>
  <c r="AA142"/>
  <c r="Z142"/>
  <c r="Y142"/>
  <c r="X142"/>
  <c r="W142"/>
  <c r="V142"/>
  <c r="U142"/>
  <c r="T142"/>
  <c r="S142"/>
  <c r="R142"/>
  <c r="Q142"/>
  <c r="P142"/>
  <c r="O142"/>
  <c r="N142"/>
  <c r="M142"/>
  <c r="L142"/>
  <c r="K142"/>
  <c r="J142"/>
  <c r="A142" a="1"/>
  <c r="A142" s="1"/>
  <c r="I142" s="1"/>
  <c r="BA141"/>
  <c r="AZ141"/>
  <c r="AY141"/>
  <c r="AX141"/>
  <c r="AW141"/>
  <c r="AV141"/>
  <c r="AU141"/>
  <c r="AT141"/>
  <c r="AS141"/>
  <c r="AR141"/>
  <c r="AQ141"/>
  <c r="AP141"/>
  <c r="AO141"/>
  <c r="AN141"/>
  <c r="AM141"/>
  <c r="AL141"/>
  <c r="AK141"/>
  <c r="AJ141"/>
  <c r="AI141"/>
  <c r="AH141"/>
  <c r="AG141"/>
  <c r="AF141"/>
  <c r="AE141"/>
  <c r="AD141"/>
  <c r="AC141"/>
  <c r="AB141"/>
  <c r="AA141"/>
  <c r="Z141"/>
  <c r="Y141"/>
  <c r="X141"/>
  <c r="W141"/>
  <c r="V141"/>
  <c r="U141"/>
  <c r="T141"/>
  <c r="S141"/>
  <c r="R141"/>
  <c r="Q141"/>
  <c r="P141"/>
  <c r="O141"/>
  <c r="N141"/>
  <c r="M141"/>
  <c r="L141"/>
  <c r="K141"/>
  <c r="J141"/>
  <c r="A141" a="1"/>
  <c r="A141" s="1"/>
  <c r="I141" s="1"/>
  <c r="BA140"/>
  <c r="AZ140"/>
  <c r="AY140"/>
  <c r="AX140"/>
  <c r="AW140"/>
  <c r="AV140"/>
  <c r="AU140"/>
  <c r="AT140"/>
  <c r="AS140"/>
  <c r="AR140"/>
  <c r="AQ140"/>
  <c r="AP140"/>
  <c r="AO140"/>
  <c r="AN140"/>
  <c r="AM140"/>
  <c r="AL140"/>
  <c r="AK140"/>
  <c r="AJ140"/>
  <c r="AI140"/>
  <c r="AH140"/>
  <c r="AG140"/>
  <c r="AF140"/>
  <c r="AE140"/>
  <c r="AD140"/>
  <c r="AC140"/>
  <c r="AB140"/>
  <c r="AA140"/>
  <c r="Z140"/>
  <c r="Y140"/>
  <c r="X140"/>
  <c r="W140"/>
  <c r="V140"/>
  <c r="U140"/>
  <c r="T140"/>
  <c r="S140"/>
  <c r="R140"/>
  <c r="Q140"/>
  <c r="P140"/>
  <c r="O140"/>
  <c r="N140"/>
  <c r="M140"/>
  <c r="L140"/>
  <c r="K140"/>
  <c r="J140"/>
  <c r="A140" a="1"/>
  <c r="A140" s="1"/>
  <c r="I140" s="1"/>
  <c r="BA139"/>
  <c r="AZ139"/>
  <c r="AY139"/>
  <c r="AX139"/>
  <c r="AW139"/>
  <c r="AV139"/>
  <c r="AU139"/>
  <c r="AT139"/>
  <c r="AS139"/>
  <c r="AR139"/>
  <c r="AQ139"/>
  <c r="AP139"/>
  <c r="AO139"/>
  <c r="AN139"/>
  <c r="AM139"/>
  <c r="AL139"/>
  <c r="AK139"/>
  <c r="AJ139"/>
  <c r="AI139"/>
  <c r="AH139"/>
  <c r="AG139"/>
  <c r="AF139"/>
  <c r="AE139"/>
  <c r="AD139"/>
  <c r="AC139"/>
  <c r="AB139"/>
  <c r="AA139"/>
  <c r="Z139"/>
  <c r="Y139"/>
  <c r="X139"/>
  <c r="W139"/>
  <c r="V139"/>
  <c r="U139"/>
  <c r="T139"/>
  <c r="S139"/>
  <c r="R139"/>
  <c r="Q139"/>
  <c r="P139"/>
  <c r="O139"/>
  <c r="N139"/>
  <c r="M139"/>
  <c r="L139"/>
  <c r="K139"/>
  <c r="J139"/>
  <c r="A139" a="1"/>
  <c r="A139" s="1"/>
  <c r="I139" s="1"/>
  <c r="BA138"/>
  <c r="AZ138"/>
  <c r="AY138"/>
  <c r="AX138"/>
  <c r="AW138"/>
  <c r="AV138"/>
  <c r="AU138"/>
  <c r="AT138"/>
  <c r="AS138"/>
  <c r="AR138"/>
  <c r="AQ138"/>
  <c r="AP138"/>
  <c r="AO138"/>
  <c r="AN138"/>
  <c r="AM138"/>
  <c r="AL138"/>
  <c r="AK138"/>
  <c r="AJ138"/>
  <c r="AI138"/>
  <c r="AH138"/>
  <c r="AG138"/>
  <c r="AF138"/>
  <c r="AE138"/>
  <c r="AD138"/>
  <c r="AC138"/>
  <c r="AB138"/>
  <c r="AA138"/>
  <c r="Z138"/>
  <c r="Y138"/>
  <c r="X138"/>
  <c r="W138"/>
  <c r="V138"/>
  <c r="U138"/>
  <c r="T138"/>
  <c r="S138"/>
  <c r="R138"/>
  <c r="Q138"/>
  <c r="P138"/>
  <c r="O138"/>
  <c r="N138"/>
  <c r="M138"/>
  <c r="L138"/>
  <c r="K138"/>
  <c r="J138"/>
  <c r="A138" a="1"/>
  <c r="A138" s="1"/>
  <c r="I138" s="1"/>
  <c r="BA137"/>
  <c r="AZ137"/>
  <c r="AY137"/>
  <c r="AX137"/>
  <c r="AW137"/>
  <c r="AV137"/>
  <c r="AU137"/>
  <c r="AT137"/>
  <c r="AS137"/>
  <c r="AR137"/>
  <c r="AQ137"/>
  <c r="AP137"/>
  <c r="AO137"/>
  <c r="AN137"/>
  <c r="AM137"/>
  <c r="AL137"/>
  <c r="AK137"/>
  <c r="AJ137"/>
  <c r="AI137"/>
  <c r="AH137"/>
  <c r="AG137"/>
  <c r="AF137"/>
  <c r="AE137"/>
  <c r="AD137"/>
  <c r="AC137"/>
  <c r="AB137"/>
  <c r="AA137"/>
  <c r="Z137"/>
  <c r="Y137"/>
  <c r="X137"/>
  <c r="W137"/>
  <c r="V137"/>
  <c r="U137"/>
  <c r="T137"/>
  <c r="S137"/>
  <c r="R137"/>
  <c r="Q137"/>
  <c r="P137"/>
  <c r="O137"/>
  <c r="N137"/>
  <c r="M137"/>
  <c r="L137"/>
  <c r="K137"/>
  <c r="J137"/>
  <c r="A137" a="1"/>
  <c r="A137" s="1"/>
  <c r="I137" s="1"/>
  <c r="BA136"/>
  <c r="AZ136"/>
  <c r="AY136"/>
  <c r="AX136"/>
  <c r="AW136"/>
  <c r="AV136"/>
  <c r="AU136"/>
  <c r="AT136"/>
  <c r="AS136"/>
  <c r="AR136"/>
  <c r="AQ136"/>
  <c r="AP136"/>
  <c r="AO136"/>
  <c r="AN136"/>
  <c r="AM136"/>
  <c r="AL136"/>
  <c r="AK136"/>
  <c r="AJ136"/>
  <c r="AI136"/>
  <c r="AH136"/>
  <c r="AG136"/>
  <c r="AF136"/>
  <c r="AE136"/>
  <c r="AD136"/>
  <c r="AC136"/>
  <c r="AB136"/>
  <c r="AA136"/>
  <c r="Z136"/>
  <c r="Y136"/>
  <c r="X136"/>
  <c r="W136"/>
  <c r="V136"/>
  <c r="U136"/>
  <c r="T136"/>
  <c r="S136"/>
  <c r="R136"/>
  <c r="Q136"/>
  <c r="P136"/>
  <c r="O136"/>
  <c r="N136"/>
  <c r="M136"/>
  <c r="L136"/>
  <c r="K136"/>
  <c r="J136"/>
  <c r="A136" a="1"/>
  <c r="A136" s="1"/>
  <c r="I136" s="1"/>
  <c r="BA135"/>
  <c r="AZ135"/>
  <c r="AY135"/>
  <c r="AX135"/>
  <c r="AW135"/>
  <c r="AV135"/>
  <c r="AU135"/>
  <c r="AT135"/>
  <c r="AS135"/>
  <c r="AR135"/>
  <c r="AQ135"/>
  <c r="AP135"/>
  <c r="AO135"/>
  <c r="AN135"/>
  <c r="AM135"/>
  <c r="AL135"/>
  <c r="AK135"/>
  <c r="AJ135"/>
  <c r="AI135"/>
  <c r="AH135"/>
  <c r="AG135"/>
  <c r="AF135"/>
  <c r="AE135"/>
  <c r="AD135"/>
  <c r="AC135"/>
  <c r="AB135"/>
  <c r="AA135"/>
  <c r="Z135"/>
  <c r="Y135"/>
  <c r="X135"/>
  <c r="W135"/>
  <c r="V135"/>
  <c r="U135"/>
  <c r="T135"/>
  <c r="S135"/>
  <c r="R135"/>
  <c r="Q135"/>
  <c r="P135"/>
  <c r="O135"/>
  <c r="N135"/>
  <c r="M135"/>
  <c r="L135"/>
  <c r="K135"/>
  <c r="J135"/>
  <c r="A135" a="1"/>
  <c r="A135" s="1"/>
  <c r="I135" s="1"/>
  <c r="BA134"/>
  <c r="AZ134"/>
  <c r="AY134"/>
  <c r="AX134"/>
  <c r="AW134"/>
  <c r="AV134"/>
  <c r="AU134"/>
  <c r="AT134"/>
  <c r="AS134"/>
  <c r="AR134"/>
  <c r="AQ134"/>
  <c r="AP134"/>
  <c r="AO134"/>
  <c r="AN134"/>
  <c r="AM134"/>
  <c r="AL134"/>
  <c r="AK134"/>
  <c r="AJ134"/>
  <c r="AI134"/>
  <c r="AH134"/>
  <c r="AG134"/>
  <c r="AF134"/>
  <c r="AE134"/>
  <c r="AD134"/>
  <c r="AC134"/>
  <c r="AB134"/>
  <c r="AA134"/>
  <c r="Z134"/>
  <c r="Y134"/>
  <c r="X134"/>
  <c r="W134"/>
  <c r="V134"/>
  <c r="U134"/>
  <c r="T134"/>
  <c r="S134"/>
  <c r="R134"/>
  <c r="Q134"/>
  <c r="P134"/>
  <c r="O134"/>
  <c r="N134"/>
  <c r="M134"/>
  <c r="L134"/>
  <c r="K134"/>
  <c r="J134"/>
  <c r="A134" a="1"/>
  <c r="A134" s="1"/>
  <c r="I134" s="1"/>
  <c r="BA133"/>
  <c r="AZ133"/>
  <c r="AY133"/>
  <c r="AX133"/>
  <c r="AW133"/>
  <c r="AV133"/>
  <c r="AU133"/>
  <c r="AT133"/>
  <c r="AS133"/>
  <c r="AR133"/>
  <c r="AQ133"/>
  <c r="AP133"/>
  <c r="AO133"/>
  <c r="AN133"/>
  <c r="AM133"/>
  <c r="AL133"/>
  <c r="AK133"/>
  <c r="AJ133"/>
  <c r="AI133"/>
  <c r="AH133"/>
  <c r="AG133"/>
  <c r="AF133"/>
  <c r="AE133"/>
  <c r="AD133"/>
  <c r="AC133"/>
  <c r="AB133"/>
  <c r="AA133"/>
  <c r="Z133"/>
  <c r="Y133"/>
  <c r="X133"/>
  <c r="W133"/>
  <c r="V133"/>
  <c r="U133"/>
  <c r="T133"/>
  <c r="S133"/>
  <c r="R133"/>
  <c r="Q133"/>
  <c r="P133"/>
  <c r="O133"/>
  <c r="N133"/>
  <c r="M133"/>
  <c r="L133"/>
  <c r="K133"/>
  <c r="J133"/>
  <c r="A133" a="1"/>
  <c r="A133" s="1"/>
  <c r="I133" s="1"/>
  <c r="BA132"/>
  <c r="AZ132"/>
  <c r="AY132"/>
  <c r="AX132"/>
  <c r="AW132"/>
  <c r="AV132"/>
  <c r="AU132"/>
  <c r="AT132"/>
  <c r="AS132"/>
  <c r="AR132"/>
  <c r="AQ132"/>
  <c r="AP132"/>
  <c r="AO132"/>
  <c r="AN132"/>
  <c r="AM132"/>
  <c r="AL132"/>
  <c r="AK132"/>
  <c r="AJ132"/>
  <c r="AI132"/>
  <c r="AH132"/>
  <c r="AG132"/>
  <c r="AF132"/>
  <c r="AE132"/>
  <c r="AD132"/>
  <c r="AC132"/>
  <c r="AB132"/>
  <c r="AA132"/>
  <c r="Z132"/>
  <c r="Y132"/>
  <c r="X132"/>
  <c r="W132"/>
  <c r="V132"/>
  <c r="U132"/>
  <c r="T132"/>
  <c r="S132"/>
  <c r="R132"/>
  <c r="Q132"/>
  <c r="P132"/>
  <c r="O132"/>
  <c r="N132"/>
  <c r="M132"/>
  <c r="L132"/>
  <c r="K132"/>
  <c r="J132"/>
  <c r="A132" a="1"/>
  <c r="A132" s="1"/>
  <c r="I132" s="1"/>
  <c r="BA131"/>
  <c r="AZ131"/>
  <c r="AY131"/>
  <c r="AX131"/>
  <c r="AW131"/>
  <c r="AV131"/>
  <c r="AU131"/>
  <c r="AT131"/>
  <c r="AS131"/>
  <c r="AR131"/>
  <c r="AQ131"/>
  <c r="AP131"/>
  <c r="AO131"/>
  <c r="AN131"/>
  <c r="AM131"/>
  <c r="AL131"/>
  <c r="AK131"/>
  <c r="AJ131"/>
  <c r="AI131"/>
  <c r="AH131"/>
  <c r="AG131"/>
  <c r="AF131"/>
  <c r="AE131"/>
  <c r="AD131"/>
  <c r="AC131"/>
  <c r="AB131"/>
  <c r="AA131"/>
  <c r="Z131"/>
  <c r="Y131"/>
  <c r="X131"/>
  <c r="W131"/>
  <c r="V131"/>
  <c r="U131"/>
  <c r="T131"/>
  <c r="S131"/>
  <c r="R131"/>
  <c r="Q131"/>
  <c r="P131"/>
  <c r="O131"/>
  <c r="N131"/>
  <c r="M131"/>
  <c r="L131"/>
  <c r="K131"/>
  <c r="J131"/>
  <c r="A131" a="1"/>
  <c r="A131" s="1"/>
  <c r="I131" s="1"/>
  <c r="BA130"/>
  <c r="AZ130"/>
  <c r="AY130"/>
  <c r="AX130"/>
  <c r="AW130"/>
  <c r="AV130"/>
  <c r="AU130"/>
  <c r="AT130"/>
  <c r="AS130"/>
  <c r="AR130"/>
  <c r="AQ130"/>
  <c r="AP130"/>
  <c r="AO130"/>
  <c r="AN130"/>
  <c r="AM130"/>
  <c r="AL130"/>
  <c r="AK130"/>
  <c r="AJ130"/>
  <c r="AI130"/>
  <c r="AH130"/>
  <c r="AG130"/>
  <c r="AF130"/>
  <c r="AE130"/>
  <c r="AD130"/>
  <c r="AC130"/>
  <c r="AB130"/>
  <c r="AA130"/>
  <c r="Z130"/>
  <c r="Y130"/>
  <c r="X130"/>
  <c r="W130"/>
  <c r="V130"/>
  <c r="U130"/>
  <c r="T130"/>
  <c r="S130"/>
  <c r="R130"/>
  <c r="Q130"/>
  <c r="P130"/>
  <c r="O130"/>
  <c r="N130"/>
  <c r="M130"/>
  <c r="L130"/>
  <c r="K130"/>
  <c r="J130"/>
  <c r="A130" a="1"/>
  <c r="A130" s="1"/>
  <c r="I130" s="1"/>
  <c r="BA129"/>
  <c r="AZ129"/>
  <c r="AY129"/>
  <c r="AX129"/>
  <c r="AW129"/>
  <c r="AV129"/>
  <c r="AU129"/>
  <c r="AT129"/>
  <c r="AS129"/>
  <c r="AR129"/>
  <c r="AQ129"/>
  <c r="AP129"/>
  <c r="AO129"/>
  <c r="AN129"/>
  <c r="AM129"/>
  <c r="AL129"/>
  <c r="AK129"/>
  <c r="AJ129"/>
  <c r="AI129"/>
  <c r="AH129"/>
  <c r="AG129"/>
  <c r="AF129"/>
  <c r="AE129"/>
  <c r="AD129"/>
  <c r="AC129"/>
  <c r="AB129"/>
  <c r="AA129"/>
  <c r="Z129"/>
  <c r="Y129"/>
  <c r="X129"/>
  <c r="W129"/>
  <c r="V129"/>
  <c r="U129"/>
  <c r="T129"/>
  <c r="S129"/>
  <c r="R129"/>
  <c r="Q129"/>
  <c r="P129"/>
  <c r="O129"/>
  <c r="N129"/>
  <c r="M129"/>
  <c r="L129"/>
  <c r="K129"/>
  <c r="J129"/>
  <c r="A129" a="1"/>
  <c r="A129" s="1"/>
  <c r="I129" s="1"/>
  <c r="BA128"/>
  <c r="AZ128"/>
  <c r="AY128"/>
  <c r="AX128"/>
  <c r="AW128"/>
  <c r="AV128"/>
  <c r="AU128"/>
  <c r="AT128"/>
  <c r="AS128"/>
  <c r="AR128"/>
  <c r="AQ128"/>
  <c r="AP128"/>
  <c r="AO128"/>
  <c r="AN128"/>
  <c r="AM128"/>
  <c r="AL128"/>
  <c r="AK128"/>
  <c r="AJ128"/>
  <c r="AI128"/>
  <c r="AH128"/>
  <c r="AG128"/>
  <c r="AF128"/>
  <c r="AE128"/>
  <c r="AD128"/>
  <c r="AC128"/>
  <c r="AB128"/>
  <c r="AA128"/>
  <c r="Z128"/>
  <c r="Y128"/>
  <c r="X128"/>
  <c r="W128"/>
  <c r="V128"/>
  <c r="U128"/>
  <c r="T128"/>
  <c r="S128"/>
  <c r="R128"/>
  <c r="Q128"/>
  <c r="P128"/>
  <c r="O128"/>
  <c r="N128"/>
  <c r="M128"/>
  <c r="L128"/>
  <c r="K128"/>
  <c r="J128"/>
  <c r="A128" a="1"/>
  <c r="A128" s="1"/>
  <c r="I128" s="1"/>
  <c r="BA127"/>
  <c r="AZ127"/>
  <c r="AY127"/>
  <c r="AX127"/>
  <c r="AW127"/>
  <c r="AV127"/>
  <c r="AU127"/>
  <c r="AT127"/>
  <c r="AS127"/>
  <c r="AR127"/>
  <c r="AQ127"/>
  <c r="AP127"/>
  <c r="AO127"/>
  <c r="AN127"/>
  <c r="AM127"/>
  <c r="AL127"/>
  <c r="AK127"/>
  <c r="AJ127"/>
  <c r="AI127"/>
  <c r="AH127"/>
  <c r="AG127"/>
  <c r="AF127"/>
  <c r="AE127"/>
  <c r="AD127"/>
  <c r="AC127"/>
  <c r="AB127"/>
  <c r="AA127"/>
  <c r="Z127"/>
  <c r="Y127"/>
  <c r="X127"/>
  <c r="W127"/>
  <c r="V127"/>
  <c r="U127"/>
  <c r="T127"/>
  <c r="S127"/>
  <c r="R127"/>
  <c r="Q127"/>
  <c r="P127"/>
  <c r="O127"/>
  <c r="N127"/>
  <c r="M127"/>
  <c r="L127"/>
  <c r="K127"/>
  <c r="J127"/>
  <c r="A127" a="1"/>
  <c r="A127" s="1"/>
  <c r="I127" s="1"/>
  <c r="BA126"/>
  <c r="AZ126"/>
  <c r="AY126"/>
  <c r="AX126"/>
  <c r="AW126"/>
  <c r="AV126"/>
  <c r="AU126"/>
  <c r="AT126"/>
  <c r="AS126"/>
  <c r="AR126"/>
  <c r="AQ126"/>
  <c r="AP126"/>
  <c r="AO126"/>
  <c r="AN126"/>
  <c r="AM126"/>
  <c r="AL126"/>
  <c r="AK126"/>
  <c r="AJ126"/>
  <c r="AI126"/>
  <c r="AH126"/>
  <c r="AG126"/>
  <c r="AF126"/>
  <c r="AE126"/>
  <c r="AD126"/>
  <c r="AC126"/>
  <c r="AB126"/>
  <c r="AA126"/>
  <c r="Z126"/>
  <c r="Y126"/>
  <c r="X126"/>
  <c r="W126"/>
  <c r="V126"/>
  <c r="U126"/>
  <c r="T126"/>
  <c r="S126"/>
  <c r="R126"/>
  <c r="Q126"/>
  <c r="P126"/>
  <c r="O126"/>
  <c r="N126"/>
  <c r="M126"/>
  <c r="L126"/>
  <c r="K126"/>
  <c r="J126"/>
  <c r="A126" a="1"/>
  <c r="A126" s="1"/>
  <c r="I126" s="1"/>
  <c r="BA125"/>
  <c r="AZ125"/>
  <c r="AY125"/>
  <c r="AX125"/>
  <c r="AW125"/>
  <c r="AV125"/>
  <c r="AU125"/>
  <c r="AT125"/>
  <c r="AS125"/>
  <c r="AR125"/>
  <c r="AQ125"/>
  <c r="AP125"/>
  <c r="AO125"/>
  <c r="AN125"/>
  <c r="AM125"/>
  <c r="AL125"/>
  <c r="AK125"/>
  <c r="AJ125"/>
  <c r="AI125"/>
  <c r="AH125"/>
  <c r="AG125"/>
  <c r="AF125"/>
  <c r="AE125"/>
  <c r="AD125"/>
  <c r="AC125"/>
  <c r="AB125"/>
  <c r="AA125"/>
  <c r="Z125"/>
  <c r="Y125"/>
  <c r="X125"/>
  <c r="W125"/>
  <c r="V125"/>
  <c r="U125"/>
  <c r="T125"/>
  <c r="S125"/>
  <c r="R125"/>
  <c r="Q125"/>
  <c r="P125"/>
  <c r="O125"/>
  <c r="N125"/>
  <c r="M125"/>
  <c r="L125"/>
  <c r="K125"/>
  <c r="J125"/>
  <c r="A125" a="1"/>
  <c r="A125" s="1"/>
  <c r="I125" s="1"/>
  <c r="BA124"/>
  <c r="AZ124"/>
  <c r="AY124"/>
  <c r="AX124"/>
  <c r="AW124"/>
  <c r="AV124"/>
  <c r="AU124"/>
  <c r="AT124"/>
  <c r="AS124"/>
  <c r="AR124"/>
  <c r="AQ124"/>
  <c r="AP124"/>
  <c r="AO124"/>
  <c r="AN124"/>
  <c r="AM124"/>
  <c r="AL124"/>
  <c r="AK124"/>
  <c r="AJ124"/>
  <c r="AI124"/>
  <c r="AH124"/>
  <c r="AG124"/>
  <c r="AF124"/>
  <c r="AE124"/>
  <c r="AD124"/>
  <c r="AC124"/>
  <c r="AB124"/>
  <c r="AA124"/>
  <c r="Z124"/>
  <c r="Y124"/>
  <c r="X124"/>
  <c r="W124"/>
  <c r="V124"/>
  <c r="U124"/>
  <c r="T124"/>
  <c r="S124"/>
  <c r="R124"/>
  <c r="Q124"/>
  <c r="P124"/>
  <c r="O124"/>
  <c r="N124"/>
  <c r="M124"/>
  <c r="L124"/>
  <c r="K124"/>
  <c r="J124"/>
  <c r="A124" a="1"/>
  <c r="A124" s="1"/>
  <c r="I124" s="1"/>
  <c r="BA123"/>
  <c r="AZ123"/>
  <c r="AY123"/>
  <c r="AX123"/>
  <c r="AW123"/>
  <c r="AV123"/>
  <c r="AU123"/>
  <c r="AT123"/>
  <c r="AS123"/>
  <c r="AR123"/>
  <c r="AQ123"/>
  <c r="AP123"/>
  <c r="AO123"/>
  <c r="AN123"/>
  <c r="AM123"/>
  <c r="AL123"/>
  <c r="AK123"/>
  <c r="AJ123"/>
  <c r="AI123"/>
  <c r="AH123"/>
  <c r="AG123"/>
  <c r="AF123"/>
  <c r="AE123"/>
  <c r="AD123"/>
  <c r="AC123"/>
  <c r="AB123"/>
  <c r="AA123"/>
  <c r="Z123"/>
  <c r="Y123"/>
  <c r="X123"/>
  <c r="W123"/>
  <c r="V123"/>
  <c r="U123"/>
  <c r="T123"/>
  <c r="S123"/>
  <c r="R123"/>
  <c r="Q123"/>
  <c r="P123"/>
  <c r="O123"/>
  <c r="N123"/>
  <c r="M123"/>
  <c r="L123"/>
  <c r="K123"/>
  <c r="J123"/>
  <c r="A123" a="1"/>
  <c r="A123" s="1"/>
  <c r="I123" s="1"/>
  <c r="BA122"/>
  <c r="AZ122"/>
  <c r="AY122"/>
  <c r="AX122"/>
  <c r="AW122"/>
  <c r="AV122"/>
  <c r="AU122"/>
  <c r="AT122"/>
  <c r="AS122"/>
  <c r="AR122"/>
  <c r="AQ122"/>
  <c r="AP122"/>
  <c r="AO122"/>
  <c r="AN122"/>
  <c r="AM122"/>
  <c r="AL122"/>
  <c r="AK122"/>
  <c r="AJ122"/>
  <c r="AI122"/>
  <c r="AH122"/>
  <c r="AG122"/>
  <c r="AF122"/>
  <c r="AE122"/>
  <c r="AD122"/>
  <c r="AC122"/>
  <c r="AB122"/>
  <c r="AA122"/>
  <c r="Z122"/>
  <c r="Y122"/>
  <c r="X122"/>
  <c r="W122"/>
  <c r="V122"/>
  <c r="U122"/>
  <c r="T122"/>
  <c r="S122"/>
  <c r="R122"/>
  <c r="Q122"/>
  <c r="P122"/>
  <c r="O122"/>
  <c r="N122"/>
  <c r="M122"/>
  <c r="L122"/>
  <c r="K122"/>
  <c r="J122"/>
  <c r="A122" a="1"/>
  <c r="A122" s="1"/>
  <c r="I122" s="1"/>
  <c r="BA121"/>
  <c r="AZ121"/>
  <c r="AY121"/>
  <c r="AX121"/>
  <c r="AW121"/>
  <c r="AV121"/>
  <c r="AU121"/>
  <c r="AT121"/>
  <c r="AS121"/>
  <c r="AR121"/>
  <c r="AQ121"/>
  <c r="AP121"/>
  <c r="AO121"/>
  <c r="AN121"/>
  <c r="AM121"/>
  <c r="AL121"/>
  <c r="AK121"/>
  <c r="AJ121"/>
  <c r="AI121"/>
  <c r="AH121"/>
  <c r="AG121"/>
  <c r="AF121"/>
  <c r="AE121"/>
  <c r="AD121"/>
  <c r="AC121"/>
  <c r="AB121"/>
  <c r="AA121"/>
  <c r="Z121"/>
  <c r="Y121"/>
  <c r="X121"/>
  <c r="W121"/>
  <c r="V121"/>
  <c r="U121"/>
  <c r="T121"/>
  <c r="S121"/>
  <c r="R121"/>
  <c r="Q121"/>
  <c r="P121"/>
  <c r="O121"/>
  <c r="N121"/>
  <c r="M121"/>
  <c r="L121"/>
  <c r="K121"/>
  <c r="J121"/>
  <c r="A121" a="1"/>
  <c r="A121" s="1"/>
  <c r="I121" s="1"/>
  <c r="BA120"/>
  <c r="AZ120"/>
  <c r="AY120"/>
  <c r="AX120"/>
  <c r="AW120"/>
  <c r="AV120"/>
  <c r="AU120"/>
  <c r="AT120"/>
  <c r="AS120"/>
  <c r="AR120"/>
  <c r="AQ120"/>
  <c r="AP120"/>
  <c r="AO120"/>
  <c r="AN120"/>
  <c r="AM120"/>
  <c r="AL120"/>
  <c r="AK120"/>
  <c r="AJ120"/>
  <c r="AI120"/>
  <c r="AH120"/>
  <c r="AG120"/>
  <c r="AF120"/>
  <c r="AE120"/>
  <c r="AD120"/>
  <c r="AC120"/>
  <c r="AB120"/>
  <c r="AA120"/>
  <c r="Z120"/>
  <c r="Y120"/>
  <c r="X120"/>
  <c r="W120"/>
  <c r="V120"/>
  <c r="U120"/>
  <c r="T120"/>
  <c r="S120"/>
  <c r="R120"/>
  <c r="Q120"/>
  <c r="P120"/>
  <c r="O120"/>
  <c r="N120"/>
  <c r="M120"/>
  <c r="L120"/>
  <c r="K120"/>
  <c r="J120"/>
  <c r="A120" a="1"/>
  <c r="A120" s="1"/>
  <c r="I120" s="1"/>
  <c r="BA119"/>
  <c r="AZ119"/>
  <c r="AY119"/>
  <c r="AX119"/>
  <c r="AW119"/>
  <c r="AV119"/>
  <c r="AU119"/>
  <c r="AT119"/>
  <c r="AS119"/>
  <c r="AR119"/>
  <c r="AQ119"/>
  <c r="AP119"/>
  <c r="AO119"/>
  <c r="AN119"/>
  <c r="AM119"/>
  <c r="AL119"/>
  <c r="AK119"/>
  <c r="AJ119"/>
  <c r="AI119"/>
  <c r="AH119"/>
  <c r="AG119"/>
  <c r="AF119"/>
  <c r="AE119"/>
  <c r="AD119"/>
  <c r="AC119"/>
  <c r="AB119"/>
  <c r="AA119"/>
  <c r="Z119"/>
  <c r="Y119"/>
  <c r="X119"/>
  <c r="W119"/>
  <c r="V119"/>
  <c r="U119"/>
  <c r="T119"/>
  <c r="S119"/>
  <c r="R119"/>
  <c r="Q119"/>
  <c r="P119"/>
  <c r="O119"/>
  <c r="N119"/>
  <c r="M119"/>
  <c r="L119"/>
  <c r="K119"/>
  <c r="J119"/>
  <c r="A119" a="1"/>
  <c r="A119" s="1"/>
  <c r="I119" s="1"/>
  <c r="BA118"/>
  <c r="AZ118"/>
  <c r="AY118"/>
  <c r="AX118"/>
  <c r="AW118"/>
  <c r="AV118"/>
  <c r="AU118"/>
  <c r="AT118"/>
  <c r="AS118"/>
  <c r="AR118"/>
  <c r="AQ118"/>
  <c r="AP118"/>
  <c r="AO118"/>
  <c r="AN118"/>
  <c r="AM118"/>
  <c r="AL118"/>
  <c r="AK118"/>
  <c r="AJ118"/>
  <c r="AI118"/>
  <c r="AH118"/>
  <c r="AG118"/>
  <c r="AF118"/>
  <c r="AE118"/>
  <c r="AD118"/>
  <c r="AC118"/>
  <c r="AB118"/>
  <c r="AA118"/>
  <c r="Z118"/>
  <c r="Y118"/>
  <c r="X118"/>
  <c r="W118"/>
  <c r="V118"/>
  <c r="U118"/>
  <c r="T118"/>
  <c r="S118"/>
  <c r="R118"/>
  <c r="Q118"/>
  <c r="P118"/>
  <c r="O118"/>
  <c r="N118"/>
  <c r="M118"/>
  <c r="L118"/>
  <c r="K118"/>
  <c r="J118"/>
  <c r="A118" a="1"/>
  <c r="A118" s="1"/>
  <c r="I118" s="1"/>
  <c r="BA117"/>
  <c r="AZ117"/>
  <c r="AY117"/>
  <c r="AX117"/>
  <c r="AW117"/>
  <c r="AV117"/>
  <c r="AU117"/>
  <c r="AT117"/>
  <c r="AS117"/>
  <c r="AR117"/>
  <c r="AQ117"/>
  <c r="AP117"/>
  <c r="AO117"/>
  <c r="AN117"/>
  <c r="AM117"/>
  <c r="AL117"/>
  <c r="AK117"/>
  <c r="AJ117"/>
  <c r="AI117"/>
  <c r="AH117"/>
  <c r="AG117"/>
  <c r="AF117"/>
  <c r="AE117"/>
  <c r="AD117"/>
  <c r="AC117"/>
  <c r="AB117"/>
  <c r="AA117"/>
  <c r="Z117"/>
  <c r="Y117"/>
  <c r="X117"/>
  <c r="W117"/>
  <c r="V117"/>
  <c r="U117"/>
  <c r="T117"/>
  <c r="S117"/>
  <c r="R117"/>
  <c r="Q117"/>
  <c r="P117"/>
  <c r="O117"/>
  <c r="N117"/>
  <c r="M117"/>
  <c r="L117"/>
  <c r="K117"/>
  <c r="J117"/>
  <c r="A117" a="1"/>
  <c r="A117" s="1"/>
  <c r="I117" s="1"/>
  <c r="BA116"/>
  <c r="AZ116"/>
  <c r="AY116"/>
  <c r="AX116"/>
  <c r="AW116"/>
  <c r="AV116"/>
  <c r="AU116"/>
  <c r="AT116"/>
  <c r="AS116"/>
  <c r="AR116"/>
  <c r="AQ116"/>
  <c r="AP116"/>
  <c r="AO116"/>
  <c r="AN116"/>
  <c r="AM116"/>
  <c r="AL116"/>
  <c r="AK116"/>
  <c r="AJ116"/>
  <c r="AI116"/>
  <c r="AH116"/>
  <c r="AG116"/>
  <c r="AF116"/>
  <c r="AE116"/>
  <c r="AD116"/>
  <c r="AC116"/>
  <c r="AB116"/>
  <c r="AA116"/>
  <c r="Z116"/>
  <c r="Y116"/>
  <c r="X116"/>
  <c r="W116"/>
  <c r="V116"/>
  <c r="U116"/>
  <c r="T116"/>
  <c r="S116"/>
  <c r="R116"/>
  <c r="Q116"/>
  <c r="P116"/>
  <c r="O116"/>
  <c r="N116"/>
  <c r="M116"/>
  <c r="L116"/>
  <c r="K116"/>
  <c r="J116"/>
  <c r="A116" a="1"/>
  <c r="A116" s="1"/>
  <c r="I116" s="1"/>
  <c r="BA115"/>
  <c r="AZ115"/>
  <c r="AY115"/>
  <c r="AX115"/>
  <c r="AW115"/>
  <c r="AV115"/>
  <c r="AU115"/>
  <c r="AT115"/>
  <c r="AS115"/>
  <c r="AR115"/>
  <c r="AQ115"/>
  <c r="AP115"/>
  <c r="AO115"/>
  <c r="AN115"/>
  <c r="AM115"/>
  <c r="AL115"/>
  <c r="AK115"/>
  <c r="AJ115"/>
  <c r="AI115"/>
  <c r="AH115"/>
  <c r="AG115"/>
  <c r="AF115"/>
  <c r="AE115"/>
  <c r="AD115"/>
  <c r="AC115"/>
  <c r="AB115"/>
  <c r="AA115"/>
  <c r="Z115"/>
  <c r="Y115"/>
  <c r="X115"/>
  <c r="W115"/>
  <c r="V115"/>
  <c r="U115"/>
  <c r="T115"/>
  <c r="S115"/>
  <c r="R115"/>
  <c r="Q115"/>
  <c r="P115"/>
  <c r="O115"/>
  <c r="N115"/>
  <c r="M115"/>
  <c r="L115"/>
  <c r="K115"/>
  <c r="J115"/>
  <c r="A115" a="1"/>
  <c r="A115" s="1"/>
  <c r="I115" s="1"/>
  <c r="BA114"/>
  <c r="AZ114"/>
  <c r="AY114"/>
  <c r="AX114"/>
  <c r="AW114"/>
  <c r="AV114"/>
  <c r="AU114"/>
  <c r="AT114"/>
  <c r="AS114"/>
  <c r="AR114"/>
  <c r="AQ114"/>
  <c r="AP114"/>
  <c r="AO114"/>
  <c r="AN114"/>
  <c r="AM114"/>
  <c r="AL114"/>
  <c r="AK114"/>
  <c r="AJ114"/>
  <c r="AI114"/>
  <c r="AH114"/>
  <c r="AG114"/>
  <c r="AF114"/>
  <c r="AE114"/>
  <c r="AD114"/>
  <c r="AC114"/>
  <c r="AB114"/>
  <c r="AA114"/>
  <c r="Z114"/>
  <c r="Y114"/>
  <c r="X114"/>
  <c r="W114"/>
  <c r="V114"/>
  <c r="U114"/>
  <c r="T114"/>
  <c r="S114"/>
  <c r="R114"/>
  <c r="Q114"/>
  <c r="P114"/>
  <c r="O114"/>
  <c r="N114"/>
  <c r="M114"/>
  <c r="L114"/>
  <c r="K114"/>
  <c r="J114"/>
  <c r="A114" a="1"/>
  <c r="A114" s="1"/>
  <c r="I114" s="1"/>
  <c r="BA113"/>
  <c r="AZ113"/>
  <c r="AY113"/>
  <c r="AX113"/>
  <c r="AW113"/>
  <c r="AV113"/>
  <c r="AU113"/>
  <c r="AT113"/>
  <c r="AS113"/>
  <c r="AR113"/>
  <c r="AQ113"/>
  <c r="AP113"/>
  <c r="AO113"/>
  <c r="AN113"/>
  <c r="AM113"/>
  <c r="AL113"/>
  <c r="AK113"/>
  <c r="AJ113"/>
  <c r="AI113"/>
  <c r="AH113"/>
  <c r="AG113"/>
  <c r="AF113"/>
  <c r="AE113"/>
  <c r="AD113"/>
  <c r="AC113"/>
  <c r="AB113"/>
  <c r="AA113"/>
  <c r="Z113"/>
  <c r="Y113"/>
  <c r="X113"/>
  <c r="W113"/>
  <c r="V113"/>
  <c r="U113"/>
  <c r="T113"/>
  <c r="S113"/>
  <c r="R113"/>
  <c r="Q113"/>
  <c r="P113"/>
  <c r="O113"/>
  <c r="N113"/>
  <c r="M113"/>
  <c r="L113"/>
  <c r="K113"/>
  <c r="J113"/>
  <c r="A113" a="1"/>
  <c r="A113" s="1"/>
  <c r="I113" s="1"/>
  <c r="BA112"/>
  <c r="AZ112"/>
  <c r="AY112"/>
  <c r="AX112"/>
  <c r="AW112"/>
  <c r="AV112"/>
  <c r="AU112"/>
  <c r="AT112"/>
  <c r="AS112"/>
  <c r="AR112"/>
  <c r="AQ112"/>
  <c r="AP112"/>
  <c r="AO112"/>
  <c r="AN112"/>
  <c r="AM112"/>
  <c r="AL112"/>
  <c r="AK112"/>
  <c r="AJ112"/>
  <c r="AI112"/>
  <c r="AH112"/>
  <c r="AG112"/>
  <c r="AF112"/>
  <c r="AE112"/>
  <c r="AD112"/>
  <c r="AC112"/>
  <c r="AB112"/>
  <c r="AA112"/>
  <c r="Z112"/>
  <c r="Y112"/>
  <c r="X112"/>
  <c r="W112"/>
  <c r="V112"/>
  <c r="U112"/>
  <c r="T112"/>
  <c r="S112"/>
  <c r="R112"/>
  <c r="Q112"/>
  <c r="P112"/>
  <c r="O112"/>
  <c r="N112"/>
  <c r="M112"/>
  <c r="L112"/>
  <c r="K112"/>
  <c r="J112"/>
  <c r="A112" a="1"/>
  <c r="A112" s="1"/>
  <c r="I112" s="1"/>
  <c r="BA111"/>
  <c r="AZ111"/>
  <c r="AY111"/>
  <c r="AX111"/>
  <c r="AW111"/>
  <c r="AV111"/>
  <c r="AU111"/>
  <c r="AT111"/>
  <c r="AS111"/>
  <c r="AR111"/>
  <c r="AQ111"/>
  <c r="AP111"/>
  <c r="AO111"/>
  <c r="AN111"/>
  <c r="AM111"/>
  <c r="AL111"/>
  <c r="AK111"/>
  <c r="AJ111"/>
  <c r="AI111"/>
  <c r="AH111"/>
  <c r="AG111"/>
  <c r="AF111"/>
  <c r="AE111"/>
  <c r="AD111"/>
  <c r="AC111"/>
  <c r="AB111"/>
  <c r="AA111"/>
  <c r="Z111"/>
  <c r="Y111"/>
  <c r="X111"/>
  <c r="W111"/>
  <c r="V111"/>
  <c r="U111"/>
  <c r="T111"/>
  <c r="S111"/>
  <c r="R111"/>
  <c r="Q111"/>
  <c r="P111"/>
  <c r="O111"/>
  <c r="N111"/>
  <c r="M111"/>
  <c r="L111"/>
  <c r="K111"/>
  <c r="J111"/>
  <c r="A111" a="1"/>
  <c r="A111" s="1"/>
  <c r="I111" s="1"/>
  <c r="BA110"/>
  <c r="AZ110"/>
  <c r="AY110"/>
  <c r="AX110"/>
  <c r="AW110"/>
  <c r="AV110"/>
  <c r="AU110"/>
  <c r="AT110"/>
  <c r="AS110"/>
  <c r="AR110"/>
  <c r="AQ110"/>
  <c r="AP110"/>
  <c r="AO110"/>
  <c r="AN110"/>
  <c r="AM110"/>
  <c r="AL110"/>
  <c r="AK110"/>
  <c r="AJ110"/>
  <c r="AI110"/>
  <c r="AH110"/>
  <c r="AG110"/>
  <c r="AF110"/>
  <c r="AE110"/>
  <c r="AD110"/>
  <c r="AC110"/>
  <c r="AB110"/>
  <c r="AA110"/>
  <c r="Z110"/>
  <c r="Y110"/>
  <c r="X110"/>
  <c r="W110"/>
  <c r="V110"/>
  <c r="U110"/>
  <c r="T110"/>
  <c r="S110"/>
  <c r="R110"/>
  <c r="Q110"/>
  <c r="P110"/>
  <c r="O110"/>
  <c r="N110"/>
  <c r="M110"/>
  <c r="L110"/>
  <c r="K110"/>
  <c r="J110"/>
  <c r="A110" a="1"/>
  <c r="A110" s="1"/>
  <c r="I110" s="1"/>
  <c r="BA109"/>
  <c r="AZ109"/>
  <c r="AY109"/>
  <c r="AX109"/>
  <c r="AW109"/>
  <c r="AV109"/>
  <c r="AU109"/>
  <c r="AT109"/>
  <c r="AS109"/>
  <c r="AR109"/>
  <c r="AQ109"/>
  <c r="AP109"/>
  <c r="AO109"/>
  <c r="AN109"/>
  <c r="AM109"/>
  <c r="AL109"/>
  <c r="AK109"/>
  <c r="AJ109"/>
  <c r="AI109"/>
  <c r="AH109"/>
  <c r="AG109"/>
  <c r="AF109"/>
  <c r="AE109"/>
  <c r="AD109"/>
  <c r="AC109"/>
  <c r="AB109"/>
  <c r="AA109"/>
  <c r="Z109"/>
  <c r="Y109"/>
  <c r="X109"/>
  <c r="W109"/>
  <c r="V109"/>
  <c r="U109"/>
  <c r="T109"/>
  <c r="S109"/>
  <c r="R109"/>
  <c r="Q109"/>
  <c r="P109"/>
  <c r="O109"/>
  <c r="N109"/>
  <c r="M109"/>
  <c r="L109"/>
  <c r="K109"/>
  <c r="J109"/>
  <c r="A109" a="1"/>
  <c r="A109" s="1"/>
  <c r="I109" s="1"/>
  <c r="BA108"/>
  <c r="AZ108"/>
  <c r="AY108"/>
  <c r="AX108"/>
  <c r="AW108"/>
  <c r="AV108"/>
  <c r="AU108"/>
  <c r="AT108"/>
  <c r="AS108"/>
  <c r="AR108"/>
  <c r="AQ108"/>
  <c r="AP108"/>
  <c r="AO108"/>
  <c r="AN108"/>
  <c r="AM108"/>
  <c r="AL108"/>
  <c r="AK108"/>
  <c r="AJ108"/>
  <c r="AI108"/>
  <c r="AH108"/>
  <c r="AG108"/>
  <c r="AF108"/>
  <c r="AE108"/>
  <c r="AD108"/>
  <c r="AC108"/>
  <c r="AB108"/>
  <c r="AA108"/>
  <c r="Z108"/>
  <c r="Y108"/>
  <c r="X108"/>
  <c r="W108"/>
  <c r="V108"/>
  <c r="U108"/>
  <c r="T108"/>
  <c r="S108"/>
  <c r="R108"/>
  <c r="Q108"/>
  <c r="P108"/>
  <c r="O108"/>
  <c r="N108"/>
  <c r="M108"/>
  <c r="L108"/>
  <c r="K108"/>
  <c r="J108"/>
  <c r="A108" a="1"/>
  <c r="A108" s="1"/>
  <c r="I108" s="1"/>
  <c r="BA107"/>
  <c r="AZ107"/>
  <c r="AY107"/>
  <c r="AX107"/>
  <c r="AW107"/>
  <c r="AV107"/>
  <c r="AU107"/>
  <c r="AT107"/>
  <c r="AS107"/>
  <c r="AR107"/>
  <c r="AQ107"/>
  <c r="AP107"/>
  <c r="AO107"/>
  <c r="AN107"/>
  <c r="AM107"/>
  <c r="AL107"/>
  <c r="AK107"/>
  <c r="AJ107"/>
  <c r="AI107"/>
  <c r="AH107"/>
  <c r="AG107"/>
  <c r="AF107"/>
  <c r="AE107"/>
  <c r="AD107"/>
  <c r="AC107"/>
  <c r="AB107"/>
  <c r="AA107"/>
  <c r="Z107"/>
  <c r="Y107"/>
  <c r="X107"/>
  <c r="W107"/>
  <c r="V107"/>
  <c r="U107"/>
  <c r="T107"/>
  <c r="S107"/>
  <c r="R107"/>
  <c r="Q107"/>
  <c r="P107"/>
  <c r="O107"/>
  <c r="N107"/>
  <c r="M107"/>
  <c r="L107"/>
  <c r="K107"/>
  <c r="J107"/>
  <c r="A107" a="1"/>
  <c r="A107" s="1"/>
  <c r="I107" s="1"/>
  <c r="BA106"/>
  <c r="AZ106"/>
  <c r="AY106"/>
  <c r="AX106"/>
  <c r="AW106"/>
  <c r="AV106"/>
  <c r="AU106"/>
  <c r="AT106"/>
  <c r="AS106"/>
  <c r="AR106"/>
  <c r="AQ106"/>
  <c r="AP106"/>
  <c r="AO106"/>
  <c r="AN106"/>
  <c r="AM106"/>
  <c r="AL106"/>
  <c r="AK106"/>
  <c r="AJ106"/>
  <c r="AI106"/>
  <c r="AH106"/>
  <c r="AG106"/>
  <c r="AF106"/>
  <c r="AE106"/>
  <c r="AD106"/>
  <c r="AC106"/>
  <c r="AB106"/>
  <c r="AA106"/>
  <c r="Z106"/>
  <c r="Y106"/>
  <c r="X106"/>
  <c r="W106"/>
  <c r="V106"/>
  <c r="U106"/>
  <c r="T106"/>
  <c r="S106"/>
  <c r="R106"/>
  <c r="Q106"/>
  <c r="P106"/>
  <c r="O106"/>
  <c r="N106"/>
  <c r="M106"/>
  <c r="L106"/>
  <c r="K106"/>
  <c r="J106"/>
  <c r="A106" a="1"/>
  <c r="A106" s="1"/>
  <c r="I106" s="1"/>
  <c r="BA105"/>
  <c r="AZ105"/>
  <c r="AY105"/>
  <c r="AX105"/>
  <c r="AW105"/>
  <c r="AV105"/>
  <c r="AU105"/>
  <c r="AT105"/>
  <c r="AS105"/>
  <c r="AR105"/>
  <c r="AQ105"/>
  <c r="AP105"/>
  <c r="AO105"/>
  <c r="AN105"/>
  <c r="AM105"/>
  <c r="AL105"/>
  <c r="AK105"/>
  <c r="AJ105"/>
  <c r="AI105"/>
  <c r="AH105"/>
  <c r="AG105"/>
  <c r="AF105"/>
  <c r="AE105"/>
  <c r="AD105"/>
  <c r="AC105"/>
  <c r="AB105"/>
  <c r="AA105"/>
  <c r="Z105"/>
  <c r="Y105"/>
  <c r="X105"/>
  <c r="W105"/>
  <c r="V105"/>
  <c r="U105"/>
  <c r="T105"/>
  <c r="S105"/>
  <c r="R105"/>
  <c r="Q105"/>
  <c r="P105"/>
  <c r="O105"/>
  <c r="N105"/>
  <c r="M105"/>
  <c r="L105"/>
  <c r="K105"/>
  <c r="J105"/>
  <c r="A105" a="1"/>
  <c r="A105" s="1"/>
  <c r="I105" s="1"/>
  <c r="BA104"/>
  <c r="AZ104"/>
  <c r="AY104"/>
  <c r="AX104"/>
  <c r="AW104"/>
  <c r="AV104"/>
  <c r="AU104"/>
  <c r="AT104"/>
  <c r="AS104"/>
  <c r="AR104"/>
  <c r="AQ104"/>
  <c r="AP104"/>
  <c r="AO104"/>
  <c r="AN104"/>
  <c r="AM104"/>
  <c r="AL104"/>
  <c r="AK104"/>
  <c r="AJ104"/>
  <c r="AI104"/>
  <c r="AH104"/>
  <c r="AG104"/>
  <c r="AF104"/>
  <c r="AE104"/>
  <c r="AD104"/>
  <c r="AC104"/>
  <c r="AB104"/>
  <c r="AA104"/>
  <c r="Z104"/>
  <c r="Y104"/>
  <c r="X104"/>
  <c r="W104"/>
  <c r="V104"/>
  <c r="U104"/>
  <c r="T104"/>
  <c r="S104"/>
  <c r="R104"/>
  <c r="Q104"/>
  <c r="P104"/>
  <c r="O104"/>
  <c r="N104"/>
  <c r="M104"/>
  <c r="L104"/>
  <c r="K104"/>
  <c r="J104"/>
  <c r="A104" a="1"/>
  <c r="A104" s="1"/>
  <c r="I104" s="1"/>
  <c r="BA103"/>
  <c r="AZ103"/>
  <c r="AY103"/>
  <c r="AX103"/>
  <c r="AW103"/>
  <c r="AV103"/>
  <c r="AU103"/>
  <c r="AT103"/>
  <c r="AS103"/>
  <c r="AR103"/>
  <c r="AQ103"/>
  <c r="AP103"/>
  <c r="AO103"/>
  <c r="AN103"/>
  <c r="AM103"/>
  <c r="AL103"/>
  <c r="AK103"/>
  <c r="AJ103"/>
  <c r="AI103"/>
  <c r="AH103"/>
  <c r="AG103"/>
  <c r="AF103"/>
  <c r="AE103"/>
  <c r="AD103"/>
  <c r="AC103"/>
  <c r="AB103"/>
  <c r="AA103"/>
  <c r="Z103"/>
  <c r="Y103"/>
  <c r="X103"/>
  <c r="W103"/>
  <c r="V103"/>
  <c r="U103"/>
  <c r="T103"/>
  <c r="S103"/>
  <c r="R103"/>
  <c r="Q103"/>
  <c r="P103"/>
  <c r="O103"/>
  <c r="N103"/>
  <c r="M103"/>
  <c r="L103"/>
  <c r="K103"/>
  <c r="J103"/>
  <c r="A103" a="1"/>
  <c r="A103" s="1"/>
  <c r="I103" s="1"/>
  <c r="BA102"/>
  <c r="AZ102"/>
  <c r="AY102"/>
  <c r="AX102"/>
  <c r="AW102"/>
  <c r="AV102"/>
  <c r="AU102"/>
  <c r="AT102"/>
  <c r="AS102"/>
  <c r="AR102"/>
  <c r="AQ102"/>
  <c r="AP102"/>
  <c r="AO102"/>
  <c r="AN102"/>
  <c r="AM102"/>
  <c r="AL102"/>
  <c r="AK102"/>
  <c r="AJ102"/>
  <c r="AI102"/>
  <c r="AH102"/>
  <c r="AG102"/>
  <c r="AF102"/>
  <c r="AE102"/>
  <c r="AD102"/>
  <c r="AC102"/>
  <c r="AB102"/>
  <c r="AA102"/>
  <c r="Z102"/>
  <c r="Y102"/>
  <c r="X102"/>
  <c r="W102"/>
  <c r="V102"/>
  <c r="U102"/>
  <c r="T102"/>
  <c r="S102"/>
  <c r="R102"/>
  <c r="Q102"/>
  <c r="P102"/>
  <c r="O102"/>
  <c r="N102"/>
  <c r="M102"/>
  <c r="L102"/>
  <c r="K102"/>
  <c r="J102"/>
  <c r="A102" a="1"/>
  <c r="A102" s="1"/>
  <c r="I102" s="1"/>
  <c r="BA101"/>
  <c r="AZ101"/>
  <c r="AY101"/>
  <c r="AX101"/>
  <c r="AW101"/>
  <c r="AV101"/>
  <c r="AU101"/>
  <c r="AT101"/>
  <c r="AS101"/>
  <c r="AR101"/>
  <c r="AQ101"/>
  <c r="AP101"/>
  <c r="AO101"/>
  <c r="AN101"/>
  <c r="AM101"/>
  <c r="AL101"/>
  <c r="AK101"/>
  <c r="AJ101"/>
  <c r="AI101"/>
  <c r="AH101"/>
  <c r="AG101"/>
  <c r="AF101"/>
  <c r="AE101"/>
  <c r="AD101"/>
  <c r="AC101"/>
  <c r="AB101"/>
  <c r="AA101"/>
  <c r="Z101"/>
  <c r="Y101"/>
  <c r="X101"/>
  <c r="W101"/>
  <c r="V101"/>
  <c r="U101"/>
  <c r="T101"/>
  <c r="S101"/>
  <c r="R101"/>
  <c r="Q101"/>
  <c r="P101"/>
  <c r="O101"/>
  <c r="N101"/>
  <c r="M101"/>
  <c r="L101"/>
  <c r="K101"/>
  <c r="J101"/>
  <c r="A101" a="1"/>
  <c r="A101" s="1"/>
  <c r="I101" s="1"/>
  <c r="BA100"/>
  <c r="AZ100"/>
  <c r="AY100"/>
  <c r="AX100"/>
  <c r="AW100"/>
  <c r="AV100"/>
  <c r="AU100"/>
  <c r="AT100"/>
  <c r="AS100"/>
  <c r="AR100"/>
  <c r="AQ100"/>
  <c r="AP100"/>
  <c r="AO100"/>
  <c r="AN100"/>
  <c r="AM100"/>
  <c r="AL100"/>
  <c r="AK100"/>
  <c r="AJ100"/>
  <c r="AI100"/>
  <c r="AH100"/>
  <c r="AG100"/>
  <c r="AF100"/>
  <c r="AE100"/>
  <c r="AD100"/>
  <c r="AC100"/>
  <c r="AB100"/>
  <c r="AA100"/>
  <c r="Z100"/>
  <c r="Y100"/>
  <c r="X100"/>
  <c r="W100"/>
  <c r="V100"/>
  <c r="U100"/>
  <c r="T100"/>
  <c r="S100"/>
  <c r="R100"/>
  <c r="Q100"/>
  <c r="P100"/>
  <c r="O100"/>
  <c r="N100"/>
  <c r="M100"/>
  <c r="L100"/>
  <c r="K100"/>
  <c r="J100"/>
  <c r="A100" a="1"/>
  <c r="A100" s="1"/>
  <c r="I100" s="1"/>
  <c r="BA99"/>
  <c r="AZ99"/>
  <c r="AY99"/>
  <c r="AX99"/>
  <c r="AW99"/>
  <c r="AV99"/>
  <c r="AU99"/>
  <c r="AT99"/>
  <c r="AS99"/>
  <c r="AR99"/>
  <c r="AQ99"/>
  <c r="AP99"/>
  <c r="AO99"/>
  <c r="AN99"/>
  <c r="AM99"/>
  <c r="AL99"/>
  <c r="AK99"/>
  <c r="AJ99"/>
  <c r="AI99"/>
  <c r="AH99"/>
  <c r="AG99"/>
  <c r="AF99"/>
  <c r="AE99"/>
  <c r="AD99"/>
  <c r="AC99"/>
  <c r="AB99"/>
  <c r="AA99"/>
  <c r="Z99"/>
  <c r="Y99"/>
  <c r="X99"/>
  <c r="W99"/>
  <c r="V99"/>
  <c r="U99"/>
  <c r="T99"/>
  <c r="S99"/>
  <c r="R99"/>
  <c r="Q99"/>
  <c r="P99"/>
  <c r="O99"/>
  <c r="N99"/>
  <c r="M99"/>
  <c r="L99"/>
  <c r="K99"/>
  <c r="J99"/>
  <c r="A99" a="1"/>
  <c r="A99" s="1"/>
  <c r="I99" s="1"/>
  <c r="BA98"/>
  <c r="AZ98"/>
  <c r="AY98"/>
  <c r="AX98"/>
  <c r="AW98"/>
  <c r="AV98"/>
  <c r="AU98"/>
  <c r="AT98"/>
  <c r="AS98"/>
  <c r="AR98"/>
  <c r="AQ98"/>
  <c r="AP98"/>
  <c r="AO98"/>
  <c r="AN98"/>
  <c r="AM98"/>
  <c r="AL98"/>
  <c r="AK98"/>
  <c r="AJ98"/>
  <c r="AI98"/>
  <c r="AH98"/>
  <c r="AG98"/>
  <c r="AF98"/>
  <c r="AE98"/>
  <c r="AD98"/>
  <c r="AC98"/>
  <c r="AB98"/>
  <c r="AA98"/>
  <c r="Z98"/>
  <c r="Y98"/>
  <c r="X98"/>
  <c r="W98"/>
  <c r="V98"/>
  <c r="U98"/>
  <c r="T98"/>
  <c r="S98"/>
  <c r="R98"/>
  <c r="Q98"/>
  <c r="P98"/>
  <c r="O98"/>
  <c r="N98"/>
  <c r="M98"/>
  <c r="L98"/>
  <c r="K98"/>
  <c r="J98"/>
  <c r="A98" a="1"/>
  <c r="A98" s="1"/>
  <c r="I98" s="1"/>
  <c r="BA97"/>
  <c r="AZ97"/>
  <c r="AY97"/>
  <c r="AX97"/>
  <c r="AW97"/>
  <c r="AV97"/>
  <c r="AU97"/>
  <c r="AT97"/>
  <c r="AS97"/>
  <c r="AR97"/>
  <c r="AQ97"/>
  <c r="AP97"/>
  <c r="AO97"/>
  <c r="AN97"/>
  <c r="AM97"/>
  <c r="AL97"/>
  <c r="AK97"/>
  <c r="AJ97"/>
  <c r="AI97"/>
  <c r="AH97"/>
  <c r="AG97"/>
  <c r="AF97"/>
  <c r="AE97"/>
  <c r="AD97"/>
  <c r="AC97"/>
  <c r="AB97"/>
  <c r="AA97"/>
  <c r="Z97"/>
  <c r="Y97"/>
  <c r="X97"/>
  <c r="W97"/>
  <c r="V97"/>
  <c r="U97"/>
  <c r="T97"/>
  <c r="S97"/>
  <c r="R97"/>
  <c r="Q97"/>
  <c r="P97"/>
  <c r="O97"/>
  <c r="N97"/>
  <c r="M97"/>
  <c r="L97"/>
  <c r="K97"/>
  <c r="J97"/>
  <c r="A97" a="1"/>
  <c r="A97" s="1"/>
  <c r="I97" s="1"/>
  <c r="BA96"/>
  <c r="AZ96"/>
  <c r="AY96"/>
  <c r="AX96"/>
  <c r="AW96"/>
  <c r="AV96"/>
  <c r="AU96"/>
  <c r="AT96"/>
  <c r="AS96"/>
  <c r="AR96"/>
  <c r="AQ96"/>
  <c r="AP96"/>
  <c r="AO96"/>
  <c r="AN96"/>
  <c r="AM96"/>
  <c r="AL96"/>
  <c r="AK96"/>
  <c r="AJ96"/>
  <c r="AI96"/>
  <c r="AH96"/>
  <c r="AG96"/>
  <c r="AF96"/>
  <c r="AE96"/>
  <c r="AD96"/>
  <c r="AC96"/>
  <c r="AB96"/>
  <c r="AA96"/>
  <c r="Z96"/>
  <c r="Y96"/>
  <c r="X96"/>
  <c r="W96"/>
  <c r="V96"/>
  <c r="U96"/>
  <c r="T96"/>
  <c r="S96"/>
  <c r="R96"/>
  <c r="Q96"/>
  <c r="P96"/>
  <c r="O96"/>
  <c r="N96"/>
  <c r="M96"/>
  <c r="L96"/>
  <c r="K96"/>
  <c r="J96"/>
  <c r="A96" a="1"/>
  <c r="A96" s="1"/>
  <c r="I96" s="1"/>
  <c r="BA95"/>
  <c r="AZ95"/>
  <c r="AY95"/>
  <c r="AX95"/>
  <c r="AW95"/>
  <c r="AV95"/>
  <c r="AU95"/>
  <c r="AT95"/>
  <c r="AS95"/>
  <c r="AR95"/>
  <c r="AQ95"/>
  <c r="AP95"/>
  <c r="AO95"/>
  <c r="AN95"/>
  <c r="AM95"/>
  <c r="AL95"/>
  <c r="AK95"/>
  <c r="AJ95"/>
  <c r="AI95"/>
  <c r="AH95"/>
  <c r="AG95"/>
  <c r="AF95"/>
  <c r="AE95"/>
  <c r="AD95"/>
  <c r="AC95"/>
  <c r="AB95"/>
  <c r="AA95"/>
  <c r="Z95"/>
  <c r="Y95"/>
  <c r="X95"/>
  <c r="W95"/>
  <c r="V95"/>
  <c r="U95"/>
  <c r="T95"/>
  <c r="S95"/>
  <c r="R95"/>
  <c r="Q95"/>
  <c r="P95"/>
  <c r="O95"/>
  <c r="N95"/>
  <c r="M95"/>
  <c r="L95"/>
  <c r="K95"/>
  <c r="J95"/>
  <c r="A95" a="1"/>
  <c r="A95" s="1"/>
  <c r="I95" s="1"/>
  <c r="BA94"/>
  <c r="AZ94"/>
  <c r="AY94"/>
  <c r="AX94"/>
  <c r="AW94"/>
  <c r="AV94"/>
  <c r="AU94"/>
  <c r="AT94"/>
  <c r="AS94"/>
  <c r="AR94"/>
  <c r="AQ94"/>
  <c r="AP94"/>
  <c r="AO94"/>
  <c r="AN94"/>
  <c r="AM94"/>
  <c r="AL94"/>
  <c r="AK94"/>
  <c r="AJ94"/>
  <c r="AI94"/>
  <c r="AH94"/>
  <c r="AG94"/>
  <c r="AF94"/>
  <c r="AE94"/>
  <c r="AD94"/>
  <c r="AC94"/>
  <c r="AB94"/>
  <c r="AA94"/>
  <c r="Z94"/>
  <c r="Y94"/>
  <c r="X94"/>
  <c r="W94"/>
  <c r="V94"/>
  <c r="U94"/>
  <c r="T94"/>
  <c r="S94"/>
  <c r="R94"/>
  <c r="Q94"/>
  <c r="P94"/>
  <c r="O94"/>
  <c r="N94"/>
  <c r="M94"/>
  <c r="L94"/>
  <c r="K94"/>
  <c r="J94"/>
  <c r="A94" a="1"/>
  <c r="A94" s="1"/>
  <c r="I94" s="1"/>
  <c r="BA93"/>
  <c r="AZ93"/>
  <c r="AY93"/>
  <c r="AX93"/>
  <c r="AW93"/>
  <c r="AV93"/>
  <c r="AU93"/>
  <c r="AT93"/>
  <c r="AS93"/>
  <c r="AR93"/>
  <c r="AQ93"/>
  <c r="AP93"/>
  <c r="AO93"/>
  <c r="AN93"/>
  <c r="AM93"/>
  <c r="AL93"/>
  <c r="AK93"/>
  <c r="AJ93"/>
  <c r="AI93"/>
  <c r="AH93"/>
  <c r="AG93"/>
  <c r="AF93"/>
  <c r="AE93"/>
  <c r="AD93"/>
  <c r="AC93"/>
  <c r="AB93"/>
  <c r="AA93"/>
  <c r="Z93"/>
  <c r="Y93"/>
  <c r="X93"/>
  <c r="W93"/>
  <c r="V93"/>
  <c r="U93"/>
  <c r="T93"/>
  <c r="S93"/>
  <c r="R93"/>
  <c r="Q93"/>
  <c r="P93"/>
  <c r="O93"/>
  <c r="N93"/>
  <c r="M93"/>
  <c r="L93"/>
  <c r="K93"/>
  <c r="J93"/>
  <c r="A93" a="1"/>
  <c r="A93" s="1"/>
  <c r="I93" s="1"/>
  <c r="BA92"/>
  <c r="AZ92"/>
  <c r="AY92"/>
  <c r="AX92"/>
  <c r="AW92"/>
  <c r="AV92"/>
  <c r="AU92"/>
  <c r="AT92"/>
  <c r="AS92"/>
  <c r="AR92"/>
  <c r="AQ92"/>
  <c r="AP92"/>
  <c r="AO92"/>
  <c r="AN92"/>
  <c r="AM92"/>
  <c r="AL92"/>
  <c r="AK92"/>
  <c r="AJ92"/>
  <c r="AI92"/>
  <c r="AH92"/>
  <c r="AG92"/>
  <c r="AF92"/>
  <c r="AE92"/>
  <c r="AD92"/>
  <c r="AC92"/>
  <c r="AB92"/>
  <c r="AA92"/>
  <c r="Z92"/>
  <c r="Y92"/>
  <c r="X92"/>
  <c r="W92"/>
  <c r="V92"/>
  <c r="U92"/>
  <c r="T92"/>
  <c r="S92"/>
  <c r="R92"/>
  <c r="Q92"/>
  <c r="P92"/>
  <c r="O92"/>
  <c r="N92"/>
  <c r="M92"/>
  <c r="L92"/>
  <c r="K92"/>
  <c r="J92"/>
  <c r="A92" a="1"/>
  <c r="A92" s="1"/>
  <c r="I92" s="1"/>
  <c r="BA91"/>
  <c r="AZ91"/>
  <c r="AY91"/>
  <c r="AX91"/>
  <c r="AW91"/>
  <c r="AV91"/>
  <c r="AU91"/>
  <c r="AT91"/>
  <c r="AS91"/>
  <c r="AR91"/>
  <c r="AQ91"/>
  <c r="AP91"/>
  <c r="AO91"/>
  <c r="AN91"/>
  <c r="AM91"/>
  <c r="AL91"/>
  <c r="AK91"/>
  <c r="AJ91"/>
  <c r="AI91"/>
  <c r="AH91"/>
  <c r="AG91"/>
  <c r="AF91"/>
  <c r="AE91"/>
  <c r="AD91"/>
  <c r="AC91"/>
  <c r="AB91"/>
  <c r="AA91"/>
  <c r="Z91"/>
  <c r="Y91"/>
  <c r="X91"/>
  <c r="W91"/>
  <c r="V91"/>
  <c r="U91"/>
  <c r="T91"/>
  <c r="S91"/>
  <c r="R91"/>
  <c r="Q91"/>
  <c r="P91"/>
  <c r="O91"/>
  <c r="N91"/>
  <c r="M91"/>
  <c r="L91"/>
  <c r="K91"/>
  <c r="J91"/>
  <c r="A91" a="1"/>
  <c r="A91" s="1"/>
  <c r="I91" s="1"/>
  <c r="BA90"/>
  <c r="AZ90"/>
  <c r="AY90"/>
  <c r="AX90"/>
  <c r="AW90"/>
  <c r="AV90"/>
  <c r="AU90"/>
  <c r="AT90"/>
  <c r="AS90"/>
  <c r="AR90"/>
  <c r="AQ90"/>
  <c r="AP90"/>
  <c r="AO90"/>
  <c r="AN90"/>
  <c r="AM90"/>
  <c r="AL90"/>
  <c r="AK90"/>
  <c r="AJ90"/>
  <c r="AI90"/>
  <c r="AH90"/>
  <c r="AG90"/>
  <c r="AF90"/>
  <c r="AE90"/>
  <c r="AD90"/>
  <c r="AC90"/>
  <c r="AB90"/>
  <c r="AA90"/>
  <c r="Z90"/>
  <c r="Y90"/>
  <c r="X90"/>
  <c r="W90"/>
  <c r="V90"/>
  <c r="U90"/>
  <c r="T90"/>
  <c r="S90"/>
  <c r="R90"/>
  <c r="Q90"/>
  <c r="P90"/>
  <c r="O90"/>
  <c r="N90"/>
  <c r="M90"/>
  <c r="L90"/>
  <c r="K90"/>
  <c r="J90"/>
  <c r="A90" a="1"/>
  <c r="A90" s="1"/>
  <c r="I90" s="1"/>
  <c r="BA89"/>
  <c r="AZ89"/>
  <c r="AY89"/>
  <c r="AX89"/>
  <c r="AW89"/>
  <c r="AV89"/>
  <c r="AU89"/>
  <c r="AT89"/>
  <c r="AS89"/>
  <c r="AR89"/>
  <c r="AQ89"/>
  <c r="AP89"/>
  <c r="AO89"/>
  <c r="AN89"/>
  <c r="AM89"/>
  <c r="AL89"/>
  <c r="AK89"/>
  <c r="AJ89"/>
  <c r="AI89"/>
  <c r="AH89"/>
  <c r="AG89"/>
  <c r="AF89"/>
  <c r="AE89"/>
  <c r="AD89"/>
  <c r="AC89"/>
  <c r="AB89"/>
  <c r="AA89"/>
  <c r="Z89"/>
  <c r="Y89"/>
  <c r="X89"/>
  <c r="W89"/>
  <c r="V89"/>
  <c r="U89"/>
  <c r="T89"/>
  <c r="S89"/>
  <c r="R89"/>
  <c r="Q89"/>
  <c r="P89"/>
  <c r="O89"/>
  <c r="N89"/>
  <c r="M89"/>
  <c r="L89"/>
  <c r="K89"/>
  <c r="J89"/>
  <c r="A89" a="1"/>
  <c r="A89" s="1"/>
  <c r="I89" s="1"/>
  <c r="BA88"/>
  <c r="AZ88"/>
  <c r="AY88"/>
  <c r="AX88"/>
  <c r="AW88"/>
  <c r="AV88"/>
  <c r="AU88"/>
  <c r="AT88"/>
  <c r="AS88"/>
  <c r="AR88"/>
  <c r="AQ88"/>
  <c r="AP88"/>
  <c r="AO88"/>
  <c r="AN88"/>
  <c r="AM88"/>
  <c r="AL88"/>
  <c r="AK88"/>
  <c r="AJ88"/>
  <c r="AI88"/>
  <c r="AH88"/>
  <c r="AG88"/>
  <c r="AF88"/>
  <c r="AE88"/>
  <c r="AD88"/>
  <c r="AC88"/>
  <c r="AB88"/>
  <c r="AA88"/>
  <c r="Z88"/>
  <c r="Y88"/>
  <c r="X88"/>
  <c r="W88"/>
  <c r="V88"/>
  <c r="U88"/>
  <c r="T88"/>
  <c r="S88"/>
  <c r="R88"/>
  <c r="Q88"/>
  <c r="P88"/>
  <c r="O88"/>
  <c r="N88"/>
  <c r="M88"/>
  <c r="L88"/>
  <c r="K88"/>
  <c r="J88"/>
  <c r="A88" a="1"/>
  <c r="A88" s="1"/>
  <c r="I88" s="1"/>
  <c r="BA87"/>
  <c r="AZ87"/>
  <c r="AY87"/>
  <c r="AX87"/>
  <c r="AW87"/>
  <c r="AV87"/>
  <c r="AU87"/>
  <c r="AT87"/>
  <c r="AS87"/>
  <c r="AR87"/>
  <c r="AQ87"/>
  <c r="AP87"/>
  <c r="AO87"/>
  <c r="AN87"/>
  <c r="AM87"/>
  <c r="AL87"/>
  <c r="AK87"/>
  <c r="AJ87"/>
  <c r="AI87"/>
  <c r="AH87"/>
  <c r="AG87"/>
  <c r="AF87"/>
  <c r="AE87"/>
  <c r="AD87"/>
  <c r="AC87"/>
  <c r="AB87"/>
  <c r="AA87"/>
  <c r="Z87"/>
  <c r="Y87"/>
  <c r="X87"/>
  <c r="W87"/>
  <c r="V87"/>
  <c r="U87"/>
  <c r="T87"/>
  <c r="S87"/>
  <c r="R87"/>
  <c r="Q87"/>
  <c r="P87"/>
  <c r="O87"/>
  <c r="N87"/>
  <c r="M87"/>
  <c r="L87"/>
  <c r="K87"/>
  <c r="J87"/>
  <c r="A87" a="1"/>
  <c r="A87" s="1"/>
  <c r="I87" s="1"/>
  <c r="BA86"/>
  <c r="AZ86"/>
  <c r="AY86"/>
  <c r="AX86"/>
  <c r="AW86"/>
  <c r="AV86"/>
  <c r="AU86"/>
  <c r="AT86"/>
  <c r="AS86"/>
  <c r="AR86"/>
  <c r="AQ86"/>
  <c r="AP86"/>
  <c r="AO86"/>
  <c r="AN86"/>
  <c r="AM86"/>
  <c r="AL86"/>
  <c r="AK86"/>
  <c r="AJ86"/>
  <c r="AI86"/>
  <c r="AH86"/>
  <c r="AG86"/>
  <c r="AF86"/>
  <c r="AE86"/>
  <c r="AD86"/>
  <c r="AC86"/>
  <c r="AB86"/>
  <c r="AA86"/>
  <c r="Z86"/>
  <c r="Y86"/>
  <c r="X86"/>
  <c r="W86"/>
  <c r="V86"/>
  <c r="U86"/>
  <c r="T86"/>
  <c r="S86"/>
  <c r="R86"/>
  <c r="Q86"/>
  <c r="P86"/>
  <c r="O86"/>
  <c r="N86"/>
  <c r="M86"/>
  <c r="L86"/>
  <c r="K86"/>
  <c r="J86"/>
  <c r="A86" a="1"/>
  <c r="A86" s="1"/>
  <c r="I86" s="1"/>
  <c r="BA85"/>
  <c r="AZ85"/>
  <c r="AY85"/>
  <c r="AX85"/>
  <c r="AW85"/>
  <c r="AV85"/>
  <c r="AU85"/>
  <c r="AT85"/>
  <c r="AS85"/>
  <c r="AR85"/>
  <c r="AQ85"/>
  <c r="AP85"/>
  <c r="AO85"/>
  <c r="AN85"/>
  <c r="AM85"/>
  <c r="AL85"/>
  <c r="AK85"/>
  <c r="AJ85"/>
  <c r="AI85"/>
  <c r="AH85"/>
  <c r="AG85"/>
  <c r="AF85"/>
  <c r="AE85"/>
  <c r="AD85"/>
  <c r="AC85"/>
  <c r="AB85"/>
  <c r="AA85"/>
  <c r="Z85"/>
  <c r="Y85"/>
  <c r="X85"/>
  <c r="W85"/>
  <c r="V85"/>
  <c r="U85"/>
  <c r="T85"/>
  <c r="S85"/>
  <c r="R85"/>
  <c r="Q85"/>
  <c r="P85"/>
  <c r="O85"/>
  <c r="N85"/>
  <c r="M85"/>
  <c r="L85"/>
  <c r="K85"/>
  <c r="J85"/>
  <c r="A85" a="1"/>
  <c r="A85" s="1"/>
  <c r="I85" s="1"/>
  <c r="BA84"/>
  <c r="AZ84"/>
  <c r="AY84"/>
  <c r="AX84"/>
  <c r="AW84"/>
  <c r="AV84"/>
  <c r="AU84"/>
  <c r="AT84"/>
  <c r="AS84"/>
  <c r="AR84"/>
  <c r="AQ84"/>
  <c r="AP84"/>
  <c r="AO84"/>
  <c r="AN84"/>
  <c r="AM84"/>
  <c r="AL84"/>
  <c r="AK84"/>
  <c r="AJ84"/>
  <c r="AI84"/>
  <c r="AH84"/>
  <c r="AG84"/>
  <c r="AF84"/>
  <c r="AE84"/>
  <c r="AD84"/>
  <c r="AC84"/>
  <c r="AB84"/>
  <c r="AA84"/>
  <c r="Z84"/>
  <c r="Y84"/>
  <c r="X84"/>
  <c r="W84"/>
  <c r="V84"/>
  <c r="U84"/>
  <c r="T84"/>
  <c r="S84"/>
  <c r="R84"/>
  <c r="Q84"/>
  <c r="P84"/>
  <c r="O84"/>
  <c r="N84"/>
  <c r="M84"/>
  <c r="L84"/>
  <c r="K84"/>
  <c r="J84"/>
  <c r="A84" a="1"/>
  <c r="A84" s="1"/>
  <c r="I84" s="1"/>
  <c r="BA83"/>
  <c r="AZ83"/>
  <c r="AY83"/>
  <c r="AX83"/>
  <c r="AW83"/>
  <c r="AV83"/>
  <c r="AU83"/>
  <c r="AT83"/>
  <c r="AS83"/>
  <c r="AR83"/>
  <c r="AQ83"/>
  <c r="AP83"/>
  <c r="AO83"/>
  <c r="AN83"/>
  <c r="AM83"/>
  <c r="AL83"/>
  <c r="AK83"/>
  <c r="AJ83"/>
  <c r="AI83"/>
  <c r="AH83"/>
  <c r="AG83"/>
  <c r="AF83"/>
  <c r="AE83"/>
  <c r="AD83"/>
  <c r="AC83"/>
  <c r="AB83"/>
  <c r="AA83"/>
  <c r="Z83"/>
  <c r="Y83"/>
  <c r="X83"/>
  <c r="W83"/>
  <c r="V83"/>
  <c r="U83"/>
  <c r="T83"/>
  <c r="S83"/>
  <c r="R83"/>
  <c r="Q83"/>
  <c r="P83"/>
  <c r="O83"/>
  <c r="N83"/>
  <c r="M83"/>
  <c r="L83"/>
  <c r="K83"/>
  <c r="J83"/>
  <c r="A83" a="1"/>
  <c r="A83" s="1"/>
  <c r="I83" s="1"/>
  <c r="BA82"/>
  <c r="AZ82"/>
  <c r="AY82"/>
  <c r="AX82"/>
  <c r="AW82"/>
  <c r="AV82"/>
  <c r="AU82"/>
  <c r="AT82"/>
  <c r="AS82"/>
  <c r="AR82"/>
  <c r="AQ82"/>
  <c r="AP82"/>
  <c r="AO82"/>
  <c r="AN82"/>
  <c r="AM82"/>
  <c r="AL82"/>
  <c r="AK82"/>
  <c r="AJ82"/>
  <c r="AI82"/>
  <c r="AH82"/>
  <c r="AG82"/>
  <c r="AF82"/>
  <c r="AE82"/>
  <c r="AD82"/>
  <c r="AC82"/>
  <c r="AB82"/>
  <c r="AA82"/>
  <c r="Z82"/>
  <c r="Y82"/>
  <c r="X82"/>
  <c r="W82"/>
  <c r="V82"/>
  <c r="U82"/>
  <c r="T82"/>
  <c r="S82"/>
  <c r="R82"/>
  <c r="Q82"/>
  <c r="P82"/>
  <c r="O82"/>
  <c r="N82"/>
  <c r="M82"/>
  <c r="L82"/>
  <c r="K82"/>
  <c r="J82"/>
  <c r="A82" a="1"/>
  <c r="A82" s="1"/>
  <c r="I82" s="1"/>
  <c r="BA81"/>
  <c r="AZ81"/>
  <c r="AY81"/>
  <c r="AX81"/>
  <c r="AW81"/>
  <c r="AV81"/>
  <c r="AU81"/>
  <c r="AT81"/>
  <c r="AS81"/>
  <c r="AR81"/>
  <c r="AQ81"/>
  <c r="AP81"/>
  <c r="AO81"/>
  <c r="AN81"/>
  <c r="AM81"/>
  <c r="AL81"/>
  <c r="AK81"/>
  <c r="AJ81"/>
  <c r="AI81"/>
  <c r="AH81"/>
  <c r="AG81"/>
  <c r="AF81"/>
  <c r="AE81"/>
  <c r="AD81"/>
  <c r="AC81"/>
  <c r="AB81"/>
  <c r="AA81"/>
  <c r="Z81"/>
  <c r="Y81"/>
  <c r="X81"/>
  <c r="W81"/>
  <c r="V81"/>
  <c r="U81"/>
  <c r="T81"/>
  <c r="S81"/>
  <c r="R81"/>
  <c r="Q81"/>
  <c r="P81"/>
  <c r="O81"/>
  <c r="N81"/>
  <c r="M81"/>
  <c r="L81"/>
  <c r="K81"/>
  <c r="J81"/>
  <c r="A81" a="1"/>
  <c r="A81" s="1"/>
  <c r="I81" s="1"/>
  <c r="BA80"/>
  <c r="AZ80"/>
  <c r="AY80"/>
  <c r="AX80"/>
  <c r="AW80"/>
  <c r="AV80"/>
  <c r="AU80"/>
  <c r="AT80"/>
  <c r="AS80"/>
  <c r="AR80"/>
  <c r="AQ80"/>
  <c r="AP80"/>
  <c r="AO80"/>
  <c r="AN80"/>
  <c r="AM80"/>
  <c r="AL80"/>
  <c r="AK80"/>
  <c r="AJ80"/>
  <c r="AI80"/>
  <c r="AH80"/>
  <c r="AG80"/>
  <c r="AF80"/>
  <c r="AE80"/>
  <c r="AD80"/>
  <c r="AC80"/>
  <c r="AB80"/>
  <c r="AA80"/>
  <c r="Z80"/>
  <c r="Y80"/>
  <c r="X80"/>
  <c r="W80"/>
  <c r="V80"/>
  <c r="U80"/>
  <c r="T80"/>
  <c r="S80"/>
  <c r="R80"/>
  <c r="Q80"/>
  <c r="P80"/>
  <c r="O80"/>
  <c r="N80"/>
  <c r="M80"/>
  <c r="L80"/>
  <c r="K80"/>
  <c r="J80"/>
  <c r="A80" a="1"/>
  <c r="A80" s="1"/>
  <c r="I80" s="1"/>
  <c r="BA79"/>
  <c r="AZ79"/>
  <c r="AY79"/>
  <c r="AX79"/>
  <c r="AW79"/>
  <c r="AV79"/>
  <c r="AU79"/>
  <c r="AT79"/>
  <c r="AS79"/>
  <c r="AR79"/>
  <c r="AQ79"/>
  <c r="AP79"/>
  <c r="AO79"/>
  <c r="AN79"/>
  <c r="AM79"/>
  <c r="AL79"/>
  <c r="AK79"/>
  <c r="AJ79"/>
  <c r="AI79"/>
  <c r="AH79"/>
  <c r="AG79"/>
  <c r="AF79"/>
  <c r="AE79"/>
  <c r="AD79"/>
  <c r="AC79"/>
  <c r="AB79"/>
  <c r="AA79"/>
  <c r="Z79"/>
  <c r="Y79"/>
  <c r="X79"/>
  <c r="W79"/>
  <c r="V79"/>
  <c r="U79"/>
  <c r="T79"/>
  <c r="S79"/>
  <c r="R79"/>
  <c r="Q79"/>
  <c r="P79"/>
  <c r="O79"/>
  <c r="N79"/>
  <c r="M79"/>
  <c r="L79"/>
  <c r="K79"/>
  <c r="J79"/>
  <c r="A79" a="1"/>
  <c r="A79" s="1"/>
  <c r="I79" s="1"/>
  <c r="BA78"/>
  <c r="AZ78"/>
  <c r="AY78"/>
  <c r="AX78"/>
  <c r="AW78"/>
  <c r="AV78"/>
  <c r="AU78"/>
  <c r="AT78"/>
  <c r="AS78"/>
  <c r="AR78"/>
  <c r="AQ78"/>
  <c r="AP78"/>
  <c r="AO78"/>
  <c r="AN78"/>
  <c r="AM78"/>
  <c r="AL78"/>
  <c r="AK78"/>
  <c r="AJ78"/>
  <c r="AI78"/>
  <c r="AH78"/>
  <c r="AG78"/>
  <c r="AF78"/>
  <c r="AE78"/>
  <c r="AD78"/>
  <c r="AC78"/>
  <c r="AB78"/>
  <c r="AA78"/>
  <c r="Z78"/>
  <c r="Y78"/>
  <c r="X78"/>
  <c r="W78"/>
  <c r="V78"/>
  <c r="U78"/>
  <c r="T78"/>
  <c r="S78"/>
  <c r="R78"/>
  <c r="Q78"/>
  <c r="P78"/>
  <c r="O78"/>
  <c r="N78"/>
  <c r="M78"/>
  <c r="L78"/>
  <c r="K78"/>
  <c r="J78"/>
  <c r="A78" a="1"/>
  <c r="A78" s="1"/>
  <c r="I78" s="1"/>
  <c r="BA77"/>
  <c r="AZ77"/>
  <c r="AY77"/>
  <c r="AX77"/>
  <c r="AW77"/>
  <c r="AV77"/>
  <c r="AU77"/>
  <c r="AT77"/>
  <c r="AS77"/>
  <c r="AR77"/>
  <c r="AQ77"/>
  <c r="AP77"/>
  <c r="AO77"/>
  <c r="AN77"/>
  <c r="AM77"/>
  <c r="AL77"/>
  <c r="AK77"/>
  <c r="AJ77"/>
  <c r="AI77"/>
  <c r="AH77"/>
  <c r="AG77"/>
  <c r="AF77"/>
  <c r="AE77"/>
  <c r="AD77"/>
  <c r="AC77"/>
  <c r="AB77"/>
  <c r="AA77"/>
  <c r="Z77"/>
  <c r="Y77"/>
  <c r="X77"/>
  <c r="W77"/>
  <c r="V77"/>
  <c r="U77"/>
  <c r="T77"/>
  <c r="S77"/>
  <c r="R77"/>
  <c r="Q77"/>
  <c r="P77"/>
  <c r="O77"/>
  <c r="N77"/>
  <c r="M77"/>
  <c r="L77"/>
  <c r="K77"/>
  <c r="J77"/>
  <c r="A77" a="1"/>
  <c r="A77" s="1"/>
  <c r="I77" s="1"/>
  <c r="BA76"/>
  <c r="AZ76"/>
  <c r="AY76"/>
  <c r="AX76"/>
  <c r="AW76"/>
  <c r="AV76"/>
  <c r="AU76"/>
  <c r="AT76"/>
  <c r="AS76"/>
  <c r="AR76"/>
  <c r="AQ76"/>
  <c r="AP76"/>
  <c r="AO76"/>
  <c r="AN76"/>
  <c r="AM76"/>
  <c r="AL76"/>
  <c r="AK76"/>
  <c r="AJ76"/>
  <c r="AI76"/>
  <c r="AH76"/>
  <c r="AG76"/>
  <c r="AF76"/>
  <c r="AE76"/>
  <c r="AD76"/>
  <c r="AC76"/>
  <c r="AB76"/>
  <c r="AA76"/>
  <c r="Z76"/>
  <c r="Y76"/>
  <c r="X76"/>
  <c r="W76"/>
  <c r="V76"/>
  <c r="U76"/>
  <c r="T76"/>
  <c r="S76"/>
  <c r="R76"/>
  <c r="Q76"/>
  <c r="P76"/>
  <c r="O76"/>
  <c r="N76"/>
  <c r="M76"/>
  <c r="L76"/>
  <c r="K76"/>
  <c r="J76"/>
  <c r="A76" a="1"/>
  <c r="A76" s="1"/>
  <c r="I76" s="1"/>
  <c r="BA75"/>
  <c r="AZ75"/>
  <c r="AY75"/>
  <c r="AX75"/>
  <c r="AW75"/>
  <c r="AV75"/>
  <c r="AU75"/>
  <c r="AT75"/>
  <c r="AS75"/>
  <c r="AR75"/>
  <c r="AQ75"/>
  <c r="AP75"/>
  <c r="AO75"/>
  <c r="AN75"/>
  <c r="AM75"/>
  <c r="AL75"/>
  <c r="AK75"/>
  <c r="AJ75"/>
  <c r="AI75"/>
  <c r="AH75"/>
  <c r="AG75"/>
  <c r="AF75"/>
  <c r="AE75"/>
  <c r="AD75"/>
  <c r="AC75"/>
  <c r="AB75"/>
  <c r="AA75"/>
  <c r="Z75"/>
  <c r="Y75"/>
  <c r="X75"/>
  <c r="W75"/>
  <c r="V75"/>
  <c r="U75"/>
  <c r="T75"/>
  <c r="S75"/>
  <c r="R75"/>
  <c r="Q75"/>
  <c r="P75"/>
  <c r="O75"/>
  <c r="N75"/>
  <c r="M75"/>
  <c r="L75"/>
  <c r="K75"/>
  <c r="J75"/>
  <c r="A75" a="1"/>
  <c r="A75" s="1"/>
  <c r="I75" s="1"/>
  <c r="BA74"/>
  <c r="AZ74"/>
  <c r="AY74"/>
  <c r="AX74"/>
  <c r="AW74"/>
  <c r="AV74"/>
  <c r="AU74"/>
  <c r="AT74"/>
  <c r="AS74"/>
  <c r="AR74"/>
  <c r="AQ74"/>
  <c r="AP74"/>
  <c r="AO74"/>
  <c r="AN74"/>
  <c r="AM74"/>
  <c r="AL74"/>
  <c r="AK74"/>
  <c r="AJ74"/>
  <c r="AI74"/>
  <c r="AH74"/>
  <c r="AG74"/>
  <c r="AF74"/>
  <c r="AE74"/>
  <c r="AD74"/>
  <c r="AC74"/>
  <c r="AB74"/>
  <c r="AA74"/>
  <c r="Z74"/>
  <c r="Y74"/>
  <c r="X74"/>
  <c r="W74"/>
  <c r="V74"/>
  <c r="U74"/>
  <c r="T74"/>
  <c r="S74"/>
  <c r="R74"/>
  <c r="Q74"/>
  <c r="P74"/>
  <c r="O74"/>
  <c r="N74"/>
  <c r="M74"/>
  <c r="L74"/>
  <c r="K74"/>
  <c r="J74"/>
  <c r="A74" a="1"/>
  <c r="A74" s="1"/>
  <c r="I74" s="1"/>
  <c r="BA73"/>
  <c r="AZ73"/>
  <c r="AY73"/>
  <c r="AX73"/>
  <c r="AW73"/>
  <c r="AV73"/>
  <c r="AU73"/>
  <c r="AT73"/>
  <c r="AS73"/>
  <c r="AR73"/>
  <c r="AQ73"/>
  <c r="AP73"/>
  <c r="AO73"/>
  <c r="AN73"/>
  <c r="AM73"/>
  <c r="AL73"/>
  <c r="AK73"/>
  <c r="AJ73"/>
  <c r="AI73"/>
  <c r="AH73"/>
  <c r="AG73"/>
  <c r="AF73"/>
  <c r="AE73"/>
  <c r="AD73"/>
  <c r="AC73"/>
  <c r="AB73"/>
  <c r="AA73"/>
  <c r="Z73"/>
  <c r="Y73"/>
  <c r="X73"/>
  <c r="W73"/>
  <c r="V73"/>
  <c r="U73"/>
  <c r="T73"/>
  <c r="S73"/>
  <c r="R73"/>
  <c r="Q73"/>
  <c r="P73"/>
  <c r="O73"/>
  <c r="N73"/>
  <c r="M73"/>
  <c r="L73"/>
  <c r="K73"/>
  <c r="J73"/>
  <c r="A73" a="1"/>
  <c r="A73" s="1"/>
  <c r="I73" s="1"/>
  <c r="BA72"/>
  <c r="AZ72"/>
  <c r="AY72"/>
  <c r="AX72"/>
  <c r="AW72"/>
  <c r="AV72"/>
  <c r="AU72"/>
  <c r="AT72"/>
  <c r="AS72"/>
  <c r="AR72"/>
  <c r="AQ72"/>
  <c r="AP72"/>
  <c r="AO72"/>
  <c r="AN72"/>
  <c r="AM72"/>
  <c r="AL72"/>
  <c r="AK72"/>
  <c r="AJ72"/>
  <c r="AI72"/>
  <c r="AH72"/>
  <c r="AG72"/>
  <c r="AF72"/>
  <c r="AE72"/>
  <c r="AD72"/>
  <c r="AC72"/>
  <c r="AB72"/>
  <c r="AA72"/>
  <c r="Z72"/>
  <c r="Y72"/>
  <c r="X72"/>
  <c r="W72"/>
  <c r="V72"/>
  <c r="U72"/>
  <c r="T72"/>
  <c r="S72"/>
  <c r="R72"/>
  <c r="Q72"/>
  <c r="P72"/>
  <c r="O72"/>
  <c r="N72"/>
  <c r="M72"/>
  <c r="L72"/>
  <c r="K72"/>
  <c r="J72"/>
  <c r="A72" a="1"/>
  <c r="A72" s="1"/>
  <c r="I72" s="1"/>
  <c r="BA71"/>
  <c r="AZ71"/>
  <c r="AY71"/>
  <c r="AX71"/>
  <c r="AW71"/>
  <c r="AV71"/>
  <c r="AU71"/>
  <c r="AT71"/>
  <c r="AS71"/>
  <c r="AR71"/>
  <c r="AQ71"/>
  <c r="AP71"/>
  <c r="AO71"/>
  <c r="AN71"/>
  <c r="AM71"/>
  <c r="AL71"/>
  <c r="AK71"/>
  <c r="AJ71"/>
  <c r="AI71"/>
  <c r="AH71"/>
  <c r="AG71"/>
  <c r="AF71"/>
  <c r="AE71"/>
  <c r="AD71"/>
  <c r="AC71"/>
  <c r="AB71"/>
  <c r="AA71"/>
  <c r="Z71"/>
  <c r="Y71"/>
  <c r="X71"/>
  <c r="W71"/>
  <c r="V71"/>
  <c r="U71"/>
  <c r="T71"/>
  <c r="S71"/>
  <c r="R71"/>
  <c r="Q71"/>
  <c r="P71"/>
  <c r="O71"/>
  <c r="N71"/>
  <c r="M71"/>
  <c r="L71"/>
  <c r="K71"/>
  <c r="J71"/>
  <c r="A71" a="1"/>
  <c r="A71" s="1"/>
  <c r="I71" s="1"/>
  <c r="BA70"/>
  <c r="AZ70"/>
  <c r="AY70"/>
  <c r="AX70"/>
  <c r="AW70"/>
  <c r="AV70"/>
  <c r="AU70"/>
  <c r="AT70"/>
  <c r="AS70"/>
  <c r="AR70"/>
  <c r="AQ70"/>
  <c r="AP70"/>
  <c r="AO70"/>
  <c r="AN70"/>
  <c r="AM70"/>
  <c r="AL70"/>
  <c r="AK70"/>
  <c r="AJ70"/>
  <c r="AI70"/>
  <c r="AH70"/>
  <c r="AG70"/>
  <c r="AF70"/>
  <c r="AE70"/>
  <c r="AD70"/>
  <c r="AC70"/>
  <c r="AB70"/>
  <c r="AA70"/>
  <c r="Z70"/>
  <c r="Y70"/>
  <c r="X70"/>
  <c r="W70"/>
  <c r="V70"/>
  <c r="U70"/>
  <c r="T70"/>
  <c r="S70"/>
  <c r="R70"/>
  <c r="Q70"/>
  <c r="P70"/>
  <c r="O70"/>
  <c r="N70"/>
  <c r="M70"/>
  <c r="L70"/>
  <c r="K70"/>
  <c r="J70"/>
  <c r="A70" a="1"/>
  <c r="A70" s="1"/>
  <c r="I70" s="1"/>
  <c r="BA69"/>
  <c r="AZ69"/>
  <c r="AY69"/>
  <c r="AX69"/>
  <c r="AW69"/>
  <c r="AV69"/>
  <c r="AU69"/>
  <c r="AT69"/>
  <c r="AS69"/>
  <c r="AR69"/>
  <c r="AQ69"/>
  <c r="AP69"/>
  <c r="AO69"/>
  <c r="AN69"/>
  <c r="AM69"/>
  <c r="AL69"/>
  <c r="AK69"/>
  <c r="AJ69"/>
  <c r="AI69"/>
  <c r="AH69"/>
  <c r="AG69"/>
  <c r="AF69"/>
  <c r="AE69"/>
  <c r="AD69"/>
  <c r="AC69"/>
  <c r="AB69"/>
  <c r="AA69"/>
  <c r="Z69"/>
  <c r="Y69"/>
  <c r="X69"/>
  <c r="W69"/>
  <c r="V69"/>
  <c r="U69"/>
  <c r="T69"/>
  <c r="S69"/>
  <c r="R69"/>
  <c r="Q69"/>
  <c r="P69"/>
  <c r="O69"/>
  <c r="N69"/>
  <c r="M69"/>
  <c r="L69"/>
  <c r="K69"/>
  <c r="J69"/>
  <c r="A69" a="1"/>
  <c r="A69" s="1"/>
  <c r="I69" s="1"/>
  <c r="BA68"/>
  <c r="AZ68"/>
  <c r="AY68"/>
  <c r="AX68"/>
  <c r="AW68"/>
  <c r="AV68"/>
  <c r="AU68"/>
  <c r="AT68"/>
  <c r="AS68"/>
  <c r="AR68"/>
  <c r="AQ68"/>
  <c r="AP68"/>
  <c r="AO68"/>
  <c r="AN68"/>
  <c r="AM68"/>
  <c r="AL68"/>
  <c r="AK68"/>
  <c r="AJ68"/>
  <c r="AI68"/>
  <c r="AH68"/>
  <c r="AG68"/>
  <c r="AF68"/>
  <c r="AE68"/>
  <c r="AD68"/>
  <c r="AC68"/>
  <c r="AB68"/>
  <c r="AA68"/>
  <c r="Z68"/>
  <c r="Y68"/>
  <c r="X68"/>
  <c r="W68"/>
  <c r="V68"/>
  <c r="U68"/>
  <c r="T68"/>
  <c r="S68"/>
  <c r="R68"/>
  <c r="Q68"/>
  <c r="P68"/>
  <c r="O68"/>
  <c r="N68"/>
  <c r="M68"/>
  <c r="L68"/>
  <c r="K68"/>
  <c r="J68"/>
  <c r="A68" a="1"/>
  <c r="A68" s="1"/>
  <c r="I68" s="1"/>
  <c r="BA67"/>
  <c r="AZ67"/>
  <c r="AY67"/>
  <c r="AX67"/>
  <c r="AW67"/>
  <c r="AV67"/>
  <c r="AU67"/>
  <c r="AT67"/>
  <c r="AS67"/>
  <c r="AR67"/>
  <c r="AQ67"/>
  <c r="AP67"/>
  <c r="AO67"/>
  <c r="AN67"/>
  <c r="AM67"/>
  <c r="AL67"/>
  <c r="AK67"/>
  <c r="AJ67"/>
  <c r="AI67"/>
  <c r="AH67"/>
  <c r="AG67"/>
  <c r="AF67"/>
  <c r="AE67"/>
  <c r="AD67"/>
  <c r="AC67"/>
  <c r="AB67"/>
  <c r="AA67"/>
  <c r="Z67"/>
  <c r="Y67"/>
  <c r="X67"/>
  <c r="W67"/>
  <c r="V67"/>
  <c r="U67"/>
  <c r="T67"/>
  <c r="S67"/>
  <c r="R67"/>
  <c r="Q67"/>
  <c r="P67"/>
  <c r="O67"/>
  <c r="N67"/>
  <c r="M67"/>
  <c r="L67"/>
  <c r="K67"/>
  <c r="J67"/>
  <c r="A67" a="1"/>
  <c r="A67" s="1"/>
  <c r="I67" s="1"/>
  <c r="BA66"/>
  <c r="AZ66"/>
  <c r="AY66"/>
  <c r="AX66"/>
  <c r="AW66"/>
  <c r="AV66"/>
  <c r="AU66"/>
  <c r="AT66"/>
  <c r="AS66"/>
  <c r="AR66"/>
  <c r="AQ66"/>
  <c r="AP66"/>
  <c r="AO66"/>
  <c r="AN66"/>
  <c r="AM66"/>
  <c r="AL66"/>
  <c r="AK66"/>
  <c r="AJ66"/>
  <c r="AI66"/>
  <c r="AH66"/>
  <c r="AG66"/>
  <c r="AF66"/>
  <c r="AE66"/>
  <c r="AD66"/>
  <c r="AC66"/>
  <c r="AB66"/>
  <c r="AA66"/>
  <c r="Z66"/>
  <c r="Y66"/>
  <c r="X66"/>
  <c r="W66"/>
  <c r="V66"/>
  <c r="U66"/>
  <c r="T66"/>
  <c r="S66"/>
  <c r="R66"/>
  <c r="Q66"/>
  <c r="P66"/>
  <c r="O66"/>
  <c r="N66"/>
  <c r="M66"/>
  <c r="L66"/>
  <c r="K66"/>
  <c r="J66"/>
  <c r="A66" a="1"/>
  <c r="A66" s="1"/>
  <c r="I66" s="1"/>
  <c r="BA65"/>
  <c r="AZ65"/>
  <c r="AY65"/>
  <c r="AX65"/>
  <c r="AW65"/>
  <c r="AV65"/>
  <c r="AU65"/>
  <c r="AT65"/>
  <c r="AS65"/>
  <c r="AR65"/>
  <c r="AQ65"/>
  <c r="AP65"/>
  <c r="AO65"/>
  <c r="AN65"/>
  <c r="AM65"/>
  <c r="AL65"/>
  <c r="AK65"/>
  <c r="AJ65"/>
  <c r="AI65"/>
  <c r="AH65"/>
  <c r="AG65"/>
  <c r="AF65"/>
  <c r="AE65"/>
  <c r="AD65"/>
  <c r="AC65"/>
  <c r="AB65"/>
  <c r="AA65"/>
  <c r="Z65"/>
  <c r="Y65"/>
  <c r="X65"/>
  <c r="W65"/>
  <c r="V65"/>
  <c r="U65"/>
  <c r="T65"/>
  <c r="S65"/>
  <c r="R65"/>
  <c r="Q65"/>
  <c r="P65"/>
  <c r="O65"/>
  <c r="N65"/>
  <c r="M65"/>
  <c r="L65"/>
  <c r="K65"/>
  <c r="J65"/>
  <c r="A65" a="1"/>
  <c r="A65" s="1"/>
  <c r="I65" s="1"/>
  <c r="BA64"/>
  <c r="AZ64"/>
  <c r="AY64"/>
  <c r="AX64"/>
  <c r="AW64"/>
  <c r="AV64"/>
  <c r="AU64"/>
  <c r="AT64"/>
  <c r="AS64"/>
  <c r="AR64"/>
  <c r="AQ64"/>
  <c r="AP64"/>
  <c r="AO64"/>
  <c r="AN64"/>
  <c r="AM64"/>
  <c r="AL64"/>
  <c r="AK64"/>
  <c r="AJ64"/>
  <c r="AI64"/>
  <c r="AH64"/>
  <c r="AG64"/>
  <c r="AF64"/>
  <c r="AE64"/>
  <c r="AD64"/>
  <c r="AC64"/>
  <c r="AB64"/>
  <c r="AA64"/>
  <c r="Z64"/>
  <c r="Y64"/>
  <c r="X64"/>
  <c r="W64"/>
  <c r="V64"/>
  <c r="U64"/>
  <c r="T64"/>
  <c r="S64"/>
  <c r="R64"/>
  <c r="Q64"/>
  <c r="P64"/>
  <c r="O64"/>
  <c r="N64"/>
  <c r="M64"/>
  <c r="L64"/>
  <c r="K64"/>
  <c r="J64"/>
  <c r="A64" a="1"/>
  <c r="A64" s="1"/>
  <c r="I64" s="1"/>
  <c r="BA63"/>
  <c r="AZ63"/>
  <c r="AY63"/>
  <c r="AX63"/>
  <c r="AW63"/>
  <c r="AV63"/>
  <c r="AU63"/>
  <c r="AT63"/>
  <c r="AS63"/>
  <c r="AR63"/>
  <c r="AQ63"/>
  <c r="AP63"/>
  <c r="AO63"/>
  <c r="AN63"/>
  <c r="AM63"/>
  <c r="AL63"/>
  <c r="AK63"/>
  <c r="AJ63"/>
  <c r="AI63"/>
  <c r="AH63"/>
  <c r="AG63"/>
  <c r="AF63"/>
  <c r="AE63"/>
  <c r="AD63"/>
  <c r="AC63"/>
  <c r="AB63"/>
  <c r="AA63"/>
  <c r="Z63"/>
  <c r="Y63"/>
  <c r="X63"/>
  <c r="W63"/>
  <c r="V63"/>
  <c r="U63"/>
  <c r="T63"/>
  <c r="S63"/>
  <c r="R63"/>
  <c r="Q63"/>
  <c r="P63"/>
  <c r="O63"/>
  <c r="N63"/>
  <c r="M63"/>
  <c r="L63"/>
  <c r="K63"/>
  <c r="J63"/>
  <c r="A63" a="1"/>
  <c r="A63" s="1"/>
  <c r="I63" s="1"/>
  <c r="BA62"/>
  <c r="AZ62"/>
  <c r="AY62"/>
  <c r="AX62"/>
  <c r="AW62"/>
  <c r="AV62"/>
  <c r="AU62"/>
  <c r="AT62"/>
  <c r="AS62"/>
  <c r="AR62"/>
  <c r="AQ62"/>
  <c r="AP62"/>
  <c r="AO62"/>
  <c r="AN62"/>
  <c r="AM62"/>
  <c r="AL62"/>
  <c r="AK62"/>
  <c r="AJ62"/>
  <c r="AI62"/>
  <c r="AH62"/>
  <c r="AG62"/>
  <c r="AF62"/>
  <c r="AE62"/>
  <c r="AD62"/>
  <c r="AC62"/>
  <c r="AB62"/>
  <c r="AA62"/>
  <c r="Z62"/>
  <c r="Y62"/>
  <c r="X62"/>
  <c r="W62"/>
  <c r="V62"/>
  <c r="U62"/>
  <c r="T62"/>
  <c r="S62"/>
  <c r="R62"/>
  <c r="Q62"/>
  <c r="P62"/>
  <c r="O62"/>
  <c r="N62"/>
  <c r="M62"/>
  <c r="L62"/>
  <c r="K62"/>
  <c r="J62"/>
  <c r="A62" a="1"/>
  <c r="A62" s="1"/>
  <c r="I62" s="1"/>
  <c r="BA61"/>
  <c r="AZ61"/>
  <c r="AY61"/>
  <c r="AX61"/>
  <c r="AW61"/>
  <c r="AV61"/>
  <c r="AU61"/>
  <c r="AT61"/>
  <c r="AS61"/>
  <c r="AR61"/>
  <c r="AQ61"/>
  <c r="AP61"/>
  <c r="AO61"/>
  <c r="AN61"/>
  <c r="AM61"/>
  <c r="AL61"/>
  <c r="AK61"/>
  <c r="AJ61"/>
  <c r="AI61"/>
  <c r="AH61"/>
  <c r="AG61"/>
  <c r="AF61"/>
  <c r="AE61"/>
  <c r="AD61"/>
  <c r="AC61"/>
  <c r="AB61"/>
  <c r="AA61"/>
  <c r="Z61"/>
  <c r="Y61"/>
  <c r="X61"/>
  <c r="W61"/>
  <c r="V61"/>
  <c r="U61"/>
  <c r="T61"/>
  <c r="S61"/>
  <c r="R61"/>
  <c r="Q61"/>
  <c r="P61"/>
  <c r="O61"/>
  <c r="N61"/>
  <c r="M61"/>
  <c r="L61"/>
  <c r="K61"/>
  <c r="J61"/>
  <c r="A61" a="1"/>
  <c r="A61" s="1"/>
  <c r="I61" s="1"/>
  <c r="BA60"/>
  <c r="AZ60"/>
  <c r="AY60"/>
  <c r="AX60"/>
  <c r="AW60"/>
  <c r="AV60"/>
  <c r="AU60"/>
  <c r="AT60"/>
  <c r="AS60"/>
  <c r="AR60"/>
  <c r="AQ60"/>
  <c r="AP60"/>
  <c r="AO60"/>
  <c r="AN60"/>
  <c r="AM60"/>
  <c r="AL60"/>
  <c r="AK60"/>
  <c r="AJ60"/>
  <c r="AI60"/>
  <c r="AH60"/>
  <c r="AG60"/>
  <c r="AF60"/>
  <c r="AE60"/>
  <c r="AD60"/>
  <c r="AC60"/>
  <c r="AB60"/>
  <c r="AA60"/>
  <c r="Z60"/>
  <c r="Y60"/>
  <c r="X60"/>
  <c r="W60"/>
  <c r="V60"/>
  <c r="U60"/>
  <c r="T60"/>
  <c r="S60"/>
  <c r="R60"/>
  <c r="Q60"/>
  <c r="P60"/>
  <c r="O60"/>
  <c r="N60"/>
  <c r="M60"/>
  <c r="L60"/>
  <c r="K60"/>
  <c r="J60"/>
  <c r="A60" a="1"/>
  <c r="A60" s="1"/>
  <c r="I60" s="1"/>
  <c r="BA59"/>
  <c r="AZ59"/>
  <c r="AY59"/>
  <c r="AX59"/>
  <c r="AW59"/>
  <c r="AV59"/>
  <c r="AU59"/>
  <c r="AT59"/>
  <c r="AS59"/>
  <c r="AR59"/>
  <c r="AQ59"/>
  <c r="AP59"/>
  <c r="AO59"/>
  <c r="AN59"/>
  <c r="AM59"/>
  <c r="AL59"/>
  <c r="AK59"/>
  <c r="AJ59"/>
  <c r="AI59"/>
  <c r="AH59"/>
  <c r="AG59"/>
  <c r="AF59"/>
  <c r="AE59"/>
  <c r="AD59"/>
  <c r="AC59"/>
  <c r="AB59"/>
  <c r="AA59"/>
  <c r="Z59"/>
  <c r="Y59"/>
  <c r="X59"/>
  <c r="W59"/>
  <c r="V59"/>
  <c r="U59"/>
  <c r="T59"/>
  <c r="S59"/>
  <c r="R59"/>
  <c r="Q59"/>
  <c r="P59"/>
  <c r="O59"/>
  <c r="N59"/>
  <c r="M59"/>
  <c r="L59"/>
  <c r="K59"/>
  <c r="J59"/>
  <c r="A59" a="1"/>
  <c r="A59" s="1"/>
  <c r="I59" s="1"/>
  <c r="BA58"/>
  <c r="AZ58"/>
  <c r="AY58"/>
  <c r="AX58"/>
  <c r="AW58"/>
  <c r="AV58"/>
  <c r="AU58"/>
  <c r="AT58"/>
  <c r="AS58"/>
  <c r="AR58"/>
  <c r="AQ58"/>
  <c r="AP58"/>
  <c r="AO58"/>
  <c r="AN58"/>
  <c r="AM58"/>
  <c r="AL58"/>
  <c r="AK58"/>
  <c r="AJ58"/>
  <c r="AI58"/>
  <c r="AH58"/>
  <c r="AG58"/>
  <c r="AF58"/>
  <c r="AE58"/>
  <c r="AD58"/>
  <c r="AC58"/>
  <c r="AB58"/>
  <c r="AA58"/>
  <c r="Z58"/>
  <c r="Y58"/>
  <c r="X58"/>
  <c r="W58"/>
  <c r="V58"/>
  <c r="U58"/>
  <c r="T58"/>
  <c r="S58"/>
  <c r="R58"/>
  <c r="Q58"/>
  <c r="P58"/>
  <c r="O58"/>
  <c r="N58"/>
  <c r="M58"/>
  <c r="L58"/>
  <c r="K58"/>
  <c r="J58"/>
  <c r="A58" a="1"/>
  <c r="A58" s="1"/>
  <c r="I58" s="1"/>
  <c r="BA57"/>
  <c r="AZ57"/>
  <c r="AY57"/>
  <c r="AX57"/>
  <c r="AW57"/>
  <c r="AV57"/>
  <c r="AU57"/>
  <c r="AT57"/>
  <c r="AS57"/>
  <c r="AR57"/>
  <c r="AQ57"/>
  <c r="AP57"/>
  <c r="AO57"/>
  <c r="AN57"/>
  <c r="AM57"/>
  <c r="AL57"/>
  <c r="AK57"/>
  <c r="AJ57"/>
  <c r="AI57"/>
  <c r="AH57"/>
  <c r="AG57"/>
  <c r="AF57"/>
  <c r="AE57"/>
  <c r="AD57"/>
  <c r="AC57"/>
  <c r="AB57"/>
  <c r="AA57"/>
  <c r="Z57"/>
  <c r="Y57"/>
  <c r="X57"/>
  <c r="W57"/>
  <c r="V57"/>
  <c r="U57"/>
  <c r="T57"/>
  <c r="S57"/>
  <c r="R57"/>
  <c r="Q57"/>
  <c r="P57"/>
  <c r="O57"/>
  <c r="N57"/>
  <c r="M57"/>
  <c r="L57"/>
  <c r="K57"/>
  <c r="J57"/>
  <c r="A57" a="1"/>
  <c r="A57" s="1"/>
  <c r="I57" s="1"/>
  <c r="BA56"/>
  <c r="AZ56"/>
  <c r="AY56"/>
  <c r="AX56"/>
  <c r="AW56"/>
  <c r="AV56"/>
  <c r="AU56"/>
  <c r="AT56"/>
  <c r="AS56"/>
  <c r="AR56"/>
  <c r="AQ56"/>
  <c r="AP56"/>
  <c r="AO56"/>
  <c r="AN56"/>
  <c r="AM56"/>
  <c r="AL56"/>
  <c r="AK56"/>
  <c r="AJ56"/>
  <c r="AI56"/>
  <c r="AH56"/>
  <c r="AG56"/>
  <c r="AF56"/>
  <c r="AE56"/>
  <c r="AD56"/>
  <c r="AC56"/>
  <c r="AB56"/>
  <c r="AA56"/>
  <c r="Z56"/>
  <c r="Y56"/>
  <c r="X56"/>
  <c r="W56"/>
  <c r="V56"/>
  <c r="U56"/>
  <c r="T56"/>
  <c r="S56"/>
  <c r="R56"/>
  <c r="Q56"/>
  <c r="P56"/>
  <c r="O56"/>
  <c r="N56"/>
  <c r="M56"/>
  <c r="L56"/>
  <c r="K56"/>
  <c r="J56"/>
  <c r="A56" a="1"/>
  <c r="A56" s="1"/>
  <c r="I56" s="1"/>
  <c r="BA55"/>
  <c r="AZ55"/>
  <c r="AY55"/>
  <c r="AX55"/>
  <c r="AW55"/>
  <c r="AV55"/>
  <c r="AU55"/>
  <c r="AT55"/>
  <c r="AS55"/>
  <c r="AR55"/>
  <c r="AQ55"/>
  <c r="AP55"/>
  <c r="AO55"/>
  <c r="AN55"/>
  <c r="AM55"/>
  <c r="AL55"/>
  <c r="AK55"/>
  <c r="AJ55"/>
  <c r="AI55"/>
  <c r="AH55"/>
  <c r="AG55"/>
  <c r="AF55"/>
  <c r="AE55"/>
  <c r="AD55"/>
  <c r="AC55"/>
  <c r="AB55"/>
  <c r="AA55"/>
  <c r="Z55"/>
  <c r="Y55"/>
  <c r="X55"/>
  <c r="W55"/>
  <c r="V55"/>
  <c r="U55"/>
  <c r="T55"/>
  <c r="S55"/>
  <c r="R55"/>
  <c r="Q55"/>
  <c r="P55"/>
  <c r="O55"/>
  <c r="N55"/>
  <c r="M55"/>
  <c r="L55"/>
  <c r="K55"/>
  <c r="J55"/>
  <c r="A55" a="1"/>
  <c r="A55" s="1"/>
  <c r="I55" s="1"/>
  <c r="BA54"/>
  <c r="AZ54"/>
  <c r="AY54"/>
  <c r="AX54"/>
  <c r="AW54"/>
  <c r="AV54"/>
  <c r="AU54"/>
  <c r="AT54"/>
  <c r="AS54"/>
  <c r="AR54"/>
  <c r="AQ54"/>
  <c r="AP54"/>
  <c r="AO54"/>
  <c r="AN54"/>
  <c r="AM54"/>
  <c r="AL54"/>
  <c r="AK54"/>
  <c r="AJ54"/>
  <c r="AI54"/>
  <c r="AH54"/>
  <c r="AG54"/>
  <c r="AF54"/>
  <c r="AE54"/>
  <c r="AD54"/>
  <c r="AC54"/>
  <c r="AB54"/>
  <c r="AA54"/>
  <c r="Z54"/>
  <c r="Y54"/>
  <c r="X54"/>
  <c r="W54"/>
  <c r="V54"/>
  <c r="U54"/>
  <c r="T54"/>
  <c r="S54"/>
  <c r="R54"/>
  <c r="Q54"/>
  <c r="P54"/>
  <c r="O54"/>
  <c r="N54"/>
  <c r="M54"/>
  <c r="L54"/>
  <c r="K54"/>
  <c r="J54"/>
  <c r="A54" a="1"/>
  <c r="A54" s="1"/>
  <c r="I54" s="1"/>
  <c r="BA53"/>
  <c r="AZ53"/>
  <c r="AY53"/>
  <c r="AX53"/>
  <c r="AW53"/>
  <c r="AV53"/>
  <c r="AU53"/>
  <c r="AT53"/>
  <c r="AS53"/>
  <c r="AR53"/>
  <c r="AQ53"/>
  <c r="AP53"/>
  <c r="AO53"/>
  <c r="AN53"/>
  <c r="AM53"/>
  <c r="AL53"/>
  <c r="AK53"/>
  <c r="AJ53"/>
  <c r="AI53"/>
  <c r="AH53"/>
  <c r="AG53"/>
  <c r="AF53"/>
  <c r="AE53"/>
  <c r="AD53"/>
  <c r="AC53"/>
  <c r="AB53"/>
  <c r="AA53"/>
  <c r="Z53"/>
  <c r="Y53"/>
  <c r="X53"/>
  <c r="W53"/>
  <c r="V53"/>
  <c r="U53"/>
  <c r="T53"/>
  <c r="S53"/>
  <c r="R53"/>
  <c r="Q53"/>
  <c r="P53"/>
  <c r="O53"/>
  <c r="N53"/>
  <c r="M53"/>
  <c r="L53"/>
  <c r="K53"/>
  <c r="J53"/>
  <c r="A53" a="1"/>
  <c r="A53" s="1"/>
  <c r="I53" s="1"/>
  <c r="BA52"/>
  <c r="AZ52"/>
  <c r="AY52"/>
  <c r="AX52"/>
  <c r="AW52"/>
  <c r="AV52"/>
  <c r="AU52"/>
  <c r="AT52"/>
  <c r="AS52"/>
  <c r="AR52"/>
  <c r="AQ52"/>
  <c r="AP52"/>
  <c r="AO52"/>
  <c r="AN52"/>
  <c r="AM52"/>
  <c r="AL52"/>
  <c r="AK52"/>
  <c r="AJ52"/>
  <c r="AI52"/>
  <c r="AH52"/>
  <c r="AG52"/>
  <c r="AF52"/>
  <c r="AE52"/>
  <c r="AD52"/>
  <c r="AC52"/>
  <c r="AB52"/>
  <c r="AA52"/>
  <c r="Z52"/>
  <c r="Y52"/>
  <c r="X52"/>
  <c r="W52"/>
  <c r="V52"/>
  <c r="U52"/>
  <c r="T52"/>
  <c r="S52"/>
  <c r="R52"/>
  <c r="Q52"/>
  <c r="P52"/>
  <c r="O52"/>
  <c r="N52"/>
  <c r="M52"/>
  <c r="L52"/>
  <c r="K52"/>
  <c r="J52"/>
  <c r="A52" a="1"/>
  <c r="A52" s="1"/>
  <c r="I52" s="1"/>
  <c r="BA51"/>
  <c r="AZ51"/>
  <c r="AY51"/>
  <c r="AX51"/>
  <c r="AW51"/>
  <c r="AV51"/>
  <c r="AU51"/>
  <c r="AT51"/>
  <c r="AS51"/>
  <c r="AR51"/>
  <c r="AQ51"/>
  <c r="AP51"/>
  <c r="AO51"/>
  <c r="AN51"/>
  <c r="AM51"/>
  <c r="AL51"/>
  <c r="AK51"/>
  <c r="AJ51"/>
  <c r="AI51"/>
  <c r="AH51"/>
  <c r="AG51"/>
  <c r="AF51"/>
  <c r="AE51"/>
  <c r="AD51"/>
  <c r="AC51"/>
  <c r="AB51"/>
  <c r="AA51"/>
  <c r="Z51"/>
  <c r="Y51"/>
  <c r="X51"/>
  <c r="W51"/>
  <c r="V51"/>
  <c r="U51"/>
  <c r="T51"/>
  <c r="S51"/>
  <c r="R51"/>
  <c r="Q51"/>
  <c r="P51"/>
  <c r="O51"/>
  <c r="N51"/>
  <c r="M51"/>
  <c r="L51"/>
  <c r="K51"/>
  <c r="J51"/>
  <c r="A51" a="1"/>
  <c r="A51" s="1"/>
  <c r="I51" s="1"/>
  <c r="BA50"/>
  <c r="AZ50"/>
  <c r="AY50"/>
  <c r="AX50"/>
  <c r="AW50"/>
  <c r="AV50"/>
  <c r="AU50"/>
  <c r="AT50"/>
  <c r="AS50"/>
  <c r="AR50"/>
  <c r="AQ50"/>
  <c r="AP50"/>
  <c r="AO50"/>
  <c r="AN50"/>
  <c r="AM50"/>
  <c r="AL50"/>
  <c r="AK50"/>
  <c r="AJ50"/>
  <c r="AI50"/>
  <c r="AH50"/>
  <c r="AG50"/>
  <c r="AF50"/>
  <c r="AE50"/>
  <c r="AD50"/>
  <c r="AC50"/>
  <c r="AB50"/>
  <c r="AA50"/>
  <c r="Z50"/>
  <c r="Y50"/>
  <c r="X50"/>
  <c r="W50"/>
  <c r="V50"/>
  <c r="U50"/>
  <c r="T50"/>
  <c r="S50"/>
  <c r="R50"/>
  <c r="Q50"/>
  <c r="P50"/>
  <c r="O50"/>
  <c r="N50"/>
  <c r="M50"/>
  <c r="L50"/>
  <c r="K50"/>
  <c r="J50"/>
  <c r="A50" a="1"/>
  <c r="A50" s="1"/>
  <c r="I50" s="1"/>
  <c r="BA49"/>
  <c r="AZ49"/>
  <c r="AY49"/>
  <c r="AX49"/>
  <c r="AW49"/>
  <c r="AV49"/>
  <c r="AU49"/>
  <c r="AT49"/>
  <c r="AS49"/>
  <c r="AR49"/>
  <c r="AQ49"/>
  <c r="AP49"/>
  <c r="AO49"/>
  <c r="AN49"/>
  <c r="AM49"/>
  <c r="AL49"/>
  <c r="AK49"/>
  <c r="AJ49"/>
  <c r="AI49"/>
  <c r="AH49"/>
  <c r="AG49"/>
  <c r="AF49"/>
  <c r="AE49"/>
  <c r="AD49"/>
  <c r="AC49"/>
  <c r="AB49"/>
  <c r="AA49"/>
  <c r="Z49"/>
  <c r="Y49"/>
  <c r="X49"/>
  <c r="W49"/>
  <c r="V49"/>
  <c r="U49"/>
  <c r="T49"/>
  <c r="S49"/>
  <c r="R49"/>
  <c r="Q49"/>
  <c r="P49"/>
  <c r="O49"/>
  <c r="N49"/>
  <c r="M49"/>
  <c r="L49"/>
  <c r="K49"/>
  <c r="J49"/>
  <c r="A49" a="1"/>
  <c r="A49" s="1"/>
  <c r="I49" s="1"/>
  <c r="BA48"/>
  <c r="AZ48"/>
  <c r="AY48"/>
  <c r="AX48"/>
  <c r="AW48"/>
  <c r="AV48"/>
  <c r="AU48"/>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A48" a="1"/>
  <c r="A48" s="1"/>
  <c r="I48" s="1"/>
  <c r="BA47"/>
  <c r="AZ47"/>
  <c r="AY47"/>
  <c r="AX47"/>
  <c r="AW47"/>
  <c r="AV47"/>
  <c r="AU47"/>
  <c r="AT47"/>
  <c r="AS47"/>
  <c r="AR47"/>
  <c r="AQ47"/>
  <c r="AP47"/>
  <c r="AO47"/>
  <c r="AN47"/>
  <c r="AM47"/>
  <c r="AL47"/>
  <c r="AK47"/>
  <c r="AJ47"/>
  <c r="AI47"/>
  <c r="AH47"/>
  <c r="AG47"/>
  <c r="AF47"/>
  <c r="AE47"/>
  <c r="AD47"/>
  <c r="AC47"/>
  <c r="AB47"/>
  <c r="AA47"/>
  <c r="Z47"/>
  <c r="Y47"/>
  <c r="X47"/>
  <c r="W47"/>
  <c r="V47"/>
  <c r="U47"/>
  <c r="T47"/>
  <c r="S47"/>
  <c r="R47"/>
  <c r="Q47"/>
  <c r="P47"/>
  <c r="O47"/>
  <c r="N47"/>
  <c r="M47"/>
  <c r="L47"/>
  <c r="K47"/>
  <c r="J47"/>
  <c r="A47" a="1"/>
  <c r="A47" s="1"/>
  <c r="I47" s="1"/>
  <c r="BA46"/>
  <c r="AZ46"/>
  <c r="AY46"/>
  <c r="AX46"/>
  <c r="AW46"/>
  <c r="AV46"/>
  <c r="AU46"/>
  <c r="AT46"/>
  <c r="AS46"/>
  <c r="AR46"/>
  <c r="AQ46"/>
  <c r="AP46"/>
  <c r="AO46"/>
  <c r="AN46"/>
  <c r="AM46"/>
  <c r="AL46"/>
  <c r="AK46"/>
  <c r="AJ46"/>
  <c r="AI46"/>
  <c r="AH46"/>
  <c r="AG46"/>
  <c r="AF46"/>
  <c r="AE46"/>
  <c r="AD46"/>
  <c r="AC46"/>
  <c r="AB46"/>
  <c r="AA46"/>
  <c r="Z46"/>
  <c r="Y46"/>
  <c r="X46"/>
  <c r="W46"/>
  <c r="V46"/>
  <c r="U46"/>
  <c r="T46"/>
  <c r="S46"/>
  <c r="R46"/>
  <c r="Q46"/>
  <c r="P46"/>
  <c r="O46"/>
  <c r="N46"/>
  <c r="M46"/>
  <c r="L46"/>
  <c r="K46"/>
  <c r="J46"/>
  <c r="A46" a="1"/>
  <c r="A46" s="1"/>
  <c r="I46" s="1"/>
  <c r="BA45"/>
  <c r="AZ45"/>
  <c r="AY45"/>
  <c r="AX45"/>
  <c r="AW45"/>
  <c r="AV45"/>
  <c r="AU45"/>
  <c r="AT45"/>
  <c r="AS45"/>
  <c r="AR45"/>
  <c r="AQ45"/>
  <c r="AP45"/>
  <c r="AO45"/>
  <c r="AN45"/>
  <c r="AM45"/>
  <c r="AL45"/>
  <c r="AK45"/>
  <c r="AJ45"/>
  <c r="AI45"/>
  <c r="AH45"/>
  <c r="AG45"/>
  <c r="AF45"/>
  <c r="AE45"/>
  <c r="AD45"/>
  <c r="AC45"/>
  <c r="AB45"/>
  <c r="AA45"/>
  <c r="Z45"/>
  <c r="Y45"/>
  <c r="X45"/>
  <c r="W45"/>
  <c r="V45"/>
  <c r="U45"/>
  <c r="T45"/>
  <c r="S45"/>
  <c r="R45"/>
  <c r="Q45"/>
  <c r="P45"/>
  <c r="O45"/>
  <c r="N45"/>
  <c r="M45"/>
  <c r="L45"/>
  <c r="K45"/>
  <c r="J45"/>
  <c r="A45" a="1"/>
  <c r="A45" s="1"/>
  <c r="I45" s="1"/>
  <c r="BA44"/>
  <c r="AZ44"/>
  <c r="AY44"/>
  <c r="AX44"/>
  <c r="AW44"/>
  <c r="AV44"/>
  <c r="AU44"/>
  <c r="AT44"/>
  <c r="AS44"/>
  <c r="AR44"/>
  <c r="AQ44"/>
  <c r="AP44"/>
  <c r="AO44"/>
  <c r="AN44"/>
  <c r="AM44"/>
  <c r="AL44"/>
  <c r="AK44"/>
  <c r="AJ44"/>
  <c r="AI44"/>
  <c r="AH44"/>
  <c r="AG44"/>
  <c r="AF44"/>
  <c r="AE44"/>
  <c r="AD44"/>
  <c r="AC44"/>
  <c r="AB44"/>
  <c r="AA44"/>
  <c r="Z44"/>
  <c r="Y44"/>
  <c r="X44"/>
  <c r="W44"/>
  <c r="V44"/>
  <c r="U44"/>
  <c r="T44"/>
  <c r="S44"/>
  <c r="R44"/>
  <c r="Q44"/>
  <c r="P44"/>
  <c r="O44"/>
  <c r="N44"/>
  <c r="M44"/>
  <c r="L44"/>
  <c r="K44"/>
  <c r="J44"/>
  <c r="A44" a="1"/>
  <c r="A44" s="1"/>
  <c r="I44" s="1"/>
  <c r="BA43"/>
  <c r="AZ43"/>
  <c r="AY43"/>
  <c r="AX43"/>
  <c r="AW43"/>
  <c r="AV43"/>
  <c r="AU43"/>
  <c r="AT43"/>
  <c r="AS43"/>
  <c r="AR43"/>
  <c r="AQ43"/>
  <c r="AP43"/>
  <c r="AO43"/>
  <c r="AN43"/>
  <c r="AM43"/>
  <c r="AL43"/>
  <c r="AK43"/>
  <c r="AJ43"/>
  <c r="AI43"/>
  <c r="AH43"/>
  <c r="AG43"/>
  <c r="AF43"/>
  <c r="AE43"/>
  <c r="AD43"/>
  <c r="AC43"/>
  <c r="AB43"/>
  <c r="AA43"/>
  <c r="Z43"/>
  <c r="Y43"/>
  <c r="X43"/>
  <c r="W43"/>
  <c r="V43"/>
  <c r="U43"/>
  <c r="T43"/>
  <c r="S43"/>
  <c r="R43"/>
  <c r="Q43"/>
  <c r="P43"/>
  <c r="O43"/>
  <c r="N43"/>
  <c r="M43"/>
  <c r="L43"/>
  <c r="K43"/>
  <c r="J43"/>
  <c r="A43" a="1"/>
  <c r="A43" s="1"/>
  <c r="I43" s="1"/>
  <c r="BA42"/>
  <c r="AZ42"/>
  <c r="AY42"/>
  <c r="AX42"/>
  <c r="AW42"/>
  <c r="AV42"/>
  <c r="AU42"/>
  <c r="AT42"/>
  <c r="AS42"/>
  <c r="AR42"/>
  <c r="AQ42"/>
  <c r="AP42"/>
  <c r="AO42"/>
  <c r="AN42"/>
  <c r="AM42"/>
  <c r="AL42"/>
  <c r="AK42"/>
  <c r="AJ42"/>
  <c r="AI42"/>
  <c r="AH42"/>
  <c r="AG42"/>
  <c r="AF42"/>
  <c r="AE42"/>
  <c r="AD42"/>
  <c r="AC42"/>
  <c r="AB42"/>
  <c r="AA42"/>
  <c r="Z42"/>
  <c r="Y42"/>
  <c r="X42"/>
  <c r="W42"/>
  <c r="V42"/>
  <c r="U42"/>
  <c r="T42"/>
  <c r="S42"/>
  <c r="R42"/>
  <c r="Q42"/>
  <c r="P42"/>
  <c r="O42"/>
  <c r="N42"/>
  <c r="M42"/>
  <c r="L42"/>
  <c r="K42"/>
  <c r="J42"/>
  <c r="A42" a="1"/>
  <c r="A42" s="1"/>
  <c r="I42" s="1"/>
  <c r="BA41"/>
  <c r="AZ41"/>
  <c r="AY41"/>
  <c r="AX41"/>
  <c r="AW41"/>
  <c r="AV41"/>
  <c r="AU41"/>
  <c r="AT41"/>
  <c r="AS41"/>
  <c r="AR41"/>
  <c r="AQ41"/>
  <c r="AP41"/>
  <c r="AO41"/>
  <c r="AN41"/>
  <c r="AM41"/>
  <c r="AL41"/>
  <c r="AK41"/>
  <c r="AJ41"/>
  <c r="AI41"/>
  <c r="AH41"/>
  <c r="AG41"/>
  <c r="AF41"/>
  <c r="AE41"/>
  <c r="AD41"/>
  <c r="AC41"/>
  <c r="AB41"/>
  <c r="AA41"/>
  <c r="Z41"/>
  <c r="Y41"/>
  <c r="X41"/>
  <c r="W41"/>
  <c r="V41"/>
  <c r="U41"/>
  <c r="T41"/>
  <c r="S41"/>
  <c r="R41"/>
  <c r="Q41"/>
  <c r="P41"/>
  <c r="O41"/>
  <c r="N41"/>
  <c r="M41"/>
  <c r="L41"/>
  <c r="K41"/>
  <c r="J41"/>
  <c r="A41" a="1"/>
  <c r="A41" s="1"/>
  <c r="I41" s="1"/>
  <c r="BA40"/>
  <c r="AZ40"/>
  <c r="AY40"/>
  <c r="AX40"/>
  <c r="AW40"/>
  <c r="AV40"/>
  <c r="AU40"/>
  <c r="AT40"/>
  <c r="AS40"/>
  <c r="AR40"/>
  <c r="AQ40"/>
  <c r="AP40"/>
  <c r="AO40"/>
  <c r="AN40"/>
  <c r="AM40"/>
  <c r="AL40"/>
  <c r="AK40"/>
  <c r="AJ40"/>
  <c r="AI40"/>
  <c r="AH40"/>
  <c r="AG40"/>
  <c r="AF40"/>
  <c r="AE40"/>
  <c r="AD40"/>
  <c r="AC40"/>
  <c r="AB40"/>
  <c r="AA40"/>
  <c r="Z40"/>
  <c r="Y40"/>
  <c r="X40"/>
  <c r="W40"/>
  <c r="V40"/>
  <c r="U40"/>
  <c r="T40"/>
  <c r="S40"/>
  <c r="R40"/>
  <c r="Q40"/>
  <c r="P40"/>
  <c r="O40"/>
  <c r="N40"/>
  <c r="M40"/>
  <c r="L40"/>
  <c r="K40"/>
  <c r="J40"/>
  <c r="A40" a="1"/>
  <c r="A40" s="1"/>
  <c r="I40" s="1"/>
  <c r="BA39"/>
  <c r="AZ39"/>
  <c r="AY39"/>
  <c r="AX39"/>
  <c r="AW39"/>
  <c r="AV39"/>
  <c r="AU39"/>
  <c r="AT39"/>
  <c r="AS39"/>
  <c r="AR39"/>
  <c r="AQ39"/>
  <c r="AP39"/>
  <c r="AO39"/>
  <c r="AN39"/>
  <c r="AM39"/>
  <c r="AL39"/>
  <c r="AK39"/>
  <c r="AJ39"/>
  <c r="AI39"/>
  <c r="AH39"/>
  <c r="AG39"/>
  <c r="AF39"/>
  <c r="AE39"/>
  <c r="AD39"/>
  <c r="AC39"/>
  <c r="AB39"/>
  <c r="AA39"/>
  <c r="Z39"/>
  <c r="Y39"/>
  <c r="X39"/>
  <c r="W39"/>
  <c r="V39"/>
  <c r="U39"/>
  <c r="T39"/>
  <c r="S39"/>
  <c r="R39"/>
  <c r="Q39"/>
  <c r="P39"/>
  <c r="O39"/>
  <c r="N39"/>
  <c r="M39"/>
  <c r="L39"/>
  <c r="K39"/>
  <c r="J39"/>
  <c r="A39" a="1"/>
  <c r="A39" s="1"/>
  <c r="I39" s="1"/>
  <c r="BA38"/>
  <c r="AZ38"/>
  <c r="AY38"/>
  <c r="AX38"/>
  <c r="AW38"/>
  <c r="AV38"/>
  <c r="AU38"/>
  <c r="AT38"/>
  <c r="AS38"/>
  <c r="AR38"/>
  <c r="AQ38"/>
  <c r="AP38"/>
  <c r="AO38"/>
  <c r="AN38"/>
  <c r="AM38"/>
  <c r="AL38"/>
  <c r="AK38"/>
  <c r="AJ38"/>
  <c r="AI38"/>
  <c r="AH38"/>
  <c r="AG38"/>
  <c r="AF38"/>
  <c r="AE38"/>
  <c r="AD38"/>
  <c r="AC38"/>
  <c r="AB38"/>
  <c r="AA38"/>
  <c r="Z38"/>
  <c r="Y38"/>
  <c r="X38"/>
  <c r="W38"/>
  <c r="V38"/>
  <c r="U38"/>
  <c r="T38"/>
  <c r="S38"/>
  <c r="R38"/>
  <c r="Q38"/>
  <c r="P38"/>
  <c r="O38"/>
  <c r="N38"/>
  <c r="M38"/>
  <c r="L38"/>
  <c r="K38"/>
  <c r="J38"/>
  <c r="A38" a="1"/>
  <c r="A38" s="1"/>
  <c r="I38" s="1"/>
  <c r="BA37"/>
  <c r="AZ37"/>
  <c r="AY37"/>
  <c r="AX37"/>
  <c r="AW37"/>
  <c r="AV37"/>
  <c r="AU37"/>
  <c r="AT37"/>
  <c r="AS37"/>
  <c r="AR37"/>
  <c r="AQ37"/>
  <c r="AP37"/>
  <c r="AO37"/>
  <c r="AN37"/>
  <c r="AM37"/>
  <c r="AL37"/>
  <c r="AK37"/>
  <c r="AJ37"/>
  <c r="AI37"/>
  <c r="AH37"/>
  <c r="AG37"/>
  <c r="AF37"/>
  <c r="AE37"/>
  <c r="AD37"/>
  <c r="AC37"/>
  <c r="AB37"/>
  <c r="AA37"/>
  <c r="Z37"/>
  <c r="Y37"/>
  <c r="X37"/>
  <c r="W37"/>
  <c r="V37"/>
  <c r="U37"/>
  <c r="T37"/>
  <c r="S37"/>
  <c r="R37"/>
  <c r="Q37"/>
  <c r="P37"/>
  <c r="O37"/>
  <c r="N37"/>
  <c r="M37"/>
  <c r="L37"/>
  <c r="K37"/>
  <c r="J37"/>
  <c r="A37" a="1"/>
  <c r="A37" s="1"/>
  <c r="I37" s="1"/>
  <c r="BA36"/>
  <c r="AZ36"/>
  <c r="AY36"/>
  <c r="AX36"/>
  <c r="AW36"/>
  <c r="AV36"/>
  <c r="AU36"/>
  <c r="AT36"/>
  <c r="AS36"/>
  <c r="AR36"/>
  <c r="AQ36"/>
  <c r="AP36"/>
  <c r="AO36"/>
  <c r="AN36"/>
  <c r="AM36"/>
  <c r="AL36"/>
  <c r="AK36"/>
  <c r="AJ36"/>
  <c r="AI36"/>
  <c r="AH36"/>
  <c r="AG36"/>
  <c r="AF36"/>
  <c r="AE36"/>
  <c r="AD36"/>
  <c r="AC36"/>
  <c r="AB36"/>
  <c r="AA36"/>
  <c r="Z36"/>
  <c r="Y36"/>
  <c r="X36"/>
  <c r="W36"/>
  <c r="V36"/>
  <c r="U36"/>
  <c r="T36"/>
  <c r="S36"/>
  <c r="R36"/>
  <c r="Q36"/>
  <c r="P36"/>
  <c r="O36"/>
  <c r="N36"/>
  <c r="M36"/>
  <c r="L36"/>
  <c r="K36"/>
  <c r="J36"/>
  <c r="A36" a="1"/>
  <c r="A36" s="1"/>
  <c r="I36" s="1"/>
  <c r="BA35"/>
  <c r="AZ35"/>
  <c r="AY35"/>
  <c r="AX35"/>
  <c r="AW35"/>
  <c r="AV35"/>
  <c r="AU35"/>
  <c r="AT35"/>
  <c r="AS35"/>
  <c r="AR35"/>
  <c r="AQ35"/>
  <c r="AP35"/>
  <c r="AO35"/>
  <c r="AN35"/>
  <c r="AM35"/>
  <c r="AL35"/>
  <c r="AK35"/>
  <c r="AJ35"/>
  <c r="AI35"/>
  <c r="AH35"/>
  <c r="AG35"/>
  <c r="AF35"/>
  <c r="AE35"/>
  <c r="AD35"/>
  <c r="AC35"/>
  <c r="AB35"/>
  <c r="AA35"/>
  <c r="Z35"/>
  <c r="Y35"/>
  <c r="X35"/>
  <c r="W35"/>
  <c r="V35"/>
  <c r="U35"/>
  <c r="T35"/>
  <c r="S35"/>
  <c r="R35"/>
  <c r="Q35"/>
  <c r="P35"/>
  <c r="O35"/>
  <c r="N35"/>
  <c r="M35"/>
  <c r="L35"/>
  <c r="K35"/>
  <c r="J35"/>
  <c r="A35" a="1"/>
  <c r="A35" s="1"/>
  <c r="I35" s="1"/>
  <c r="BA34"/>
  <c r="AZ34"/>
  <c r="AY34"/>
  <c r="AX34"/>
  <c r="AW34"/>
  <c r="AV34"/>
  <c r="AU34"/>
  <c r="AT34"/>
  <c r="AS34"/>
  <c r="AR34"/>
  <c r="AQ34"/>
  <c r="AP34"/>
  <c r="AO34"/>
  <c r="AN34"/>
  <c r="AM34"/>
  <c r="AL34"/>
  <c r="AK34"/>
  <c r="AJ34"/>
  <c r="AI34"/>
  <c r="AH34"/>
  <c r="AG34"/>
  <c r="AF34"/>
  <c r="AE34"/>
  <c r="AD34"/>
  <c r="AC34"/>
  <c r="AB34"/>
  <c r="AA34"/>
  <c r="Z34"/>
  <c r="Y34"/>
  <c r="X34"/>
  <c r="W34"/>
  <c r="V34"/>
  <c r="U34"/>
  <c r="T34"/>
  <c r="S34"/>
  <c r="R34"/>
  <c r="Q34"/>
  <c r="P34"/>
  <c r="O34"/>
  <c r="N34"/>
  <c r="M34"/>
  <c r="L34"/>
  <c r="K34"/>
  <c r="J34"/>
  <c r="A34" a="1"/>
  <c r="A34" s="1"/>
  <c r="I34" s="1"/>
  <c r="BA33"/>
  <c r="AZ33"/>
  <c r="AY33"/>
  <c r="AX33"/>
  <c r="AW33"/>
  <c r="AV33"/>
  <c r="AU33"/>
  <c r="AT33"/>
  <c r="AS33"/>
  <c r="AR33"/>
  <c r="AQ33"/>
  <c r="AP33"/>
  <c r="AO33"/>
  <c r="AN33"/>
  <c r="AM33"/>
  <c r="AL33"/>
  <c r="AK33"/>
  <c r="AJ33"/>
  <c r="AI33"/>
  <c r="AH33"/>
  <c r="AG33"/>
  <c r="AF33"/>
  <c r="AE33"/>
  <c r="AD33"/>
  <c r="AC33"/>
  <c r="AB33"/>
  <c r="AA33"/>
  <c r="Z33"/>
  <c r="Y33"/>
  <c r="X33"/>
  <c r="W33"/>
  <c r="V33"/>
  <c r="U33"/>
  <c r="T33"/>
  <c r="S33"/>
  <c r="R33"/>
  <c r="Q33"/>
  <c r="P33"/>
  <c r="O33"/>
  <c r="N33"/>
  <c r="M33"/>
  <c r="L33"/>
  <c r="K33"/>
  <c r="J33"/>
  <c r="A33" a="1"/>
  <c r="A33" s="1"/>
  <c r="I33" s="1"/>
  <c r="BA32"/>
  <c r="AZ32"/>
  <c r="AY32"/>
  <c r="AX32"/>
  <c r="AW32"/>
  <c r="AV32"/>
  <c r="AU32"/>
  <c r="AT32"/>
  <c r="AS32"/>
  <c r="AR32"/>
  <c r="AQ32"/>
  <c r="AP32"/>
  <c r="AO32"/>
  <c r="AN32"/>
  <c r="AM32"/>
  <c r="AL32"/>
  <c r="AK32"/>
  <c r="AJ32"/>
  <c r="AI32"/>
  <c r="AH32"/>
  <c r="AG32"/>
  <c r="AF32"/>
  <c r="AE32"/>
  <c r="AD32"/>
  <c r="AC32"/>
  <c r="AB32"/>
  <c r="AA32"/>
  <c r="Z32"/>
  <c r="Y32"/>
  <c r="X32"/>
  <c r="W32"/>
  <c r="V32"/>
  <c r="U32"/>
  <c r="T32"/>
  <c r="S32"/>
  <c r="R32"/>
  <c r="Q32"/>
  <c r="P32"/>
  <c r="O32"/>
  <c r="N32"/>
  <c r="M32"/>
  <c r="L32"/>
  <c r="K32"/>
  <c r="J32"/>
  <c r="A32" a="1"/>
  <c r="A32" s="1"/>
  <c r="I32" s="1"/>
  <c r="BA31"/>
  <c r="AZ31"/>
  <c r="AY31"/>
  <c r="AX31"/>
  <c r="AW31"/>
  <c r="AV31"/>
  <c r="AU31"/>
  <c r="AT31"/>
  <c r="AS31"/>
  <c r="AR31"/>
  <c r="AQ31"/>
  <c r="AP31"/>
  <c r="AO31"/>
  <c r="AN31"/>
  <c r="AM31"/>
  <c r="AL31"/>
  <c r="AK31"/>
  <c r="AJ31"/>
  <c r="AI31"/>
  <c r="AH31"/>
  <c r="AG31"/>
  <c r="AF31"/>
  <c r="AE31"/>
  <c r="AD31"/>
  <c r="AC31"/>
  <c r="AB31"/>
  <c r="AA31"/>
  <c r="Z31"/>
  <c r="Y31"/>
  <c r="X31"/>
  <c r="W31"/>
  <c r="V31"/>
  <c r="U31"/>
  <c r="T31"/>
  <c r="S31"/>
  <c r="R31"/>
  <c r="Q31"/>
  <c r="P31"/>
  <c r="O31"/>
  <c r="N31"/>
  <c r="M31"/>
  <c r="L31"/>
  <c r="K31"/>
  <c r="J31"/>
  <c r="A31" a="1"/>
  <c r="A31" s="1"/>
  <c r="I31" s="1"/>
  <c r="BA30"/>
  <c r="AZ30"/>
  <c r="AY30"/>
  <c r="AX30"/>
  <c r="AW30"/>
  <c r="AV30"/>
  <c r="AU30"/>
  <c r="AT30"/>
  <c r="AS30"/>
  <c r="AR30"/>
  <c r="AQ30"/>
  <c r="AP30"/>
  <c r="AO30"/>
  <c r="AN30"/>
  <c r="AM30"/>
  <c r="AL30"/>
  <c r="AK30"/>
  <c r="AJ30"/>
  <c r="AI30"/>
  <c r="AH30"/>
  <c r="AG30"/>
  <c r="AF30"/>
  <c r="AE30"/>
  <c r="AD30"/>
  <c r="AC30"/>
  <c r="AB30"/>
  <c r="AA30"/>
  <c r="Z30"/>
  <c r="Y30"/>
  <c r="X30"/>
  <c r="W30"/>
  <c r="V30"/>
  <c r="U30"/>
  <c r="T30"/>
  <c r="S30"/>
  <c r="R30"/>
  <c r="Q30"/>
  <c r="P30"/>
  <c r="O30"/>
  <c r="N30"/>
  <c r="M30"/>
  <c r="L30"/>
  <c r="K30"/>
  <c r="J30"/>
  <c r="A30" a="1"/>
  <c r="A30" s="1"/>
  <c r="I30" s="1"/>
  <c r="BA29"/>
  <c r="AZ29"/>
  <c r="AY29"/>
  <c r="AX29"/>
  <c r="AW29"/>
  <c r="AV29"/>
  <c r="AU29"/>
  <c r="AT29"/>
  <c r="AS29"/>
  <c r="AR29"/>
  <c r="AQ29"/>
  <c r="AP29"/>
  <c r="AO29"/>
  <c r="AN29"/>
  <c r="AM29"/>
  <c r="AL29"/>
  <c r="AK29"/>
  <c r="AJ29"/>
  <c r="AI29"/>
  <c r="AH29"/>
  <c r="AG29"/>
  <c r="AF29"/>
  <c r="AE29"/>
  <c r="AD29"/>
  <c r="AC29"/>
  <c r="AB29"/>
  <c r="AA29"/>
  <c r="Z29"/>
  <c r="Y29"/>
  <c r="X29"/>
  <c r="W29"/>
  <c r="V29"/>
  <c r="U29"/>
  <c r="T29"/>
  <c r="S29"/>
  <c r="R29"/>
  <c r="Q29"/>
  <c r="P29"/>
  <c r="O29"/>
  <c r="N29"/>
  <c r="M29"/>
  <c r="L29"/>
  <c r="K29"/>
  <c r="J29"/>
  <c r="A29" a="1"/>
  <c r="A29" s="1"/>
  <c r="I29" s="1"/>
  <c r="BA28"/>
  <c r="AZ28"/>
  <c r="AY28"/>
  <c r="AX28"/>
  <c r="AW28"/>
  <c r="AV28"/>
  <c r="AU28"/>
  <c r="AT28"/>
  <c r="AS28"/>
  <c r="AR28"/>
  <c r="AQ28"/>
  <c r="AP28"/>
  <c r="AO28"/>
  <c r="AN28"/>
  <c r="AM28"/>
  <c r="AL28"/>
  <c r="AK28"/>
  <c r="AJ28"/>
  <c r="AI28"/>
  <c r="AH28"/>
  <c r="AG28"/>
  <c r="AF28"/>
  <c r="AE28"/>
  <c r="AD28"/>
  <c r="AC28"/>
  <c r="AB28"/>
  <c r="AA28"/>
  <c r="Z28"/>
  <c r="Y28"/>
  <c r="X28"/>
  <c r="W28"/>
  <c r="V28"/>
  <c r="U28"/>
  <c r="T28"/>
  <c r="S28"/>
  <c r="R28"/>
  <c r="Q28"/>
  <c r="P28"/>
  <c r="O28"/>
  <c r="N28"/>
  <c r="M28"/>
  <c r="L28"/>
  <c r="K28"/>
  <c r="J28"/>
  <c r="A28" a="1"/>
  <c r="A28" s="1"/>
  <c r="I28" s="1"/>
  <c r="BA27"/>
  <c r="AZ27"/>
  <c r="AY27"/>
  <c r="AX27"/>
  <c r="AW27"/>
  <c r="AV27"/>
  <c r="AU27"/>
  <c r="AT27"/>
  <c r="AS27"/>
  <c r="AR27"/>
  <c r="AQ27"/>
  <c r="AP27"/>
  <c r="AO27"/>
  <c r="AN27"/>
  <c r="AM27"/>
  <c r="AL27"/>
  <c r="AK27"/>
  <c r="AJ27"/>
  <c r="AI27"/>
  <c r="AH27"/>
  <c r="AG27"/>
  <c r="AF27"/>
  <c r="AE27"/>
  <c r="AD27"/>
  <c r="AC27"/>
  <c r="AB27"/>
  <c r="AA27"/>
  <c r="Z27"/>
  <c r="Y27"/>
  <c r="X27"/>
  <c r="W27"/>
  <c r="V27"/>
  <c r="U27"/>
  <c r="T27"/>
  <c r="S27"/>
  <c r="R27"/>
  <c r="Q27"/>
  <c r="P27"/>
  <c r="O27"/>
  <c r="N27"/>
  <c r="M27"/>
  <c r="L27"/>
  <c r="K27"/>
  <c r="J27"/>
  <c r="A27" a="1"/>
  <c r="A27" s="1"/>
  <c r="I27" s="1"/>
  <c r="BA26"/>
  <c r="AZ26"/>
  <c r="AY26"/>
  <c r="AX26"/>
  <c r="AW26"/>
  <c r="AV26"/>
  <c r="AU26"/>
  <c r="AT26"/>
  <c r="AS26"/>
  <c r="AR26"/>
  <c r="AQ26"/>
  <c r="AP26"/>
  <c r="AO26"/>
  <c r="AN26"/>
  <c r="AM26"/>
  <c r="AL26"/>
  <c r="AK26"/>
  <c r="AJ26"/>
  <c r="AI26"/>
  <c r="AH26"/>
  <c r="AG26"/>
  <c r="AF26"/>
  <c r="AE26"/>
  <c r="AD26"/>
  <c r="AC26"/>
  <c r="AB26"/>
  <c r="AA26"/>
  <c r="Z26"/>
  <c r="Y26"/>
  <c r="X26"/>
  <c r="W26"/>
  <c r="V26"/>
  <c r="U26"/>
  <c r="T26"/>
  <c r="S26"/>
  <c r="R26"/>
  <c r="Q26"/>
  <c r="P26"/>
  <c r="O26"/>
  <c r="N26"/>
  <c r="M26"/>
  <c r="L26"/>
  <c r="K26"/>
  <c r="J26"/>
  <c r="A26" a="1"/>
  <c r="A26" s="1"/>
  <c r="I26" s="1"/>
  <c r="BA25"/>
  <c r="AZ25"/>
  <c r="AY25"/>
  <c r="AX25"/>
  <c r="AW25"/>
  <c r="AV25"/>
  <c r="AU25"/>
  <c r="AT25"/>
  <c r="AS25"/>
  <c r="AR25"/>
  <c r="AQ25"/>
  <c r="AP25"/>
  <c r="AO25"/>
  <c r="AN25"/>
  <c r="AM25"/>
  <c r="AL25"/>
  <c r="AK25"/>
  <c r="AJ25"/>
  <c r="AI25"/>
  <c r="AH25"/>
  <c r="AG25"/>
  <c r="AF25"/>
  <c r="AE25"/>
  <c r="AD25"/>
  <c r="AC25"/>
  <c r="AB25"/>
  <c r="AA25"/>
  <c r="Z25"/>
  <c r="Y25"/>
  <c r="X25"/>
  <c r="W25"/>
  <c r="V25"/>
  <c r="U25"/>
  <c r="T25"/>
  <c r="S25"/>
  <c r="R25"/>
  <c r="Q25"/>
  <c r="P25"/>
  <c r="O25"/>
  <c r="N25"/>
  <c r="M25"/>
  <c r="L25"/>
  <c r="K25"/>
  <c r="J25"/>
  <c r="A25" a="1"/>
  <c r="A25" s="1"/>
  <c r="I25" s="1"/>
  <c r="BA24"/>
  <c r="AZ24"/>
  <c r="AY24"/>
  <c r="AX24"/>
  <c r="AW24"/>
  <c r="AV24"/>
  <c r="AU24"/>
  <c r="AT24"/>
  <c r="AS24"/>
  <c r="AR24"/>
  <c r="AQ24"/>
  <c r="AP24"/>
  <c r="AO24"/>
  <c r="AN24"/>
  <c r="AM24"/>
  <c r="AL24"/>
  <c r="AK24"/>
  <c r="AJ24"/>
  <c r="AI24"/>
  <c r="AH24"/>
  <c r="AG24"/>
  <c r="AF24"/>
  <c r="AE24"/>
  <c r="AD24"/>
  <c r="AC24"/>
  <c r="AB24"/>
  <c r="AA24"/>
  <c r="Z24"/>
  <c r="Y24"/>
  <c r="X24"/>
  <c r="W24"/>
  <c r="V24"/>
  <c r="U24"/>
  <c r="T24"/>
  <c r="S24"/>
  <c r="R24"/>
  <c r="Q24"/>
  <c r="P24"/>
  <c r="O24"/>
  <c r="N24"/>
  <c r="M24"/>
  <c r="L24"/>
  <c r="K24"/>
  <c r="J24"/>
  <c r="A24" a="1"/>
  <c r="A24" s="1"/>
  <c r="I24" s="1"/>
  <c r="BA23"/>
  <c r="AZ23"/>
  <c r="AY23"/>
  <c r="AX23"/>
  <c r="AW23"/>
  <c r="AV23"/>
  <c r="AU23"/>
  <c r="AT23"/>
  <c r="AS23"/>
  <c r="AR23"/>
  <c r="AQ23"/>
  <c r="AP23"/>
  <c r="AO23"/>
  <c r="AN23"/>
  <c r="AM23"/>
  <c r="AL23"/>
  <c r="AK23"/>
  <c r="AJ23"/>
  <c r="AI23"/>
  <c r="AH23"/>
  <c r="AG23"/>
  <c r="AF23"/>
  <c r="AE23"/>
  <c r="AD23"/>
  <c r="AC23"/>
  <c r="AB23"/>
  <c r="AA23"/>
  <c r="Z23"/>
  <c r="Y23"/>
  <c r="X23"/>
  <c r="W23"/>
  <c r="V23"/>
  <c r="U23"/>
  <c r="T23"/>
  <c r="S23"/>
  <c r="R23"/>
  <c r="Q23"/>
  <c r="P23"/>
  <c r="O23"/>
  <c r="N23"/>
  <c r="M23"/>
  <c r="L23"/>
  <c r="K23"/>
  <c r="J23"/>
  <c r="A23" a="1"/>
  <c r="A23" s="1"/>
  <c r="I23" s="1"/>
  <c r="BA22"/>
  <c r="AZ22"/>
  <c r="AY22"/>
  <c r="AX22"/>
  <c r="AW22"/>
  <c r="AV22"/>
  <c r="AU22"/>
  <c r="AT22"/>
  <c r="AS22"/>
  <c r="AR22"/>
  <c r="AQ22"/>
  <c r="AP22"/>
  <c r="AO22"/>
  <c r="AN22"/>
  <c r="AM22"/>
  <c r="AL22"/>
  <c r="AK22"/>
  <c r="AJ22"/>
  <c r="AI22"/>
  <c r="AH22"/>
  <c r="AG22"/>
  <c r="AF22"/>
  <c r="AE22"/>
  <c r="AD22"/>
  <c r="AC22"/>
  <c r="AB22"/>
  <c r="AA22"/>
  <c r="Z22"/>
  <c r="Y22"/>
  <c r="X22"/>
  <c r="W22"/>
  <c r="V22"/>
  <c r="U22"/>
  <c r="T22"/>
  <c r="S22"/>
  <c r="R22"/>
  <c r="Q22"/>
  <c r="P22"/>
  <c r="O22"/>
  <c r="N22"/>
  <c r="M22"/>
  <c r="L22"/>
  <c r="K22"/>
  <c r="J22"/>
  <c r="A22" a="1"/>
  <c r="A22" s="1"/>
  <c r="I22" s="1"/>
  <c r="BA21"/>
  <c r="AZ21"/>
  <c r="AY21"/>
  <c r="AX21"/>
  <c r="AW21"/>
  <c r="AV21"/>
  <c r="AU21"/>
  <c r="AT21"/>
  <c r="AS21"/>
  <c r="AR21"/>
  <c r="AQ21"/>
  <c r="AP21"/>
  <c r="AO21"/>
  <c r="AN21"/>
  <c r="AM21"/>
  <c r="AL21"/>
  <c r="AK21"/>
  <c r="AJ21"/>
  <c r="AI21"/>
  <c r="AH21"/>
  <c r="AG21"/>
  <c r="AF21"/>
  <c r="AE21"/>
  <c r="AD21"/>
  <c r="AC21"/>
  <c r="AB21"/>
  <c r="AA21"/>
  <c r="Z21"/>
  <c r="Y21"/>
  <c r="X21"/>
  <c r="W21"/>
  <c r="V21"/>
  <c r="U21"/>
  <c r="T21"/>
  <c r="S21"/>
  <c r="R21"/>
  <c r="Q21"/>
  <c r="P21"/>
  <c r="O21"/>
  <c r="N21"/>
  <c r="M21"/>
  <c r="L21"/>
  <c r="K21"/>
  <c r="J21"/>
  <c r="A21" a="1"/>
  <c r="A21" s="1"/>
  <c r="I21" s="1"/>
  <c r="BA20"/>
  <c r="AZ20"/>
  <c r="AY20"/>
  <c r="AX20"/>
  <c r="AW20"/>
  <c r="AV20"/>
  <c r="AU20"/>
  <c r="AT20"/>
  <c r="AS20"/>
  <c r="AR20"/>
  <c r="AQ20"/>
  <c r="AP20"/>
  <c r="AO20"/>
  <c r="AN20"/>
  <c r="AM20"/>
  <c r="AL20"/>
  <c r="AK20"/>
  <c r="AJ20"/>
  <c r="AI20"/>
  <c r="AH20"/>
  <c r="AG20"/>
  <c r="AF20"/>
  <c r="AE20"/>
  <c r="AD20"/>
  <c r="AC20"/>
  <c r="AB20"/>
  <c r="AA20"/>
  <c r="Z20"/>
  <c r="Y20"/>
  <c r="X20"/>
  <c r="W20"/>
  <c r="V20"/>
  <c r="U20"/>
  <c r="T20"/>
  <c r="S20"/>
  <c r="R20"/>
  <c r="Q20"/>
  <c r="P20"/>
  <c r="O20"/>
  <c r="N20"/>
  <c r="M20"/>
  <c r="L20"/>
  <c r="K20"/>
  <c r="J20"/>
  <c r="A20" a="1"/>
  <c r="A20" s="1"/>
  <c r="I20" s="1"/>
  <c r="BA19"/>
  <c r="AZ19"/>
  <c r="AY19"/>
  <c r="AX19"/>
  <c r="AW19"/>
  <c r="AV19"/>
  <c r="AU19"/>
  <c r="AT19"/>
  <c r="AS19"/>
  <c r="AR19"/>
  <c r="AQ19"/>
  <c r="AP19"/>
  <c r="AO19"/>
  <c r="AN19"/>
  <c r="AM19"/>
  <c r="AL19"/>
  <c r="AK19"/>
  <c r="AJ19"/>
  <c r="AI19"/>
  <c r="AH19"/>
  <c r="AG19"/>
  <c r="AF19"/>
  <c r="AE19"/>
  <c r="AD19"/>
  <c r="AC19"/>
  <c r="AB19"/>
  <c r="AA19"/>
  <c r="Z19"/>
  <c r="Y19"/>
  <c r="X19"/>
  <c r="W19"/>
  <c r="V19"/>
  <c r="U19"/>
  <c r="T19"/>
  <c r="S19"/>
  <c r="R19"/>
  <c r="Q19"/>
  <c r="P19"/>
  <c r="O19"/>
  <c r="N19"/>
  <c r="M19"/>
  <c r="L19"/>
  <c r="K19"/>
  <c r="J19"/>
  <c r="A19" a="1"/>
  <c r="A19" s="1"/>
  <c r="I19" s="1"/>
  <c r="BA18"/>
  <c r="AZ18"/>
  <c r="AY18"/>
  <c r="AX18"/>
  <c r="AW18"/>
  <c r="AV18"/>
  <c r="AU18"/>
  <c r="AT18"/>
  <c r="AS18"/>
  <c r="AR18"/>
  <c r="AQ18"/>
  <c r="AP18"/>
  <c r="AO18"/>
  <c r="AN18"/>
  <c r="AM18"/>
  <c r="AL18"/>
  <c r="AK18"/>
  <c r="AJ18"/>
  <c r="AI18"/>
  <c r="AH18"/>
  <c r="AG18"/>
  <c r="AF18"/>
  <c r="AE18"/>
  <c r="AD18"/>
  <c r="AC18"/>
  <c r="AB18"/>
  <c r="AA18"/>
  <c r="Z18"/>
  <c r="Y18"/>
  <c r="X18"/>
  <c r="W18"/>
  <c r="V18"/>
  <c r="U18"/>
  <c r="T18"/>
  <c r="S18"/>
  <c r="R18"/>
  <c r="Q18"/>
  <c r="P18"/>
  <c r="O18"/>
  <c r="N18"/>
  <c r="M18"/>
  <c r="L18"/>
  <c r="K18"/>
  <c r="J18"/>
  <c r="A18" a="1"/>
  <c r="A18" s="1"/>
  <c r="I18" s="1"/>
  <c r="BA17"/>
  <c r="AZ17"/>
  <c r="AY17"/>
  <c r="AX17"/>
  <c r="AW17"/>
  <c r="AV17"/>
  <c r="AU17"/>
  <c r="AT17"/>
  <c r="AS17"/>
  <c r="AR17"/>
  <c r="AQ17"/>
  <c r="AP17"/>
  <c r="AO17"/>
  <c r="AN17"/>
  <c r="AM17"/>
  <c r="AL17"/>
  <c r="AK17"/>
  <c r="AJ17"/>
  <c r="AI17"/>
  <c r="AH17"/>
  <c r="AG17"/>
  <c r="AF17"/>
  <c r="AE17"/>
  <c r="AD17"/>
  <c r="AC17"/>
  <c r="AB17"/>
  <c r="AA17"/>
  <c r="Z17"/>
  <c r="Y17"/>
  <c r="X17"/>
  <c r="W17"/>
  <c r="V17"/>
  <c r="U17"/>
  <c r="T17"/>
  <c r="S17"/>
  <c r="R17"/>
  <c r="Q17"/>
  <c r="P17"/>
  <c r="O17"/>
  <c r="N17"/>
  <c r="M17"/>
  <c r="L17"/>
  <c r="K17"/>
  <c r="J17"/>
  <c r="A17" a="1"/>
  <c r="A17" s="1"/>
  <c r="I17" s="1"/>
  <c r="BA16"/>
  <c r="AZ16"/>
  <c r="AY16"/>
  <c r="AX16"/>
  <c r="AW16"/>
  <c r="AV16"/>
  <c r="AU16"/>
  <c r="AT16"/>
  <c r="AS16"/>
  <c r="AR16"/>
  <c r="AQ16"/>
  <c r="AP16"/>
  <c r="AO16"/>
  <c r="AN16"/>
  <c r="AM16"/>
  <c r="AL16"/>
  <c r="AK16"/>
  <c r="AJ16"/>
  <c r="AI16"/>
  <c r="AH16"/>
  <c r="AG16"/>
  <c r="AF16"/>
  <c r="AE16"/>
  <c r="AD16"/>
  <c r="AC16"/>
  <c r="AB16"/>
  <c r="AA16"/>
  <c r="Z16"/>
  <c r="Y16"/>
  <c r="X16"/>
  <c r="W16"/>
  <c r="V16"/>
  <c r="U16"/>
  <c r="T16"/>
  <c r="S16"/>
  <c r="R16"/>
  <c r="Q16"/>
  <c r="P16"/>
  <c r="O16"/>
  <c r="N16"/>
  <c r="M16"/>
  <c r="L16"/>
  <c r="K16"/>
  <c r="J16"/>
  <c r="A16" a="1"/>
  <c r="A16" s="1"/>
  <c r="I16" s="1"/>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A15" a="1"/>
  <c r="A15" s="1"/>
  <c r="I15" s="1"/>
  <c r="BA14"/>
  <c r="AZ14"/>
  <c r="AY14"/>
  <c r="AX14"/>
  <c r="AW14"/>
  <c r="AV14"/>
  <c r="AU14"/>
  <c r="AT14"/>
  <c r="AS14"/>
  <c r="AR14"/>
  <c r="AQ14"/>
  <c r="AP14"/>
  <c r="AO14"/>
  <c r="AN14"/>
  <c r="AM14"/>
  <c r="AL14"/>
  <c r="AK14"/>
  <c r="AJ14"/>
  <c r="AI14"/>
  <c r="AH14"/>
  <c r="AG14"/>
  <c r="AF14"/>
  <c r="AE14"/>
  <c r="AD14"/>
  <c r="AC14"/>
  <c r="AB14"/>
  <c r="AA14"/>
  <c r="Z14"/>
  <c r="Y14"/>
  <c r="X14"/>
  <c r="W14"/>
  <c r="V14"/>
  <c r="U14"/>
  <c r="T14"/>
  <c r="S14"/>
  <c r="R14"/>
  <c r="Q14"/>
  <c r="P14"/>
  <c r="O14"/>
  <c r="N14"/>
  <c r="M14"/>
  <c r="L14"/>
  <c r="K14"/>
  <c r="J14"/>
  <c r="A14" a="1"/>
  <c r="A14" s="1"/>
  <c r="I14" s="1"/>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A13" a="1"/>
  <c r="A13" s="1"/>
  <c r="I13" s="1"/>
  <c r="BA12"/>
  <c r="AZ12"/>
  <c r="AY12"/>
  <c r="AX12"/>
  <c r="AW12"/>
  <c r="AV12"/>
  <c r="AU12"/>
  <c r="AT12"/>
  <c r="AS12"/>
  <c r="AR12"/>
  <c r="AQ12"/>
  <c r="AP12"/>
  <c r="AO12"/>
  <c r="AN12"/>
  <c r="AM12"/>
  <c r="AL12"/>
  <c r="AK12"/>
  <c r="AJ12"/>
  <c r="AI12"/>
  <c r="AH12"/>
  <c r="AG12"/>
  <c r="AF12"/>
  <c r="AE12"/>
  <c r="AD12"/>
  <c r="AC12"/>
  <c r="AB12"/>
  <c r="AA12"/>
  <c r="Z12"/>
  <c r="Y12"/>
  <c r="X12"/>
  <c r="W12"/>
  <c r="V12"/>
  <c r="U12"/>
  <c r="T12"/>
  <c r="S12"/>
  <c r="R12"/>
  <c r="Q12"/>
  <c r="P12"/>
  <c r="O12"/>
  <c r="N12"/>
  <c r="M12"/>
  <c r="L12"/>
  <c r="K12"/>
  <c r="J12"/>
  <c r="A12" a="1"/>
  <c r="A12" s="1"/>
  <c r="I12" s="1"/>
  <c r="A10" a="1"/>
  <c r="A10" s="1"/>
  <c r="AZ250" i="50"/>
  <c r="BA242"/>
  <c r="AZ242"/>
  <c r="AY242"/>
  <c r="AX242"/>
  <c r="AW242"/>
  <c r="AV242"/>
  <c r="AU242"/>
  <c r="AT242"/>
  <c r="AS242"/>
  <c r="AR242"/>
  <c r="AQ242"/>
  <c r="AP242"/>
  <c r="AO242"/>
  <c r="AN242"/>
  <c r="AM242"/>
  <c r="AL242"/>
  <c r="AK242"/>
  <c r="AJ242"/>
  <c r="AI242"/>
  <c r="AH242"/>
  <c r="AG242"/>
  <c r="AF242"/>
  <c r="AE242"/>
  <c r="AD242"/>
  <c r="AC242"/>
  <c r="AB242"/>
  <c r="AA242"/>
  <c r="Z242"/>
  <c r="Y242"/>
  <c r="X242"/>
  <c r="W242"/>
  <c r="V242"/>
  <c r="U242"/>
  <c r="T242"/>
  <c r="S242"/>
  <c r="R242"/>
  <c r="Q242"/>
  <c r="P242"/>
  <c r="O242"/>
  <c r="N242"/>
  <c r="M242"/>
  <c r="L242"/>
  <c r="K242"/>
  <c r="J242"/>
  <c r="A242" a="1"/>
  <c r="A242" s="1"/>
  <c r="I242" s="1"/>
  <c r="BA241"/>
  <c r="AY241"/>
  <c r="AX241"/>
  <c r="AV241"/>
  <c r="AU241"/>
  <c r="AT241"/>
  <c r="AS241"/>
  <c r="AR241"/>
  <c r="AQ241"/>
  <c r="AP241"/>
  <c r="AO241"/>
  <c r="AN241"/>
  <c r="AM241"/>
  <c r="AL241"/>
  <c r="AK241"/>
  <c r="AJ241"/>
  <c r="AI241"/>
  <c r="AH241"/>
  <c r="AG241"/>
  <c r="AF241"/>
  <c r="AE241"/>
  <c r="AD241"/>
  <c r="AC241"/>
  <c r="AB241"/>
  <c r="AA241"/>
  <c r="Z241"/>
  <c r="Y241"/>
  <c r="X241"/>
  <c r="W241"/>
  <c r="V241"/>
  <c r="U241"/>
  <c r="T241"/>
  <c r="S241"/>
  <c r="R241"/>
  <c r="Q241"/>
  <c r="P241"/>
  <c r="O241"/>
  <c r="N241"/>
  <c r="M241"/>
  <c r="L241"/>
  <c r="K241"/>
  <c r="J241"/>
  <c r="D241"/>
  <c r="AZ240"/>
  <c r="AY240"/>
  <c r="AX240"/>
  <c r="AW240"/>
  <c r="AV240"/>
  <c r="AU240"/>
  <c r="AS240"/>
  <c r="AR240"/>
  <c r="AQ240"/>
  <c r="AP240"/>
  <c r="AO240"/>
  <c r="AN240"/>
  <c r="AM240"/>
  <c r="AL240"/>
  <c r="AK240"/>
  <c r="AJ240"/>
  <c r="AI240"/>
  <c r="AH240"/>
  <c r="AG240"/>
  <c r="AF240"/>
  <c r="AE240"/>
  <c r="AD240"/>
  <c r="AC240"/>
  <c r="AB240"/>
  <c r="AA240"/>
  <c r="Z240"/>
  <c r="Y240"/>
  <c r="X240"/>
  <c r="W240"/>
  <c r="V240"/>
  <c r="U240"/>
  <c r="T240"/>
  <c r="S240"/>
  <c r="R240"/>
  <c r="Q240"/>
  <c r="P240"/>
  <c r="O240"/>
  <c r="N240"/>
  <c r="M240"/>
  <c r="L240"/>
  <c r="K240"/>
  <c r="J240"/>
  <c r="D240"/>
  <c r="AZ239"/>
  <c r="AY239"/>
  <c r="AX239"/>
  <c r="AW239"/>
  <c r="AV239"/>
  <c r="AU239"/>
  <c r="AT239"/>
  <c r="AS239"/>
  <c r="AR239"/>
  <c r="AQ239"/>
  <c r="AP239"/>
  <c r="AO239"/>
  <c r="AM239"/>
  <c r="AL239"/>
  <c r="AK239"/>
  <c r="AJ239"/>
  <c r="AI239"/>
  <c r="AH239"/>
  <c r="AG239"/>
  <c r="AF239"/>
  <c r="AE239"/>
  <c r="AD239"/>
  <c r="AC239"/>
  <c r="AB239"/>
  <c r="AA239"/>
  <c r="Z239"/>
  <c r="Y239"/>
  <c r="X239"/>
  <c r="W239"/>
  <c r="V239"/>
  <c r="U239"/>
  <c r="T239"/>
  <c r="S239"/>
  <c r="R239"/>
  <c r="Q239"/>
  <c r="P239"/>
  <c r="O239"/>
  <c r="N239"/>
  <c r="M239"/>
  <c r="L239"/>
  <c r="K239"/>
  <c r="J239"/>
  <c r="D239"/>
  <c r="BA238"/>
  <c r="AZ238"/>
  <c r="AY238"/>
  <c r="AX238"/>
  <c r="AW238"/>
  <c r="AV238"/>
  <c r="AU238"/>
  <c r="AT238"/>
  <c r="AS238"/>
  <c r="AR238"/>
  <c r="AQ238"/>
  <c r="AP238"/>
  <c r="AO238"/>
  <c r="AN238"/>
  <c r="AM238"/>
  <c r="AL238"/>
  <c r="AK238"/>
  <c r="AJ238"/>
  <c r="AI238"/>
  <c r="AH238"/>
  <c r="AG238"/>
  <c r="AF238"/>
  <c r="AE238"/>
  <c r="AD238"/>
  <c r="AC238"/>
  <c r="AB238"/>
  <c r="AA238"/>
  <c r="Z238"/>
  <c r="Y238"/>
  <c r="X238"/>
  <c r="W238"/>
  <c r="V238"/>
  <c r="U238"/>
  <c r="T238"/>
  <c r="S238"/>
  <c r="R238"/>
  <c r="Q238"/>
  <c r="P238"/>
  <c r="O238"/>
  <c r="N238"/>
  <c r="M238"/>
  <c r="L238"/>
  <c r="K238"/>
  <c r="J238"/>
  <c r="D238"/>
  <c r="BA237"/>
  <c r="AY237"/>
  <c r="AX237"/>
  <c r="AW237"/>
  <c r="AV237"/>
  <c r="AU237"/>
  <c r="AT237"/>
  <c r="AR237"/>
  <c r="AQ237"/>
  <c r="AP237"/>
  <c r="AO237"/>
  <c r="AN237"/>
  <c r="AM237"/>
  <c r="AL237"/>
  <c r="AK237"/>
  <c r="AJ237"/>
  <c r="AI237"/>
  <c r="AH237"/>
  <c r="AG237"/>
  <c r="AF237"/>
  <c r="AE237"/>
  <c r="AD237"/>
  <c r="AC237"/>
  <c r="AB237"/>
  <c r="AA237"/>
  <c r="Z237"/>
  <c r="Y237"/>
  <c r="X237"/>
  <c r="W237"/>
  <c r="V237"/>
  <c r="U237"/>
  <c r="T237"/>
  <c r="S237"/>
  <c r="R237"/>
  <c r="Q237"/>
  <c r="P237"/>
  <c r="O237"/>
  <c r="N237"/>
  <c r="M237"/>
  <c r="L237"/>
  <c r="K237"/>
  <c r="J237"/>
  <c r="D237"/>
  <c r="BA236"/>
  <c r="AZ236"/>
  <c r="AY236"/>
  <c r="AX236"/>
  <c r="AW236"/>
  <c r="AV236"/>
  <c r="AU236"/>
  <c r="AT236"/>
  <c r="AS236"/>
  <c r="AR236"/>
  <c r="AP236"/>
  <c r="AO236"/>
  <c r="AN236"/>
  <c r="AM236"/>
  <c r="AL236"/>
  <c r="AK236"/>
  <c r="AJ236"/>
  <c r="AI236"/>
  <c r="AH236"/>
  <c r="AG236"/>
  <c r="AF236"/>
  <c r="AE236"/>
  <c r="AD236"/>
  <c r="AC236"/>
  <c r="AB236"/>
  <c r="AA236"/>
  <c r="Z236"/>
  <c r="Y236"/>
  <c r="X236"/>
  <c r="W236"/>
  <c r="V236"/>
  <c r="U236"/>
  <c r="S236"/>
  <c r="R236"/>
  <c r="Q236"/>
  <c r="P236"/>
  <c r="O236"/>
  <c r="N236"/>
  <c r="M236"/>
  <c r="L236"/>
  <c r="K236"/>
  <c r="J236"/>
  <c r="D236"/>
  <c r="BA235"/>
  <c r="AZ235"/>
  <c r="AY235"/>
  <c r="AX235"/>
  <c r="AW235"/>
  <c r="AV235"/>
  <c r="AU235"/>
  <c r="AT235"/>
  <c r="AS235"/>
  <c r="AR235"/>
  <c r="AQ235"/>
  <c r="AP235"/>
  <c r="AO235"/>
  <c r="AN235"/>
  <c r="AM235"/>
  <c r="AL235"/>
  <c r="AK235"/>
  <c r="AJ235"/>
  <c r="AI235"/>
  <c r="AH235"/>
  <c r="AG235"/>
  <c r="AF235"/>
  <c r="AE235"/>
  <c r="AD235"/>
  <c r="AC235"/>
  <c r="AB235"/>
  <c r="AA235"/>
  <c r="Z235"/>
  <c r="Y235"/>
  <c r="X235"/>
  <c r="W235"/>
  <c r="V235"/>
  <c r="U235"/>
  <c r="T235"/>
  <c r="S235"/>
  <c r="R235"/>
  <c r="Q235"/>
  <c r="P235"/>
  <c r="O235"/>
  <c r="N235"/>
  <c r="M235"/>
  <c r="L235"/>
  <c r="K235"/>
  <c r="J235"/>
  <c r="A235" a="1"/>
  <c r="A235" s="1"/>
  <c r="I235" s="1"/>
  <c r="BA234"/>
  <c r="AZ234"/>
  <c r="AY234"/>
  <c r="AX234"/>
  <c r="AW234"/>
  <c r="AV234"/>
  <c r="AU234"/>
  <c r="AT234"/>
  <c r="AS234"/>
  <c r="AR234"/>
  <c r="AQ234"/>
  <c r="AP234"/>
  <c r="AO234"/>
  <c r="AN234"/>
  <c r="AM234"/>
  <c r="AL234"/>
  <c r="AK234"/>
  <c r="AJ234"/>
  <c r="AI234"/>
  <c r="AH234"/>
  <c r="AG234"/>
  <c r="AF234"/>
  <c r="AE234"/>
  <c r="AD234"/>
  <c r="AC234"/>
  <c r="AB234"/>
  <c r="AA234"/>
  <c r="Z234"/>
  <c r="Y234"/>
  <c r="X234"/>
  <c r="W234"/>
  <c r="V234"/>
  <c r="U234"/>
  <c r="T234"/>
  <c r="S234"/>
  <c r="R234"/>
  <c r="Q234"/>
  <c r="P234"/>
  <c r="O234"/>
  <c r="N234"/>
  <c r="M234"/>
  <c r="L234"/>
  <c r="K234"/>
  <c r="J234"/>
  <c r="A234" a="1"/>
  <c r="A234" s="1"/>
  <c r="I234" s="1"/>
  <c r="BA233"/>
  <c r="AZ233"/>
  <c r="AY233"/>
  <c r="AX233"/>
  <c r="AW233"/>
  <c r="AV233"/>
  <c r="AU233"/>
  <c r="AT233"/>
  <c r="AS233"/>
  <c r="AR233"/>
  <c r="AQ233"/>
  <c r="AP233"/>
  <c r="AO233"/>
  <c r="AN233"/>
  <c r="AM233"/>
  <c r="AL233"/>
  <c r="AK233"/>
  <c r="AJ233"/>
  <c r="AI233"/>
  <c r="AH233"/>
  <c r="AG233"/>
  <c r="AF233"/>
  <c r="AE233"/>
  <c r="AD233"/>
  <c r="AC233"/>
  <c r="AB233"/>
  <c r="AA233"/>
  <c r="Z233"/>
  <c r="Y233"/>
  <c r="X233"/>
  <c r="W233"/>
  <c r="V233"/>
  <c r="U233"/>
  <c r="T233"/>
  <c r="S233"/>
  <c r="R233"/>
  <c r="Q233"/>
  <c r="P233"/>
  <c r="O233"/>
  <c r="N233"/>
  <c r="M233"/>
  <c r="L233"/>
  <c r="K233"/>
  <c r="J233"/>
  <c r="A233" a="1"/>
  <c r="A233" s="1"/>
  <c r="I233" s="1"/>
  <c r="BA232"/>
  <c r="AZ232"/>
  <c r="AY232"/>
  <c r="AX232"/>
  <c r="AW232"/>
  <c r="AV232"/>
  <c r="AU232"/>
  <c r="AT232"/>
  <c r="AS232"/>
  <c r="AR232"/>
  <c r="AQ232"/>
  <c r="AP232"/>
  <c r="AO232"/>
  <c r="AN232"/>
  <c r="AM232"/>
  <c r="AL232"/>
  <c r="AK232"/>
  <c r="AJ232"/>
  <c r="AI232"/>
  <c r="AH232"/>
  <c r="AG232"/>
  <c r="AF232"/>
  <c r="AE232"/>
  <c r="AD232"/>
  <c r="AC232"/>
  <c r="AB232"/>
  <c r="AA232"/>
  <c r="Z232"/>
  <c r="Y232"/>
  <c r="X232"/>
  <c r="W232"/>
  <c r="V232"/>
  <c r="U232"/>
  <c r="T232"/>
  <c r="S232"/>
  <c r="R232"/>
  <c r="Q232"/>
  <c r="P232"/>
  <c r="O232"/>
  <c r="N232"/>
  <c r="M232"/>
  <c r="L232"/>
  <c r="K232"/>
  <c r="J232"/>
  <c r="A232" a="1"/>
  <c r="A232" s="1"/>
  <c r="I232" s="1"/>
  <c r="BA231"/>
  <c r="AZ231"/>
  <c r="AY231"/>
  <c r="AX231"/>
  <c r="AW231"/>
  <c r="AV231"/>
  <c r="AU231"/>
  <c r="AT231"/>
  <c r="AS231"/>
  <c r="AR231"/>
  <c r="AQ231"/>
  <c r="AP231"/>
  <c r="AO231"/>
  <c r="AN231"/>
  <c r="AM231"/>
  <c r="AL231"/>
  <c r="AK231"/>
  <c r="AJ231"/>
  <c r="AI231"/>
  <c r="AH231"/>
  <c r="AG231"/>
  <c r="AF231"/>
  <c r="AE231"/>
  <c r="AD231"/>
  <c r="AC231"/>
  <c r="AB231"/>
  <c r="AA231"/>
  <c r="Z231"/>
  <c r="Y231"/>
  <c r="X231"/>
  <c r="W231"/>
  <c r="V231"/>
  <c r="U231"/>
  <c r="T231"/>
  <c r="S231"/>
  <c r="R231"/>
  <c r="Q231"/>
  <c r="P231"/>
  <c r="O231"/>
  <c r="N231"/>
  <c r="M231"/>
  <c r="L231"/>
  <c r="K231"/>
  <c r="J231"/>
  <c r="A231" a="1"/>
  <c r="A231" s="1"/>
  <c r="I231" s="1"/>
  <c r="BA230"/>
  <c r="AZ230"/>
  <c r="AY230"/>
  <c r="AX230"/>
  <c r="AW230"/>
  <c r="AV230"/>
  <c r="AU230"/>
  <c r="AT230"/>
  <c r="AS230"/>
  <c r="AR230"/>
  <c r="AQ230"/>
  <c r="AP230"/>
  <c r="AO230"/>
  <c r="AN230"/>
  <c r="AM230"/>
  <c r="AL230"/>
  <c r="AK230"/>
  <c r="AJ230"/>
  <c r="AI230"/>
  <c r="AH230"/>
  <c r="AG230"/>
  <c r="AF230"/>
  <c r="AE230"/>
  <c r="AD230"/>
  <c r="AC230"/>
  <c r="AB230"/>
  <c r="AA230"/>
  <c r="Z230"/>
  <c r="Y230"/>
  <c r="X230"/>
  <c r="W230"/>
  <c r="V230"/>
  <c r="U230"/>
  <c r="T230"/>
  <c r="S230"/>
  <c r="R230"/>
  <c r="Q230"/>
  <c r="P230"/>
  <c r="O230"/>
  <c r="N230"/>
  <c r="M230"/>
  <c r="L230"/>
  <c r="K230"/>
  <c r="J230"/>
  <c r="A230" a="1"/>
  <c r="A230" s="1"/>
  <c r="I230" s="1"/>
  <c r="BA229"/>
  <c r="AZ229"/>
  <c r="AY229"/>
  <c r="AX229"/>
  <c r="AW229"/>
  <c r="AV229"/>
  <c r="AU229"/>
  <c r="AT229"/>
  <c r="AS229"/>
  <c r="AR229"/>
  <c r="AQ229"/>
  <c r="AP229"/>
  <c r="AO229"/>
  <c r="AN229"/>
  <c r="AM229"/>
  <c r="AL229"/>
  <c r="AK229"/>
  <c r="AJ229"/>
  <c r="AI229"/>
  <c r="AH229"/>
  <c r="AG229"/>
  <c r="AF229"/>
  <c r="AE229"/>
  <c r="AD229"/>
  <c r="AC229"/>
  <c r="AB229"/>
  <c r="AA229"/>
  <c r="Z229"/>
  <c r="Y229"/>
  <c r="X229"/>
  <c r="W229"/>
  <c r="V229"/>
  <c r="U229"/>
  <c r="T229"/>
  <c r="S229"/>
  <c r="R229"/>
  <c r="Q229"/>
  <c r="P229"/>
  <c r="O229"/>
  <c r="N229"/>
  <c r="M229"/>
  <c r="L229"/>
  <c r="K229"/>
  <c r="J229"/>
  <c r="A229" a="1"/>
  <c r="A229" s="1"/>
  <c r="I229" s="1"/>
  <c r="BA228"/>
  <c r="AZ228"/>
  <c r="AY228"/>
  <c r="AX228"/>
  <c r="AW228"/>
  <c r="AV228"/>
  <c r="AU228"/>
  <c r="AT228"/>
  <c r="AS228"/>
  <c r="AR228"/>
  <c r="AQ228"/>
  <c r="AP228"/>
  <c r="AO228"/>
  <c r="AN228"/>
  <c r="AM228"/>
  <c r="AL228"/>
  <c r="AK228"/>
  <c r="AJ228"/>
  <c r="AI228"/>
  <c r="AH228"/>
  <c r="AG228"/>
  <c r="AF228"/>
  <c r="AE228"/>
  <c r="AD228"/>
  <c r="AC228"/>
  <c r="AB228"/>
  <c r="AA228"/>
  <c r="Z228"/>
  <c r="Y228"/>
  <c r="X228"/>
  <c r="W228"/>
  <c r="V228"/>
  <c r="U228"/>
  <c r="T228"/>
  <c r="S228"/>
  <c r="R228"/>
  <c r="Q228"/>
  <c r="P228"/>
  <c r="O228"/>
  <c r="N228"/>
  <c r="M228"/>
  <c r="L228"/>
  <c r="K228"/>
  <c r="J228"/>
  <c r="A228" a="1"/>
  <c r="A228" s="1"/>
  <c r="I228" s="1"/>
  <c r="BA227"/>
  <c r="AZ227"/>
  <c r="AY227"/>
  <c r="AX227"/>
  <c r="AW227"/>
  <c r="AV227"/>
  <c r="AU227"/>
  <c r="AT227"/>
  <c r="AS227"/>
  <c r="AR227"/>
  <c r="AQ227"/>
  <c r="AP227"/>
  <c r="AO227"/>
  <c r="AN227"/>
  <c r="AM227"/>
  <c r="AL227"/>
  <c r="AK227"/>
  <c r="AJ227"/>
  <c r="AI227"/>
  <c r="AH227"/>
  <c r="AG227"/>
  <c r="AF227"/>
  <c r="AE227"/>
  <c r="AD227"/>
  <c r="AC227"/>
  <c r="AB227"/>
  <c r="AA227"/>
  <c r="Z227"/>
  <c r="Y227"/>
  <c r="X227"/>
  <c r="W227"/>
  <c r="V227"/>
  <c r="U227"/>
  <c r="T227"/>
  <c r="S227"/>
  <c r="R227"/>
  <c r="Q227"/>
  <c r="P227"/>
  <c r="O227"/>
  <c r="N227"/>
  <c r="M227"/>
  <c r="L227"/>
  <c r="K227"/>
  <c r="J227"/>
  <c r="A227" a="1"/>
  <c r="A227" s="1"/>
  <c r="I227" s="1"/>
  <c r="BA226"/>
  <c r="AZ226"/>
  <c r="AY226"/>
  <c r="AX226"/>
  <c r="AW226"/>
  <c r="AV226"/>
  <c r="AU226"/>
  <c r="AT226"/>
  <c r="AS226"/>
  <c r="AR226"/>
  <c r="AQ226"/>
  <c r="AP226"/>
  <c r="AO226"/>
  <c r="AN226"/>
  <c r="AM226"/>
  <c r="AL226"/>
  <c r="AK226"/>
  <c r="AJ226"/>
  <c r="AI226"/>
  <c r="AH226"/>
  <c r="AG226"/>
  <c r="AF226"/>
  <c r="AE226"/>
  <c r="AD226"/>
  <c r="AC226"/>
  <c r="AB226"/>
  <c r="AA226"/>
  <c r="Z226"/>
  <c r="Y226"/>
  <c r="X226"/>
  <c r="W226"/>
  <c r="V226"/>
  <c r="U226"/>
  <c r="T226"/>
  <c r="S226"/>
  <c r="R226"/>
  <c r="Q226"/>
  <c r="P226"/>
  <c r="O226"/>
  <c r="N226"/>
  <c r="M226"/>
  <c r="L226"/>
  <c r="K226"/>
  <c r="J226"/>
  <c r="A226" a="1"/>
  <c r="A226" s="1"/>
  <c r="I226" s="1"/>
  <c r="BA225"/>
  <c r="AZ225"/>
  <c r="AY225"/>
  <c r="AX225"/>
  <c r="AW225"/>
  <c r="AV225"/>
  <c r="AU225"/>
  <c r="AT225"/>
  <c r="AS225"/>
  <c r="AR225"/>
  <c r="AQ225"/>
  <c r="AP225"/>
  <c r="AO225"/>
  <c r="AN225"/>
  <c r="AM225"/>
  <c r="AL225"/>
  <c r="AK225"/>
  <c r="AJ225"/>
  <c r="AI225"/>
  <c r="AH225"/>
  <c r="AG225"/>
  <c r="AF225"/>
  <c r="AE225"/>
  <c r="AD225"/>
  <c r="AC225"/>
  <c r="AB225"/>
  <c r="AA225"/>
  <c r="Z225"/>
  <c r="Y225"/>
  <c r="X225"/>
  <c r="W225"/>
  <c r="V225"/>
  <c r="U225"/>
  <c r="T225"/>
  <c r="S225"/>
  <c r="R225"/>
  <c r="Q225"/>
  <c r="P225"/>
  <c r="O225"/>
  <c r="N225"/>
  <c r="M225"/>
  <c r="L225"/>
  <c r="K225"/>
  <c r="J225"/>
  <c r="A225" a="1"/>
  <c r="A225" s="1"/>
  <c r="I225" s="1"/>
  <c r="BA224"/>
  <c r="AZ224"/>
  <c r="AY224"/>
  <c r="AX224"/>
  <c r="AW224"/>
  <c r="AV224"/>
  <c r="AU224"/>
  <c r="AT224"/>
  <c r="AS224"/>
  <c r="AR224"/>
  <c r="AQ224"/>
  <c r="AP224"/>
  <c r="AO224"/>
  <c r="AN224"/>
  <c r="AM224"/>
  <c r="AL224"/>
  <c r="AK224"/>
  <c r="AJ224"/>
  <c r="AI224"/>
  <c r="AH224"/>
  <c r="AG224"/>
  <c r="AF224"/>
  <c r="AE224"/>
  <c r="AD224"/>
  <c r="AC224"/>
  <c r="AB224"/>
  <c r="AA224"/>
  <c r="Z224"/>
  <c r="Y224"/>
  <c r="X224"/>
  <c r="W224"/>
  <c r="V224"/>
  <c r="U224"/>
  <c r="T224"/>
  <c r="S224"/>
  <c r="R224"/>
  <c r="Q224"/>
  <c r="P224"/>
  <c r="O224"/>
  <c r="N224"/>
  <c r="M224"/>
  <c r="L224"/>
  <c r="K224"/>
  <c r="J224"/>
  <c r="A224" a="1"/>
  <c r="A224" s="1"/>
  <c r="I224" s="1"/>
  <c r="BA223"/>
  <c r="AZ223"/>
  <c r="AY223"/>
  <c r="AX223"/>
  <c r="AW223"/>
  <c r="AV223"/>
  <c r="AU223"/>
  <c r="AT223"/>
  <c r="AS223"/>
  <c r="AR223"/>
  <c r="AQ223"/>
  <c r="AP223"/>
  <c r="AO223"/>
  <c r="AN223"/>
  <c r="AM223"/>
  <c r="AL223"/>
  <c r="AK223"/>
  <c r="AJ223"/>
  <c r="AI223"/>
  <c r="AH223"/>
  <c r="AG223"/>
  <c r="AF223"/>
  <c r="AE223"/>
  <c r="AD223"/>
  <c r="AC223"/>
  <c r="AB223"/>
  <c r="AA223"/>
  <c r="Z223"/>
  <c r="Y223"/>
  <c r="X223"/>
  <c r="W223"/>
  <c r="V223"/>
  <c r="U223"/>
  <c r="T223"/>
  <c r="S223"/>
  <c r="R223"/>
  <c r="Q223"/>
  <c r="P223"/>
  <c r="O223"/>
  <c r="N223"/>
  <c r="M223"/>
  <c r="L223"/>
  <c r="K223"/>
  <c r="J223"/>
  <c r="A223" a="1"/>
  <c r="A223" s="1"/>
  <c r="I223" s="1"/>
  <c r="BA222"/>
  <c r="AZ222"/>
  <c r="AY222"/>
  <c r="AX222"/>
  <c r="AW222"/>
  <c r="AV222"/>
  <c r="AU222"/>
  <c r="AT222"/>
  <c r="AS222"/>
  <c r="AR222"/>
  <c r="AQ222"/>
  <c r="AP222"/>
  <c r="AO222"/>
  <c r="AN222"/>
  <c r="AM222"/>
  <c r="AL222"/>
  <c r="AK222"/>
  <c r="AJ222"/>
  <c r="AI222"/>
  <c r="AH222"/>
  <c r="AG222"/>
  <c r="AF222"/>
  <c r="AE222"/>
  <c r="AD222"/>
  <c r="AC222"/>
  <c r="AB222"/>
  <c r="AA222"/>
  <c r="Z222"/>
  <c r="Y222"/>
  <c r="X222"/>
  <c r="W222"/>
  <c r="V222"/>
  <c r="U222"/>
  <c r="T222"/>
  <c r="S222"/>
  <c r="R222"/>
  <c r="Q222"/>
  <c r="P222"/>
  <c r="O222"/>
  <c r="N222"/>
  <c r="M222"/>
  <c r="L222"/>
  <c r="K222"/>
  <c r="J222"/>
  <c r="A222" a="1"/>
  <c r="A222" s="1"/>
  <c r="I222" s="1"/>
  <c r="BA221"/>
  <c r="AZ221"/>
  <c r="AY221"/>
  <c r="AX221"/>
  <c r="AW221"/>
  <c r="AV221"/>
  <c r="AU221"/>
  <c r="AT221"/>
  <c r="AS221"/>
  <c r="AR221"/>
  <c r="AQ221"/>
  <c r="AP221"/>
  <c r="AO221"/>
  <c r="AN221"/>
  <c r="AM221"/>
  <c r="AL221"/>
  <c r="AK221"/>
  <c r="AJ221"/>
  <c r="AI221"/>
  <c r="AH221"/>
  <c r="AG221"/>
  <c r="AF221"/>
  <c r="AE221"/>
  <c r="AD221"/>
  <c r="AC221"/>
  <c r="AB221"/>
  <c r="AA221"/>
  <c r="Z221"/>
  <c r="Y221"/>
  <c r="X221"/>
  <c r="W221"/>
  <c r="V221"/>
  <c r="U221"/>
  <c r="T221"/>
  <c r="S221"/>
  <c r="R221"/>
  <c r="Q221"/>
  <c r="P221"/>
  <c r="O221"/>
  <c r="N221"/>
  <c r="M221"/>
  <c r="L221"/>
  <c r="K221"/>
  <c r="J221"/>
  <c r="A221" a="1"/>
  <c r="A221" s="1"/>
  <c r="I221" s="1"/>
  <c r="BA220"/>
  <c r="AZ220"/>
  <c r="AY220"/>
  <c r="AX220"/>
  <c r="AW220"/>
  <c r="AV220"/>
  <c r="AU220"/>
  <c r="AT220"/>
  <c r="AS220"/>
  <c r="AR220"/>
  <c r="AQ220"/>
  <c r="AP220"/>
  <c r="AO220"/>
  <c r="AN220"/>
  <c r="AM220"/>
  <c r="AL220"/>
  <c r="AK220"/>
  <c r="AJ220"/>
  <c r="AI220"/>
  <c r="AH220"/>
  <c r="AG220"/>
  <c r="AF220"/>
  <c r="AE220"/>
  <c r="AD220"/>
  <c r="AC220"/>
  <c r="AB220"/>
  <c r="AA220"/>
  <c r="Z220"/>
  <c r="Y220"/>
  <c r="X220"/>
  <c r="W220"/>
  <c r="V220"/>
  <c r="U220"/>
  <c r="T220"/>
  <c r="S220"/>
  <c r="R220"/>
  <c r="Q220"/>
  <c r="P220"/>
  <c r="O220"/>
  <c r="N220"/>
  <c r="M220"/>
  <c r="L220"/>
  <c r="K220"/>
  <c r="J220"/>
  <c r="A220" a="1"/>
  <c r="A220" s="1"/>
  <c r="I220" s="1"/>
  <c r="BA219"/>
  <c r="AZ219"/>
  <c r="AY219"/>
  <c r="AX219"/>
  <c r="AW219"/>
  <c r="AV219"/>
  <c r="AU219"/>
  <c r="AT219"/>
  <c r="AS219"/>
  <c r="AR219"/>
  <c r="AQ219"/>
  <c r="AP219"/>
  <c r="AO219"/>
  <c r="AN219"/>
  <c r="AM219"/>
  <c r="AL219"/>
  <c r="AK219"/>
  <c r="AJ219"/>
  <c r="AI219"/>
  <c r="AH219"/>
  <c r="AG219"/>
  <c r="AF219"/>
  <c r="AE219"/>
  <c r="AD219"/>
  <c r="AC219"/>
  <c r="AB219"/>
  <c r="AA219"/>
  <c r="Z219"/>
  <c r="Y219"/>
  <c r="X219"/>
  <c r="W219"/>
  <c r="V219"/>
  <c r="U219"/>
  <c r="T219"/>
  <c r="S219"/>
  <c r="R219"/>
  <c r="Q219"/>
  <c r="P219"/>
  <c r="O219"/>
  <c r="N219"/>
  <c r="M219"/>
  <c r="L219"/>
  <c r="K219"/>
  <c r="J219"/>
  <c r="A219" a="1"/>
  <c r="A219" s="1"/>
  <c r="I219" s="1"/>
  <c r="BA218"/>
  <c r="AZ218"/>
  <c r="AY218"/>
  <c r="AX218"/>
  <c r="AW218"/>
  <c r="AV218"/>
  <c r="AU218"/>
  <c r="AT218"/>
  <c r="AS218"/>
  <c r="AR218"/>
  <c r="AQ218"/>
  <c r="AP218"/>
  <c r="AO218"/>
  <c r="AN218"/>
  <c r="AM218"/>
  <c r="AL218"/>
  <c r="AK218"/>
  <c r="AJ218"/>
  <c r="AI218"/>
  <c r="AH218"/>
  <c r="AG218"/>
  <c r="AF218"/>
  <c r="AE218"/>
  <c r="AD218"/>
  <c r="AC218"/>
  <c r="AB218"/>
  <c r="AA218"/>
  <c r="Z218"/>
  <c r="Y218"/>
  <c r="X218"/>
  <c r="W218"/>
  <c r="V218"/>
  <c r="U218"/>
  <c r="T218"/>
  <c r="S218"/>
  <c r="R218"/>
  <c r="Q218"/>
  <c r="P218"/>
  <c r="O218"/>
  <c r="N218"/>
  <c r="M218"/>
  <c r="L218"/>
  <c r="K218"/>
  <c r="J218"/>
  <c r="A218" a="1"/>
  <c r="A218" s="1"/>
  <c r="I218" s="1"/>
  <c r="BA217"/>
  <c r="AZ217"/>
  <c r="AY217"/>
  <c r="AX217"/>
  <c r="AW217"/>
  <c r="AV217"/>
  <c r="AU217"/>
  <c r="AT217"/>
  <c r="AS217"/>
  <c r="AR217"/>
  <c r="AQ217"/>
  <c r="AP217"/>
  <c r="AO217"/>
  <c r="AN217"/>
  <c r="AM217"/>
  <c r="AL217"/>
  <c r="AK217"/>
  <c r="AJ217"/>
  <c r="AI217"/>
  <c r="AH217"/>
  <c r="AG217"/>
  <c r="AF217"/>
  <c r="AE217"/>
  <c r="AD217"/>
  <c r="AC217"/>
  <c r="AB217"/>
  <c r="AA217"/>
  <c r="Z217"/>
  <c r="Y217"/>
  <c r="X217"/>
  <c r="W217"/>
  <c r="V217"/>
  <c r="U217"/>
  <c r="T217"/>
  <c r="S217"/>
  <c r="R217"/>
  <c r="Q217"/>
  <c r="P217"/>
  <c r="O217"/>
  <c r="N217"/>
  <c r="M217"/>
  <c r="L217"/>
  <c r="K217"/>
  <c r="J217"/>
  <c r="A217" a="1"/>
  <c r="A217" s="1"/>
  <c r="I217" s="1"/>
  <c r="BA216"/>
  <c r="AZ216"/>
  <c r="AY216"/>
  <c r="AX216"/>
  <c r="AW216"/>
  <c r="AV216"/>
  <c r="AU216"/>
  <c r="AT216"/>
  <c r="AS216"/>
  <c r="AR216"/>
  <c r="AQ216"/>
  <c r="AP216"/>
  <c r="AO216"/>
  <c r="AN216"/>
  <c r="AM216"/>
  <c r="AL216"/>
  <c r="AK216"/>
  <c r="AJ216"/>
  <c r="AI216"/>
  <c r="AH216"/>
  <c r="AG216"/>
  <c r="AF216"/>
  <c r="AE216"/>
  <c r="AD216"/>
  <c r="AC216"/>
  <c r="AB216"/>
  <c r="AA216"/>
  <c r="Z216"/>
  <c r="Y216"/>
  <c r="X216"/>
  <c r="W216"/>
  <c r="V216"/>
  <c r="U216"/>
  <c r="T216"/>
  <c r="S216"/>
  <c r="R216"/>
  <c r="Q216"/>
  <c r="P216"/>
  <c r="O216"/>
  <c r="N216"/>
  <c r="M216"/>
  <c r="L216"/>
  <c r="K216"/>
  <c r="J216"/>
  <c r="A216" a="1"/>
  <c r="A216" s="1"/>
  <c r="I216" s="1"/>
  <c r="BA215"/>
  <c r="AZ215"/>
  <c r="AY215"/>
  <c r="AX215"/>
  <c r="AW215"/>
  <c r="AV215"/>
  <c r="AU215"/>
  <c r="AT215"/>
  <c r="AS215"/>
  <c r="AR215"/>
  <c r="AQ215"/>
  <c r="AP215"/>
  <c r="AO215"/>
  <c r="AN215"/>
  <c r="AM215"/>
  <c r="AL215"/>
  <c r="AK215"/>
  <c r="AJ215"/>
  <c r="AI215"/>
  <c r="AH215"/>
  <c r="AG215"/>
  <c r="AF215"/>
  <c r="AE215"/>
  <c r="AD215"/>
  <c r="AC215"/>
  <c r="AB215"/>
  <c r="AA215"/>
  <c r="Z215"/>
  <c r="Y215"/>
  <c r="X215"/>
  <c r="W215"/>
  <c r="V215"/>
  <c r="U215"/>
  <c r="T215"/>
  <c r="S215"/>
  <c r="R215"/>
  <c r="Q215"/>
  <c r="P215"/>
  <c r="O215"/>
  <c r="N215"/>
  <c r="M215"/>
  <c r="L215"/>
  <c r="K215"/>
  <c r="J215"/>
  <c r="A215" a="1"/>
  <c r="A215" s="1"/>
  <c r="I215" s="1"/>
  <c r="BA214"/>
  <c r="AZ214"/>
  <c r="AY214"/>
  <c r="AX214"/>
  <c r="AW214"/>
  <c r="AV214"/>
  <c r="AU214"/>
  <c r="AT214"/>
  <c r="AS214"/>
  <c r="AR214"/>
  <c r="AQ214"/>
  <c r="AP214"/>
  <c r="AO214"/>
  <c r="AN214"/>
  <c r="AM214"/>
  <c r="AL214"/>
  <c r="AK214"/>
  <c r="AJ214"/>
  <c r="AI214"/>
  <c r="AH214"/>
  <c r="AG214"/>
  <c r="AF214"/>
  <c r="AE214"/>
  <c r="AD214"/>
  <c r="AC214"/>
  <c r="AB214"/>
  <c r="AA214"/>
  <c r="Z214"/>
  <c r="Y214"/>
  <c r="X214"/>
  <c r="W214"/>
  <c r="V214"/>
  <c r="U214"/>
  <c r="T214"/>
  <c r="S214"/>
  <c r="R214"/>
  <c r="Q214"/>
  <c r="P214"/>
  <c r="O214"/>
  <c r="N214"/>
  <c r="M214"/>
  <c r="L214"/>
  <c r="K214"/>
  <c r="J214"/>
  <c r="A214" a="1"/>
  <c r="A214" s="1"/>
  <c r="I214" s="1"/>
  <c r="BA213"/>
  <c r="AZ213"/>
  <c r="AY213"/>
  <c r="AX213"/>
  <c r="AW213"/>
  <c r="AV213"/>
  <c r="AU213"/>
  <c r="AT213"/>
  <c r="AS213"/>
  <c r="AR213"/>
  <c r="AQ213"/>
  <c r="AP213"/>
  <c r="AO213"/>
  <c r="AN213"/>
  <c r="AM213"/>
  <c r="AL213"/>
  <c r="AK213"/>
  <c r="AJ213"/>
  <c r="AI213"/>
  <c r="AH213"/>
  <c r="AG213"/>
  <c r="AF213"/>
  <c r="AE213"/>
  <c r="AD213"/>
  <c r="AC213"/>
  <c r="AB213"/>
  <c r="AA213"/>
  <c r="Z213"/>
  <c r="Y213"/>
  <c r="X213"/>
  <c r="W213"/>
  <c r="V213"/>
  <c r="U213"/>
  <c r="T213"/>
  <c r="S213"/>
  <c r="R213"/>
  <c r="Q213"/>
  <c r="P213"/>
  <c r="O213"/>
  <c r="N213"/>
  <c r="M213"/>
  <c r="L213"/>
  <c r="K213"/>
  <c r="J213"/>
  <c r="A213" a="1"/>
  <c r="A213" s="1"/>
  <c r="I213" s="1"/>
  <c r="BA212"/>
  <c r="AZ212"/>
  <c r="AY212"/>
  <c r="AX212"/>
  <c r="AW212"/>
  <c r="AV212"/>
  <c r="AU212"/>
  <c r="AT212"/>
  <c r="AS212"/>
  <c r="AR212"/>
  <c r="AQ212"/>
  <c r="AP212"/>
  <c r="AO212"/>
  <c r="AN212"/>
  <c r="AM212"/>
  <c r="AL212"/>
  <c r="AK212"/>
  <c r="AJ212"/>
  <c r="AI212"/>
  <c r="AH212"/>
  <c r="AG212"/>
  <c r="AF212"/>
  <c r="AE212"/>
  <c r="AD212"/>
  <c r="AC212"/>
  <c r="AB212"/>
  <c r="AA212"/>
  <c r="Z212"/>
  <c r="Y212"/>
  <c r="X212"/>
  <c r="W212"/>
  <c r="V212"/>
  <c r="U212"/>
  <c r="T212"/>
  <c r="S212"/>
  <c r="R212"/>
  <c r="Q212"/>
  <c r="P212"/>
  <c r="O212"/>
  <c r="N212"/>
  <c r="M212"/>
  <c r="L212"/>
  <c r="K212"/>
  <c r="J212"/>
  <c r="A212" a="1"/>
  <c r="A212" s="1"/>
  <c r="I212" s="1"/>
  <c r="BA211"/>
  <c r="AZ211"/>
  <c r="AY211"/>
  <c r="AX211"/>
  <c r="AW211"/>
  <c r="AV211"/>
  <c r="AU211"/>
  <c r="AT211"/>
  <c r="AS211"/>
  <c r="AR211"/>
  <c r="AQ211"/>
  <c r="AP211"/>
  <c r="AO211"/>
  <c r="AN211"/>
  <c r="AM211"/>
  <c r="AL211"/>
  <c r="AK211"/>
  <c r="AJ211"/>
  <c r="AI211"/>
  <c r="AH211"/>
  <c r="AG211"/>
  <c r="AF211"/>
  <c r="AE211"/>
  <c r="AD211"/>
  <c r="AC211"/>
  <c r="AB211"/>
  <c r="AA211"/>
  <c r="Z211"/>
  <c r="Y211"/>
  <c r="X211"/>
  <c r="W211"/>
  <c r="V211"/>
  <c r="U211"/>
  <c r="T211"/>
  <c r="S211"/>
  <c r="R211"/>
  <c r="Q211"/>
  <c r="P211"/>
  <c r="O211"/>
  <c r="N211"/>
  <c r="M211"/>
  <c r="L211"/>
  <c r="K211"/>
  <c r="J211"/>
  <c r="A211" a="1"/>
  <c r="A211" s="1"/>
  <c r="I211" s="1"/>
  <c r="BA210"/>
  <c r="AZ210"/>
  <c r="AY210"/>
  <c r="AX210"/>
  <c r="AW210"/>
  <c r="AV210"/>
  <c r="AU210"/>
  <c r="AT210"/>
  <c r="AS210"/>
  <c r="AR210"/>
  <c r="AQ210"/>
  <c r="AP210"/>
  <c r="AO210"/>
  <c r="AN210"/>
  <c r="AM210"/>
  <c r="AL210"/>
  <c r="AK210"/>
  <c r="AJ210"/>
  <c r="AI210"/>
  <c r="AH210"/>
  <c r="AG210"/>
  <c r="AF210"/>
  <c r="AE210"/>
  <c r="AD210"/>
  <c r="AC210"/>
  <c r="AB210"/>
  <c r="AA210"/>
  <c r="Z210"/>
  <c r="Y210"/>
  <c r="X210"/>
  <c r="W210"/>
  <c r="V210"/>
  <c r="U210"/>
  <c r="T210"/>
  <c r="S210"/>
  <c r="R210"/>
  <c r="Q210"/>
  <c r="P210"/>
  <c r="O210"/>
  <c r="N210"/>
  <c r="M210"/>
  <c r="L210"/>
  <c r="K210"/>
  <c r="J210"/>
  <c r="A210" a="1"/>
  <c r="A210" s="1"/>
  <c r="I210" s="1"/>
  <c r="BA209"/>
  <c r="AZ209"/>
  <c r="AY209"/>
  <c r="AX209"/>
  <c r="AW209"/>
  <c r="AV209"/>
  <c r="AU209"/>
  <c r="AT209"/>
  <c r="AS209"/>
  <c r="AR209"/>
  <c r="AQ209"/>
  <c r="AP209"/>
  <c r="AO209"/>
  <c r="AN209"/>
  <c r="AM209"/>
  <c r="AL209"/>
  <c r="AK209"/>
  <c r="AJ209"/>
  <c r="AI209"/>
  <c r="AH209"/>
  <c r="AG209"/>
  <c r="AF209"/>
  <c r="AE209"/>
  <c r="AD209"/>
  <c r="AC209"/>
  <c r="AB209"/>
  <c r="AA209"/>
  <c r="Z209"/>
  <c r="Y209"/>
  <c r="X209"/>
  <c r="W209"/>
  <c r="V209"/>
  <c r="U209"/>
  <c r="T209"/>
  <c r="S209"/>
  <c r="R209"/>
  <c r="Q209"/>
  <c r="P209"/>
  <c r="O209"/>
  <c r="N209"/>
  <c r="M209"/>
  <c r="L209"/>
  <c r="K209"/>
  <c r="J209"/>
  <c r="A209" a="1"/>
  <c r="A209" s="1"/>
  <c r="I209" s="1"/>
  <c r="BA208"/>
  <c r="AZ208"/>
  <c r="AY208"/>
  <c r="AX208"/>
  <c r="AW208"/>
  <c r="AV208"/>
  <c r="AU208"/>
  <c r="AT208"/>
  <c r="AS208"/>
  <c r="AR208"/>
  <c r="AQ208"/>
  <c r="AP208"/>
  <c r="AO208"/>
  <c r="AN208"/>
  <c r="AM208"/>
  <c r="AL208"/>
  <c r="AK208"/>
  <c r="AJ208"/>
  <c r="AI208"/>
  <c r="AH208"/>
  <c r="AG208"/>
  <c r="AF208"/>
  <c r="AE208"/>
  <c r="AD208"/>
  <c r="AC208"/>
  <c r="AB208"/>
  <c r="AA208"/>
  <c r="Z208"/>
  <c r="Y208"/>
  <c r="X208"/>
  <c r="W208"/>
  <c r="V208"/>
  <c r="U208"/>
  <c r="T208"/>
  <c r="S208"/>
  <c r="R208"/>
  <c r="Q208"/>
  <c r="P208"/>
  <c r="O208"/>
  <c r="N208"/>
  <c r="M208"/>
  <c r="L208"/>
  <c r="K208"/>
  <c r="J208"/>
  <c r="A208" a="1"/>
  <c r="A208" s="1"/>
  <c r="I208" s="1"/>
  <c r="BA207"/>
  <c r="AZ207"/>
  <c r="AY207"/>
  <c r="AX207"/>
  <c r="AW207"/>
  <c r="AV207"/>
  <c r="AU207"/>
  <c r="AT207"/>
  <c r="AS207"/>
  <c r="AR207"/>
  <c r="AQ207"/>
  <c r="AP207"/>
  <c r="AO207"/>
  <c r="AN207"/>
  <c r="AM207"/>
  <c r="AL207"/>
  <c r="AK207"/>
  <c r="AJ207"/>
  <c r="AI207"/>
  <c r="AH207"/>
  <c r="AG207"/>
  <c r="AF207"/>
  <c r="AE207"/>
  <c r="AD207"/>
  <c r="AC207"/>
  <c r="AB207"/>
  <c r="AA207"/>
  <c r="Z207"/>
  <c r="Y207"/>
  <c r="X207"/>
  <c r="W207"/>
  <c r="V207"/>
  <c r="U207"/>
  <c r="T207"/>
  <c r="S207"/>
  <c r="R207"/>
  <c r="Q207"/>
  <c r="P207"/>
  <c r="O207"/>
  <c r="N207"/>
  <c r="M207"/>
  <c r="L207"/>
  <c r="K207"/>
  <c r="J207"/>
  <c r="A207" a="1"/>
  <c r="A207" s="1"/>
  <c r="I207" s="1"/>
  <c r="BA206"/>
  <c r="AZ206"/>
  <c r="AY206"/>
  <c r="AX206"/>
  <c r="AW206"/>
  <c r="AV206"/>
  <c r="AU206"/>
  <c r="AT206"/>
  <c r="AS206"/>
  <c r="AR206"/>
  <c r="AQ206"/>
  <c r="AP206"/>
  <c r="AO206"/>
  <c r="AN206"/>
  <c r="AM206"/>
  <c r="AL206"/>
  <c r="AK206"/>
  <c r="AJ206"/>
  <c r="AI206"/>
  <c r="AH206"/>
  <c r="AG206"/>
  <c r="AF206"/>
  <c r="AE206"/>
  <c r="AD206"/>
  <c r="AC206"/>
  <c r="AB206"/>
  <c r="AA206"/>
  <c r="Z206"/>
  <c r="Y206"/>
  <c r="X206"/>
  <c r="W206"/>
  <c r="V206"/>
  <c r="U206"/>
  <c r="T206"/>
  <c r="S206"/>
  <c r="R206"/>
  <c r="Q206"/>
  <c r="P206"/>
  <c r="O206"/>
  <c r="N206"/>
  <c r="M206"/>
  <c r="L206"/>
  <c r="K206"/>
  <c r="J206"/>
  <c r="A206" a="1"/>
  <c r="A206" s="1"/>
  <c r="I206" s="1"/>
  <c r="BA205"/>
  <c r="AZ205"/>
  <c r="AY205"/>
  <c r="AX205"/>
  <c r="AW205"/>
  <c r="AV205"/>
  <c r="AU205"/>
  <c r="AT205"/>
  <c r="AS205"/>
  <c r="AR205"/>
  <c r="AQ205"/>
  <c r="AP205"/>
  <c r="AO205"/>
  <c r="AN205"/>
  <c r="AM205"/>
  <c r="AL205"/>
  <c r="AK205"/>
  <c r="AJ205"/>
  <c r="AI205"/>
  <c r="AH205"/>
  <c r="AG205"/>
  <c r="AF205"/>
  <c r="AE205"/>
  <c r="AD205"/>
  <c r="AC205"/>
  <c r="AB205"/>
  <c r="AA205"/>
  <c r="Z205"/>
  <c r="Y205"/>
  <c r="X205"/>
  <c r="W205"/>
  <c r="V205"/>
  <c r="U205"/>
  <c r="T205"/>
  <c r="S205"/>
  <c r="R205"/>
  <c r="Q205"/>
  <c r="P205"/>
  <c r="O205"/>
  <c r="N205"/>
  <c r="M205"/>
  <c r="L205"/>
  <c r="K205"/>
  <c r="J205"/>
  <c r="A205" a="1"/>
  <c r="A205" s="1"/>
  <c r="I205" s="1"/>
  <c r="BA204"/>
  <c r="AZ204"/>
  <c r="AY204"/>
  <c r="AX204"/>
  <c r="AW204"/>
  <c r="AV204"/>
  <c r="AU204"/>
  <c r="AT204"/>
  <c r="AS204"/>
  <c r="AR204"/>
  <c r="AQ204"/>
  <c r="AP204"/>
  <c r="AO204"/>
  <c r="AN204"/>
  <c r="AM204"/>
  <c r="AL204"/>
  <c r="AK204"/>
  <c r="AJ204"/>
  <c r="AI204"/>
  <c r="AH204"/>
  <c r="AG204"/>
  <c r="AF204"/>
  <c r="AE204"/>
  <c r="AD204"/>
  <c r="AC204"/>
  <c r="AB204"/>
  <c r="AA204"/>
  <c r="Z204"/>
  <c r="Y204"/>
  <c r="X204"/>
  <c r="W204"/>
  <c r="V204"/>
  <c r="U204"/>
  <c r="T204"/>
  <c r="S204"/>
  <c r="R204"/>
  <c r="Q204"/>
  <c r="P204"/>
  <c r="O204"/>
  <c r="N204"/>
  <c r="M204"/>
  <c r="L204"/>
  <c r="K204"/>
  <c r="J204"/>
  <c r="A204" a="1"/>
  <c r="A204" s="1"/>
  <c r="I204" s="1"/>
  <c r="BA203"/>
  <c r="AZ203"/>
  <c r="AY203"/>
  <c r="AX203"/>
  <c r="AW203"/>
  <c r="AV203"/>
  <c r="AU203"/>
  <c r="AT203"/>
  <c r="AS203"/>
  <c r="AR203"/>
  <c r="AQ203"/>
  <c r="AP203"/>
  <c r="AO203"/>
  <c r="AN203"/>
  <c r="AM203"/>
  <c r="AL203"/>
  <c r="AK203"/>
  <c r="AJ203"/>
  <c r="AI203"/>
  <c r="AH203"/>
  <c r="AG203"/>
  <c r="AF203"/>
  <c r="AE203"/>
  <c r="AD203"/>
  <c r="AC203"/>
  <c r="AB203"/>
  <c r="AA203"/>
  <c r="Z203"/>
  <c r="Y203"/>
  <c r="X203"/>
  <c r="W203"/>
  <c r="V203"/>
  <c r="U203"/>
  <c r="T203"/>
  <c r="S203"/>
  <c r="R203"/>
  <c r="Q203"/>
  <c r="P203"/>
  <c r="O203"/>
  <c r="N203"/>
  <c r="M203"/>
  <c r="L203"/>
  <c r="K203"/>
  <c r="J203"/>
  <c r="A203" a="1"/>
  <c r="A203" s="1"/>
  <c r="I203" s="1"/>
  <c r="BA202"/>
  <c r="AZ202"/>
  <c r="AY202"/>
  <c r="AX202"/>
  <c r="AW202"/>
  <c r="AV202"/>
  <c r="AU202"/>
  <c r="AT202"/>
  <c r="AS202"/>
  <c r="AR202"/>
  <c r="AQ202"/>
  <c r="AP202"/>
  <c r="AO202"/>
  <c r="AN202"/>
  <c r="AM202"/>
  <c r="AL202"/>
  <c r="AK202"/>
  <c r="AJ202"/>
  <c r="AI202"/>
  <c r="AH202"/>
  <c r="AG202"/>
  <c r="AF202"/>
  <c r="AE202"/>
  <c r="AD202"/>
  <c r="AC202"/>
  <c r="AB202"/>
  <c r="AA202"/>
  <c r="Z202"/>
  <c r="Y202"/>
  <c r="X202"/>
  <c r="W202"/>
  <c r="V202"/>
  <c r="U202"/>
  <c r="T202"/>
  <c r="S202"/>
  <c r="R202"/>
  <c r="Q202"/>
  <c r="P202"/>
  <c r="O202"/>
  <c r="N202"/>
  <c r="M202"/>
  <c r="L202"/>
  <c r="K202"/>
  <c r="J202"/>
  <c r="A202" a="1"/>
  <c r="A202" s="1"/>
  <c r="I202" s="1"/>
  <c r="BA201"/>
  <c r="AZ201"/>
  <c r="AY201"/>
  <c r="AX201"/>
  <c r="AW201"/>
  <c r="AV201"/>
  <c r="AU201"/>
  <c r="AT201"/>
  <c r="AS201"/>
  <c r="AR201"/>
  <c r="AQ201"/>
  <c r="AP201"/>
  <c r="AO201"/>
  <c r="AN201"/>
  <c r="AM201"/>
  <c r="AL201"/>
  <c r="AK201"/>
  <c r="AJ201"/>
  <c r="AI201"/>
  <c r="AH201"/>
  <c r="AG201"/>
  <c r="AF201"/>
  <c r="AE201"/>
  <c r="AD201"/>
  <c r="AC201"/>
  <c r="AB201"/>
  <c r="AA201"/>
  <c r="Z201"/>
  <c r="Y201"/>
  <c r="X201"/>
  <c r="W201"/>
  <c r="V201"/>
  <c r="U201"/>
  <c r="T201"/>
  <c r="S201"/>
  <c r="R201"/>
  <c r="Q201"/>
  <c r="P201"/>
  <c r="O201"/>
  <c r="N201"/>
  <c r="M201"/>
  <c r="L201"/>
  <c r="K201"/>
  <c r="J201"/>
  <c r="A201" a="1"/>
  <c r="A201" s="1"/>
  <c r="I201" s="1"/>
  <c r="BA200"/>
  <c r="AZ200"/>
  <c r="AY200"/>
  <c r="AX200"/>
  <c r="AW200"/>
  <c r="AV200"/>
  <c r="AU200"/>
  <c r="AT200"/>
  <c r="AS200"/>
  <c r="AR200"/>
  <c r="AQ200"/>
  <c r="AP200"/>
  <c r="AO200"/>
  <c r="AN200"/>
  <c r="AM200"/>
  <c r="AL200"/>
  <c r="AK200"/>
  <c r="AJ200"/>
  <c r="AI200"/>
  <c r="AH200"/>
  <c r="AG200"/>
  <c r="AF200"/>
  <c r="AE200"/>
  <c r="AD200"/>
  <c r="AC200"/>
  <c r="AB200"/>
  <c r="AA200"/>
  <c r="Z200"/>
  <c r="Y200"/>
  <c r="X200"/>
  <c r="W200"/>
  <c r="V200"/>
  <c r="U200"/>
  <c r="T200"/>
  <c r="S200"/>
  <c r="R200"/>
  <c r="Q200"/>
  <c r="P200"/>
  <c r="O200"/>
  <c r="N200"/>
  <c r="M200"/>
  <c r="L200"/>
  <c r="K200"/>
  <c r="J200"/>
  <c r="A200" a="1"/>
  <c r="A200" s="1"/>
  <c r="I200" s="1"/>
  <c r="BA199"/>
  <c r="AZ199"/>
  <c r="AY199"/>
  <c r="AX199"/>
  <c r="AW199"/>
  <c r="AV199"/>
  <c r="AU199"/>
  <c r="AT199"/>
  <c r="AS199"/>
  <c r="AR199"/>
  <c r="AQ199"/>
  <c r="AP199"/>
  <c r="AO199"/>
  <c r="AN199"/>
  <c r="AM199"/>
  <c r="AL199"/>
  <c r="AK199"/>
  <c r="AJ199"/>
  <c r="AI199"/>
  <c r="AH199"/>
  <c r="AG199"/>
  <c r="AF199"/>
  <c r="AE199"/>
  <c r="AD199"/>
  <c r="AC199"/>
  <c r="AB199"/>
  <c r="AA199"/>
  <c r="Z199"/>
  <c r="Y199"/>
  <c r="X199"/>
  <c r="W199"/>
  <c r="V199"/>
  <c r="U199"/>
  <c r="T199"/>
  <c r="S199"/>
  <c r="R199"/>
  <c r="Q199"/>
  <c r="P199"/>
  <c r="O199"/>
  <c r="N199"/>
  <c r="M199"/>
  <c r="L199"/>
  <c r="K199"/>
  <c r="J199"/>
  <c r="A199" a="1"/>
  <c r="A199" s="1"/>
  <c r="I199" s="1"/>
  <c r="BA198"/>
  <c r="AZ198"/>
  <c r="AY198"/>
  <c r="AX198"/>
  <c r="AW198"/>
  <c r="AV198"/>
  <c r="AU198"/>
  <c r="AT198"/>
  <c r="AS198"/>
  <c r="AR198"/>
  <c r="AQ198"/>
  <c r="AP198"/>
  <c r="AO198"/>
  <c r="AN198"/>
  <c r="AM198"/>
  <c r="AL198"/>
  <c r="AK198"/>
  <c r="AJ198"/>
  <c r="AI198"/>
  <c r="AH198"/>
  <c r="AG198"/>
  <c r="AF198"/>
  <c r="AE198"/>
  <c r="AD198"/>
  <c r="AC198"/>
  <c r="AB198"/>
  <c r="AA198"/>
  <c r="Z198"/>
  <c r="Y198"/>
  <c r="X198"/>
  <c r="W198"/>
  <c r="V198"/>
  <c r="U198"/>
  <c r="T198"/>
  <c r="S198"/>
  <c r="R198"/>
  <c r="Q198"/>
  <c r="P198"/>
  <c r="O198"/>
  <c r="N198"/>
  <c r="M198"/>
  <c r="L198"/>
  <c r="K198"/>
  <c r="J198"/>
  <c r="A198" a="1"/>
  <c r="A198" s="1"/>
  <c r="I198" s="1"/>
  <c r="BA197"/>
  <c r="AZ197"/>
  <c r="AY197"/>
  <c r="AX197"/>
  <c r="AW197"/>
  <c r="AV197"/>
  <c r="AU197"/>
  <c r="AT197"/>
  <c r="AS197"/>
  <c r="AR197"/>
  <c r="AQ197"/>
  <c r="AP197"/>
  <c r="AO197"/>
  <c r="AN197"/>
  <c r="AM197"/>
  <c r="AL197"/>
  <c r="AK197"/>
  <c r="AJ197"/>
  <c r="AI197"/>
  <c r="AH197"/>
  <c r="AG197"/>
  <c r="AF197"/>
  <c r="AE197"/>
  <c r="AD197"/>
  <c r="AC197"/>
  <c r="AB197"/>
  <c r="AA197"/>
  <c r="Z197"/>
  <c r="Y197"/>
  <c r="X197"/>
  <c r="W197"/>
  <c r="V197"/>
  <c r="U197"/>
  <c r="T197"/>
  <c r="S197"/>
  <c r="R197"/>
  <c r="Q197"/>
  <c r="P197"/>
  <c r="O197"/>
  <c r="N197"/>
  <c r="M197"/>
  <c r="L197"/>
  <c r="K197"/>
  <c r="J197"/>
  <c r="A197" a="1"/>
  <c r="A197" s="1"/>
  <c r="I197" s="1"/>
  <c r="BA196"/>
  <c r="AZ196"/>
  <c r="AY196"/>
  <c r="AX196"/>
  <c r="AW196"/>
  <c r="AV196"/>
  <c r="AU196"/>
  <c r="AT196"/>
  <c r="AS196"/>
  <c r="AR196"/>
  <c r="AQ196"/>
  <c r="AP196"/>
  <c r="AO196"/>
  <c r="AN196"/>
  <c r="AM196"/>
  <c r="AL196"/>
  <c r="AK196"/>
  <c r="AJ196"/>
  <c r="AI196"/>
  <c r="AH196"/>
  <c r="AG196"/>
  <c r="AF196"/>
  <c r="AE196"/>
  <c r="AD196"/>
  <c r="AC196"/>
  <c r="AB196"/>
  <c r="AA196"/>
  <c r="Z196"/>
  <c r="Y196"/>
  <c r="X196"/>
  <c r="W196"/>
  <c r="V196"/>
  <c r="U196"/>
  <c r="T196"/>
  <c r="S196"/>
  <c r="R196"/>
  <c r="Q196"/>
  <c r="P196"/>
  <c r="O196"/>
  <c r="N196"/>
  <c r="M196"/>
  <c r="L196"/>
  <c r="K196"/>
  <c r="J196"/>
  <c r="A196" a="1"/>
  <c r="A196" s="1"/>
  <c r="I196" s="1"/>
  <c r="BA195"/>
  <c r="AZ195"/>
  <c r="AY195"/>
  <c r="AX195"/>
  <c r="AW195"/>
  <c r="AV195"/>
  <c r="AU195"/>
  <c r="AT195"/>
  <c r="AS195"/>
  <c r="AR195"/>
  <c r="AQ195"/>
  <c r="AP195"/>
  <c r="AO195"/>
  <c r="AN195"/>
  <c r="AM195"/>
  <c r="AL195"/>
  <c r="AK195"/>
  <c r="AJ195"/>
  <c r="AI195"/>
  <c r="AH195"/>
  <c r="AG195"/>
  <c r="AF195"/>
  <c r="AE195"/>
  <c r="AD195"/>
  <c r="AC195"/>
  <c r="AB195"/>
  <c r="AA195"/>
  <c r="Z195"/>
  <c r="Y195"/>
  <c r="X195"/>
  <c r="W195"/>
  <c r="V195"/>
  <c r="U195"/>
  <c r="T195"/>
  <c r="S195"/>
  <c r="R195"/>
  <c r="Q195"/>
  <c r="P195"/>
  <c r="O195"/>
  <c r="N195"/>
  <c r="M195"/>
  <c r="L195"/>
  <c r="K195"/>
  <c r="J195"/>
  <c r="A195" a="1"/>
  <c r="A195" s="1"/>
  <c r="I195" s="1"/>
  <c r="BA194"/>
  <c r="AZ194"/>
  <c r="AY194"/>
  <c r="AX194"/>
  <c r="AW194"/>
  <c r="AV194"/>
  <c r="AU194"/>
  <c r="AT194"/>
  <c r="AS194"/>
  <c r="AR194"/>
  <c r="AQ194"/>
  <c r="AP194"/>
  <c r="AO194"/>
  <c r="AN194"/>
  <c r="AM194"/>
  <c r="AL194"/>
  <c r="AK194"/>
  <c r="AJ194"/>
  <c r="AI194"/>
  <c r="AH194"/>
  <c r="AG194"/>
  <c r="AF194"/>
  <c r="AE194"/>
  <c r="AD194"/>
  <c r="AC194"/>
  <c r="AB194"/>
  <c r="AA194"/>
  <c r="Z194"/>
  <c r="Y194"/>
  <c r="X194"/>
  <c r="W194"/>
  <c r="V194"/>
  <c r="U194"/>
  <c r="T194"/>
  <c r="S194"/>
  <c r="R194"/>
  <c r="Q194"/>
  <c r="P194"/>
  <c r="O194"/>
  <c r="N194"/>
  <c r="M194"/>
  <c r="L194"/>
  <c r="K194"/>
  <c r="J194"/>
  <c r="A194" a="1"/>
  <c r="A194" s="1"/>
  <c r="I194" s="1"/>
  <c r="BA193"/>
  <c r="AZ193"/>
  <c r="AY193"/>
  <c r="AX193"/>
  <c r="AW193"/>
  <c r="AV193"/>
  <c r="AU193"/>
  <c r="AT193"/>
  <c r="AS193"/>
  <c r="AR193"/>
  <c r="AQ193"/>
  <c r="AP193"/>
  <c r="AO193"/>
  <c r="AN193"/>
  <c r="AM193"/>
  <c r="AL193"/>
  <c r="AK193"/>
  <c r="AJ193"/>
  <c r="AI193"/>
  <c r="AH193"/>
  <c r="AG193"/>
  <c r="AF193"/>
  <c r="AE193"/>
  <c r="AD193"/>
  <c r="AC193"/>
  <c r="AB193"/>
  <c r="AA193"/>
  <c r="Z193"/>
  <c r="Y193"/>
  <c r="X193"/>
  <c r="W193"/>
  <c r="V193"/>
  <c r="U193"/>
  <c r="T193"/>
  <c r="S193"/>
  <c r="R193"/>
  <c r="Q193"/>
  <c r="P193"/>
  <c r="O193"/>
  <c r="N193"/>
  <c r="M193"/>
  <c r="L193"/>
  <c r="K193"/>
  <c r="J193"/>
  <c r="A193" a="1"/>
  <c r="A193" s="1"/>
  <c r="I193" s="1"/>
  <c r="BA192"/>
  <c r="AZ192"/>
  <c r="AY192"/>
  <c r="AX192"/>
  <c r="AW192"/>
  <c r="AV192"/>
  <c r="AU192"/>
  <c r="AT192"/>
  <c r="AS192"/>
  <c r="AR192"/>
  <c r="AQ192"/>
  <c r="AP192"/>
  <c r="AO192"/>
  <c r="AN192"/>
  <c r="AM192"/>
  <c r="AL192"/>
  <c r="AK192"/>
  <c r="AJ192"/>
  <c r="AI192"/>
  <c r="AH192"/>
  <c r="AG192"/>
  <c r="AF192"/>
  <c r="AE192"/>
  <c r="AD192"/>
  <c r="AC192"/>
  <c r="AB192"/>
  <c r="AA192"/>
  <c r="Z192"/>
  <c r="Y192"/>
  <c r="X192"/>
  <c r="W192"/>
  <c r="V192"/>
  <c r="U192"/>
  <c r="T192"/>
  <c r="S192"/>
  <c r="R192"/>
  <c r="Q192"/>
  <c r="P192"/>
  <c r="O192"/>
  <c r="N192"/>
  <c r="M192"/>
  <c r="L192"/>
  <c r="K192"/>
  <c r="J192"/>
  <c r="A192" a="1"/>
  <c r="A192" s="1"/>
  <c r="I192" s="1"/>
  <c r="BA191"/>
  <c r="AZ191"/>
  <c r="AY191"/>
  <c r="AX191"/>
  <c r="AW191"/>
  <c r="AV191"/>
  <c r="AU191"/>
  <c r="AT191"/>
  <c r="AS191"/>
  <c r="AR191"/>
  <c r="AQ191"/>
  <c r="AP191"/>
  <c r="AO191"/>
  <c r="AN191"/>
  <c r="AM191"/>
  <c r="AL191"/>
  <c r="AK191"/>
  <c r="AJ191"/>
  <c r="AI191"/>
  <c r="AH191"/>
  <c r="AG191"/>
  <c r="AF191"/>
  <c r="AE191"/>
  <c r="AD191"/>
  <c r="AC191"/>
  <c r="AB191"/>
  <c r="AA191"/>
  <c r="Z191"/>
  <c r="Y191"/>
  <c r="X191"/>
  <c r="W191"/>
  <c r="V191"/>
  <c r="U191"/>
  <c r="T191"/>
  <c r="S191"/>
  <c r="R191"/>
  <c r="Q191"/>
  <c r="P191"/>
  <c r="O191"/>
  <c r="N191"/>
  <c r="M191"/>
  <c r="L191"/>
  <c r="K191"/>
  <c r="J191"/>
  <c r="A191" a="1"/>
  <c r="A191" s="1"/>
  <c r="I191" s="1"/>
  <c r="BA190"/>
  <c r="AZ190"/>
  <c r="AY190"/>
  <c r="AX190"/>
  <c r="AW190"/>
  <c r="AV190"/>
  <c r="AU190"/>
  <c r="AT190"/>
  <c r="AS190"/>
  <c r="AR190"/>
  <c r="AQ190"/>
  <c r="AP190"/>
  <c r="AO190"/>
  <c r="AN190"/>
  <c r="AM190"/>
  <c r="AL190"/>
  <c r="AK190"/>
  <c r="AJ190"/>
  <c r="AI190"/>
  <c r="AH190"/>
  <c r="AG190"/>
  <c r="AF190"/>
  <c r="AE190"/>
  <c r="AD190"/>
  <c r="AC190"/>
  <c r="AB190"/>
  <c r="AA190"/>
  <c r="Z190"/>
  <c r="Y190"/>
  <c r="X190"/>
  <c r="W190"/>
  <c r="V190"/>
  <c r="U190"/>
  <c r="T190"/>
  <c r="S190"/>
  <c r="R190"/>
  <c r="Q190"/>
  <c r="P190"/>
  <c r="O190"/>
  <c r="N190"/>
  <c r="M190"/>
  <c r="L190"/>
  <c r="K190"/>
  <c r="J190"/>
  <c r="A190" a="1"/>
  <c r="A190" s="1"/>
  <c r="I190" s="1"/>
  <c r="BA189"/>
  <c r="AZ189"/>
  <c r="AY189"/>
  <c r="AX189"/>
  <c r="AW189"/>
  <c r="AV189"/>
  <c r="AU189"/>
  <c r="AT189"/>
  <c r="AS189"/>
  <c r="AR189"/>
  <c r="AQ189"/>
  <c r="AP189"/>
  <c r="AO189"/>
  <c r="AN189"/>
  <c r="AM189"/>
  <c r="AL189"/>
  <c r="AK189"/>
  <c r="AJ189"/>
  <c r="AI189"/>
  <c r="AH189"/>
  <c r="AG189"/>
  <c r="AF189"/>
  <c r="AE189"/>
  <c r="AD189"/>
  <c r="AC189"/>
  <c r="AB189"/>
  <c r="AA189"/>
  <c r="Z189"/>
  <c r="Y189"/>
  <c r="X189"/>
  <c r="W189"/>
  <c r="V189"/>
  <c r="U189"/>
  <c r="T189"/>
  <c r="S189"/>
  <c r="R189"/>
  <c r="Q189"/>
  <c r="P189"/>
  <c r="O189"/>
  <c r="N189"/>
  <c r="M189"/>
  <c r="L189"/>
  <c r="K189"/>
  <c r="J189"/>
  <c r="A189" a="1"/>
  <c r="A189" s="1"/>
  <c r="I189" s="1"/>
  <c r="BA188"/>
  <c r="AZ188"/>
  <c r="AY188"/>
  <c r="AX188"/>
  <c r="AW188"/>
  <c r="AV188"/>
  <c r="AU188"/>
  <c r="AT188"/>
  <c r="AS188"/>
  <c r="AR188"/>
  <c r="AQ188"/>
  <c r="AP188"/>
  <c r="AO188"/>
  <c r="AN188"/>
  <c r="AM188"/>
  <c r="AL188"/>
  <c r="AK188"/>
  <c r="AJ188"/>
  <c r="AI188"/>
  <c r="AH188"/>
  <c r="AG188"/>
  <c r="AF188"/>
  <c r="AE188"/>
  <c r="AD188"/>
  <c r="AC188"/>
  <c r="AB188"/>
  <c r="AA188"/>
  <c r="Z188"/>
  <c r="Y188"/>
  <c r="X188"/>
  <c r="W188"/>
  <c r="V188"/>
  <c r="U188"/>
  <c r="T188"/>
  <c r="S188"/>
  <c r="R188"/>
  <c r="Q188"/>
  <c r="P188"/>
  <c r="O188"/>
  <c r="N188"/>
  <c r="M188"/>
  <c r="L188"/>
  <c r="K188"/>
  <c r="J188"/>
  <c r="A188" a="1"/>
  <c r="A188" s="1"/>
  <c r="I188" s="1"/>
  <c r="BA187"/>
  <c r="AZ187"/>
  <c r="AY187"/>
  <c r="AX187"/>
  <c r="AW187"/>
  <c r="AV187"/>
  <c r="AU187"/>
  <c r="AT187"/>
  <c r="AS187"/>
  <c r="AR187"/>
  <c r="AQ187"/>
  <c r="AP187"/>
  <c r="AO187"/>
  <c r="AN187"/>
  <c r="AM187"/>
  <c r="AL187"/>
  <c r="AK187"/>
  <c r="AJ187"/>
  <c r="AI187"/>
  <c r="AH187"/>
  <c r="AG187"/>
  <c r="AF187"/>
  <c r="AE187"/>
  <c r="AD187"/>
  <c r="AC187"/>
  <c r="AB187"/>
  <c r="AA187"/>
  <c r="Z187"/>
  <c r="Y187"/>
  <c r="X187"/>
  <c r="W187"/>
  <c r="V187"/>
  <c r="U187"/>
  <c r="T187"/>
  <c r="S187"/>
  <c r="R187"/>
  <c r="Q187"/>
  <c r="P187"/>
  <c r="O187"/>
  <c r="N187"/>
  <c r="M187"/>
  <c r="L187"/>
  <c r="K187"/>
  <c r="J187"/>
  <c r="A187" a="1"/>
  <c r="A187" s="1"/>
  <c r="I187" s="1"/>
  <c r="BA186"/>
  <c r="AZ186"/>
  <c r="AY186"/>
  <c r="AX186"/>
  <c r="AW186"/>
  <c r="AV186"/>
  <c r="AU186"/>
  <c r="AT186"/>
  <c r="AS186"/>
  <c r="AR186"/>
  <c r="AQ186"/>
  <c r="AP186"/>
  <c r="AO186"/>
  <c r="AN186"/>
  <c r="AM186"/>
  <c r="AL186"/>
  <c r="AK186"/>
  <c r="AJ186"/>
  <c r="AI186"/>
  <c r="AH186"/>
  <c r="AG186"/>
  <c r="AF186"/>
  <c r="AE186"/>
  <c r="AD186"/>
  <c r="AC186"/>
  <c r="AB186"/>
  <c r="AA186"/>
  <c r="Z186"/>
  <c r="Y186"/>
  <c r="X186"/>
  <c r="W186"/>
  <c r="V186"/>
  <c r="U186"/>
  <c r="T186"/>
  <c r="S186"/>
  <c r="R186"/>
  <c r="Q186"/>
  <c r="P186"/>
  <c r="O186"/>
  <c r="N186"/>
  <c r="M186"/>
  <c r="L186"/>
  <c r="K186"/>
  <c r="J186"/>
  <c r="A186" a="1"/>
  <c r="A186" s="1"/>
  <c r="I186" s="1"/>
  <c r="BA185"/>
  <c r="AZ185"/>
  <c r="AY185"/>
  <c r="AX185"/>
  <c r="AW185"/>
  <c r="AV185"/>
  <c r="AU185"/>
  <c r="AT185"/>
  <c r="AS185"/>
  <c r="AR185"/>
  <c r="AQ185"/>
  <c r="AP185"/>
  <c r="AO185"/>
  <c r="AN185"/>
  <c r="AM185"/>
  <c r="AL185"/>
  <c r="AK185"/>
  <c r="AJ185"/>
  <c r="AI185"/>
  <c r="AH185"/>
  <c r="AG185"/>
  <c r="AF185"/>
  <c r="AE185"/>
  <c r="AD185"/>
  <c r="AC185"/>
  <c r="AB185"/>
  <c r="AA185"/>
  <c r="Z185"/>
  <c r="Y185"/>
  <c r="X185"/>
  <c r="W185"/>
  <c r="V185"/>
  <c r="U185"/>
  <c r="T185"/>
  <c r="S185"/>
  <c r="R185"/>
  <c r="Q185"/>
  <c r="P185"/>
  <c r="O185"/>
  <c r="N185"/>
  <c r="M185"/>
  <c r="L185"/>
  <c r="K185"/>
  <c r="J185"/>
  <c r="A185" a="1"/>
  <c r="A185" s="1"/>
  <c r="I185" s="1"/>
  <c r="BA184"/>
  <c r="AZ184"/>
  <c r="AY184"/>
  <c r="AX184"/>
  <c r="AW184"/>
  <c r="AV184"/>
  <c r="AU184"/>
  <c r="AT184"/>
  <c r="AS184"/>
  <c r="AR184"/>
  <c r="AQ184"/>
  <c r="AP184"/>
  <c r="AO184"/>
  <c r="AN184"/>
  <c r="AM184"/>
  <c r="AL184"/>
  <c r="AK184"/>
  <c r="AJ184"/>
  <c r="AI184"/>
  <c r="AH184"/>
  <c r="AG184"/>
  <c r="AF184"/>
  <c r="AE184"/>
  <c r="AD184"/>
  <c r="AC184"/>
  <c r="AB184"/>
  <c r="AA184"/>
  <c r="Z184"/>
  <c r="Y184"/>
  <c r="X184"/>
  <c r="W184"/>
  <c r="V184"/>
  <c r="U184"/>
  <c r="T184"/>
  <c r="S184"/>
  <c r="R184"/>
  <c r="Q184"/>
  <c r="P184"/>
  <c r="O184"/>
  <c r="N184"/>
  <c r="M184"/>
  <c r="L184"/>
  <c r="K184"/>
  <c r="J184"/>
  <c r="A184" a="1"/>
  <c r="A184" s="1"/>
  <c r="I184" s="1"/>
  <c r="BA183"/>
  <c r="AZ183"/>
  <c r="AY183"/>
  <c r="AX183"/>
  <c r="AW183"/>
  <c r="AV183"/>
  <c r="AU183"/>
  <c r="AT183"/>
  <c r="AS183"/>
  <c r="AR183"/>
  <c r="AQ183"/>
  <c r="AP183"/>
  <c r="AO183"/>
  <c r="AN183"/>
  <c r="AM183"/>
  <c r="AL183"/>
  <c r="AK183"/>
  <c r="AJ183"/>
  <c r="AI183"/>
  <c r="AH183"/>
  <c r="AG183"/>
  <c r="AF183"/>
  <c r="AE183"/>
  <c r="AD183"/>
  <c r="AC183"/>
  <c r="AB183"/>
  <c r="AA183"/>
  <c r="Z183"/>
  <c r="Y183"/>
  <c r="X183"/>
  <c r="W183"/>
  <c r="V183"/>
  <c r="U183"/>
  <c r="T183"/>
  <c r="S183"/>
  <c r="R183"/>
  <c r="Q183"/>
  <c r="P183"/>
  <c r="O183"/>
  <c r="N183"/>
  <c r="M183"/>
  <c r="L183"/>
  <c r="K183"/>
  <c r="J183"/>
  <c r="A183" a="1"/>
  <c r="A183" s="1"/>
  <c r="I183" s="1"/>
  <c r="BA182"/>
  <c r="AZ182"/>
  <c r="AY182"/>
  <c r="AX182"/>
  <c r="AW182"/>
  <c r="AV182"/>
  <c r="AU182"/>
  <c r="AT182"/>
  <c r="AS182"/>
  <c r="AR182"/>
  <c r="AQ182"/>
  <c r="AP182"/>
  <c r="AO182"/>
  <c r="AN182"/>
  <c r="AM182"/>
  <c r="AL182"/>
  <c r="AK182"/>
  <c r="AJ182"/>
  <c r="AI182"/>
  <c r="AH182"/>
  <c r="AG182"/>
  <c r="AF182"/>
  <c r="AE182"/>
  <c r="AD182"/>
  <c r="AC182"/>
  <c r="AB182"/>
  <c r="AA182"/>
  <c r="Z182"/>
  <c r="Y182"/>
  <c r="X182"/>
  <c r="W182"/>
  <c r="V182"/>
  <c r="U182"/>
  <c r="T182"/>
  <c r="S182"/>
  <c r="R182"/>
  <c r="Q182"/>
  <c r="P182"/>
  <c r="O182"/>
  <c r="N182"/>
  <c r="M182"/>
  <c r="L182"/>
  <c r="K182"/>
  <c r="J182"/>
  <c r="A182" a="1"/>
  <c r="A182" s="1"/>
  <c r="I182" s="1"/>
  <c r="BA181"/>
  <c r="AZ181"/>
  <c r="AY181"/>
  <c r="AX181"/>
  <c r="AW181"/>
  <c r="AV181"/>
  <c r="AU181"/>
  <c r="AT181"/>
  <c r="AS181"/>
  <c r="AR181"/>
  <c r="AQ181"/>
  <c r="AP181"/>
  <c r="AO181"/>
  <c r="AN181"/>
  <c r="AM181"/>
  <c r="AL181"/>
  <c r="AK181"/>
  <c r="AJ181"/>
  <c r="AI181"/>
  <c r="AH181"/>
  <c r="AG181"/>
  <c r="AF181"/>
  <c r="AE181"/>
  <c r="AD181"/>
  <c r="AC181"/>
  <c r="AB181"/>
  <c r="AA181"/>
  <c r="Z181"/>
  <c r="Y181"/>
  <c r="X181"/>
  <c r="W181"/>
  <c r="V181"/>
  <c r="U181"/>
  <c r="T181"/>
  <c r="S181"/>
  <c r="R181"/>
  <c r="Q181"/>
  <c r="P181"/>
  <c r="O181"/>
  <c r="N181"/>
  <c r="M181"/>
  <c r="L181"/>
  <c r="K181"/>
  <c r="J181"/>
  <c r="A181" a="1"/>
  <c r="A181" s="1"/>
  <c r="I181" s="1"/>
  <c r="BA180"/>
  <c r="AZ180"/>
  <c r="AY180"/>
  <c r="AX180"/>
  <c r="AW180"/>
  <c r="AV180"/>
  <c r="AU180"/>
  <c r="AT180"/>
  <c r="AS180"/>
  <c r="AR180"/>
  <c r="AQ180"/>
  <c r="AP180"/>
  <c r="AO180"/>
  <c r="AN180"/>
  <c r="AM180"/>
  <c r="AL180"/>
  <c r="AK180"/>
  <c r="AJ180"/>
  <c r="AI180"/>
  <c r="AH180"/>
  <c r="AG180"/>
  <c r="AF180"/>
  <c r="AE180"/>
  <c r="AD180"/>
  <c r="AC180"/>
  <c r="AB180"/>
  <c r="AA180"/>
  <c r="Z180"/>
  <c r="Y180"/>
  <c r="X180"/>
  <c r="W180"/>
  <c r="V180"/>
  <c r="U180"/>
  <c r="T180"/>
  <c r="S180"/>
  <c r="R180"/>
  <c r="Q180"/>
  <c r="P180"/>
  <c r="O180"/>
  <c r="N180"/>
  <c r="M180"/>
  <c r="L180"/>
  <c r="K180"/>
  <c r="J180"/>
  <c r="A180" a="1"/>
  <c r="A180" s="1"/>
  <c r="I180" s="1"/>
  <c r="BA179"/>
  <c r="AZ179"/>
  <c r="AY179"/>
  <c r="AX179"/>
  <c r="AW179"/>
  <c r="AV179"/>
  <c r="AU179"/>
  <c r="AT179"/>
  <c r="AS179"/>
  <c r="AR179"/>
  <c r="AQ179"/>
  <c r="AP179"/>
  <c r="AO179"/>
  <c r="AN179"/>
  <c r="AM179"/>
  <c r="AL179"/>
  <c r="AK179"/>
  <c r="AJ179"/>
  <c r="AI179"/>
  <c r="AH179"/>
  <c r="AG179"/>
  <c r="AF179"/>
  <c r="AE179"/>
  <c r="AD179"/>
  <c r="AC179"/>
  <c r="AB179"/>
  <c r="AA179"/>
  <c r="Z179"/>
  <c r="Y179"/>
  <c r="X179"/>
  <c r="W179"/>
  <c r="V179"/>
  <c r="U179"/>
  <c r="T179"/>
  <c r="S179"/>
  <c r="R179"/>
  <c r="Q179"/>
  <c r="P179"/>
  <c r="O179"/>
  <c r="N179"/>
  <c r="M179"/>
  <c r="L179"/>
  <c r="K179"/>
  <c r="J179"/>
  <c r="A179" a="1"/>
  <c r="A179" s="1"/>
  <c r="I179" s="1"/>
  <c r="BA178"/>
  <c r="AZ178"/>
  <c r="AY178"/>
  <c r="AX178"/>
  <c r="AW178"/>
  <c r="AV178"/>
  <c r="AU178"/>
  <c r="AT178"/>
  <c r="AS178"/>
  <c r="AR178"/>
  <c r="AQ178"/>
  <c r="AP178"/>
  <c r="AO178"/>
  <c r="AN178"/>
  <c r="AM178"/>
  <c r="AL178"/>
  <c r="AK178"/>
  <c r="AJ178"/>
  <c r="AI178"/>
  <c r="AH178"/>
  <c r="AG178"/>
  <c r="AF178"/>
  <c r="AE178"/>
  <c r="AD178"/>
  <c r="AC178"/>
  <c r="AB178"/>
  <c r="AA178"/>
  <c r="Z178"/>
  <c r="Y178"/>
  <c r="X178"/>
  <c r="W178"/>
  <c r="V178"/>
  <c r="U178"/>
  <c r="T178"/>
  <c r="S178"/>
  <c r="R178"/>
  <c r="Q178"/>
  <c r="P178"/>
  <c r="O178"/>
  <c r="N178"/>
  <c r="M178"/>
  <c r="L178"/>
  <c r="K178"/>
  <c r="J178"/>
  <c r="A178" a="1"/>
  <c r="A178" s="1"/>
  <c r="I178" s="1"/>
  <c r="BA177"/>
  <c r="AZ177"/>
  <c r="AY177"/>
  <c r="AX177"/>
  <c r="AW177"/>
  <c r="AV177"/>
  <c r="AU177"/>
  <c r="AT177"/>
  <c r="AS177"/>
  <c r="AR177"/>
  <c r="AQ177"/>
  <c r="AP177"/>
  <c r="AO177"/>
  <c r="AN177"/>
  <c r="AM177"/>
  <c r="AL177"/>
  <c r="AK177"/>
  <c r="AJ177"/>
  <c r="AI177"/>
  <c r="AH177"/>
  <c r="AG177"/>
  <c r="AF177"/>
  <c r="AE177"/>
  <c r="AD177"/>
  <c r="AC177"/>
  <c r="AB177"/>
  <c r="AA177"/>
  <c r="Z177"/>
  <c r="Y177"/>
  <c r="X177"/>
  <c r="W177"/>
  <c r="V177"/>
  <c r="U177"/>
  <c r="T177"/>
  <c r="S177"/>
  <c r="R177"/>
  <c r="Q177"/>
  <c r="P177"/>
  <c r="O177"/>
  <c r="N177"/>
  <c r="M177"/>
  <c r="L177"/>
  <c r="K177"/>
  <c r="J177"/>
  <c r="A177" a="1"/>
  <c r="A177" s="1"/>
  <c r="I177" s="1"/>
  <c r="BA176"/>
  <c r="AZ176"/>
  <c r="AY176"/>
  <c r="AX176"/>
  <c r="AW176"/>
  <c r="AV176"/>
  <c r="AU176"/>
  <c r="AT176"/>
  <c r="AS176"/>
  <c r="AR176"/>
  <c r="AQ176"/>
  <c r="AP176"/>
  <c r="AO176"/>
  <c r="AN176"/>
  <c r="AM176"/>
  <c r="AL176"/>
  <c r="AK176"/>
  <c r="AJ176"/>
  <c r="AI176"/>
  <c r="AH176"/>
  <c r="AG176"/>
  <c r="AF176"/>
  <c r="AE176"/>
  <c r="AD176"/>
  <c r="AC176"/>
  <c r="AB176"/>
  <c r="AA176"/>
  <c r="Z176"/>
  <c r="Y176"/>
  <c r="X176"/>
  <c r="W176"/>
  <c r="V176"/>
  <c r="U176"/>
  <c r="T176"/>
  <c r="S176"/>
  <c r="R176"/>
  <c r="Q176"/>
  <c r="P176"/>
  <c r="O176"/>
  <c r="N176"/>
  <c r="M176"/>
  <c r="L176"/>
  <c r="K176"/>
  <c r="J176"/>
  <c r="A176" a="1"/>
  <c r="A176" s="1"/>
  <c r="I176" s="1"/>
  <c r="BA175"/>
  <c r="AZ175"/>
  <c r="AY175"/>
  <c r="AX175"/>
  <c r="AW175"/>
  <c r="AV175"/>
  <c r="AU175"/>
  <c r="AT175"/>
  <c r="AS175"/>
  <c r="AR175"/>
  <c r="AQ175"/>
  <c r="AP175"/>
  <c r="AO175"/>
  <c r="AN175"/>
  <c r="AM175"/>
  <c r="AL175"/>
  <c r="AK175"/>
  <c r="AJ175"/>
  <c r="AI175"/>
  <c r="AH175"/>
  <c r="AG175"/>
  <c r="AF175"/>
  <c r="AE175"/>
  <c r="AD175"/>
  <c r="AC175"/>
  <c r="AB175"/>
  <c r="AA175"/>
  <c r="Z175"/>
  <c r="Y175"/>
  <c r="X175"/>
  <c r="W175"/>
  <c r="V175"/>
  <c r="U175"/>
  <c r="T175"/>
  <c r="S175"/>
  <c r="R175"/>
  <c r="Q175"/>
  <c r="P175"/>
  <c r="O175"/>
  <c r="N175"/>
  <c r="M175"/>
  <c r="L175"/>
  <c r="K175"/>
  <c r="J175"/>
  <c r="A175" a="1"/>
  <c r="A175" s="1"/>
  <c r="I175" s="1"/>
  <c r="BA174"/>
  <c r="AZ174"/>
  <c r="AY174"/>
  <c r="AX174"/>
  <c r="AW174"/>
  <c r="AV174"/>
  <c r="AU174"/>
  <c r="AT174"/>
  <c r="AS174"/>
  <c r="AR174"/>
  <c r="AQ174"/>
  <c r="AP174"/>
  <c r="AO174"/>
  <c r="AN174"/>
  <c r="AM174"/>
  <c r="AL174"/>
  <c r="AK174"/>
  <c r="AJ174"/>
  <c r="AI174"/>
  <c r="AH174"/>
  <c r="AG174"/>
  <c r="AF174"/>
  <c r="AE174"/>
  <c r="AD174"/>
  <c r="AC174"/>
  <c r="AB174"/>
  <c r="AA174"/>
  <c r="Z174"/>
  <c r="Y174"/>
  <c r="X174"/>
  <c r="W174"/>
  <c r="V174"/>
  <c r="U174"/>
  <c r="T174"/>
  <c r="S174"/>
  <c r="R174"/>
  <c r="Q174"/>
  <c r="P174"/>
  <c r="O174"/>
  <c r="N174"/>
  <c r="M174"/>
  <c r="L174"/>
  <c r="K174"/>
  <c r="J174"/>
  <c r="A174" a="1"/>
  <c r="A174" s="1"/>
  <c r="I174" s="1"/>
  <c r="BA173"/>
  <c r="AZ173"/>
  <c r="AY173"/>
  <c r="AX173"/>
  <c r="AW173"/>
  <c r="AV173"/>
  <c r="AU173"/>
  <c r="AT173"/>
  <c r="AS173"/>
  <c r="AR173"/>
  <c r="AQ173"/>
  <c r="AP173"/>
  <c r="AO173"/>
  <c r="AN173"/>
  <c r="AM173"/>
  <c r="AL173"/>
  <c r="AK173"/>
  <c r="AJ173"/>
  <c r="AI173"/>
  <c r="AH173"/>
  <c r="AG173"/>
  <c r="AF173"/>
  <c r="AE173"/>
  <c r="AD173"/>
  <c r="AC173"/>
  <c r="AB173"/>
  <c r="AA173"/>
  <c r="Z173"/>
  <c r="Y173"/>
  <c r="X173"/>
  <c r="W173"/>
  <c r="V173"/>
  <c r="U173"/>
  <c r="T173"/>
  <c r="S173"/>
  <c r="R173"/>
  <c r="Q173"/>
  <c r="P173"/>
  <c r="O173"/>
  <c r="N173"/>
  <c r="M173"/>
  <c r="L173"/>
  <c r="K173"/>
  <c r="J173"/>
  <c r="A173" a="1"/>
  <c r="A173" s="1"/>
  <c r="I173" s="1"/>
  <c r="BA172"/>
  <c r="AZ172"/>
  <c r="AY172"/>
  <c r="AX172"/>
  <c r="AW172"/>
  <c r="AV172"/>
  <c r="AU172"/>
  <c r="AT172"/>
  <c r="AS172"/>
  <c r="AR172"/>
  <c r="AQ172"/>
  <c r="AP172"/>
  <c r="AO172"/>
  <c r="AN172"/>
  <c r="AM172"/>
  <c r="AL172"/>
  <c r="AK172"/>
  <c r="AJ172"/>
  <c r="AI172"/>
  <c r="AH172"/>
  <c r="AG172"/>
  <c r="AF172"/>
  <c r="AE172"/>
  <c r="AD172"/>
  <c r="AC172"/>
  <c r="AB172"/>
  <c r="AA172"/>
  <c r="Z172"/>
  <c r="Y172"/>
  <c r="X172"/>
  <c r="W172"/>
  <c r="V172"/>
  <c r="U172"/>
  <c r="T172"/>
  <c r="S172"/>
  <c r="R172"/>
  <c r="Q172"/>
  <c r="P172"/>
  <c r="O172"/>
  <c r="N172"/>
  <c r="M172"/>
  <c r="L172"/>
  <c r="K172"/>
  <c r="J172"/>
  <c r="A172" a="1"/>
  <c r="A172" s="1"/>
  <c r="I172" s="1"/>
  <c r="BA171"/>
  <c r="AZ171"/>
  <c r="AY171"/>
  <c r="AX171"/>
  <c r="AW171"/>
  <c r="AV171"/>
  <c r="AU171"/>
  <c r="AT171"/>
  <c r="AS171"/>
  <c r="AR171"/>
  <c r="AQ171"/>
  <c r="AP171"/>
  <c r="AO171"/>
  <c r="AN171"/>
  <c r="AM171"/>
  <c r="AL171"/>
  <c r="AK171"/>
  <c r="AJ171"/>
  <c r="AI171"/>
  <c r="AH171"/>
  <c r="AG171"/>
  <c r="AF171"/>
  <c r="AE171"/>
  <c r="AD171"/>
  <c r="AC171"/>
  <c r="AB171"/>
  <c r="AA171"/>
  <c r="Z171"/>
  <c r="Y171"/>
  <c r="X171"/>
  <c r="W171"/>
  <c r="V171"/>
  <c r="U171"/>
  <c r="T171"/>
  <c r="S171"/>
  <c r="R171"/>
  <c r="Q171"/>
  <c r="P171"/>
  <c r="O171"/>
  <c r="N171"/>
  <c r="M171"/>
  <c r="L171"/>
  <c r="K171"/>
  <c r="J171"/>
  <c r="A171" a="1"/>
  <c r="A171" s="1"/>
  <c r="I171" s="1"/>
  <c r="BA170"/>
  <c r="AZ170"/>
  <c r="AY170"/>
  <c r="AX170"/>
  <c r="AW170"/>
  <c r="AV170"/>
  <c r="AU170"/>
  <c r="AT170"/>
  <c r="AS170"/>
  <c r="AR170"/>
  <c r="AQ170"/>
  <c r="AP170"/>
  <c r="AO170"/>
  <c r="AN170"/>
  <c r="AM170"/>
  <c r="AL170"/>
  <c r="AK170"/>
  <c r="AJ170"/>
  <c r="AI170"/>
  <c r="AH170"/>
  <c r="AG170"/>
  <c r="AF170"/>
  <c r="AE170"/>
  <c r="AD170"/>
  <c r="AC170"/>
  <c r="AB170"/>
  <c r="AA170"/>
  <c r="Z170"/>
  <c r="Y170"/>
  <c r="X170"/>
  <c r="W170"/>
  <c r="V170"/>
  <c r="U170"/>
  <c r="T170"/>
  <c r="S170"/>
  <c r="R170"/>
  <c r="Q170"/>
  <c r="P170"/>
  <c r="O170"/>
  <c r="N170"/>
  <c r="M170"/>
  <c r="L170"/>
  <c r="K170"/>
  <c r="J170"/>
  <c r="A170" a="1"/>
  <c r="A170" s="1"/>
  <c r="I170" s="1"/>
  <c r="BA169"/>
  <c r="AZ169"/>
  <c r="AY169"/>
  <c r="AX169"/>
  <c r="AW169"/>
  <c r="AV169"/>
  <c r="AU169"/>
  <c r="AT169"/>
  <c r="AS169"/>
  <c r="AR169"/>
  <c r="AQ169"/>
  <c r="AP169"/>
  <c r="AO169"/>
  <c r="AN169"/>
  <c r="AM169"/>
  <c r="AL169"/>
  <c r="AK169"/>
  <c r="AJ169"/>
  <c r="AI169"/>
  <c r="AH169"/>
  <c r="AG169"/>
  <c r="AF169"/>
  <c r="AE169"/>
  <c r="AD169"/>
  <c r="AC169"/>
  <c r="AB169"/>
  <c r="AA169"/>
  <c r="Z169"/>
  <c r="Y169"/>
  <c r="X169"/>
  <c r="W169"/>
  <c r="V169"/>
  <c r="U169"/>
  <c r="T169"/>
  <c r="S169"/>
  <c r="R169"/>
  <c r="Q169"/>
  <c r="P169"/>
  <c r="O169"/>
  <c r="N169"/>
  <c r="M169"/>
  <c r="L169"/>
  <c r="K169"/>
  <c r="J169"/>
  <c r="A169" a="1"/>
  <c r="A169" s="1"/>
  <c r="I169" s="1"/>
  <c r="BA168"/>
  <c r="AZ168"/>
  <c r="AY168"/>
  <c r="AX168"/>
  <c r="AW168"/>
  <c r="AV168"/>
  <c r="AU168"/>
  <c r="AT168"/>
  <c r="AS168"/>
  <c r="AR168"/>
  <c r="AQ168"/>
  <c r="AP168"/>
  <c r="AO168"/>
  <c r="AN168"/>
  <c r="AM168"/>
  <c r="AL168"/>
  <c r="AK168"/>
  <c r="AJ168"/>
  <c r="AI168"/>
  <c r="AH168"/>
  <c r="AG168"/>
  <c r="AF168"/>
  <c r="AE168"/>
  <c r="AD168"/>
  <c r="AC168"/>
  <c r="AB168"/>
  <c r="AA168"/>
  <c r="Z168"/>
  <c r="Y168"/>
  <c r="X168"/>
  <c r="W168"/>
  <c r="V168"/>
  <c r="U168"/>
  <c r="T168"/>
  <c r="S168"/>
  <c r="R168"/>
  <c r="Q168"/>
  <c r="P168"/>
  <c r="O168"/>
  <c r="N168"/>
  <c r="M168"/>
  <c r="L168"/>
  <c r="K168"/>
  <c r="J168"/>
  <c r="A168" a="1"/>
  <c r="A168" s="1"/>
  <c r="I168" s="1"/>
  <c r="BA167"/>
  <c r="AZ167"/>
  <c r="AY167"/>
  <c r="AX167"/>
  <c r="AW167"/>
  <c r="AV167"/>
  <c r="AU167"/>
  <c r="AT167"/>
  <c r="AS167"/>
  <c r="AR167"/>
  <c r="AQ167"/>
  <c r="AP167"/>
  <c r="AO167"/>
  <c r="AN167"/>
  <c r="AM167"/>
  <c r="AL167"/>
  <c r="AK167"/>
  <c r="AJ167"/>
  <c r="AI167"/>
  <c r="AH167"/>
  <c r="AG167"/>
  <c r="AF167"/>
  <c r="AE167"/>
  <c r="AD167"/>
  <c r="AC167"/>
  <c r="AB167"/>
  <c r="AA167"/>
  <c r="Z167"/>
  <c r="Y167"/>
  <c r="X167"/>
  <c r="W167"/>
  <c r="V167"/>
  <c r="U167"/>
  <c r="T167"/>
  <c r="S167"/>
  <c r="R167"/>
  <c r="Q167"/>
  <c r="P167"/>
  <c r="O167"/>
  <c r="N167"/>
  <c r="M167"/>
  <c r="L167"/>
  <c r="K167"/>
  <c r="J167"/>
  <c r="A167" a="1"/>
  <c r="A167" s="1"/>
  <c r="I167" s="1"/>
  <c r="BA166"/>
  <c r="AZ166"/>
  <c r="AY166"/>
  <c r="AX166"/>
  <c r="AW166"/>
  <c r="AV166"/>
  <c r="AU166"/>
  <c r="AT166"/>
  <c r="AS166"/>
  <c r="AR166"/>
  <c r="AQ166"/>
  <c r="AP166"/>
  <c r="AO166"/>
  <c r="AN166"/>
  <c r="AM166"/>
  <c r="AL166"/>
  <c r="AK166"/>
  <c r="AJ166"/>
  <c r="AI166"/>
  <c r="AH166"/>
  <c r="AG166"/>
  <c r="AF166"/>
  <c r="AE166"/>
  <c r="AD166"/>
  <c r="AC166"/>
  <c r="AB166"/>
  <c r="AA166"/>
  <c r="Z166"/>
  <c r="Y166"/>
  <c r="X166"/>
  <c r="W166"/>
  <c r="V166"/>
  <c r="U166"/>
  <c r="T166"/>
  <c r="S166"/>
  <c r="R166"/>
  <c r="Q166"/>
  <c r="P166"/>
  <c r="O166"/>
  <c r="N166"/>
  <c r="M166"/>
  <c r="L166"/>
  <c r="K166"/>
  <c r="J166"/>
  <c r="A166" a="1"/>
  <c r="A166" s="1"/>
  <c r="I166" s="1"/>
  <c r="BA165"/>
  <c r="AZ165"/>
  <c r="AY165"/>
  <c r="AX165"/>
  <c r="AW165"/>
  <c r="AV165"/>
  <c r="AU165"/>
  <c r="AT165"/>
  <c r="AS165"/>
  <c r="AR165"/>
  <c r="AQ165"/>
  <c r="AP165"/>
  <c r="AO165"/>
  <c r="AN165"/>
  <c r="AM165"/>
  <c r="AL165"/>
  <c r="AK165"/>
  <c r="AJ165"/>
  <c r="AI165"/>
  <c r="AH165"/>
  <c r="AG165"/>
  <c r="AF165"/>
  <c r="AE165"/>
  <c r="AD165"/>
  <c r="AC165"/>
  <c r="AB165"/>
  <c r="AA165"/>
  <c r="Z165"/>
  <c r="Y165"/>
  <c r="X165"/>
  <c r="W165"/>
  <c r="V165"/>
  <c r="U165"/>
  <c r="T165"/>
  <c r="S165"/>
  <c r="R165"/>
  <c r="Q165"/>
  <c r="P165"/>
  <c r="O165"/>
  <c r="N165"/>
  <c r="M165"/>
  <c r="L165"/>
  <c r="K165"/>
  <c r="J165"/>
  <c r="A165" a="1"/>
  <c r="A165" s="1"/>
  <c r="I165" s="1"/>
  <c r="BA164"/>
  <c r="AZ164"/>
  <c r="AY164"/>
  <c r="AX164"/>
  <c r="AW164"/>
  <c r="AV164"/>
  <c r="AU164"/>
  <c r="AT164"/>
  <c r="AS164"/>
  <c r="AR164"/>
  <c r="AQ164"/>
  <c r="AP164"/>
  <c r="AO164"/>
  <c r="AN164"/>
  <c r="AM164"/>
  <c r="AL164"/>
  <c r="AK164"/>
  <c r="AJ164"/>
  <c r="AI164"/>
  <c r="AH164"/>
  <c r="AG164"/>
  <c r="AF164"/>
  <c r="AE164"/>
  <c r="AD164"/>
  <c r="AC164"/>
  <c r="AB164"/>
  <c r="AA164"/>
  <c r="Z164"/>
  <c r="Y164"/>
  <c r="X164"/>
  <c r="W164"/>
  <c r="V164"/>
  <c r="U164"/>
  <c r="T164"/>
  <c r="S164"/>
  <c r="R164"/>
  <c r="Q164"/>
  <c r="P164"/>
  <c r="O164"/>
  <c r="N164"/>
  <c r="M164"/>
  <c r="L164"/>
  <c r="K164"/>
  <c r="J164"/>
  <c r="A164" a="1"/>
  <c r="A164" s="1"/>
  <c r="I164" s="1"/>
  <c r="BA163"/>
  <c r="AZ163"/>
  <c r="AY163"/>
  <c r="AX163"/>
  <c r="AW163"/>
  <c r="AV163"/>
  <c r="AU163"/>
  <c r="AT163"/>
  <c r="AS163"/>
  <c r="AR163"/>
  <c r="AQ163"/>
  <c r="AP163"/>
  <c r="AO163"/>
  <c r="AN163"/>
  <c r="AM163"/>
  <c r="AL163"/>
  <c r="AK163"/>
  <c r="AJ163"/>
  <c r="AI163"/>
  <c r="AH163"/>
  <c r="AG163"/>
  <c r="AF163"/>
  <c r="AE163"/>
  <c r="AD163"/>
  <c r="AC163"/>
  <c r="AB163"/>
  <c r="AA163"/>
  <c r="Z163"/>
  <c r="Y163"/>
  <c r="X163"/>
  <c r="W163"/>
  <c r="V163"/>
  <c r="U163"/>
  <c r="T163"/>
  <c r="S163"/>
  <c r="R163"/>
  <c r="Q163"/>
  <c r="P163"/>
  <c r="O163"/>
  <c r="N163"/>
  <c r="M163"/>
  <c r="L163"/>
  <c r="K163"/>
  <c r="J163"/>
  <c r="A163" a="1"/>
  <c r="A163" s="1"/>
  <c r="I163" s="1"/>
  <c r="BA162"/>
  <c r="AZ162"/>
  <c r="AY162"/>
  <c r="AX162"/>
  <c r="AW162"/>
  <c r="AV162"/>
  <c r="AU162"/>
  <c r="AT162"/>
  <c r="AS162"/>
  <c r="AR162"/>
  <c r="AQ162"/>
  <c r="AP162"/>
  <c r="AO162"/>
  <c r="AN162"/>
  <c r="AM162"/>
  <c r="AL162"/>
  <c r="AK162"/>
  <c r="AJ162"/>
  <c r="AI162"/>
  <c r="AH162"/>
  <c r="AG162"/>
  <c r="AF162"/>
  <c r="AE162"/>
  <c r="AD162"/>
  <c r="AC162"/>
  <c r="AB162"/>
  <c r="AA162"/>
  <c r="Z162"/>
  <c r="Y162"/>
  <c r="X162"/>
  <c r="W162"/>
  <c r="V162"/>
  <c r="U162"/>
  <c r="T162"/>
  <c r="S162"/>
  <c r="R162"/>
  <c r="Q162"/>
  <c r="P162"/>
  <c r="O162"/>
  <c r="N162"/>
  <c r="M162"/>
  <c r="L162"/>
  <c r="K162"/>
  <c r="J162"/>
  <c r="A162" a="1"/>
  <c r="A162" s="1"/>
  <c r="I162" s="1"/>
  <c r="BA161"/>
  <c r="AZ161"/>
  <c r="AY161"/>
  <c r="AX161"/>
  <c r="AW161"/>
  <c r="AV161"/>
  <c r="AU161"/>
  <c r="AT161"/>
  <c r="AS161"/>
  <c r="AR161"/>
  <c r="AQ161"/>
  <c r="AP161"/>
  <c r="AO161"/>
  <c r="AN161"/>
  <c r="AM161"/>
  <c r="AL161"/>
  <c r="AK161"/>
  <c r="AJ161"/>
  <c r="AI161"/>
  <c r="AH161"/>
  <c r="AG161"/>
  <c r="AF161"/>
  <c r="AE161"/>
  <c r="AD161"/>
  <c r="AC161"/>
  <c r="AB161"/>
  <c r="AA161"/>
  <c r="Z161"/>
  <c r="Y161"/>
  <c r="X161"/>
  <c r="W161"/>
  <c r="V161"/>
  <c r="U161"/>
  <c r="T161"/>
  <c r="S161"/>
  <c r="R161"/>
  <c r="Q161"/>
  <c r="P161"/>
  <c r="O161"/>
  <c r="N161"/>
  <c r="M161"/>
  <c r="L161"/>
  <c r="K161"/>
  <c r="J161"/>
  <c r="A161" a="1"/>
  <c r="A161" s="1"/>
  <c r="I161" s="1"/>
  <c r="BA160"/>
  <c r="AZ160"/>
  <c r="AY160"/>
  <c r="AX160"/>
  <c r="AW160"/>
  <c r="AV160"/>
  <c r="AU160"/>
  <c r="AT160"/>
  <c r="AS160"/>
  <c r="AR160"/>
  <c r="AQ160"/>
  <c r="AP160"/>
  <c r="AO160"/>
  <c r="AN160"/>
  <c r="AM160"/>
  <c r="AL160"/>
  <c r="AK160"/>
  <c r="AJ160"/>
  <c r="AI160"/>
  <c r="AH160"/>
  <c r="AG160"/>
  <c r="AF160"/>
  <c r="AE160"/>
  <c r="AD160"/>
  <c r="AC160"/>
  <c r="AB160"/>
  <c r="AA160"/>
  <c r="Z160"/>
  <c r="Y160"/>
  <c r="X160"/>
  <c r="W160"/>
  <c r="V160"/>
  <c r="U160"/>
  <c r="T160"/>
  <c r="S160"/>
  <c r="R160"/>
  <c r="Q160"/>
  <c r="P160"/>
  <c r="O160"/>
  <c r="N160"/>
  <c r="M160"/>
  <c r="L160"/>
  <c r="K160"/>
  <c r="J160"/>
  <c r="A160" a="1"/>
  <c r="A160" s="1"/>
  <c r="I160" s="1"/>
  <c r="BA159"/>
  <c r="AZ159"/>
  <c r="AY159"/>
  <c r="AX159"/>
  <c r="AW159"/>
  <c r="AV159"/>
  <c r="AU159"/>
  <c r="AT159"/>
  <c r="AS159"/>
  <c r="AR159"/>
  <c r="AQ159"/>
  <c r="AP159"/>
  <c r="AO159"/>
  <c r="AN159"/>
  <c r="AM159"/>
  <c r="AL159"/>
  <c r="AK159"/>
  <c r="AJ159"/>
  <c r="AI159"/>
  <c r="AH159"/>
  <c r="AG159"/>
  <c r="AF159"/>
  <c r="AE159"/>
  <c r="AD159"/>
  <c r="AC159"/>
  <c r="AB159"/>
  <c r="AA159"/>
  <c r="Z159"/>
  <c r="Y159"/>
  <c r="X159"/>
  <c r="W159"/>
  <c r="V159"/>
  <c r="U159"/>
  <c r="T159"/>
  <c r="S159"/>
  <c r="R159"/>
  <c r="Q159"/>
  <c r="P159"/>
  <c r="O159"/>
  <c r="N159"/>
  <c r="M159"/>
  <c r="L159"/>
  <c r="K159"/>
  <c r="J159"/>
  <c r="A159" a="1"/>
  <c r="A159" s="1"/>
  <c r="I159" s="1"/>
  <c r="BA158"/>
  <c r="AZ158"/>
  <c r="AY158"/>
  <c r="AX158"/>
  <c r="AW158"/>
  <c r="AV158"/>
  <c r="AU158"/>
  <c r="AT158"/>
  <c r="AS158"/>
  <c r="AR158"/>
  <c r="AQ158"/>
  <c r="AP158"/>
  <c r="AO158"/>
  <c r="AN158"/>
  <c r="AM158"/>
  <c r="AL158"/>
  <c r="AK158"/>
  <c r="AJ158"/>
  <c r="AI158"/>
  <c r="AH158"/>
  <c r="AG158"/>
  <c r="AF158"/>
  <c r="AE158"/>
  <c r="AD158"/>
  <c r="AC158"/>
  <c r="AB158"/>
  <c r="AA158"/>
  <c r="Z158"/>
  <c r="Y158"/>
  <c r="X158"/>
  <c r="W158"/>
  <c r="V158"/>
  <c r="U158"/>
  <c r="T158"/>
  <c r="S158"/>
  <c r="R158"/>
  <c r="Q158"/>
  <c r="P158"/>
  <c r="O158"/>
  <c r="N158"/>
  <c r="M158"/>
  <c r="L158"/>
  <c r="K158"/>
  <c r="J158"/>
  <c r="A158" a="1"/>
  <c r="A158" s="1"/>
  <c r="I158" s="1"/>
  <c r="BA157"/>
  <c r="AZ157"/>
  <c r="AY157"/>
  <c r="AX157"/>
  <c r="AW157"/>
  <c r="AV157"/>
  <c r="AU157"/>
  <c r="AT157"/>
  <c r="AS157"/>
  <c r="AR157"/>
  <c r="AQ157"/>
  <c r="AP157"/>
  <c r="AO157"/>
  <c r="AN157"/>
  <c r="AM157"/>
  <c r="AL157"/>
  <c r="AK157"/>
  <c r="AJ157"/>
  <c r="AI157"/>
  <c r="AH157"/>
  <c r="AG157"/>
  <c r="AF157"/>
  <c r="AE157"/>
  <c r="AD157"/>
  <c r="AC157"/>
  <c r="AB157"/>
  <c r="AA157"/>
  <c r="Z157"/>
  <c r="Y157"/>
  <c r="X157"/>
  <c r="W157"/>
  <c r="V157"/>
  <c r="U157"/>
  <c r="T157"/>
  <c r="S157"/>
  <c r="R157"/>
  <c r="Q157"/>
  <c r="P157"/>
  <c r="O157"/>
  <c r="N157"/>
  <c r="M157"/>
  <c r="L157"/>
  <c r="K157"/>
  <c r="J157"/>
  <c r="A157" a="1"/>
  <c r="A157" s="1"/>
  <c r="I157" s="1"/>
  <c r="BA156"/>
  <c r="AZ156"/>
  <c r="AY156"/>
  <c r="AX156"/>
  <c r="AW156"/>
  <c r="AV156"/>
  <c r="AU156"/>
  <c r="AT156"/>
  <c r="AS156"/>
  <c r="AR156"/>
  <c r="AQ156"/>
  <c r="AP156"/>
  <c r="AO156"/>
  <c r="AN156"/>
  <c r="AM156"/>
  <c r="AL156"/>
  <c r="AK156"/>
  <c r="AJ156"/>
  <c r="AI156"/>
  <c r="AH156"/>
  <c r="AG156"/>
  <c r="AF156"/>
  <c r="AE156"/>
  <c r="AD156"/>
  <c r="AC156"/>
  <c r="AB156"/>
  <c r="AA156"/>
  <c r="Z156"/>
  <c r="Y156"/>
  <c r="X156"/>
  <c r="W156"/>
  <c r="V156"/>
  <c r="U156"/>
  <c r="T156"/>
  <c r="S156"/>
  <c r="R156"/>
  <c r="Q156"/>
  <c r="P156"/>
  <c r="O156"/>
  <c r="N156"/>
  <c r="M156"/>
  <c r="L156"/>
  <c r="K156"/>
  <c r="J156"/>
  <c r="A156" a="1"/>
  <c r="A156" s="1"/>
  <c r="I156" s="1"/>
  <c r="BA155"/>
  <c r="AZ155"/>
  <c r="AY155"/>
  <c r="AX155"/>
  <c r="AW155"/>
  <c r="AV155"/>
  <c r="AU155"/>
  <c r="AT155"/>
  <c r="AS155"/>
  <c r="AR155"/>
  <c r="AQ155"/>
  <c r="AP155"/>
  <c r="AO155"/>
  <c r="AN155"/>
  <c r="AM155"/>
  <c r="AL155"/>
  <c r="AK155"/>
  <c r="AJ155"/>
  <c r="AI155"/>
  <c r="AH155"/>
  <c r="AG155"/>
  <c r="AF155"/>
  <c r="AE155"/>
  <c r="AD155"/>
  <c r="AC155"/>
  <c r="AB155"/>
  <c r="AA155"/>
  <c r="Z155"/>
  <c r="Y155"/>
  <c r="X155"/>
  <c r="W155"/>
  <c r="V155"/>
  <c r="U155"/>
  <c r="T155"/>
  <c r="S155"/>
  <c r="R155"/>
  <c r="Q155"/>
  <c r="P155"/>
  <c r="O155"/>
  <c r="N155"/>
  <c r="M155"/>
  <c r="L155"/>
  <c r="K155"/>
  <c r="J155"/>
  <c r="A155" a="1"/>
  <c r="A155" s="1"/>
  <c r="I155" s="1"/>
  <c r="BA154"/>
  <c r="AZ154"/>
  <c r="AY154"/>
  <c r="AX154"/>
  <c r="AW154"/>
  <c r="AV154"/>
  <c r="AU154"/>
  <c r="AT154"/>
  <c r="AS154"/>
  <c r="AR154"/>
  <c r="AQ154"/>
  <c r="AP154"/>
  <c r="AO154"/>
  <c r="AN154"/>
  <c r="AM154"/>
  <c r="AL154"/>
  <c r="AK154"/>
  <c r="AJ154"/>
  <c r="AI154"/>
  <c r="AH154"/>
  <c r="AG154"/>
  <c r="AF154"/>
  <c r="AE154"/>
  <c r="AD154"/>
  <c r="AC154"/>
  <c r="AB154"/>
  <c r="AA154"/>
  <c r="Z154"/>
  <c r="Y154"/>
  <c r="X154"/>
  <c r="W154"/>
  <c r="V154"/>
  <c r="U154"/>
  <c r="T154"/>
  <c r="S154"/>
  <c r="R154"/>
  <c r="Q154"/>
  <c r="P154"/>
  <c r="O154"/>
  <c r="N154"/>
  <c r="M154"/>
  <c r="L154"/>
  <c r="K154"/>
  <c r="J154"/>
  <c r="A154" a="1"/>
  <c r="A154" s="1"/>
  <c r="I154" s="1"/>
  <c r="BA153"/>
  <c r="AZ153"/>
  <c r="AY153"/>
  <c r="AX153"/>
  <c r="AW153"/>
  <c r="AV153"/>
  <c r="AU153"/>
  <c r="AT153"/>
  <c r="AS153"/>
  <c r="AR153"/>
  <c r="AQ153"/>
  <c r="AP153"/>
  <c r="AO153"/>
  <c r="AN153"/>
  <c r="AM153"/>
  <c r="AL153"/>
  <c r="AK153"/>
  <c r="AJ153"/>
  <c r="AI153"/>
  <c r="AH153"/>
  <c r="AG153"/>
  <c r="AF153"/>
  <c r="AE153"/>
  <c r="AD153"/>
  <c r="AC153"/>
  <c r="AB153"/>
  <c r="AA153"/>
  <c r="Z153"/>
  <c r="Y153"/>
  <c r="X153"/>
  <c r="W153"/>
  <c r="V153"/>
  <c r="U153"/>
  <c r="T153"/>
  <c r="S153"/>
  <c r="R153"/>
  <c r="Q153"/>
  <c r="P153"/>
  <c r="O153"/>
  <c r="N153"/>
  <c r="M153"/>
  <c r="L153"/>
  <c r="K153"/>
  <c r="J153"/>
  <c r="A153" a="1"/>
  <c r="A153" s="1"/>
  <c r="I153" s="1"/>
  <c r="BA152"/>
  <c r="AZ152"/>
  <c r="AY152"/>
  <c r="AX152"/>
  <c r="AW152"/>
  <c r="AV152"/>
  <c r="AU152"/>
  <c r="AT152"/>
  <c r="AS152"/>
  <c r="AR152"/>
  <c r="AQ152"/>
  <c r="AP152"/>
  <c r="AO152"/>
  <c r="AN152"/>
  <c r="AM152"/>
  <c r="AL152"/>
  <c r="AK152"/>
  <c r="AJ152"/>
  <c r="AI152"/>
  <c r="AH152"/>
  <c r="AG152"/>
  <c r="AF152"/>
  <c r="AE152"/>
  <c r="AD152"/>
  <c r="AC152"/>
  <c r="AB152"/>
  <c r="AA152"/>
  <c r="Z152"/>
  <c r="Y152"/>
  <c r="X152"/>
  <c r="W152"/>
  <c r="V152"/>
  <c r="U152"/>
  <c r="T152"/>
  <c r="S152"/>
  <c r="R152"/>
  <c r="Q152"/>
  <c r="P152"/>
  <c r="O152"/>
  <c r="N152"/>
  <c r="M152"/>
  <c r="L152"/>
  <c r="K152"/>
  <c r="J152"/>
  <c r="A152" a="1"/>
  <c r="A152" s="1"/>
  <c r="I152" s="1"/>
  <c r="BA151"/>
  <c r="AZ151"/>
  <c r="AY151"/>
  <c r="AX151"/>
  <c r="AW151"/>
  <c r="AV151"/>
  <c r="AU151"/>
  <c r="AT151"/>
  <c r="AS151"/>
  <c r="AR151"/>
  <c r="AQ151"/>
  <c r="AP151"/>
  <c r="AO151"/>
  <c r="AN151"/>
  <c r="AM151"/>
  <c r="AL151"/>
  <c r="AK151"/>
  <c r="AJ151"/>
  <c r="AI151"/>
  <c r="AH151"/>
  <c r="AG151"/>
  <c r="AF151"/>
  <c r="AE151"/>
  <c r="AD151"/>
  <c r="AC151"/>
  <c r="AB151"/>
  <c r="AA151"/>
  <c r="Z151"/>
  <c r="Y151"/>
  <c r="X151"/>
  <c r="W151"/>
  <c r="V151"/>
  <c r="U151"/>
  <c r="T151"/>
  <c r="S151"/>
  <c r="R151"/>
  <c r="Q151"/>
  <c r="P151"/>
  <c r="O151"/>
  <c r="N151"/>
  <c r="M151"/>
  <c r="L151"/>
  <c r="K151"/>
  <c r="J151"/>
  <c r="A151" a="1"/>
  <c r="A151" s="1"/>
  <c r="I151" s="1"/>
  <c r="BA150"/>
  <c r="AZ150"/>
  <c r="AY150"/>
  <c r="AX150"/>
  <c r="AW150"/>
  <c r="AV150"/>
  <c r="AU150"/>
  <c r="AT150"/>
  <c r="AS150"/>
  <c r="AR150"/>
  <c r="AQ150"/>
  <c r="AP150"/>
  <c r="AO150"/>
  <c r="AN150"/>
  <c r="AM150"/>
  <c r="AL150"/>
  <c r="AK150"/>
  <c r="AJ150"/>
  <c r="AI150"/>
  <c r="AH150"/>
  <c r="AG150"/>
  <c r="AF150"/>
  <c r="AE150"/>
  <c r="AD150"/>
  <c r="AC150"/>
  <c r="AB150"/>
  <c r="AA150"/>
  <c r="Z150"/>
  <c r="Y150"/>
  <c r="X150"/>
  <c r="W150"/>
  <c r="V150"/>
  <c r="U150"/>
  <c r="T150"/>
  <c r="S150"/>
  <c r="R150"/>
  <c r="Q150"/>
  <c r="P150"/>
  <c r="O150"/>
  <c r="N150"/>
  <c r="M150"/>
  <c r="L150"/>
  <c r="K150"/>
  <c r="J150"/>
  <c r="A150" a="1"/>
  <c r="A150" s="1"/>
  <c r="I150" s="1"/>
  <c r="BA149"/>
  <c r="AZ149"/>
  <c r="AY149"/>
  <c r="AX149"/>
  <c r="AW149"/>
  <c r="AV149"/>
  <c r="AU149"/>
  <c r="AT149"/>
  <c r="AS149"/>
  <c r="AR149"/>
  <c r="AQ149"/>
  <c r="AP149"/>
  <c r="AO149"/>
  <c r="AN149"/>
  <c r="AM149"/>
  <c r="AL149"/>
  <c r="AK149"/>
  <c r="AJ149"/>
  <c r="AI149"/>
  <c r="AH149"/>
  <c r="AG149"/>
  <c r="AF149"/>
  <c r="AE149"/>
  <c r="AD149"/>
  <c r="AC149"/>
  <c r="AB149"/>
  <c r="AA149"/>
  <c r="Z149"/>
  <c r="Y149"/>
  <c r="X149"/>
  <c r="W149"/>
  <c r="V149"/>
  <c r="U149"/>
  <c r="T149"/>
  <c r="S149"/>
  <c r="R149"/>
  <c r="Q149"/>
  <c r="P149"/>
  <c r="O149"/>
  <c r="N149"/>
  <c r="M149"/>
  <c r="L149"/>
  <c r="K149"/>
  <c r="J149"/>
  <c r="A149" a="1"/>
  <c r="A149" s="1"/>
  <c r="I149" s="1"/>
  <c r="BA148"/>
  <c r="AZ148"/>
  <c r="AY148"/>
  <c r="AX148"/>
  <c r="AW148"/>
  <c r="AV148"/>
  <c r="AU148"/>
  <c r="AT148"/>
  <c r="AS148"/>
  <c r="AR148"/>
  <c r="AQ148"/>
  <c r="AP148"/>
  <c r="AO148"/>
  <c r="AN148"/>
  <c r="AM148"/>
  <c r="AL148"/>
  <c r="AK148"/>
  <c r="AJ148"/>
  <c r="AI148"/>
  <c r="AH148"/>
  <c r="AG148"/>
  <c r="AF148"/>
  <c r="AE148"/>
  <c r="AD148"/>
  <c r="AC148"/>
  <c r="AB148"/>
  <c r="AA148"/>
  <c r="Z148"/>
  <c r="Y148"/>
  <c r="X148"/>
  <c r="W148"/>
  <c r="V148"/>
  <c r="U148"/>
  <c r="T148"/>
  <c r="S148"/>
  <c r="R148"/>
  <c r="Q148"/>
  <c r="P148"/>
  <c r="O148"/>
  <c r="N148"/>
  <c r="M148"/>
  <c r="L148"/>
  <c r="K148"/>
  <c r="J148"/>
  <c r="A148" a="1"/>
  <c r="A148" s="1"/>
  <c r="I148" s="1"/>
  <c r="BA147"/>
  <c r="AZ147"/>
  <c r="AY147"/>
  <c r="AX147"/>
  <c r="AW147"/>
  <c r="AV147"/>
  <c r="AU147"/>
  <c r="AT147"/>
  <c r="AS147"/>
  <c r="AR147"/>
  <c r="AQ147"/>
  <c r="AP147"/>
  <c r="AO147"/>
  <c r="AN147"/>
  <c r="AM147"/>
  <c r="AL147"/>
  <c r="AK147"/>
  <c r="AJ147"/>
  <c r="AI147"/>
  <c r="AH147"/>
  <c r="AG147"/>
  <c r="AF147"/>
  <c r="AE147"/>
  <c r="AD147"/>
  <c r="AC147"/>
  <c r="AB147"/>
  <c r="AA147"/>
  <c r="Z147"/>
  <c r="Y147"/>
  <c r="X147"/>
  <c r="W147"/>
  <c r="V147"/>
  <c r="U147"/>
  <c r="T147"/>
  <c r="S147"/>
  <c r="R147"/>
  <c r="Q147"/>
  <c r="P147"/>
  <c r="O147"/>
  <c r="N147"/>
  <c r="M147"/>
  <c r="L147"/>
  <c r="K147"/>
  <c r="J147"/>
  <c r="A147" a="1"/>
  <c r="A147" s="1"/>
  <c r="I147" s="1"/>
  <c r="BA146"/>
  <c r="AZ146"/>
  <c r="AY146"/>
  <c r="AX146"/>
  <c r="AW146"/>
  <c r="AV146"/>
  <c r="AU146"/>
  <c r="AT146"/>
  <c r="AS146"/>
  <c r="AR146"/>
  <c r="AQ146"/>
  <c r="AP146"/>
  <c r="AO146"/>
  <c r="AN146"/>
  <c r="AM146"/>
  <c r="AL146"/>
  <c r="AK146"/>
  <c r="AJ146"/>
  <c r="AI146"/>
  <c r="AH146"/>
  <c r="AG146"/>
  <c r="AF146"/>
  <c r="AE146"/>
  <c r="AD146"/>
  <c r="AC146"/>
  <c r="AB146"/>
  <c r="AA146"/>
  <c r="Z146"/>
  <c r="Y146"/>
  <c r="X146"/>
  <c r="W146"/>
  <c r="V146"/>
  <c r="U146"/>
  <c r="T146"/>
  <c r="S146"/>
  <c r="R146"/>
  <c r="Q146"/>
  <c r="P146"/>
  <c r="O146"/>
  <c r="N146"/>
  <c r="M146"/>
  <c r="L146"/>
  <c r="K146"/>
  <c r="J146"/>
  <c r="A146" a="1"/>
  <c r="A146" s="1"/>
  <c r="I146" s="1"/>
  <c r="BA145"/>
  <c r="AZ145"/>
  <c r="AY145"/>
  <c r="AX145"/>
  <c r="AW145"/>
  <c r="AV145"/>
  <c r="AU145"/>
  <c r="AT145"/>
  <c r="AS145"/>
  <c r="AR145"/>
  <c r="AQ145"/>
  <c r="AP145"/>
  <c r="AO145"/>
  <c r="AN145"/>
  <c r="AM145"/>
  <c r="AL145"/>
  <c r="AK145"/>
  <c r="AJ145"/>
  <c r="AI145"/>
  <c r="AH145"/>
  <c r="AG145"/>
  <c r="AF145"/>
  <c r="AE145"/>
  <c r="AD145"/>
  <c r="AC145"/>
  <c r="AB145"/>
  <c r="AA145"/>
  <c r="Z145"/>
  <c r="Y145"/>
  <c r="X145"/>
  <c r="W145"/>
  <c r="V145"/>
  <c r="U145"/>
  <c r="T145"/>
  <c r="S145"/>
  <c r="R145"/>
  <c r="Q145"/>
  <c r="P145"/>
  <c r="O145"/>
  <c r="N145"/>
  <c r="M145"/>
  <c r="L145"/>
  <c r="K145"/>
  <c r="J145"/>
  <c r="A145" a="1"/>
  <c r="A145" s="1"/>
  <c r="I145" s="1"/>
  <c r="BA144"/>
  <c r="AZ144"/>
  <c r="AY144"/>
  <c r="AX144"/>
  <c r="AW144"/>
  <c r="AV144"/>
  <c r="AU144"/>
  <c r="AT144"/>
  <c r="AS144"/>
  <c r="AR144"/>
  <c r="AQ144"/>
  <c r="AP144"/>
  <c r="AO144"/>
  <c r="AN144"/>
  <c r="AM144"/>
  <c r="AL144"/>
  <c r="AK144"/>
  <c r="AJ144"/>
  <c r="AI144"/>
  <c r="AH144"/>
  <c r="AG144"/>
  <c r="AF144"/>
  <c r="AE144"/>
  <c r="AD144"/>
  <c r="AC144"/>
  <c r="AB144"/>
  <c r="AA144"/>
  <c r="Z144"/>
  <c r="Y144"/>
  <c r="X144"/>
  <c r="W144"/>
  <c r="V144"/>
  <c r="U144"/>
  <c r="T144"/>
  <c r="S144"/>
  <c r="R144"/>
  <c r="Q144"/>
  <c r="P144"/>
  <c r="O144"/>
  <c r="N144"/>
  <c r="M144"/>
  <c r="L144"/>
  <c r="K144"/>
  <c r="J144"/>
  <c r="A144" a="1"/>
  <c r="A144" s="1"/>
  <c r="I144" s="1"/>
  <c r="BA143"/>
  <c r="AZ143"/>
  <c r="AY143"/>
  <c r="AX143"/>
  <c r="AW143"/>
  <c r="AV143"/>
  <c r="AU143"/>
  <c r="AT143"/>
  <c r="AS143"/>
  <c r="AR143"/>
  <c r="AQ143"/>
  <c r="AP143"/>
  <c r="AO143"/>
  <c r="AN143"/>
  <c r="AM143"/>
  <c r="AL143"/>
  <c r="AK143"/>
  <c r="AJ143"/>
  <c r="AI143"/>
  <c r="AH143"/>
  <c r="AG143"/>
  <c r="AF143"/>
  <c r="AE143"/>
  <c r="AD143"/>
  <c r="AC143"/>
  <c r="AB143"/>
  <c r="AA143"/>
  <c r="Z143"/>
  <c r="Y143"/>
  <c r="X143"/>
  <c r="W143"/>
  <c r="V143"/>
  <c r="U143"/>
  <c r="T143"/>
  <c r="S143"/>
  <c r="R143"/>
  <c r="Q143"/>
  <c r="P143"/>
  <c r="O143"/>
  <c r="N143"/>
  <c r="M143"/>
  <c r="L143"/>
  <c r="K143"/>
  <c r="J143"/>
  <c r="A143" a="1"/>
  <c r="A143" s="1"/>
  <c r="I143" s="1"/>
  <c r="BA142"/>
  <c r="AZ142"/>
  <c r="AY142"/>
  <c r="AX142"/>
  <c r="AW142"/>
  <c r="AV142"/>
  <c r="AU142"/>
  <c r="AT142"/>
  <c r="AS142"/>
  <c r="AR142"/>
  <c r="AQ142"/>
  <c r="AP142"/>
  <c r="AO142"/>
  <c r="AN142"/>
  <c r="AM142"/>
  <c r="AL142"/>
  <c r="AK142"/>
  <c r="AJ142"/>
  <c r="AI142"/>
  <c r="AH142"/>
  <c r="AG142"/>
  <c r="AF142"/>
  <c r="AE142"/>
  <c r="AD142"/>
  <c r="AC142"/>
  <c r="AB142"/>
  <c r="AA142"/>
  <c r="Z142"/>
  <c r="Y142"/>
  <c r="X142"/>
  <c r="W142"/>
  <c r="V142"/>
  <c r="U142"/>
  <c r="T142"/>
  <c r="S142"/>
  <c r="R142"/>
  <c r="Q142"/>
  <c r="P142"/>
  <c r="O142"/>
  <c r="N142"/>
  <c r="M142"/>
  <c r="L142"/>
  <c r="K142"/>
  <c r="J142"/>
  <c r="A142" a="1"/>
  <c r="A142" s="1"/>
  <c r="I142" s="1"/>
  <c r="BA141"/>
  <c r="AZ141"/>
  <c r="AY141"/>
  <c r="AX141"/>
  <c r="AW141"/>
  <c r="AV141"/>
  <c r="AU141"/>
  <c r="AT141"/>
  <c r="AS141"/>
  <c r="AR141"/>
  <c r="AQ141"/>
  <c r="AP141"/>
  <c r="AO141"/>
  <c r="AN141"/>
  <c r="AM141"/>
  <c r="AL141"/>
  <c r="AK141"/>
  <c r="AJ141"/>
  <c r="AI141"/>
  <c r="AH141"/>
  <c r="AG141"/>
  <c r="AF141"/>
  <c r="AE141"/>
  <c r="AD141"/>
  <c r="AC141"/>
  <c r="AB141"/>
  <c r="AA141"/>
  <c r="Z141"/>
  <c r="Y141"/>
  <c r="X141"/>
  <c r="W141"/>
  <c r="V141"/>
  <c r="U141"/>
  <c r="T141"/>
  <c r="S141"/>
  <c r="R141"/>
  <c r="Q141"/>
  <c r="P141"/>
  <c r="O141"/>
  <c r="N141"/>
  <c r="M141"/>
  <c r="L141"/>
  <c r="K141"/>
  <c r="J141"/>
  <c r="A141" a="1"/>
  <c r="A141" s="1"/>
  <c r="I141" s="1"/>
  <c r="BA140"/>
  <c r="AZ140"/>
  <c r="AY140"/>
  <c r="AX140"/>
  <c r="AW140"/>
  <c r="AV140"/>
  <c r="AU140"/>
  <c r="AT140"/>
  <c r="AS140"/>
  <c r="AR140"/>
  <c r="AQ140"/>
  <c r="AP140"/>
  <c r="AO140"/>
  <c r="AN140"/>
  <c r="AM140"/>
  <c r="AL140"/>
  <c r="AK140"/>
  <c r="AJ140"/>
  <c r="AI140"/>
  <c r="AH140"/>
  <c r="AG140"/>
  <c r="AF140"/>
  <c r="AE140"/>
  <c r="AD140"/>
  <c r="AC140"/>
  <c r="AB140"/>
  <c r="AA140"/>
  <c r="Z140"/>
  <c r="Y140"/>
  <c r="X140"/>
  <c r="W140"/>
  <c r="V140"/>
  <c r="U140"/>
  <c r="T140"/>
  <c r="S140"/>
  <c r="R140"/>
  <c r="Q140"/>
  <c r="P140"/>
  <c r="O140"/>
  <c r="N140"/>
  <c r="M140"/>
  <c r="L140"/>
  <c r="K140"/>
  <c r="J140"/>
  <c r="A140" a="1"/>
  <c r="A140" s="1"/>
  <c r="I140" s="1"/>
  <c r="BA139"/>
  <c r="AZ139"/>
  <c r="AY139"/>
  <c r="AX139"/>
  <c r="AW139"/>
  <c r="AV139"/>
  <c r="AU139"/>
  <c r="AT139"/>
  <c r="AS139"/>
  <c r="AR139"/>
  <c r="AQ139"/>
  <c r="AP139"/>
  <c r="AO139"/>
  <c r="AN139"/>
  <c r="AM139"/>
  <c r="AL139"/>
  <c r="AK139"/>
  <c r="AJ139"/>
  <c r="AI139"/>
  <c r="AH139"/>
  <c r="AG139"/>
  <c r="AF139"/>
  <c r="AE139"/>
  <c r="AD139"/>
  <c r="AC139"/>
  <c r="AB139"/>
  <c r="AA139"/>
  <c r="Z139"/>
  <c r="Y139"/>
  <c r="X139"/>
  <c r="W139"/>
  <c r="V139"/>
  <c r="U139"/>
  <c r="T139"/>
  <c r="S139"/>
  <c r="R139"/>
  <c r="Q139"/>
  <c r="P139"/>
  <c r="O139"/>
  <c r="N139"/>
  <c r="M139"/>
  <c r="L139"/>
  <c r="K139"/>
  <c r="J139"/>
  <c r="A139" a="1"/>
  <c r="A139" s="1"/>
  <c r="I139" s="1"/>
  <c r="BA138"/>
  <c r="AZ138"/>
  <c r="AY138"/>
  <c r="AX138"/>
  <c r="AW138"/>
  <c r="AV138"/>
  <c r="AU138"/>
  <c r="AT138"/>
  <c r="AS138"/>
  <c r="AR138"/>
  <c r="AQ138"/>
  <c r="AP138"/>
  <c r="AO138"/>
  <c r="AN138"/>
  <c r="AM138"/>
  <c r="AL138"/>
  <c r="AK138"/>
  <c r="AJ138"/>
  <c r="AI138"/>
  <c r="AH138"/>
  <c r="AG138"/>
  <c r="AF138"/>
  <c r="AE138"/>
  <c r="AD138"/>
  <c r="AC138"/>
  <c r="AB138"/>
  <c r="AA138"/>
  <c r="Z138"/>
  <c r="Y138"/>
  <c r="X138"/>
  <c r="W138"/>
  <c r="V138"/>
  <c r="U138"/>
  <c r="T138"/>
  <c r="S138"/>
  <c r="R138"/>
  <c r="Q138"/>
  <c r="P138"/>
  <c r="O138"/>
  <c r="N138"/>
  <c r="M138"/>
  <c r="L138"/>
  <c r="K138"/>
  <c r="J138"/>
  <c r="A138" a="1"/>
  <c r="A138" s="1"/>
  <c r="I138" s="1"/>
  <c r="BA137"/>
  <c r="AZ137"/>
  <c r="AY137"/>
  <c r="AX137"/>
  <c r="AW137"/>
  <c r="AV137"/>
  <c r="AU137"/>
  <c r="AT137"/>
  <c r="AS137"/>
  <c r="AR137"/>
  <c r="AQ137"/>
  <c r="AP137"/>
  <c r="AO137"/>
  <c r="AN137"/>
  <c r="AM137"/>
  <c r="AL137"/>
  <c r="AK137"/>
  <c r="AJ137"/>
  <c r="AI137"/>
  <c r="AH137"/>
  <c r="AG137"/>
  <c r="AF137"/>
  <c r="AE137"/>
  <c r="AD137"/>
  <c r="AC137"/>
  <c r="AB137"/>
  <c r="AA137"/>
  <c r="Z137"/>
  <c r="Y137"/>
  <c r="X137"/>
  <c r="W137"/>
  <c r="V137"/>
  <c r="U137"/>
  <c r="T137"/>
  <c r="S137"/>
  <c r="R137"/>
  <c r="Q137"/>
  <c r="P137"/>
  <c r="O137"/>
  <c r="N137"/>
  <c r="M137"/>
  <c r="L137"/>
  <c r="K137"/>
  <c r="J137"/>
  <c r="A137" a="1"/>
  <c r="A137" s="1"/>
  <c r="I137" s="1"/>
  <c r="BA136"/>
  <c r="AZ136"/>
  <c r="AY136"/>
  <c r="AX136"/>
  <c r="AW136"/>
  <c r="AV136"/>
  <c r="AU136"/>
  <c r="AT136"/>
  <c r="AS136"/>
  <c r="AR136"/>
  <c r="AQ136"/>
  <c r="AP136"/>
  <c r="AO136"/>
  <c r="AN136"/>
  <c r="AM136"/>
  <c r="AL136"/>
  <c r="AK136"/>
  <c r="AJ136"/>
  <c r="AI136"/>
  <c r="AH136"/>
  <c r="AG136"/>
  <c r="AF136"/>
  <c r="AE136"/>
  <c r="AD136"/>
  <c r="AC136"/>
  <c r="AB136"/>
  <c r="AA136"/>
  <c r="Z136"/>
  <c r="Y136"/>
  <c r="X136"/>
  <c r="W136"/>
  <c r="V136"/>
  <c r="U136"/>
  <c r="T136"/>
  <c r="S136"/>
  <c r="R136"/>
  <c r="Q136"/>
  <c r="P136"/>
  <c r="O136"/>
  <c r="N136"/>
  <c r="M136"/>
  <c r="L136"/>
  <c r="K136"/>
  <c r="J136"/>
  <c r="A136" a="1"/>
  <c r="A136" s="1"/>
  <c r="I136" s="1"/>
  <c r="BA135"/>
  <c r="AZ135"/>
  <c r="AY135"/>
  <c r="AX135"/>
  <c r="AW135"/>
  <c r="AV135"/>
  <c r="AU135"/>
  <c r="AT135"/>
  <c r="AS135"/>
  <c r="AR135"/>
  <c r="AQ135"/>
  <c r="AP135"/>
  <c r="AO135"/>
  <c r="AN135"/>
  <c r="AM135"/>
  <c r="AL135"/>
  <c r="AK135"/>
  <c r="AJ135"/>
  <c r="AI135"/>
  <c r="AH135"/>
  <c r="AG135"/>
  <c r="AF135"/>
  <c r="AE135"/>
  <c r="AD135"/>
  <c r="AC135"/>
  <c r="AB135"/>
  <c r="AA135"/>
  <c r="Z135"/>
  <c r="Y135"/>
  <c r="X135"/>
  <c r="W135"/>
  <c r="V135"/>
  <c r="U135"/>
  <c r="T135"/>
  <c r="S135"/>
  <c r="R135"/>
  <c r="Q135"/>
  <c r="P135"/>
  <c r="O135"/>
  <c r="N135"/>
  <c r="M135"/>
  <c r="L135"/>
  <c r="K135"/>
  <c r="J135"/>
  <c r="A135" a="1"/>
  <c r="A135" s="1"/>
  <c r="I135" s="1"/>
  <c r="BA134"/>
  <c r="AZ134"/>
  <c r="AY134"/>
  <c r="AX134"/>
  <c r="AW134"/>
  <c r="AV134"/>
  <c r="AU134"/>
  <c r="AT134"/>
  <c r="AS134"/>
  <c r="AR134"/>
  <c r="AQ134"/>
  <c r="AP134"/>
  <c r="AO134"/>
  <c r="AN134"/>
  <c r="AM134"/>
  <c r="AL134"/>
  <c r="AK134"/>
  <c r="AJ134"/>
  <c r="AI134"/>
  <c r="AH134"/>
  <c r="AG134"/>
  <c r="AF134"/>
  <c r="AE134"/>
  <c r="AD134"/>
  <c r="AC134"/>
  <c r="AB134"/>
  <c r="AA134"/>
  <c r="Z134"/>
  <c r="Y134"/>
  <c r="X134"/>
  <c r="W134"/>
  <c r="V134"/>
  <c r="U134"/>
  <c r="T134"/>
  <c r="S134"/>
  <c r="R134"/>
  <c r="Q134"/>
  <c r="P134"/>
  <c r="O134"/>
  <c r="N134"/>
  <c r="M134"/>
  <c r="L134"/>
  <c r="K134"/>
  <c r="J134"/>
  <c r="A134" a="1"/>
  <c r="A134" s="1"/>
  <c r="I134" s="1"/>
  <c r="BA133"/>
  <c r="AZ133"/>
  <c r="AY133"/>
  <c r="AX133"/>
  <c r="AW133"/>
  <c r="AV133"/>
  <c r="AU133"/>
  <c r="AT133"/>
  <c r="AS133"/>
  <c r="AR133"/>
  <c r="AQ133"/>
  <c r="AP133"/>
  <c r="AO133"/>
  <c r="AN133"/>
  <c r="AM133"/>
  <c r="AL133"/>
  <c r="AK133"/>
  <c r="AJ133"/>
  <c r="AI133"/>
  <c r="AH133"/>
  <c r="AG133"/>
  <c r="AF133"/>
  <c r="AE133"/>
  <c r="AD133"/>
  <c r="AC133"/>
  <c r="AB133"/>
  <c r="AA133"/>
  <c r="Z133"/>
  <c r="Y133"/>
  <c r="X133"/>
  <c r="W133"/>
  <c r="V133"/>
  <c r="U133"/>
  <c r="T133"/>
  <c r="S133"/>
  <c r="R133"/>
  <c r="Q133"/>
  <c r="P133"/>
  <c r="O133"/>
  <c r="N133"/>
  <c r="M133"/>
  <c r="L133"/>
  <c r="K133"/>
  <c r="J133"/>
  <c r="A133" a="1"/>
  <c r="A133" s="1"/>
  <c r="I133" s="1"/>
  <c r="BA132"/>
  <c r="AZ132"/>
  <c r="AY132"/>
  <c r="AX132"/>
  <c r="AW132"/>
  <c r="AV132"/>
  <c r="AU132"/>
  <c r="AT132"/>
  <c r="AS132"/>
  <c r="AR132"/>
  <c r="AQ132"/>
  <c r="AP132"/>
  <c r="AO132"/>
  <c r="AN132"/>
  <c r="AM132"/>
  <c r="AL132"/>
  <c r="AK132"/>
  <c r="AJ132"/>
  <c r="AI132"/>
  <c r="AH132"/>
  <c r="AG132"/>
  <c r="AF132"/>
  <c r="AE132"/>
  <c r="AD132"/>
  <c r="AC132"/>
  <c r="AB132"/>
  <c r="AA132"/>
  <c r="Z132"/>
  <c r="Y132"/>
  <c r="X132"/>
  <c r="W132"/>
  <c r="V132"/>
  <c r="U132"/>
  <c r="T132"/>
  <c r="S132"/>
  <c r="R132"/>
  <c r="Q132"/>
  <c r="P132"/>
  <c r="O132"/>
  <c r="N132"/>
  <c r="M132"/>
  <c r="L132"/>
  <c r="K132"/>
  <c r="J132"/>
  <c r="A132" a="1"/>
  <c r="A132" s="1"/>
  <c r="I132" s="1"/>
  <c r="BA131"/>
  <c r="AZ131"/>
  <c r="AY131"/>
  <c r="AX131"/>
  <c r="AW131"/>
  <c r="AV131"/>
  <c r="AU131"/>
  <c r="AT131"/>
  <c r="AS131"/>
  <c r="AR131"/>
  <c r="AQ131"/>
  <c r="AP131"/>
  <c r="AO131"/>
  <c r="AN131"/>
  <c r="AM131"/>
  <c r="AL131"/>
  <c r="AK131"/>
  <c r="AJ131"/>
  <c r="AI131"/>
  <c r="AH131"/>
  <c r="AG131"/>
  <c r="AF131"/>
  <c r="AE131"/>
  <c r="AD131"/>
  <c r="AC131"/>
  <c r="AB131"/>
  <c r="AA131"/>
  <c r="Z131"/>
  <c r="Y131"/>
  <c r="X131"/>
  <c r="W131"/>
  <c r="V131"/>
  <c r="U131"/>
  <c r="T131"/>
  <c r="S131"/>
  <c r="R131"/>
  <c r="Q131"/>
  <c r="P131"/>
  <c r="O131"/>
  <c r="N131"/>
  <c r="M131"/>
  <c r="L131"/>
  <c r="K131"/>
  <c r="J131"/>
  <c r="A131" a="1"/>
  <c r="A131" s="1"/>
  <c r="I131" s="1"/>
  <c r="BA130"/>
  <c r="AZ130"/>
  <c r="AY130"/>
  <c r="AX130"/>
  <c r="AW130"/>
  <c r="AV130"/>
  <c r="AU130"/>
  <c r="AT130"/>
  <c r="AS130"/>
  <c r="AR130"/>
  <c r="AQ130"/>
  <c r="AP130"/>
  <c r="AO130"/>
  <c r="AN130"/>
  <c r="AM130"/>
  <c r="AL130"/>
  <c r="AK130"/>
  <c r="AJ130"/>
  <c r="AI130"/>
  <c r="AH130"/>
  <c r="AG130"/>
  <c r="AF130"/>
  <c r="AE130"/>
  <c r="AD130"/>
  <c r="AC130"/>
  <c r="AB130"/>
  <c r="AA130"/>
  <c r="Z130"/>
  <c r="Y130"/>
  <c r="X130"/>
  <c r="W130"/>
  <c r="V130"/>
  <c r="U130"/>
  <c r="T130"/>
  <c r="S130"/>
  <c r="R130"/>
  <c r="Q130"/>
  <c r="P130"/>
  <c r="O130"/>
  <c r="N130"/>
  <c r="M130"/>
  <c r="L130"/>
  <c r="K130"/>
  <c r="J130"/>
  <c r="A130" a="1"/>
  <c r="A130" s="1"/>
  <c r="I130" s="1"/>
  <c r="BA129"/>
  <c r="AZ129"/>
  <c r="AY129"/>
  <c r="AX129"/>
  <c r="AW129"/>
  <c r="AV129"/>
  <c r="AU129"/>
  <c r="AT129"/>
  <c r="AS129"/>
  <c r="AR129"/>
  <c r="AQ129"/>
  <c r="AP129"/>
  <c r="AO129"/>
  <c r="AN129"/>
  <c r="AM129"/>
  <c r="AL129"/>
  <c r="AK129"/>
  <c r="AJ129"/>
  <c r="AI129"/>
  <c r="AH129"/>
  <c r="AG129"/>
  <c r="AF129"/>
  <c r="AE129"/>
  <c r="AD129"/>
  <c r="AC129"/>
  <c r="AB129"/>
  <c r="AA129"/>
  <c r="Z129"/>
  <c r="Y129"/>
  <c r="X129"/>
  <c r="W129"/>
  <c r="V129"/>
  <c r="U129"/>
  <c r="T129"/>
  <c r="S129"/>
  <c r="R129"/>
  <c r="Q129"/>
  <c r="P129"/>
  <c r="O129"/>
  <c r="N129"/>
  <c r="M129"/>
  <c r="L129"/>
  <c r="K129"/>
  <c r="J129"/>
  <c r="A129" a="1"/>
  <c r="A129" s="1"/>
  <c r="I129" s="1"/>
  <c r="BA128"/>
  <c r="AZ128"/>
  <c r="AY128"/>
  <c r="AX128"/>
  <c r="AW128"/>
  <c r="AV128"/>
  <c r="AU128"/>
  <c r="AT128"/>
  <c r="AS128"/>
  <c r="AR128"/>
  <c r="AQ128"/>
  <c r="AP128"/>
  <c r="AO128"/>
  <c r="AN128"/>
  <c r="AM128"/>
  <c r="AL128"/>
  <c r="AK128"/>
  <c r="AJ128"/>
  <c r="AI128"/>
  <c r="AH128"/>
  <c r="AG128"/>
  <c r="AF128"/>
  <c r="AE128"/>
  <c r="AD128"/>
  <c r="AC128"/>
  <c r="AB128"/>
  <c r="AA128"/>
  <c r="Z128"/>
  <c r="Y128"/>
  <c r="X128"/>
  <c r="W128"/>
  <c r="V128"/>
  <c r="U128"/>
  <c r="T128"/>
  <c r="S128"/>
  <c r="R128"/>
  <c r="Q128"/>
  <c r="P128"/>
  <c r="O128"/>
  <c r="N128"/>
  <c r="M128"/>
  <c r="L128"/>
  <c r="K128"/>
  <c r="J128"/>
  <c r="A128" a="1"/>
  <c r="A128" s="1"/>
  <c r="I128" s="1"/>
  <c r="BA127"/>
  <c r="AZ127"/>
  <c r="AY127"/>
  <c r="AX127"/>
  <c r="AW127"/>
  <c r="AV127"/>
  <c r="AU127"/>
  <c r="AT127"/>
  <c r="AS127"/>
  <c r="AR127"/>
  <c r="AQ127"/>
  <c r="AP127"/>
  <c r="AO127"/>
  <c r="AN127"/>
  <c r="AM127"/>
  <c r="AL127"/>
  <c r="AK127"/>
  <c r="AJ127"/>
  <c r="AI127"/>
  <c r="AH127"/>
  <c r="AG127"/>
  <c r="AF127"/>
  <c r="AE127"/>
  <c r="AD127"/>
  <c r="AC127"/>
  <c r="AB127"/>
  <c r="AA127"/>
  <c r="Z127"/>
  <c r="Y127"/>
  <c r="X127"/>
  <c r="W127"/>
  <c r="V127"/>
  <c r="U127"/>
  <c r="T127"/>
  <c r="S127"/>
  <c r="R127"/>
  <c r="Q127"/>
  <c r="P127"/>
  <c r="O127"/>
  <c r="N127"/>
  <c r="M127"/>
  <c r="L127"/>
  <c r="K127"/>
  <c r="J127"/>
  <c r="A127" a="1"/>
  <c r="A127" s="1"/>
  <c r="I127" s="1"/>
  <c r="BA126"/>
  <c r="AZ126"/>
  <c r="AY126"/>
  <c r="AX126"/>
  <c r="AW126"/>
  <c r="AV126"/>
  <c r="AU126"/>
  <c r="AT126"/>
  <c r="AS126"/>
  <c r="AR126"/>
  <c r="AQ126"/>
  <c r="AP126"/>
  <c r="AO126"/>
  <c r="AN126"/>
  <c r="AM126"/>
  <c r="AL126"/>
  <c r="AK126"/>
  <c r="AJ126"/>
  <c r="AI126"/>
  <c r="AH126"/>
  <c r="AG126"/>
  <c r="AF126"/>
  <c r="AE126"/>
  <c r="AD126"/>
  <c r="AC126"/>
  <c r="AB126"/>
  <c r="AA126"/>
  <c r="Z126"/>
  <c r="Y126"/>
  <c r="X126"/>
  <c r="W126"/>
  <c r="V126"/>
  <c r="U126"/>
  <c r="T126"/>
  <c r="S126"/>
  <c r="R126"/>
  <c r="Q126"/>
  <c r="P126"/>
  <c r="O126"/>
  <c r="N126"/>
  <c r="M126"/>
  <c r="L126"/>
  <c r="K126"/>
  <c r="J126"/>
  <c r="A126" a="1"/>
  <c r="A126" s="1"/>
  <c r="I126" s="1"/>
  <c r="BA125"/>
  <c r="AZ125"/>
  <c r="AY125"/>
  <c r="AX125"/>
  <c r="AW125"/>
  <c r="AV125"/>
  <c r="AU125"/>
  <c r="AT125"/>
  <c r="AS125"/>
  <c r="AR125"/>
  <c r="AQ125"/>
  <c r="AP125"/>
  <c r="AO125"/>
  <c r="AN125"/>
  <c r="AM125"/>
  <c r="AL125"/>
  <c r="AK125"/>
  <c r="AJ125"/>
  <c r="AI125"/>
  <c r="AH125"/>
  <c r="AG125"/>
  <c r="AF125"/>
  <c r="AE125"/>
  <c r="AD125"/>
  <c r="AC125"/>
  <c r="AB125"/>
  <c r="AA125"/>
  <c r="Z125"/>
  <c r="Y125"/>
  <c r="X125"/>
  <c r="W125"/>
  <c r="V125"/>
  <c r="U125"/>
  <c r="T125"/>
  <c r="S125"/>
  <c r="R125"/>
  <c r="Q125"/>
  <c r="P125"/>
  <c r="O125"/>
  <c r="N125"/>
  <c r="M125"/>
  <c r="L125"/>
  <c r="K125"/>
  <c r="J125"/>
  <c r="A125" a="1"/>
  <c r="A125" s="1"/>
  <c r="I125" s="1"/>
  <c r="BA124"/>
  <c r="AZ124"/>
  <c r="AY124"/>
  <c r="AX124"/>
  <c r="AW124"/>
  <c r="AV124"/>
  <c r="AU124"/>
  <c r="AT124"/>
  <c r="AS124"/>
  <c r="AR124"/>
  <c r="AQ124"/>
  <c r="AP124"/>
  <c r="AO124"/>
  <c r="AN124"/>
  <c r="AM124"/>
  <c r="AL124"/>
  <c r="AK124"/>
  <c r="AJ124"/>
  <c r="AI124"/>
  <c r="AH124"/>
  <c r="AG124"/>
  <c r="AF124"/>
  <c r="AE124"/>
  <c r="AD124"/>
  <c r="AC124"/>
  <c r="AB124"/>
  <c r="AA124"/>
  <c r="Z124"/>
  <c r="Y124"/>
  <c r="X124"/>
  <c r="W124"/>
  <c r="V124"/>
  <c r="U124"/>
  <c r="T124"/>
  <c r="S124"/>
  <c r="R124"/>
  <c r="Q124"/>
  <c r="P124"/>
  <c r="O124"/>
  <c r="N124"/>
  <c r="M124"/>
  <c r="L124"/>
  <c r="K124"/>
  <c r="J124"/>
  <c r="A124" a="1"/>
  <c r="A124" s="1"/>
  <c r="I124" s="1"/>
  <c r="BA123"/>
  <c r="AZ123"/>
  <c r="AY123"/>
  <c r="AX123"/>
  <c r="AW123"/>
  <c r="AV123"/>
  <c r="AU123"/>
  <c r="AT123"/>
  <c r="AS123"/>
  <c r="AR123"/>
  <c r="AQ123"/>
  <c r="AP123"/>
  <c r="AO123"/>
  <c r="AN123"/>
  <c r="AM123"/>
  <c r="AL123"/>
  <c r="AK123"/>
  <c r="AJ123"/>
  <c r="AI123"/>
  <c r="AH123"/>
  <c r="AG123"/>
  <c r="AF123"/>
  <c r="AE123"/>
  <c r="AD123"/>
  <c r="AC123"/>
  <c r="AB123"/>
  <c r="AA123"/>
  <c r="Z123"/>
  <c r="Y123"/>
  <c r="X123"/>
  <c r="W123"/>
  <c r="V123"/>
  <c r="U123"/>
  <c r="T123"/>
  <c r="S123"/>
  <c r="R123"/>
  <c r="Q123"/>
  <c r="P123"/>
  <c r="O123"/>
  <c r="N123"/>
  <c r="M123"/>
  <c r="L123"/>
  <c r="K123"/>
  <c r="J123"/>
  <c r="A123" a="1"/>
  <c r="A123" s="1"/>
  <c r="I123" s="1"/>
  <c r="BA122"/>
  <c r="AZ122"/>
  <c r="AY122"/>
  <c r="AX122"/>
  <c r="AW122"/>
  <c r="AV122"/>
  <c r="AU122"/>
  <c r="AT122"/>
  <c r="AS122"/>
  <c r="AR122"/>
  <c r="AQ122"/>
  <c r="AP122"/>
  <c r="AO122"/>
  <c r="AN122"/>
  <c r="AM122"/>
  <c r="AL122"/>
  <c r="AK122"/>
  <c r="AJ122"/>
  <c r="AI122"/>
  <c r="AH122"/>
  <c r="AG122"/>
  <c r="AF122"/>
  <c r="AE122"/>
  <c r="AD122"/>
  <c r="AC122"/>
  <c r="AB122"/>
  <c r="AA122"/>
  <c r="Z122"/>
  <c r="Y122"/>
  <c r="X122"/>
  <c r="W122"/>
  <c r="V122"/>
  <c r="U122"/>
  <c r="T122"/>
  <c r="S122"/>
  <c r="R122"/>
  <c r="Q122"/>
  <c r="P122"/>
  <c r="O122"/>
  <c r="N122"/>
  <c r="M122"/>
  <c r="L122"/>
  <c r="K122"/>
  <c r="J122"/>
  <c r="A122" a="1"/>
  <c r="A122" s="1"/>
  <c r="I122" s="1"/>
  <c r="BA121"/>
  <c r="AZ121"/>
  <c r="AY121"/>
  <c r="AX121"/>
  <c r="AW121"/>
  <c r="AV121"/>
  <c r="AU121"/>
  <c r="AT121"/>
  <c r="AS121"/>
  <c r="AR121"/>
  <c r="AQ121"/>
  <c r="AP121"/>
  <c r="AO121"/>
  <c r="AN121"/>
  <c r="AM121"/>
  <c r="AL121"/>
  <c r="AK121"/>
  <c r="AJ121"/>
  <c r="AI121"/>
  <c r="AH121"/>
  <c r="AG121"/>
  <c r="AF121"/>
  <c r="AE121"/>
  <c r="AD121"/>
  <c r="AC121"/>
  <c r="AB121"/>
  <c r="AA121"/>
  <c r="Z121"/>
  <c r="Y121"/>
  <c r="X121"/>
  <c r="W121"/>
  <c r="V121"/>
  <c r="U121"/>
  <c r="T121"/>
  <c r="S121"/>
  <c r="R121"/>
  <c r="Q121"/>
  <c r="P121"/>
  <c r="O121"/>
  <c r="N121"/>
  <c r="M121"/>
  <c r="L121"/>
  <c r="K121"/>
  <c r="J121"/>
  <c r="A121" a="1"/>
  <c r="A121" s="1"/>
  <c r="I121" s="1"/>
  <c r="BA120"/>
  <c r="AZ120"/>
  <c r="AY120"/>
  <c r="AX120"/>
  <c r="AW120"/>
  <c r="AV120"/>
  <c r="AU120"/>
  <c r="AT120"/>
  <c r="AS120"/>
  <c r="AR120"/>
  <c r="AQ120"/>
  <c r="AP120"/>
  <c r="AO120"/>
  <c r="AN120"/>
  <c r="AM120"/>
  <c r="AL120"/>
  <c r="AK120"/>
  <c r="AJ120"/>
  <c r="AI120"/>
  <c r="AH120"/>
  <c r="AG120"/>
  <c r="AF120"/>
  <c r="AE120"/>
  <c r="AD120"/>
  <c r="AC120"/>
  <c r="AB120"/>
  <c r="AA120"/>
  <c r="Z120"/>
  <c r="Y120"/>
  <c r="X120"/>
  <c r="W120"/>
  <c r="V120"/>
  <c r="U120"/>
  <c r="T120"/>
  <c r="S120"/>
  <c r="R120"/>
  <c r="Q120"/>
  <c r="P120"/>
  <c r="O120"/>
  <c r="N120"/>
  <c r="M120"/>
  <c r="L120"/>
  <c r="K120"/>
  <c r="J120"/>
  <c r="A120" a="1"/>
  <c r="A120" s="1"/>
  <c r="I120" s="1"/>
  <c r="BA119"/>
  <c r="AZ119"/>
  <c r="AY119"/>
  <c r="AX119"/>
  <c r="AW119"/>
  <c r="AV119"/>
  <c r="AU119"/>
  <c r="AT119"/>
  <c r="AS119"/>
  <c r="AR119"/>
  <c r="AQ119"/>
  <c r="AP119"/>
  <c r="AO119"/>
  <c r="AN119"/>
  <c r="AM119"/>
  <c r="AL119"/>
  <c r="AK119"/>
  <c r="AJ119"/>
  <c r="AI119"/>
  <c r="AH119"/>
  <c r="AG119"/>
  <c r="AF119"/>
  <c r="AE119"/>
  <c r="AD119"/>
  <c r="AC119"/>
  <c r="AB119"/>
  <c r="AA119"/>
  <c r="Z119"/>
  <c r="Y119"/>
  <c r="X119"/>
  <c r="W119"/>
  <c r="V119"/>
  <c r="U119"/>
  <c r="T119"/>
  <c r="S119"/>
  <c r="R119"/>
  <c r="Q119"/>
  <c r="P119"/>
  <c r="O119"/>
  <c r="N119"/>
  <c r="M119"/>
  <c r="L119"/>
  <c r="K119"/>
  <c r="J119"/>
  <c r="A119" a="1"/>
  <c r="A119" s="1"/>
  <c r="I119" s="1"/>
  <c r="BA118"/>
  <c r="AZ118"/>
  <c r="AY118"/>
  <c r="AX118"/>
  <c r="AW118"/>
  <c r="AV118"/>
  <c r="AU118"/>
  <c r="AT118"/>
  <c r="AS118"/>
  <c r="AR118"/>
  <c r="AQ118"/>
  <c r="AP118"/>
  <c r="AO118"/>
  <c r="AN118"/>
  <c r="AM118"/>
  <c r="AL118"/>
  <c r="AK118"/>
  <c r="AJ118"/>
  <c r="AI118"/>
  <c r="AH118"/>
  <c r="AG118"/>
  <c r="AF118"/>
  <c r="AE118"/>
  <c r="AD118"/>
  <c r="AC118"/>
  <c r="AB118"/>
  <c r="AA118"/>
  <c r="Z118"/>
  <c r="Y118"/>
  <c r="X118"/>
  <c r="W118"/>
  <c r="V118"/>
  <c r="U118"/>
  <c r="T118"/>
  <c r="S118"/>
  <c r="R118"/>
  <c r="Q118"/>
  <c r="P118"/>
  <c r="O118"/>
  <c r="N118"/>
  <c r="M118"/>
  <c r="L118"/>
  <c r="K118"/>
  <c r="J118"/>
  <c r="A118" a="1"/>
  <c r="A118" s="1"/>
  <c r="I118" s="1"/>
  <c r="BA117"/>
  <c r="AZ117"/>
  <c r="AY117"/>
  <c r="AX117"/>
  <c r="AW117"/>
  <c r="AV117"/>
  <c r="AU117"/>
  <c r="AT117"/>
  <c r="AS117"/>
  <c r="AR117"/>
  <c r="AQ117"/>
  <c r="AP117"/>
  <c r="AO117"/>
  <c r="AN117"/>
  <c r="AM117"/>
  <c r="AL117"/>
  <c r="AK117"/>
  <c r="AJ117"/>
  <c r="AI117"/>
  <c r="AH117"/>
  <c r="AG117"/>
  <c r="AF117"/>
  <c r="AE117"/>
  <c r="AD117"/>
  <c r="AC117"/>
  <c r="AB117"/>
  <c r="AA117"/>
  <c r="Z117"/>
  <c r="Y117"/>
  <c r="X117"/>
  <c r="W117"/>
  <c r="V117"/>
  <c r="U117"/>
  <c r="T117"/>
  <c r="S117"/>
  <c r="R117"/>
  <c r="Q117"/>
  <c r="P117"/>
  <c r="O117"/>
  <c r="N117"/>
  <c r="M117"/>
  <c r="L117"/>
  <c r="K117"/>
  <c r="J117"/>
  <c r="A117" a="1"/>
  <c r="A117" s="1"/>
  <c r="I117" s="1"/>
  <c r="BA116"/>
  <c r="AZ116"/>
  <c r="AY116"/>
  <c r="AX116"/>
  <c r="AW116"/>
  <c r="AV116"/>
  <c r="AU116"/>
  <c r="AT116"/>
  <c r="AS116"/>
  <c r="AR116"/>
  <c r="AQ116"/>
  <c r="AP116"/>
  <c r="AO116"/>
  <c r="AN116"/>
  <c r="AM116"/>
  <c r="AL116"/>
  <c r="AK116"/>
  <c r="AJ116"/>
  <c r="AI116"/>
  <c r="AH116"/>
  <c r="AG116"/>
  <c r="AF116"/>
  <c r="AE116"/>
  <c r="AD116"/>
  <c r="AC116"/>
  <c r="AB116"/>
  <c r="AA116"/>
  <c r="Z116"/>
  <c r="Y116"/>
  <c r="X116"/>
  <c r="W116"/>
  <c r="V116"/>
  <c r="U116"/>
  <c r="T116"/>
  <c r="S116"/>
  <c r="R116"/>
  <c r="Q116"/>
  <c r="P116"/>
  <c r="O116"/>
  <c r="N116"/>
  <c r="M116"/>
  <c r="L116"/>
  <c r="K116"/>
  <c r="J116"/>
  <c r="A116" a="1"/>
  <c r="A116" s="1"/>
  <c r="I116" s="1"/>
  <c r="BA115"/>
  <c r="AZ115"/>
  <c r="AY115"/>
  <c r="AX115"/>
  <c r="AW115"/>
  <c r="AV115"/>
  <c r="AU115"/>
  <c r="AT115"/>
  <c r="AS115"/>
  <c r="AR115"/>
  <c r="AQ115"/>
  <c r="AP115"/>
  <c r="AO115"/>
  <c r="AN115"/>
  <c r="AM115"/>
  <c r="AL115"/>
  <c r="AK115"/>
  <c r="AJ115"/>
  <c r="AI115"/>
  <c r="AH115"/>
  <c r="AG115"/>
  <c r="AF115"/>
  <c r="AE115"/>
  <c r="AD115"/>
  <c r="AC115"/>
  <c r="AB115"/>
  <c r="AA115"/>
  <c r="Z115"/>
  <c r="Y115"/>
  <c r="X115"/>
  <c r="W115"/>
  <c r="V115"/>
  <c r="U115"/>
  <c r="T115"/>
  <c r="S115"/>
  <c r="R115"/>
  <c r="Q115"/>
  <c r="P115"/>
  <c r="O115"/>
  <c r="N115"/>
  <c r="M115"/>
  <c r="L115"/>
  <c r="K115"/>
  <c r="J115"/>
  <c r="A115" a="1"/>
  <c r="A115" s="1"/>
  <c r="I115" s="1"/>
  <c r="BA114"/>
  <c r="AZ114"/>
  <c r="AY114"/>
  <c r="AX114"/>
  <c r="AW114"/>
  <c r="AV114"/>
  <c r="AU114"/>
  <c r="AT114"/>
  <c r="AS114"/>
  <c r="AR114"/>
  <c r="AQ114"/>
  <c r="AP114"/>
  <c r="AO114"/>
  <c r="AN114"/>
  <c r="AM114"/>
  <c r="AL114"/>
  <c r="AK114"/>
  <c r="AJ114"/>
  <c r="AI114"/>
  <c r="AH114"/>
  <c r="AG114"/>
  <c r="AF114"/>
  <c r="AE114"/>
  <c r="AD114"/>
  <c r="AC114"/>
  <c r="AB114"/>
  <c r="AA114"/>
  <c r="Z114"/>
  <c r="Y114"/>
  <c r="X114"/>
  <c r="W114"/>
  <c r="V114"/>
  <c r="U114"/>
  <c r="T114"/>
  <c r="S114"/>
  <c r="R114"/>
  <c r="Q114"/>
  <c r="P114"/>
  <c r="O114"/>
  <c r="N114"/>
  <c r="M114"/>
  <c r="L114"/>
  <c r="K114"/>
  <c r="J114"/>
  <c r="A114" a="1"/>
  <c r="A114" s="1"/>
  <c r="I114" s="1"/>
  <c r="BA113"/>
  <c r="AZ113"/>
  <c r="AY113"/>
  <c r="AX113"/>
  <c r="AW113"/>
  <c r="AV113"/>
  <c r="AU113"/>
  <c r="AT113"/>
  <c r="AS113"/>
  <c r="AR113"/>
  <c r="AQ113"/>
  <c r="AP113"/>
  <c r="AO113"/>
  <c r="AN113"/>
  <c r="AM113"/>
  <c r="AL113"/>
  <c r="AK113"/>
  <c r="AJ113"/>
  <c r="AI113"/>
  <c r="AH113"/>
  <c r="AG113"/>
  <c r="AF113"/>
  <c r="AE113"/>
  <c r="AD113"/>
  <c r="AC113"/>
  <c r="AB113"/>
  <c r="AA113"/>
  <c r="Z113"/>
  <c r="Y113"/>
  <c r="X113"/>
  <c r="W113"/>
  <c r="V113"/>
  <c r="U113"/>
  <c r="T113"/>
  <c r="S113"/>
  <c r="R113"/>
  <c r="Q113"/>
  <c r="P113"/>
  <c r="O113"/>
  <c r="N113"/>
  <c r="M113"/>
  <c r="L113"/>
  <c r="K113"/>
  <c r="J113"/>
  <c r="A113" a="1"/>
  <c r="A113" s="1"/>
  <c r="I113" s="1"/>
  <c r="BA112"/>
  <c r="AZ112"/>
  <c r="AY112"/>
  <c r="AX112"/>
  <c r="AW112"/>
  <c r="AV112"/>
  <c r="AU112"/>
  <c r="AT112"/>
  <c r="AS112"/>
  <c r="AR112"/>
  <c r="AQ112"/>
  <c r="AP112"/>
  <c r="AO112"/>
  <c r="AN112"/>
  <c r="AM112"/>
  <c r="AL112"/>
  <c r="AK112"/>
  <c r="AJ112"/>
  <c r="AI112"/>
  <c r="AH112"/>
  <c r="AG112"/>
  <c r="AF112"/>
  <c r="AE112"/>
  <c r="AD112"/>
  <c r="AC112"/>
  <c r="AB112"/>
  <c r="AA112"/>
  <c r="Z112"/>
  <c r="Y112"/>
  <c r="X112"/>
  <c r="W112"/>
  <c r="V112"/>
  <c r="U112"/>
  <c r="T112"/>
  <c r="S112"/>
  <c r="R112"/>
  <c r="Q112"/>
  <c r="P112"/>
  <c r="O112"/>
  <c r="N112"/>
  <c r="M112"/>
  <c r="L112"/>
  <c r="K112"/>
  <c r="J112"/>
  <c r="A112" a="1"/>
  <c r="A112" s="1"/>
  <c r="I112" s="1"/>
  <c r="BA111"/>
  <c r="AZ111"/>
  <c r="AY111"/>
  <c r="AX111"/>
  <c r="AW111"/>
  <c r="AV111"/>
  <c r="AU111"/>
  <c r="AT111"/>
  <c r="AS111"/>
  <c r="AR111"/>
  <c r="AQ111"/>
  <c r="AP111"/>
  <c r="AO111"/>
  <c r="AN111"/>
  <c r="AM111"/>
  <c r="AL111"/>
  <c r="AK111"/>
  <c r="AJ111"/>
  <c r="AI111"/>
  <c r="AH111"/>
  <c r="AG111"/>
  <c r="AF111"/>
  <c r="AE111"/>
  <c r="AD111"/>
  <c r="AC111"/>
  <c r="AB111"/>
  <c r="AA111"/>
  <c r="Z111"/>
  <c r="Y111"/>
  <c r="X111"/>
  <c r="W111"/>
  <c r="V111"/>
  <c r="U111"/>
  <c r="T111"/>
  <c r="S111"/>
  <c r="R111"/>
  <c r="Q111"/>
  <c r="P111"/>
  <c r="O111"/>
  <c r="N111"/>
  <c r="M111"/>
  <c r="L111"/>
  <c r="K111"/>
  <c r="J111"/>
  <c r="A111" a="1"/>
  <c r="A111" s="1"/>
  <c r="I111" s="1"/>
  <c r="BA110"/>
  <c r="AZ110"/>
  <c r="AY110"/>
  <c r="AX110"/>
  <c r="AW110"/>
  <c r="AV110"/>
  <c r="AU110"/>
  <c r="AT110"/>
  <c r="AS110"/>
  <c r="AR110"/>
  <c r="AQ110"/>
  <c r="AP110"/>
  <c r="AO110"/>
  <c r="AN110"/>
  <c r="AM110"/>
  <c r="AL110"/>
  <c r="AK110"/>
  <c r="AJ110"/>
  <c r="AI110"/>
  <c r="AH110"/>
  <c r="AG110"/>
  <c r="AF110"/>
  <c r="AE110"/>
  <c r="AD110"/>
  <c r="AC110"/>
  <c r="AB110"/>
  <c r="AA110"/>
  <c r="Z110"/>
  <c r="Y110"/>
  <c r="X110"/>
  <c r="W110"/>
  <c r="V110"/>
  <c r="U110"/>
  <c r="T110"/>
  <c r="S110"/>
  <c r="R110"/>
  <c r="Q110"/>
  <c r="P110"/>
  <c r="O110"/>
  <c r="N110"/>
  <c r="M110"/>
  <c r="L110"/>
  <c r="K110"/>
  <c r="J110"/>
  <c r="A110" a="1"/>
  <c r="A110" s="1"/>
  <c r="I110" s="1"/>
  <c r="BA109"/>
  <c r="AZ109"/>
  <c r="AY109"/>
  <c r="AX109"/>
  <c r="AW109"/>
  <c r="AV109"/>
  <c r="AU109"/>
  <c r="AT109"/>
  <c r="AS109"/>
  <c r="AR109"/>
  <c r="AQ109"/>
  <c r="AP109"/>
  <c r="AO109"/>
  <c r="AN109"/>
  <c r="AM109"/>
  <c r="AL109"/>
  <c r="AK109"/>
  <c r="AJ109"/>
  <c r="AI109"/>
  <c r="AH109"/>
  <c r="AG109"/>
  <c r="AF109"/>
  <c r="AE109"/>
  <c r="AD109"/>
  <c r="AC109"/>
  <c r="AB109"/>
  <c r="AA109"/>
  <c r="Z109"/>
  <c r="Y109"/>
  <c r="X109"/>
  <c r="W109"/>
  <c r="V109"/>
  <c r="U109"/>
  <c r="T109"/>
  <c r="S109"/>
  <c r="R109"/>
  <c r="Q109"/>
  <c r="P109"/>
  <c r="O109"/>
  <c r="N109"/>
  <c r="M109"/>
  <c r="L109"/>
  <c r="K109"/>
  <c r="J109"/>
  <c r="A109" a="1"/>
  <c r="A109" s="1"/>
  <c r="I109" s="1"/>
  <c r="BA108"/>
  <c r="AZ108"/>
  <c r="AY108"/>
  <c r="AX108"/>
  <c r="AW108"/>
  <c r="AV108"/>
  <c r="AU108"/>
  <c r="AT108"/>
  <c r="AS108"/>
  <c r="AR108"/>
  <c r="AQ108"/>
  <c r="AP108"/>
  <c r="AO108"/>
  <c r="AN108"/>
  <c r="AM108"/>
  <c r="AL108"/>
  <c r="AK108"/>
  <c r="AJ108"/>
  <c r="AI108"/>
  <c r="AH108"/>
  <c r="AG108"/>
  <c r="AF108"/>
  <c r="AE108"/>
  <c r="AD108"/>
  <c r="AC108"/>
  <c r="AB108"/>
  <c r="AA108"/>
  <c r="Z108"/>
  <c r="Y108"/>
  <c r="X108"/>
  <c r="W108"/>
  <c r="V108"/>
  <c r="U108"/>
  <c r="T108"/>
  <c r="S108"/>
  <c r="R108"/>
  <c r="Q108"/>
  <c r="P108"/>
  <c r="O108"/>
  <c r="N108"/>
  <c r="M108"/>
  <c r="L108"/>
  <c r="K108"/>
  <c r="J108"/>
  <c r="A108" a="1"/>
  <c r="A108" s="1"/>
  <c r="I108" s="1"/>
  <c r="BA107"/>
  <c r="AZ107"/>
  <c r="AY107"/>
  <c r="AX107"/>
  <c r="AW107"/>
  <c r="AV107"/>
  <c r="AU107"/>
  <c r="AT107"/>
  <c r="AS107"/>
  <c r="AR107"/>
  <c r="AQ107"/>
  <c r="AP107"/>
  <c r="AO107"/>
  <c r="AN107"/>
  <c r="AM107"/>
  <c r="AL107"/>
  <c r="AK107"/>
  <c r="AJ107"/>
  <c r="AI107"/>
  <c r="AH107"/>
  <c r="AG107"/>
  <c r="AF107"/>
  <c r="AE107"/>
  <c r="AD107"/>
  <c r="AC107"/>
  <c r="AB107"/>
  <c r="AA107"/>
  <c r="Z107"/>
  <c r="Y107"/>
  <c r="X107"/>
  <c r="W107"/>
  <c r="V107"/>
  <c r="U107"/>
  <c r="T107"/>
  <c r="S107"/>
  <c r="R107"/>
  <c r="Q107"/>
  <c r="P107"/>
  <c r="O107"/>
  <c r="N107"/>
  <c r="M107"/>
  <c r="L107"/>
  <c r="K107"/>
  <c r="J107"/>
  <c r="A107" a="1"/>
  <c r="A107" s="1"/>
  <c r="I107" s="1"/>
  <c r="BA106"/>
  <c r="AZ106"/>
  <c r="AY106"/>
  <c r="AX106"/>
  <c r="AW106"/>
  <c r="AV106"/>
  <c r="AU106"/>
  <c r="AT106"/>
  <c r="AS106"/>
  <c r="AR106"/>
  <c r="AQ106"/>
  <c r="AP106"/>
  <c r="AO106"/>
  <c r="AN106"/>
  <c r="AM106"/>
  <c r="AL106"/>
  <c r="AK106"/>
  <c r="AJ106"/>
  <c r="AI106"/>
  <c r="AH106"/>
  <c r="AG106"/>
  <c r="AF106"/>
  <c r="AE106"/>
  <c r="AD106"/>
  <c r="AC106"/>
  <c r="AB106"/>
  <c r="AA106"/>
  <c r="Z106"/>
  <c r="Y106"/>
  <c r="X106"/>
  <c r="W106"/>
  <c r="V106"/>
  <c r="U106"/>
  <c r="T106"/>
  <c r="S106"/>
  <c r="R106"/>
  <c r="Q106"/>
  <c r="P106"/>
  <c r="O106"/>
  <c r="N106"/>
  <c r="M106"/>
  <c r="L106"/>
  <c r="K106"/>
  <c r="J106"/>
  <c r="A106" a="1"/>
  <c r="A106" s="1"/>
  <c r="I106" s="1"/>
  <c r="BA105"/>
  <c r="AZ105"/>
  <c r="AY105"/>
  <c r="AX105"/>
  <c r="AW105"/>
  <c r="AV105"/>
  <c r="AU105"/>
  <c r="AT105"/>
  <c r="AS105"/>
  <c r="AR105"/>
  <c r="AQ105"/>
  <c r="AP105"/>
  <c r="AO105"/>
  <c r="AN105"/>
  <c r="AM105"/>
  <c r="AL105"/>
  <c r="AK105"/>
  <c r="AJ105"/>
  <c r="AI105"/>
  <c r="AH105"/>
  <c r="AG105"/>
  <c r="AF105"/>
  <c r="AE105"/>
  <c r="AD105"/>
  <c r="AC105"/>
  <c r="AB105"/>
  <c r="AA105"/>
  <c r="Z105"/>
  <c r="Y105"/>
  <c r="X105"/>
  <c r="W105"/>
  <c r="V105"/>
  <c r="U105"/>
  <c r="T105"/>
  <c r="S105"/>
  <c r="R105"/>
  <c r="Q105"/>
  <c r="P105"/>
  <c r="O105"/>
  <c r="N105"/>
  <c r="M105"/>
  <c r="L105"/>
  <c r="K105"/>
  <c r="J105"/>
  <c r="A105" a="1"/>
  <c r="A105" s="1"/>
  <c r="I105" s="1"/>
  <c r="BA104"/>
  <c r="AZ104"/>
  <c r="AY104"/>
  <c r="AX104"/>
  <c r="AW104"/>
  <c r="AV104"/>
  <c r="AU104"/>
  <c r="AT104"/>
  <c r="AS104"/>
  <c r="AR104"/>
  <c r="AQ104"/>
  <c r="AP104"/>
  <c r="AO104"/>
  <c r="AN104"/>
  <c r="AM104"/>
  <c r="AL104"/>
  <c r="AK104"/>
  <c r="AJ104"/>
  <c r="AI104"/>
  <c r="AH104"/>
  <c r="AG104"/>
  <c r="AF104"/>
  <c r="AE104"/>
  <c r="AD104"/>
  <c r="AC104"/>
  <c r="AB104"/>
  <c r="AA104"/>
  <c r="Z104"/>
  <c r="Y104"/>
  <c r="X104"/>
  <c r="W104"/>
  <c r="V104"/>
  <c r="U104"/>
  <c r="T104"/>
  <c r="S104"/>
  <c r="R104"/>
  <c r="Q104"/>
  <c r="P104"/>
  <c r="O104"/>
  <c r="N104"/>
  <c r="M104"/>
  <c r="L104"/>
  <c r="K104"/>
  <c r="J104"/>
  <c r="A104" a="1"/>
  <c r="A104" s="1"/>
  <c r="I104" s="1"/>
  <c r="BA103"/>
  <c r="AZ103"/>
  <c r="AY103"/>
  <c r="AX103"/>
  <c r="AW103"/>
  <c r="AV103"/>
  <c r="AU103"/>
  <c r="AT103"/>
  <c r="AS103"/>
  <c r="AR103"/>
  <c r="AQ103"/>
  <c r="AP103"/>
  <c r="AO103"/>
  <c r="AN103"/>
  <c r="AM103"/>
  <c r="AL103"/>
  <c r="AK103"/>
  <c r="AJ103"/>
  <c r="AI103"/>
  <c r="AH103"/>
  <c r="AG103"/>
  <c r="AF103"/>
  <c r="AE103"/>
  <c r="AD103"/>
  <c r="AC103"/>
  <c r="AB103"/>
  <c r="AA103"/>
  <c r="Z103"/>
  <c r="Y103"/>
  <c r="X103"/>
  <c r="W103"/>
  <c r="V103"/>
  <c r="U103"/>
  <c r="T103"/>
  <c r="S103"/>
  <c r="R103"/>
  <c r="Q103"/>
  <c r="P103"/>
  <c r="O103"/>
  <c r="N103"/>
  <c r="M103"/>
  <c r="L103"/>
  <c r="K103"/>
  <c r="J103"/>
  <c r="A103" a="1"/>
  <c r="A103" s="1"/>
  <c r="I103" s="1"/>
  <c r="BA102"/>
  <c r="AZ102"/>
  <c r="AY102"/>
  <c r="AX102"/>
  <c r="AW102"/>
  <c r="AV102"/>
  <c r="AU102"/>
  <c r="AT102"/>
  <c r="AS102"/>
  <c r="AR102"/>
  <c r="AQ102"/>
  <c r="AP102"/>
  <c r="AO102"/>
  <c r="AN102"/>
  <c r="AM102"/>
  <c r="AL102"/>
  <c r="AK102"/>
  <c r="AJ102"/>
  <c r="AI102"/>
  <c r="AH102"/>
  <c r="AG102"/>
  <c r="AF102"/>
  <c r="AE102"/>
  <c r="AD102"/>
  <c r="AC102"/>
  <c r="AB102"/>
  <c r="AA102"/>
  <c r="Z102"/>
  <c r="Y102"/>
  <c r="X102"/>
  <c r="W102"/>
  <c r="V102"/>
  <c r="U102"/>
  <c r="T102"/>
  <c r="S102"/>
  <c r="R102"/>
  <c r="Q102"/>
  <c r="P102"/>
  <c r="O102"/>
  <c r="N102"/>
  <c r="M102"/>
  <c r="L102"/>
  <c r="K102"/>
  <c r="J102"/>
  <c r="A102" a="1"/>
  <c r="A102" s="1"/>
  <c r="I102" s="1"/>
  <c r="BA101"/>
  <c r="AZ101"/>
  <c r="AY101"/>
  <c r="AX101"/>
  <c r="AW101"/>
  <c r="AV101"/>
  <c r="AU101"/>
  <c r="AT101"/>
  <c r="AS101"/>
  <c r="AR101"/>
  <c r="AQ101"/>
  <c r="AP101"/>
  <c r="AO101"/>
  <c r="AN101"/>
  <c r="AM101"/>
  <c r="AL101"/>
  <c r="AK101"/>
  <c r="AJ101"/>
  <c r="AI101"/>
  <c r="AH101"/>
  <c r="AG101"/>
  <c r="AF101"/>
  <c r="AE101"/>
  <c r="AD101"/>
  <c r="AC101"/>
  <c r="AB101"/>
  <c r="AA101"/>
  <c r="Z101"/>
  <c r="Y101"/>
  <c r="X101"/>
  <c r="W101"/>
  <c r="V101"/>
  <c r="U101"/>
  <c r="T101"/>
  <c r="S101"/>
  <c r="R101"/>
  <c r="Q101"/>
  <c r="P101"/>
  <c r="O101"/>
  <c r="N101"/>
  <c r="M101"/>
  <c r="L101"/>
  <c r="K101"/>
  <c r="J101"/>
  <c r="A101" a="1"/>
  <c r="A101" s="1"/>
  <c r="I101" s="1"/>
  <c r="BA100"/>
  <c r="AZ100"/>
  <c r="AY100"/>
  <c r="AX100"/>
  <c r="AW100"/>
  <c r="AV100"/>
  <c r="AU100"/>
  <c r="AT100"/>
  <c r="AS100"/>
  <c r="AR100"/>
  <c r="AQ100"/>
  <c r="AP100"/>
  <c r="AO100"/>
  <c r="AN100"/>
  <c r="AM100"/>
  <c r="AL100"/>
  <c r="AK100"/>
  <c r="AJ100"/>
  <c r="AI100"/>
  <c r="AH100"/>
  <c r="AG100"/>
  <c r="AF100"/>
  <c r="AE100"/>
  <c r="AD100"/>
  <c r="AC100"/>
  <c r="AB100"/>
  <c r="AA100"/>
  <c r="Z100"/>
  <c r="Y100"/>
  <c r="X100"/>
  <c r="W100"/>
  <c r="V100"/>
  <c r="U100"/>
  <c r="T100"/>
  <c r="S100"/>
  <c r="R100"/>
  <c r="Q100"/>
  <c r="P100"/>
  <c r="O100"/>
  <c r="N100"/>
  <c r="M100"/>
  <c r="L100"/>
  <c r="K100"/>
  <c r="J100"/>
  <c r="A100" a="1"/>
  <c r="A100" s="1"/>
  <c r="I100" s="1"/>
  <c r="BA99"/>
  <c r="AZ99"/>
  <c r="AY99"/>
  <c r="AX99"/>
  <c r="AW99"/>
  <c r="AV99"/>
  <c r="AU99"/>
  <c r="AT99"/>
  <c r="AS99"/>
  <c r="AR99"/>
  <c r="AQ99"/>
  <c r="AP99"/>
  <c r="AO99"/>
  <c r="AN99"/>
  <c r="AM99"/>
  <c r="AL99"/>
  <c r="AK99"/>
  <c r="AJ99"/>
  <c r="AI99"/>
  <c r="AH99"/>
  <c r="AG99"/>
  <c r="AF99"/>
  <c r="AE99"/>
  <c r="AD99"/>
  <c r="AC99"/>
  <c r="AB99"/>
  <c r="AA99"/>
  <c r="Z99"/>
  <c r="Y99"/>
  <c r="X99"/>
  <c r="W99"/>
  <c r="V99"/>
  <c r="U99"/>
  <c r="T99"/>
  <c r="S99"/>
  <c r="R99"/>
  <c r="Q99"/>
  <c r="P99"/>
  <c r="O99"/>
  <c r="N99"/>
  <c r="M99"/>
  <c r="L99"/>
  <c r="K99"/>
  <c r="J99"/>
  <c r="A99" a="1"/>
  <c r="A99" s="1"/>
  <c r="I99" s="1"/>
  <c r="BA98"/>
  <c r="AZ98"/>
  <c r="AY98"/>
  <c r="AX98"/>
  <c r="AW98"/>
  <c r="AV98"/>
  <c r="AU98"/>
  <c r="AT98"/>
  <c r="AS98"/>
  <c r="AR98"/>
  <c r="AQ98"/>
  <c r="AP98"/>
  <c r="AO98"/>
  <c r="AN98"/>
  <c r="AM98"/>
  <c r="AL98"/>
  <c r="AK98"/>
  <c r="AJ98"/>
  <c r="AI98"/>
  <c r="AH98"/>
  <c r="AG98"/>
  <c r="AF98"/>
  <c r="AE98"/>
  <c r="AD98"/>
  <c r="AC98"/>
  <c r="AB98"/>
  <c r="AA98"/>
  <c r="Z98"/>
  <c r="Y98"/>
  <c r="X98"/>
  <c r="W98"/>
  <c r="V98"/>
  <c r="U98"/>
  <c r="T98"/>
  <c r="S98"/>
  <c r="R98"/>
  <c r="Q98"/>
  <c r="P98"/>
  <c r="O98"/>
  <c r="N98"/>
  <c r="M98"/>
  <c r="L98"/>
  <c r="K98"/>
  <c r="J98"/>
  <c r="A98" a="1"/>
  <c r="A98" s="1"/>
  <c r="I98" s="1"/>
  <c r="BA97"/>
  <c r="AZ97"/>
  <c r="AY97"/>
  <c r="AX97"/>
  <c r="AW97"/>
  <c r="AV97"/>
  <c r="AU97"/>
  <c r="AT97"/>
  <c r="AS97"/>
  <c r="AR97"/>
  <c r="AQ97"/>
  <c r="AP97"/>
  <c r="AO97"/>
  <c r="AN97"/>
  <c r="AM97"/>
  <c r="AL97"/>
  <c r="AK97"/>
  <c r="AJ97"/>
  <c r="AI97"/>
  <c r="AH97"/>
  <c r="AG97"/>
  <c r="AF97"/>
  <c r="AE97"/>
  <c r="AD97"/>
  <c r="AC97"/>
  <c r="AB97"/>
  <c r="AA97"/>
  <c r="Z97"/>
  <c r="Y97"/>
  <c r="X97"/>
  <c r="W97"/>
  <c r="V97"/>
  <c r="U97"/>
  <c r="T97"/>
  <c r="S97"/>
  <c r="R97"/>
  <c r="Q97"/>
  <c r="P97"/>
  <c r="O97"/>
  <c r="N97"/>
  <c r="M97"/>
  <c r="L97"/>
  <c r="K97"/>
  <c r="J97"/>
  <c r="A97" a="1"/>
  <c r="A97" s="1"/>
  <c r="I97" s="1"/>
  <c r="BA96"/>
  <c r="AZ96"/>
  <c r="AY96"/>
  <c r="AX96"/>
  <c r="AW96"/>
  <c r="AV96"/>
  <c r="AU96"/>
  <c r="AT96"/>
  <c r="AS96"/>
  <c r="AR96"/>
  <c r="AQ96"/>
  <c r="AP96"/>
  <c r="AO96"/>
  <c r="AN96"/>
  <c r="AM96"/>
  <c r="AL96"/>
  <c r="AK96"/>
  <c r="AJ96"/>
  <c r="AI96"/>
  <c r="AH96"/>
  <c r="AG96"/>
  <c r="AF96"/>
  <c r="AE96"/>
  <c r="AD96"/>
  <c r="AC96"/>
  <c r="AB96"/>
  <c r="AA96"/>
  <c r="Z96"/>
  <c r="Y96"/>
  <c r="X96"/>
  <c r="W96"/>
  <c r="V96"/>
  <c r="U96"/>
  <c r="T96"/>
  <c r="S96"/>
  <c r="R96"/>
  <c r="Q96"/>
  <c r="P96"/>
  <c r="O96"/>
  <c r="N96"/>
  <c r="M96"/>
  <c r="L96"/>
  <c r="K96"/>
  <c r="J96"/>
  <c r="A96" a="1"/>
  <c r="A96" s="1"/>
  <c r="I96" s="1"/>
  <c r="BA95"/>
  <c r="AZ95"/>
  <c r="AY95"/>
  <c r="AX95"/>
  <c r="AW95"/>
  <c r="AV95"/>
  <c r="AU95"/>
  <c r="AT95"/>
  <c r="AS95"/>
  <c r="AR95"/>
  <c r="AQ95"/>
  <c r="AP95"/>
  <c r="AO95"/>
  <c r="AN95"/>
  <c r="AM95"/>
  <c r="AL95"/>
  <c r="AK95"/>
  <c r="AJ95"/>
  <c r="AI95"/>
  <c r="AH95"/>
  <c r="AG95"/>
  <c r="AF95"/>
  <c r="AE95"/>
  <c r="AD95"/>
  <c r="AC95"/>
  <c r="AB95"/>
  <c r="AA95"/>
  <c r="Z95"/>
  <c r="Y95"/>
  <c r="X95"/>
  <c r="W95"/>
  <c r="V95"/>
  <c r="U95"/>
  <c r="T95"/>
  <c r="S95"/>
  <c r="R95"/>
  <c r="Q95"/>
  <c r="P95"/>
  <c r="O95"/>
  <c r="N95"/>
  <c r="M95"/>
  <c r="L95"/>
  <c r="K95"/>
  <c r="J95"/>
  <c r="A95" a="1"/>
  <c r="A95" s="1"/>
  <c r="I95" s="1"/>
  <c r="BA94"/>
  <c r="AZ94"/>
  <c r="AY94"/>
  <c r="AX94"/>
  <c r="AW94"/>
  <c r="AV94"/>
  <c r="AU94"/>
  <c r="AT94"/>
  <c r="AS94"/>
  <c r="AR94"/>
  <c r="AQ94"/>
  <c r="AP94"/>
  <c r="AO94"/>
  <c r="AN94"/>
  <c r="AM94"/>
  <c r="AL94"/>
  <c r="AK94"/>
  <c r="AJ94"/>
  <c r="AI94"/>
  <c r="AH94"/>
  <c r="AG94"/>
  <c r="AF94"/>
  <c r="AE94"/>
  <c r="AD94"/>
  <c r="AC94"/>
  <c r="AB94"/>
  <c r="AA94"/>
  <c r="Z94"/>
  <c r="Y94"/>
  <c r="X94"/>
  <c r="W94"/>
  <c r="V94"/>
  <c r="U94"/>
  <c r="T94"/>
  <c r="S94"/>
  <c r="R94"/>
  <c r="Q94"/>
  <c r="P94"/>
  <c r="O94"/>
  <c r="N94"/>
  <c r="M94"/>
  <c r="L94"/>
  <c r="K94"/>
  <c r="J94"/>
  <c r="A94" a="1"/>
  <c r="A94" s="1"/>
  <c r="I94" s="1"/>
  <c r="BA93"/>
  <c r="AZ93"/>
  <c r="AY93"/>
  <c r="AX93"/>
  <c r="AW93"/>
  <c r="AV93"/>
  <c r="AU93"/>
  <c r="AT93"/>
  <c r="AS93"/>
  <c r="AR93"/>
  <c r="AQ93"/>
  <c r="AP93"/>
  <c r="AO93"/>
  <c r="AN93"/>
  <c r="AM93"/>
  <c r="AL93"/>
  <c r="AK93"/>
  <c r="AJ93"/>
  <c r="AI93"/>
  <c r="AH93"/>
  <c r="AG93"/>
  <c r="AF93"/>
  <c r="AE93"/>
  <c r="AD93"/>
  <c r="AC93"/>
  <c r="AB93"/>
  <c r="AA93"/>
  <c r="Z93"/>
  <c r="Y93"/>
  <c r="X93"/>
  <c r="W93"/>
  <c r="V93"/>
  <c r="U93"/>
  <c r="T93"/>
  <c r="S93"/>
  <c r="R93"/>
  <c r="Q93"/>
  <c r="P93"/>
  <c r="O93"/>
  <c r="N93"/>
  <c r="M93"/>
  <c r="L93"/>
  <c r="K93"/>
  <c r="J93"/>
  <c r="A93" a="1"/>
  <c r="A93" s="1"/>
  <c r="I93" s="1"/>
  <c r="BA92"/>
  <c r="AZ92"/>
  <c r="AY92"/>
  <c r="AX92"/>
  <c r="AW92"/>
  <c r="AV92"/>
  <c r="AU92"/>
  <c r="AT92"/>
  <c r="AS92"/>
  <c r="AR92"/>
  <c r="AQ92"/>
  <c r="AP92"/>
  <c r="AO92"/>
  <c r="AN92"/>
  <c r="AM92"/>
  <c r="AL92"/>
  <c r="AK92"/>
  <c r="AJ92"/>
  <c r="AI92"/>
  <c r="AH92"/>
  <c r="AG92"/>
  <c r="AF92"/>
  <c r="AE92"/>
  <c r="AD92"/>
  <c r="AC92"/>
  <c r="AB92"/>
  <c r="AA92"/>
  <c r="Z92"/>
  <c r="Y92"/>
  <c r="X92"/>
  <c r="W92"/>
  <c r="V92"/>
  <c r="U92"/>
  <c r="T92"/>
  <c r="S92"/>
  <c r="R92"/>
  <c r="Q92"/>
  <c r="P92"/>
  <c r="O92"/>
  <c r="N92"/>
  <c r="M92"/>
  <c r="L92"/>
  <c r="K92"/>
  <c r="J92"/>
  <c r="A92" a="1"/>
  <c r="A92" s="1"/>
  <c r="I92" s="1"/>
  <c r="BA91"/>
  <c r="AZ91"/>
  <c r="AY91"/>
  <c r="AX91"/>
  <c r="AW91"/>
  <c r="AV91"/>
  <c r="AU91"/>
  <c r="AT91"/>
  <c r="AS91"/>
  <c r="AR91"/>
  <c r="AQ91"/>
  <c r="AP91"/>
  <c r="AO91"/>
  <c r="AN91"/>
  <c r="AM91"/>
  <c r="AL91"/>
  <c r="AK91"/>
  <c r="AJ91"/>
  <c r="AI91"/>
  <c r="AH91"/>
  <c r="AG91"/>
  <c r="AF91"/>
  <c r="AE91"/>
  <c r="AD91"/>
  <c r="AC91"/>
  <c r="AB91"/>
  <c r="AA91"/>
  <c r="Z91"/>
  <c r="Y91"/>
  <c r="X91"/>
  <c r="W91"/>
  <c r="V91"/>
  <c r="U91"/>
  <c r="T91"/>
  <c r="S91"/>
  <c r="R91"/>
  <c r="Q91"/>
  <c r="P91"/>
  <c r="O91"/>
  <c r="N91"/>
  <c r="M91"/>
  <c r="L91"/>
  <c r="K91"/>
  <c r="J91"/>
  <c r="A91" a="1"/>
  <c r="A91" s="1"/>
  <c r="I91" s="1"/>
  <c r="BA90"/>
  <c r="AZ90"/>
  <c r="AY90"/>
  <c r="AX90"/>
  <c r="AW90"/>
  <c r="AV90"/>
  <c r="AU90"/>
  <c r="AT90"/>
  <c r="AS90"/>
  <c r="AR90"/>
  <c r="AQ90"/>
  <c r="AP90"/>
  <c r="AO90"/>
  <c r="AN90"/>
  <c r="AM90"/>
  <c r="AL90"/>
  <c r="AK90"/>
  <c r="AJ90"/>
  <c r="AI90"/>
  <c r="AH90"/>
  <c r="AG90"/>
  <c r="AF90"/>
  <c r="AE90"/>
  <c r="AD90"/>
  <c r="AC90"/>
  <c r="AB90"/>
  <c r="AA90"/>
  <c r="Z90"/>
  <c r="Y90"/>
  <c r="X90"/>
  <c r="W90"/>
  <c r="V90"/>
  <c r="U90"/>
  <c r="T90"/>
  <c r="S90"/>
  <c r="R90"/>
  <c r="Q90"/>
  <c r="P90"/>
  <c r="O90"/>
  <c r="N90"/>
  <c r="M90"/>
  <c r="L90"/>
  <c r="K90"/>
  <c r="J90"/>
  <c r="A90" a="1"/>
  <c r="A90" s="1"/>
  <c r="I90" s="1"/>
  <c r="BA89"/>
  <c r="AZ89"/>
  <c r="AY89"/>
  <c r="AX89"/>
  <c r="AW89"/>
  <c r="AV89"/>
  <c r="AU89"/>
  <c r="AT89"/>
  <c r="AS89"/>
  <c r="AR89"/>
  <c r="AQ89"/>
  <c r="AP89"/>
  <c r="AO89"/>
  <c r="AN89"/>
  <c r="AM89"/>
  <c r="AL89"/>
  <c r="AK89"/>
  <c r="AJ89"/>
  <c r="AI89"/>
  <c r="AH89"/>
  <c r="AG89"/>
  <c r="AF89"/>
  <c r="AE89"/>
  <c r="AD89"/>
  <c r="AC89"/>
  <c r="AB89"/>
  <c r="AA89"/>
  <c r="Z89"/>
  <c r="Y89"/>
  <c r="X89"/>
  <c r="W89"/>
  <c r="V89"/>
  <c r="U89"/>
  <c r="T89"/>
  <c r="S89"/>
  <c r="R89"/>
  <c r="Q89"/>
  <c r="P89"/>
  <c r="O89"/>
  <c r="N89"/>
  <c r="M89"/>
  <c r="L89"/>
  <c r="K89"/>
  <c r="J89"/>
  <c r="A89" a="1"/>
  <c r="A89" s="1"/>
  <c r="I89" s="1"/>
  <c r="BA88"/>
  <c r="AZ88"/>
  <c r="AY88"/>
  <c r="AX88"/>
  <c r="AW88"/>
  <c r="AV88"/>
  <c r="AU88"/>
  <c r="AT88"/>
  <c r="AS88"/>
  <c r="AR88"/>
  <c r="AQ88"/>
  <c r="AP88"/>
  <c r="AO88"/>
  <c r="AN88"/>
  <c r="AM88"/>
  <c r="AL88"/>
  <c r="AK88"/>
  <c r="AJ88"/>
  <c r="AI88"/>
  <c r="AH88"/>
  <c r="AG88"/>
  <c r="AF88"/>
  <c r="AE88"/>
  <c r="AD88"/>
  <c r="AC88"/>
  <c r="AB88"/>
  <c r="AA88"/>
  <c r="Z88"/>
  <c r="Y88"/>
  <c r="X88"/>
  <c r="W88"/>
  <c r="V88"/>
  <c r="U88"/>
  <c r="T88"/>
  <c r="S88"/>
  <c r="R88"/>
  <c r="Q88"/>
  <c r="P88"/>
  <c r="O88"/>
  <c r="N88"/>
  <c r="M88"/>
  <c r="L88"/>
  <c r="K88"/>
  <c r="J88"/>
  <c r="A88" a="1"/>
  <c r="A88" s="1"/>
  <c r="I88" s="1"/>
  <c r="BA87"/>
  <c r="AZ87"/>
  <c r="AY87"/>
  <c r="AX87"/>
  <c r="AW87"/>
  <c r="AV87"/>
  <c r="AU87"/>
  <c r="AT87"/>
  <c r="AS87"/>
  <c r="AR87"/>
  <c r="AQ87"/>
  <c r="AP87"/>
  <c r="AO87"/>
  <c r="AN87"/>
  <c r="AM87"/>
  <c r="AL87"/>
  <c r="AK87"/>
  <c r="AJ87"/>
  <c r="AI87"/>
  <c r="AH87"/>
  <c r="AG87"/>
  <c r="AF87"/>
  <c r="AE87"/>
  <c r="AD87"/>
  <c r="AC87"/>
  <c r="AB87"/>
  <c r="AA87"/>
  <c r="Z87"/>
  <c r="Y87"/>
  <c r="X87"/>
  <c r="W87"/>
  <c r="V87"/>
  <c r="U87"/>
  <c r="T87"/>
  <c r="S87"/>
  <c r="R87"/>
  <c r="Q87"/>
  <c r="P87"/>
  <c r="O87"/>
  <c r="N87"/>
  <c r="M87"/>
  <c r="L87"/>
  <c r="K87"/>
  <c r="J87"/>
  <c r="A87" a="1"/>
  <c r="A87" s="1"/>
  <c r="I87" s="1"/>
  <c r="BA86"/>
  <c r="AZ86"/>
  <c r="AY86"/>
  <c r="AX86"/>
  <c r="AW86"/>
  <c r="AV86"/>
  <c r="AU86"/>
  <c r="AT86"/>
  <c r="AS86"/>
  <c r="AR86"/>
  <c r="AQ86"/>
  <c r="AP86"/>
  <c r="AO86"/>
  <c r="AN86"/>
  <c r="AM86"/>
  <c r="AL86"/>
  <c r="AK86"/>
  <c r="AJ86"/>
  <c r="AI86"/>
  <c r="AH86"/>
  <c r="AG86"/>
  <c r="AF86"/>
  <c r="AE86"/>
  <c r="AD86"/>
  <c r="AC86"/>
  <c r="AB86"/>
  <c r="AA86"/>
  <c r="Z86"/>
  <c r="Y86"/>
  <c r="X86"/>
  <c r="W86"/>
  <c r="V86"/>
  <c r="U86"/>
  <c r="T86"/>
  <c r="S86"/>
  <c r="R86"/>
  <c r="Q86"/>
  <c r="P86"/>
  <c r="O86"/>
  <c r="N86"/>
  <c r="M86"/>
  <c r="L86"/>
  <c r="K86"/>
  <c r="J86"/>
  <c r="A86" a="1"/>
  <c r="A86" s="1"/>
  <c r="I86" s="1"/>
  <c r="BA85"/>
  <c r="AZ85"/>
  <c r="AY85"/>
  <c r="AX85"/>
  <c r="AW85"/>
  <c r="AV85"/>
  <c r="AU85"/>
  <c r="AT85"/>
  <c r="AS85"/>
  <c r="AR85"/>
  <c r="AQ85"/>
  <c r="AP85"/>
  <c r="AO85"/>
  <c r="AN85"/>
  <c r="AM85"/>
  <c r="AL85"/>
  <c r="AK85"/>
  <c r="AJ85"/>
  <c r="AI85"/>
  <c r="AH85"/>
  <c r="AG85"/>
  <c r="AF85"/>
  <c r="AE85"/>
  <c r="AD85"/>
  <c r="AC85"/>
  <c r="AB85"/>
  <c r="AA85"/>
  <c r="Z85"/>
  <c r="Y85"/>
  <c r="X85"/>
  <c r="W85"/>
  <c r="V85"/>
  <c r="U85"/>
  <c r="T85"/>
  <c r="S85"/>
  <c r="R85"/>
  <c r="Q85"/>
  <c r="P85"/>
  <c r="O85"/>
  <c r="N85"/>
  <c r="M85"/>
  <c r="L85"/>
  <c r="K85"/>
  <c r="J85"/>
  <c r="A85" a="1"/>
  <c r="A85" s="1"/>
  <c r="I85" s="1"/>
  <c r="BA84"/>
  <c r="AZ84"/>
  <c r="AY84"/>
  <c r="AX84"/>
  <c r="AW84"/>
  <c r="AV84"/>
  <c r="AU84"/>
  <c r="AT84"/>
  <c r="AS84"/>
  <c r="AR84"/>
  <c r="AQ84"/>
  <c r="AP84"/>
  <c r="AO84"/>
  <c r="AN84"/>
  <c r="AM84"/>
  <c r="AL84"/>
  <c r="AK84"/>
  <c r="AJ84"/>
  <c r="AI84"/>
  <c r="AH84"/>
  <c r="AG84"/>
  <c r="AF84"/>
  <c r="AE84"/>
  <c r="AD84"/>
  <c r="AC84"/>
  <c r="AB84"/>
  <c r="AA84"/>
  <c r="Z84"/>
  <c r="Y84"/>
  <c r="X84"/>
  <c r="W84"/>
  <c r="V84"/>
  <c r="U84"/>
  <c r="T84"/>
  <c r="S84"/>
  <c r="R84"/>
  <c r="Q84"/>
  <c r="P84"/>
  <c r="O84"/>
  <c r="N84"/>
  <c r="M84"/>
  <c r="L84"/>
  <c r="K84"/>
  <c r="J84"/>
  <c r="A84" a="1"/>
  <c r="A84" s="1"/>
  <c r="I84" s="1"/>
  <c r="BA83"/>
  <c r="AZ83"/>
  <c r="AY83"/>
  <c r="AX83"/>
  <c r="AW83"/>
  <c r="AV83"/>
  <c r="AU83"/>
  <c r="AT83"/>
  <c r="AS83"/>
  <c r="AR83"/>
  <c r="AQ83"/>
  <c r="AP83"/>
  <c r="AO83"/>
  <c r="AN83"/>
  <c r="AM83"/>
  <c r="AL83"/>
  <c r="AK83"/>
  <c r="AJ83"/>
  <c r="AI83"/>
  <c r="AH83"/>
  <c r="AG83"/>
  <c r="AF83"/>
  <c r="AE83"/>
  <c r="AD83"/>
  <c r="AC83"/>
  <c r="AB83"/>
  <c r="AA83"/>
  <c r="Z83"/>
  <c r="Y83"/>
  <c r="X83"/>
  <c r="W83"/>
  <c r="V83"/>
  <c r="U83"/>
  <c r="T83"/>
  <c r="S83"/>
  <c r="R83"/>
  <c r="Q83"/>
  <c r="P83"/>
  <c r="O83"/>
  <c r="N83"/>
  <c r="M83"/>
  <c r="L83"/>
  <c r="K83"/>
  <c r="J83"/>
  <c r="A83" a="1"/>
  <c r="A83" s="1"/>
  <c r="I83" s="1"/>
  <c r="BA82"/>
  <c r="AZ82"/>
  <c r="AY82"/>
  <c r="AX82"/>
  <c r="AW82"/>
  <c r="AV82"/>
  <c r="AU82"/>
  <c r="AT82"/>
  <c r="AS82"/>
  <c r="AR82"/>
  <c r="AQ82"/>
  <c r="AP82"/>
  <c r="AO82"/>
  <c r="AN82"/>
  <c r="AM82"/>
  <c r="AL82"/>
  <c r="AK82"/>
  <c r="AJ82"/>
  <c r="AI82"/>
  <c r="AH82"/>
  <c r="AG82"/>
  <c r="AF82"/>
  <c r="AE82"/>
  <c r="AD82"/>
  <c r="AC82"/>
  <c r="AB82"/>
  <c r="AA82"/>
  <c r="Z82"/>
  <c r="Y82"/>
  <c r="X82"/>
  <c r="W82"/>
  <c r="V82"/>
  <c r="U82"/>
  <c r="T82"/>
  <c r="S82"/>
  <c r="R82"/>
  <c r="Q82"/>
  <c r="P82"/>
  <c r="O82"/>
  <c r="N82"/>
  <c r="M82"/>
  <c r="L82"/>
  <c r="K82"/>
  <c r="J82"/>
  <c r="A82" a="1"/>
  <c r="A82" s="1"/>
  <c r="I82" s="1"/>
  <c r="BA81"/>
  <c r="AZ81"/>
  <c r="AY81"/>
  <c r="AX81"/>
  <c r="AW81"/>
  <c r="AV81"/>
  <c r="AU81"/>
  <c r="AT81"/>
  <c r="AS81"/>
  <c r="AR81"/>
  <c r="AQ81"/>
  <c r="AP81"/>
  <c r="AO81"/>
  <c r="AN81"/>
  <c r="AM81"/>
  <c r="AL81"/>
  <c r="AK81"/>
  <c r="AJ81"/>
  <c r="AI81"/>
  <c r="AH81"/>
  <c r="AG81"/>
  <c r="AF81"/>
  <c r="AE81"/>
  <c r="AD81"/>
  <c r="AC81"/>
  <c r="AB81"/>
  <c r="AA81"/>
  <c r="Z81"/>
  <c r="Y81"/>
  <c r="X81"/>
  <c r="W81"/>
  <c r="V81"/>
  <c r="U81"/>
  <c r="T81"/>
  <c r="S81"/>
  <c r="R81"/>
  <c r="Q81"/>
  <c r="P81"/>
  <c r="O81"/>
  <c r="N81"/>
  <c r="M81"/>
  <c r="L81"/>
  <c r="K81"/>
  <c r="J81"/>
  <c r="A81" a="1"/>
  <c r="A81" s="1"/>
  <c r="I81" s="1"/>
  <c r="BA80"/>
  <c r="AZ80"/>
  <c r="AY80"/>
  <c r="AX80"/>
  <c r="AW80"/>
  <c r="AV80"/>
  <c r="AU80"/>
  <c r="AT80"/>
  <c r="AS80"/>
  <c r="AR80"/>
  <c r="AQ80"/>
  <c r="AP80"/>
  <c r="AO80"/>
  <c r="AN80"/>
  <c r="AM80"/>
  <c r="AL80"/>
  <c r="AK80"/>
  <c r="AJ80"/>
  <c r="AI80"/>
  <c r="AH80"/>
  <c r="AG80"/>
  <c r="AF80"/>
  <c r="AE80"/>
  <c r="AD80"/>
  <c r="AC80"/>
  <c r="AB80"/>
  <c r="AA80"/>
  <c r="Z80"/>
  <c r="Y80"/>
  <c r="X80"/>
  <c r="W80"/>
  <c r="V80"/>
  <c r="U80"/>
  <c r="T80"/>
  <c r="S80"/>
  <c r="R80"/>
  <c r="Q80"/>
  <c r="P80"/>
  <c r="O80"/>
  <c r="N80"/>
  <c r="M80"/>
  <c r="L80"/>
  <c r="K80"/>
  <c r="J80"/>
  <c r="A80" a="1"/>
  <c r="A80" s="1"/>
  <c r="I80" s="1"/>
  <c r="BA79"/>
  <c r="AZ79"/>
  <c r="AY79"/>
  <c r="AX79"/>
  <c r="AW79"/>
  <c r="AV79"/>
  <c r="AU79"/>
  <c r="AT79"/>
  <c r="AS79"/>
  <c r="AR79"/>
  <c r="AQ79"/>
  <c r="AP79"/>
  <c r="AO79"/>
  <c r="AN79"/>
  <c r="AM79"/>
  <c r="AL79"/>
  <c r="AK79"/>
  <c r="AJ79"/>
  <c r="AI79"/>
  <c r="AH79"/>
  <c r="AG79"/>
  <c r="AF79"/>
  <c r="AE79"/>
  <c r="AD79"/>
  <c r="AC79"/>
  <c r="AB79"/>
  <c r="AA79"/>
  <c r="Z79"/>
  <c r="Y79"/>
  <c r="X79"/>
  <c r="W79"/>
  <c r="V79"/>
  <c r="U79"/>
  <c r="T79"/>
  <c r="S79"/>
  <c r="R79"/>
  <c r="Q79"/>
  <c r="P79"/>
  <c r="O79"/>
  <c r="N79"/>
  <c r="M79"/>
  <c r="L79"/>
  <c r="K79"/>
  <c r="J79"/>
  <c r="A79" a="1"/>
  <c r="A79" s="1"/>
  <c r="I79" s="1"/>
  <c r="BA78"/>
  <c r="AZ78"/>
  <c r="AY78"/>
  <c r="AX78"/>
  <c r="AW78"/>
  <c r="AV78"/>
  <c r="AU78"/>
  <c r="AT78"/>
  <c r="AS78"/>
  <c r="AR78"/>
  <c r="AQ78"/>
  <c r="AP78"/>
  <c r="AO78"/>
  <c r="AN78"/>
  <c r="AM78"/>
  <c r="AL78"/>
  <c r="AK78"/>
  <c r="AJ78"/>
  <c r="AI78"/>
  <c r="AH78"/>
  <c r="AG78"/>
  <c r="AF78"/>
  <c r="AE78"/>
  <c r="AD78"/>
  <c r="AC78"/>
  <c r="AB78"/>
  <c r="AA78"/>
  <c r="Z78"/>
  <c r="Y78"/>
  <c r="X78"/>
  <c r="W78"/>
  <c r="V78"/>
  <c r="U78"/>
  <c r="T78"/>
  <c r="S78"/>
  <c r="R78"/>
  <c r="Q78"/>
  <c r="P78"/>
  <c r="O78"/>
  <c r="N78"/>
  <c r="M78"/>
  <c r="L78"/>
  <c r="K78"/>
  <c r="J78"/>
  <c r="A78" a="1"/>
  <c r="A78" s="1"/>
  <c r="I78" s="1"/>
  <c r="BA77"/>
  <c r="AZ77"/>
  <c r="AY77"/>
  <c r="AX77"/>
  <c r="AW77"/>
  <c r="AV77"/>
  <c r="AU77"/>
  <c r="AT77"/>
  <c r="AS77"/>
  <c r="AR77"/>
  <c r="AQ77"/>
  <c r="AP77"/>
  <c r="AO77"/>
  <c r="AN77"/>
  <c r="AM77"/>
  <c r="AL77"/>
  <c r="AK77"/>
  <c r="AJ77"/>
  <c r="AI77"/>
  <c r="AH77"/>
  <c r="AG77"/>
  <c r="AF77"/>
  <c r="AE77"/>
  <c r="AD77"/>
  <c r="AC77"/>
  <c r="AB77"/>
  <c r="AA77"/>
  <c r="Z77"/>
  <c r="Y77"/>
  <c r="X77"/>
  <c r="W77"/>
  <c r="V77"/>
  <c r="U77"/>
  <c r="T77"/>
  <c r="S77"/>
  <c r="R77"/>
  <c r="Q77"/>
  <c r="P77"/>
  <c r="O77"/>
  <c r="N77"/>
  <c r="M77"/>
  <c r="L77"/>
  <c r="K77"/>
  <c r="J77"/>
  <c r="A77" a="1"/>
  <c r="A77" s="1"/>
  <c r="I77" s="1"/>
  <c r="BA76"/>
  <c r="AZ76"/>
  <c r="AY76"/>
  <c r="AX76"/>
  <c r="AW76"/>
  <c r="AV76"/>
  <c r="AU76"/>
  <c r="AT76"/>
  <c r="AS76"/>
  <c r="AR76"/>
  <c r="AQ76"/>
  <c r="AP76"/>
  <c r="AO76"/>
  <c r="AN76"/>
  <c r="AM76"/>
  <c r="AL76"/>
  <c r="AK76"/>
  <c r="AJ76"/>
  <c r="AI76"/>
  <c r="AH76"/>
  <c r="AG76"/>
  <c r="AF76"/>
  <c r="AE76"/>
  <c r="AD76"/>
  <c r="AC76"/>
  <c r="AB76"/>
  <c r="AA76"/>
  <c r="Z76"/>
  <c r="Y76"/>
  <c r="X76"/>
  <c r="W76"/>
  <c r="V76"/>
  <c r="U76"/>
  <c r="T76"/>
  <c r="S76"/>
  <c r="R76"/>
  <c r="Q76"/>
  <c r="P76"/>
  <c r="O76"/>
  <c r="N76"/>
  <c r="M76"/>
  <c r="L76"/>
  <c r="K76"/>
  <c r="J76"/>
  <c r="A76" a="1"/>
  <c r="A76" s="1"/>
  <c r="I76" s="1"/>
  <c r="BA75"/>
  <c r="AZ75"/>
  <c r="AY75"/>
  <c r="AX75"/>
  <c r="AW75"/>
  <c r="AV75"/>
  <c r="AU75"/>
  <c r="AT75"/>
  <c r="AS75"/>
  <c r="AR75"/>
  <c r="AQ75"/>
  <c r="AP75"/>
  <c r="AO75"/>
  <c r="AN75"/>
  <c r="AM75"/>
  <c r="AL75"/>
  <c r="AK75"/>
  <c r="AJ75"/>
  <c r="AI75"/>
  <c r="AH75"/>
  <c r="AG75"/>
  <c r="AF75"/>
  <c r="AE75"/>
  <c r="AD75"/>
  <c r="AC75"/>
  <c r="AB75"/>
  <c r="AA75"/>
  <c r="Z75"/>
  <c r="Y75"/>
  <c r="X75"/>
  <c r="W75"/>
  <c r="V75"/>
  <c r="U75"/>
  <c r="T75"/>
  <c r="S75"/>
  <c r="R75"/>
  <c r="Q75"/>
  <c r="P75"/>
  <c r="O75"/>
  <c r="N75"/>
  <c r="M75"/>
  <c r="L75"/>
  <c r="K75"/>
  <c r="J75"/>
  <c r="A75" a="1"/>
  <c r="A75" s="1"/>
  <c r="I75" s="1"/>
  <c r="BA74"/>
  <c r="AZ74"/>
  <c r="AY74"/>
  <c r="AX74"/>
  <c r="AW74"/>
  <c r="AV74"/>
  <c r="AU74"/>
  <c r="AT74"/>
  <c r="AS74"/>
  <c r="AR74"/>
  <c r="AQ74"/>
  <c r="AP74"/>
  <c r="AO74"/>
  <c r="AN74"/>
  <c r="AM74"/>
  <c r="AL74"/>
  <c r="AK74"/>
  <c r="AJ74"/>
  <c r="AI74"/>
  <c r="AH74"/>
  <c r="AG74"/>
  <c r="AF74"/>
  <c r="AE74"/>
  <c r="AD74"/>
  <c r="AC74"/>
  <c r="AB74"/>
  <c r="AA74"/>
  <c r="Z74"/>
  <c r="Y74"/>
  <c r="X74"/>
  <c r="W74"/>
  <c r="V74"/>
  <c r="U74"/>
  <c r="T74"/>
  <c r="S74"/>
  <c r="R74"/>
  <c r="Q74"/>
  <c r="P74"/>
  <c r="O74"/>
  <c r="N74"/>
  <c r="M74"/>
  <c r="L74"/>
  <c r="K74"/>
  <c r="J74"/>
  <c r="A74" a="1"/>
  <c r="A74" s="1"/>
  <c r="I74" s="1"/>
  <c r="BA73"/>
  <c r="AZ73"/>
  <c r="AY73"/>
  <c r="AX73"/>
  <c r="AW73"/>
  <c r="AV73"/>
  <c r="AU73"/>
  <c r="AT73"/>
  <c r="AS73"/>
  <c r="AR73"/>
  <c r="AQ73"/>
  <c r="AP73"/>
  <c r="AO73"/>
  <c r="AN73"/>
  <c r="AM73"/>
  <c r="AL73"/>
  <c r="AK73"/>
  <c r="AJ73"/>
  <c r="AI73"/>
  <c r="AH73"/>
  <c r="AG73"/>
  <c r="AF73"/>
  <c r="AE73"/>
  <c r="AD73"/>
  <c r="AC73"/>
  <c r="AB73"/>
  <c r="AA73"/>
  <c r="Z73"/>
  <c r="Y73"/>
  <c r="X73"/>
  <c r="W73"/>
  <c r="V73"/>
  <c r="U73"/>
  <c r="T73"/>
  <c r="S73"/>
  <c r="R73"/>
  <c r="Q73"/>
  <c r="P73"/>
  <c r="O73"/>
  <c r="N73"/>
  <c r="M73"/>
  <c r="L73"/>
  <c r="K73"/>
  <c r="J73"/>
  <c r="A73" a="1"/>
  <c r="A73" s="1"/>
  <c r="I73" s="1"/>
  <c r="BA72"/>
  <c r="AZ72"/>
  <c r="AY72"/>
  <c r="AX72"/>
  <c r="AW72"/>
  <c r="AV72"/>
  <c r="AU72"/>
  <c r="AT72"/>
  <c r="AS72"/>
  <c r="AR72"/>
  <c r="AQ72"/>
  <c r="AP72"/>
  <c r="AO72"/>
  <c r="AN72"/>
  <c r="AM72"/>
  <c r="AL72"/>
  <c r="AK72"/>
  <c r="AJ72"/>
  <c r="AI72"/>
  <c r="AH72"/>
  <c r="AG72"/>
  <c r="AF72"/>
  <c r="AE72"/>
  <c r="AD72"/>
  <c r="AC72"/>
  <c r="AB72"/>
  <c r="AA72"/>
  <c r="Z72"/>
  <c r="Y72"/>
  <c r="X72"/>
  <c r="W72"/>
  <c r="V72"/>
  <c r="U72"/>
  <c r="T72"/>
  <c r="S72"/>
  <c r="R72"/>
  <c r="Q72"/>
  <c r="P72"/>
  <c r="O72"/>
  <c r="N72"/>
  <c r="M72"/>
  <c r="L72"/>
  <c r="K72"/>
  <c r="J72"/>
  <c r="A72" a="1"/>
  <c r="A72" s="1"/>
  <c r="I72" s="1"/>
  <c r="BA71"/>
  <c r="AZ71"/>
  <c r="AY71"/>
  <c r="AX71"/>
  <c r="AW71"/>
  <c r="AV71"/>
  <c r="AU71"/>
  <c r="AT71"/>
  <c r="AS71"/>
  <c r="AR71"/>
  <c r="AQ71"/>
  <c r="AP71"/>
  <c r="AO71"/>
  <c r="AN71"/>
  <c r="AM71"/>
  <c r="AL71"/>
  <c r="AK71"/>
  <c r="AJ71"/>
  <c r="AI71"/>
  <c r="AH71"/>
  <c r="AG71"/>
  <c r="AF71"/>
  <c r="AE71"/>
  <c r="AD71"/>
  <c r="AC71"/>
  <c r="AB71"/>
  <c r="AA71"/>
  <c r="Z71"/>
  <c r="Y71"/>
  <c r="X71"/>
  <c r="W71"/>
  <c r="V71"/>
  <c r="U71"/>
  <c r="T71"/>
  <c r="S71"/>
  <c r="R71"/>
  <c r="Q71"/>
  <c r="P71"/>
  <c r="O71"/>
  <c r="N71"/>
  <c r="M71"/>
  <c r="L71"/>
  <c r="K71"/>
  <c r="J71"/>
  <c r="A71" a="1"/>
  <c r="A71" s="1"/>
  <c r="I71" s="1"/>
  <c r="BA70"/>
  <c r="AZ70"/>
  <c r="AY70"/>
  <c r="AX70"/>
  <c r="AW70"/>
  <c r="AV70"/>
  <c r="AU70"/>
  <c r="AT70"/>
  <c r="AS70"/>
  <c r="AR70"/>
  <c r="AQ70"/>
  <c r="AP70"/>
  <c r="AO70"/>
  <c r="AN70"/>
  <c r="AM70"/>
  <c r="AL70"/>
  <c r="AK70"/>
  <c r="AJ70"/>
  <c r="AI70"/>
  <c r="AH70"/>
  <c r="AG70"/>
  <c r="AF70"/>
  <c r="AE70"/>
  <c r="AD70"/>
  <c r="AC70"/>
  <c r="AB70"/>
  <c r="AA70"/>
  <c r="Z70"/>
  <c r="Y70"/>
  <c r="X70"/>
  <c r="W70"/>
  <c r="V70"/>
  <c r="U70"/>
  <c r="T70"/>
  <c r="S70"/>
  <c r="R70"/>
  <c r="Q70"/>
  <c r="P70"/>
  <c r="O70"/>
  <c r="N70"/>
  <c r="M70"/>
  <c r="L70"/>
  <c r="K70"/>
  <c r="J70"/>
  <c r="A70" a="1"/>
  <c r="A70" s="1"/>
  <c r="I70" s="1"/>
  <c r="BA69"/>
  <c r="AZ69"/>
  <c r="AY69"/>
  <c r="AX69"/>
  <c r="AW69"/>
  <c r="AV69"/>
  <c r="AU69"/>
  <c r="AT69"/>
  <c r="AS69"/>
  <c r="AR69"/>
  <c r="AQ69"/>
  <c r="AP69"/>
  <c r="AO69"/>
  <c r="AN69"/>
  <c r="AM69"/>
  <c r="AL69"/>
  <c r="AK69"/>
  <c r="AJ69"/>
  <c r="AI69"/>
  <c r="AH69"/>
  <c r="AG69"/>
  <c r="AF69"/>
  <c r="AE69"/>
  <c r="AD69"/>
  <c r="AC69"/>
  <c r="AB69"/>
  <c r="AA69"/>
  <c r="Z69"/>
  <c r="Y69"/>
  <c r="X69"/>
  <c r="W69"/>
  <c r="V69"/>
  <c r="U69"/>
  <c r="T69"/>
  <c r="S69"/>
  <c r="R69"/>
  <c r="Q69"/>
  <c r="P69"/>
  <c r="O69"/>
  <c r="N69"/>
  <c r="M69"/>
  <c r="L69"/>
  <c r="K69"/>
  <c r="J69"/>
  <c r="A69" a="1"/>
  <c r="A69" s="1"/>
  <c r="I69" s="1"/>
  <c r="BA68"/>
  <c r="AZ68"/>
  <c r="AY68"/>
  <c r="AX68"/>
  <c r="AW68"/>
  <c r="AV68"/>
  <c r="AU68"/>
  <c r="AT68"/>
  <c r="AS68"/>
  <c r="AR68"/>
  <c r="AQ68"/>
  <c r="AP68"/>
  <c r="AO68"/>
  <c r="AN68"/>
  <c r="AM68"/>
  <c r="AL68"/>
  <c r="AK68"/>
  <c r="AJ68"/>
  <c r="AI68"/>
  <c r="AH68"/>
  <c r="AG68"/>
  <c r="AF68"/>
  <c r="AE68"/>
  <c r="AD68"/>
  <c r="AC68"/>
  <c r="AB68"/>
  <c r="AA68"/>
  <c r="Z68"/>
  <c r="Y68"/>
  <c r="X68"/>
  <c r="W68"/>
  <c r="V68"/>
  <c r="U68"/>
  <c r="T68"/>
  <c r="S68"/>
  <c r="R68"/>
  <c r="Q68"/>
  <c r="P68"/>
  <c r="O68"/>
  <c r="N68"/>
  <c r="M68"/>
  <c r="L68"/>
  <c r="K68"/>
  <c r="J68"/>
  <c r="A68" a="1"/>
  <c r="A68" s="1"/>
  <c r="I68" s="1"/>
  <c r="BA67"/>
  <c r="AZ67"/>
  <c r="AY67"/>
  <c r="AX67"/>
  <c r="AW67"/>
  <c r="AV67"/>
  <c r="AU67"/>
  <c r="AT67"/>
  <c r="AS67"/>
  <c r="AR67"/>
  <c r="AQ67"/>
  <c r="AP67"/>
  <c r="AO67"/>
  <c r="AN67"/>
  <c r="AM67"/>
  <c r="AL67"/>
  <c r="AK67"/>
  <c r="AJ67"/>
  <c r="AI67"/>
  <c r="AH67"/>
  <c r="AG67"/>
  <c r="AF67"/>
  <c r="AE67"/>
  <c r="AD67"/>
  <c r="AC67"/>
  <c r="AB67"/>
  <c r="AA67"/>
  <c r="Z67"/>
  <c r="Y67"/>
  <c r="X67"/>
  <c r="W67"/>
  <c r="V67"/>
  <c r="U67"/>
  <c r="T67"/>
  <c r="S67"/>
  <c r="R67"/>
  <c r="Q67"/>
  <c r="P67"/>
  <c r="O67"/>
  <c r="N67"/>
  <c r="M67"/>
  <c r="L67"/>
  <c r="K67"/>
  <c r="J67"/>
  <c r="A67" a="1"/>
  <c r="A67" s="1"/>
  <c r="I67" s="1"/>
  <c r="BA66"/>
  <c r="AZ66"/>
  <c r="AY66"/>
  <c r="AX66"/>
  <c r="AW66"/>
  <c r="AV66"/>
  <c r="AU66"/>
  <c r="AT66"/>
  <c r="AS66"/>
  <c r="AR66"/>
  <c r="AQ66"/>
  <c r="AP66"/>
  <c r="AO66"/>
  <c r="AN66"/>
  <c r="AM66"/>
  <c r="AL66"/>
  <c r="AK66"/>
  <c r="AJ66"/>
  <c r="AI66"/>
  <c r="AH66"/>
  <c r="AG66"/>
  <c r="AF66"/>
  <c r="AE66"/>
  <c r="AD66"/>
  <c r="AC66"/>
  <c r="AB66"/>
  <c r="AA66"/>
  <c r="Z66"/>
  <c r="Y66"/>
  <c r="X66"/>
  <c r="W66"/>
  <c r="V66"/>
  <c r="U66"/>
  <c r="T66"/>
  <c r="S66"/>
  <c r="R66"/>
  <c r="Q66"/>
  <c r="P66"/>
  <c r="O66"/>
  <c r="N66"/>
  <c r="M66"/>
  <c r="L66"/>
  <c r="K66"/>
  <c r="J66"/>
  <c r="A66" a="1"/>
  <c r="A66" s="1"/>
  <c r="I66" s="1"/>
  <c r="BA65"/>
  <c r="AZ65"/>
  <c r="AY65"/>
  <c r="AX65"/>
  <c r="AW65"/>
  <c r="AV65"/>
  <c r="AU65"/>
  <c r="AT65"/>
  <c r="AS65"/>
  <c r="AR65"/>
  <c r="AQ65"/>
  <c r="AP65"/>
  <c r="AO65"/>
  <c r="AN65"/>
  <c r="AM65"/>
  <c r="AL65"/>
  <c r="AK65"/>
  <c r="AJ65"/>
  <c r="AI65"/>
  <c r="AH65"/>
  <c r="AG65"/>
  <c r="AF65"/>
  <c r="AE65"/>
  <c r="AD65"/>
  <c r="AC65"/>
  <c r="AB65"/>
  <c r="AA65"/>
  <c r="Z65"/>
  <c r="Y65"/>
  <c r="X65"/>
  <c r="W65"/>
  <c r="V65"/>
  <c r="U65"/>
  <c r="T65"/>
  <c r="S65"/>
  <c r="R65"/>
  <c r="Q65"/>
  <c r="P65"/>
  <c r="O65"/>
  <c r="N65"/>
  <c r="M65"/>
  <c r="L65"/>
  <c r="K65"/>
  <c r="J65"/>
  <c r="A65" a="1"/>
  <c r="A65" s="1"/>
  <c r="I65" s="1"/>
  <c r="BA64"/>
  <c r="AZ64"/>
  <c r="AY64"/>
  <c r="AX64"/>
  <c r="AW64"/>
  <c r="AV64"/>
  <c r="AU64"/>
  <c r="AT64"/>
  <c r="AS64"/>
  <c r="AR64"/>
  <c r="AQ64"/>
  <c r="AP64"/>
  <c r="AO64"/>
  <c r="AN64"/>
  <c r="AM64"/>
  <c r="AL64"/>
  <c r="AK64"/>
  <c r="AJ64"/>
  <c r="AI64"/>
  <c r="AH64"/>
  <c r="AG64"/>
  <c r="AF64"/>
  <c r="AE64"/>
  <c r="AD64"/>
  <c r="AC64"/>
  <c r="AB64"/>
  <c r="AA64"/>
  <c r="Z64"/>
  <c r="Y64"/>
  <c r="X64"/>
  <c r="W64"/>
  <c r="V64"/>
  <c r="U64"/>
  <c r="T64"/>
  <c r="S64"/>
  <c r="R64"/>
  <c r="Q64"/>
  <c r="P64"/>
  <c r="O64"/>
  <c r="N64"/>
  <c r="M64"/>
  <c r="L64"/>
  <c r="K64"/>
  <c r="J64"/>
  <c r="A64" a="1"/>
  <c r="A64" s="1"/>
  <c r="I64" s="1"/>
  <c r="BA63"/>
  <c r="AZ63"/>
  <c r="AY63"/>
  <c r="AX63"/>
  <c r="AW63"/>
  <c r="AV63"/>
  <c r="AU63"/>
  <c r="AT63"/>
  <c r="AS63"/>
  <c r="AR63"/>
  <c r="AQ63"/>
  <c r="AP63"/>
  <c r="AO63"/>
  <c r="AN63"/>
  <c r="AM63"/>
  <c r="AL63"/>
  <c r="AK63"/>
  <c r="AJ63"/>
  <c r="AI63"/>
  <c r="AH63"/>
  <c r="AG63"/>
  <c r="AF63"/>
  <c r="AE63"/>
  <c r="AD63"/>
  <c r="AC63"/>
  <c r="AB63"/>
  <c r="AA63"/>
  <c r="Z63"/>
  <c r="Y63"/>
  <c r="X63"/>
  <c r="W63"/>
  <c r="V63"/>
  <c r="U63"/>
  <c r="T63"/>
  <c r="S63"/>
  <c r="R63"/>
  <c r="Q63"/>
  <c r="P63"/>
  <c r="O63"/>
  <c r="N63"/>
  <c r="M63"/>
  <c r="L63"/>
  <c r="K63"/>
  <c r="J63"/>
  <c r="A63" a="1"/>
  <c r="A63" s="1"/>
  <c r="I63" s="1"/>
  <c r="BA62"/>
  <c r="AZ62"/>
  <c r="AY62"/>
  <c r="AX62"/>
  <c r="AW62"/>
  <c r="AV62"/>
  <c r="AU62"/>
  <c r="AT62"/>
  <c r="AS62"/>
  <c r="AR62"/>
  <c r="AQ62"/>
  <c r="AP62"/>
  <c r="AO62"/>
  <c r="AN62"/>
  <c r="AM62"/>
  <c r="AL62"/>
  <c r="AK62"/>
  <c r="AJ62"/>
  <c r="AI62"/>
  <c r="AH62"/>
  <c r="AG62"/>
  <c r="AF62"/>
  <c r="AE62"/>
  <c r="AD62"/>
  <c r="AC62"/>
  <c r="AB62"/>
  <c r="AA62"/>
  <c r="Z62"/>
  <c r="Y62"/>
  <c r="X62"/>
  <c r="W62"/>
  <c r="V62"/>
  <c r="U62"/>
  <c r="T62"/>
  <c r="S62"/>
  <c r="R62"/>
  <c r="Q62"/>
  <c r="P62"/>
  <c r="O62"/>
  <c r="N62"/>
  <c r="M62"/>
  <c r="L62"/>
  <c r="K62"/>
  <c r="J62"/>
  <c r="A62" a="1"/>
  <c r="A62" s="1"/>
  <c r="I62" s="1"/>
  <c r="BA61"/>
  <c r="AZ61"/>
  <c r="AY61"/>
  <c r="AX61"/>
  <c r="AW61"/>
  <c r="AV61"/>
  <c r="AU61"/>
  <c r="AT61"/>
  <c r="AS61"/>
  <c r="AR61"/>
  <c r="AQ61"/>
  <c r="AP61"/>
  <c r="AO61"/>
  <c r="AN61"/>
  <c r="AM61"/>
  <c r="AL61"/>
  <c r="AK61"/>
  <c r="AJ61"/>
  <c r="AI61"/>
  <c r="AH61"/>
  <c r="AG61"/>
  <c r="AF61"/>
  <c r="AE61"/>
  <c r="AD61"/>
  <c r="AC61"/>
  <c r="AB61"/>
  <c r="AA61"/>
  <c r="Z61"/>
  <c r="Y61"/>
  <c r="X61"/>
  <c r="W61"/>
  <c r="V61"/>
  <c r="U61"/>
  <c r="T61"/>
  <c r="S61"/>
  <c r="R61"/>
  <c r="Q61"/>
  <c r="P61"/>
  <c r="O61"/>
  <c r="N61"/>
  <c r="M61"/>
  <c r="L61"/>
  <c r="K61"/>
  <c r="J61"/>
  <c r="A61" a="1"/>
  <c r="A61" s="1"/>
  <c r="I61" s="1"/>
  <c r="BA60"/>
  <c r="AZ60"/>
  <c r="AY60"/>
  <c r="AX60"/>
  <c r="AW60"/>
  <c r="AV60"/>
  <c r="AU60"/>
  <c r="AT60"/>
  <c r="AS60"/>
  <c r="AR60"/>
  <c r="AQ60"/>
  <c r="AP60"/>
  <c r="AO60"/>
  <c r="AN60"/>
  <c r="AM60"/>
  <c r="AL60"/>
  <c r="AK60"/>
  <c r="AJ60"/>
  <c r="AI60"/>
  <c r="AH60"/>
  <c r="AG60"/>
  <c r="AF60"/>
  <c r="AE60"/>
  <c r="AD60"/>
  <c r="AC60"/>
  <c r="AB60"/>
  <c r="AA60"/>
  <c r="Z60"/>
  <c r="Y60"/>
  <c r="X60"/>
  <c r="W60"/>
  <c r="V60"/>
  <c r="U60"/>
  <c r="T60"/>
  <c r="S60"/>
  <c r="R60"/>
  <c r="Q60"/>
  <c r="P60"/>
  <c r="O60"/>
  <c r="N60"/>
  <c r="M60"/>
  <c r="L60"/>
  <c r="K60"/>
  <c r="J60"/>
  <c r="A60" a="1"/>
  <c r="A60" s="1"/>
  <c r="I60" s="1"/>
  <c r="BA59"/>
  <c r="AZ59"/>
  <c r="AY59"/>
  <c r="AX59"/>
  <c r="AW59"/>
  <c r="AV59"/>
  <c r="AU59"/>
  <c r="AT59"/>
  <c r="AS59"/>
  <c r="AR59"/>
  <c r="AQ59"/>
  <c r="AP59"/>
  <c r="AO59"/>
  <c r="AN59"/>
  <c r="AM59"/>
  <c r="AL59"/>
  <c r="AK59"/>
  <c r="AJ59"/>
  <c r="AI59"/>
  <c r="AH59"/>
  <c r="AG59"/>
  <c r="AF59"/>
  <c r="AE59"/>
  <c r="AD59"/>
  <c r="AC59"/>
  <c r="AB59"/>
  <c r="AA59"/>
  <c r="Z59"/>
  <c r="Y59"/>
  <c r="X59"/>
  <c r="W59"/>
  <c r="V59"/>
  <c r="U59"/>
  <c r="T59"/>
  <c r="S59"/>
  <c r="R59"/>
  <c r="Q59"/>
  <c r="P59"/>
  <c r="O59"/>
  <c r="N59"/>
  <c r="M59"/>
  <c r="L59"/>
  <c r="K59"/>
  <c r="J59"/>
  <c r="A59" a="1"/>
  <c r="A59" s="1"/>
  <c r="I59" s="1"/>
  <c r="BA58"/>
  <c r="AZ58"/>
  <c r="AY58"/>
  <c r="AX58"/>
  <c r="AW58"/>
  <c r="AV58"/>
  <c r="AU58"/>
  <c r="AT58"/>
  <c r="AS58"/>
  <c r="AR58"/>
  <c r="AQ58"/>
  <c r="AP58"/>
  <c r="AO58"/>
  <c r="AN58"/>
  <c r="AM58"/>
  <c r="AL58"/>
  <c r="AK58"/>
  <c r="AJ58"/>
  <c r="AI58"/>
  <c r="AH58"/>
  <c r="AG58"/>
  <c r="AF58"/>
  <c r="AE58"/>
  <c r="AD58"/>
  <c r="AC58"/>
  <c r="AB58"/>
  <c r="AA58"/>
  <c r="Z58"/>
  <c r="Y58"/>
  <c r="X58"/>
  <c r="W58"/>
  <c r="V58"/>
  <c r="U58"/>
  <c r="T58"/>
  <c r="S58"/>
  <c r="R58"/>
  <c r="Q58"/>
  <c r="P58"/>
  <c r="O58"/>
  <c r="N58"/>
  <c r="M58"/>
  <c r="L58"/>
  <c r="K58"/>
  <c r="J58"/>
  <c r="A58" a="1"/>
  <c r="A58" s="1"/>
  <c r="I58" s="1"/>
  <c r="BA57"/>
  <c r="AZ57"/>
  <c r="AY57"/>
  <c r="AX57"/>
  <c r="AW57"/>
  <c r="AV57"/>
  <c r="AU57"/>
  <c r="AT57"/>
  <c r="AS57"/>
  <c r="AR57"/>
  <c r="AQ57"/>
  <c r="AP57"/>
  <c r="AO57"/>
  <c r="AN57"/>
  <c r="AM57"/>
  <c r="AL57"/>
  <c r="AK57"/>
  <c r="AJ57"/>
  <c r="AI57"/>
  <c r="AH57"/>
  <c r="AG57"/>
  <c r="AF57"/>
  <c r="AE57"/>
  <c r="AD57"/>
  <c r="AC57"/>
  <c r="AB57"/>
  <c r="AA57"/>
  <c r="Z57"/>
  <c r="Y57"/>
  <c r="X57"/>
  <c r="W57"/>
  <c r="V57"/>
  <c r="U57"/>
  <c r="T57"/>
  <c r="S57"/>
  <c r="R57"/>
  <c r="Q57"/>
  <c r="P57"/>
  <c r="O57"/>
  <c r="N57"/>
  <c r="M57"/>
  <c r="L57"/>
  <c r="K57"/>
  <c r="J57"/>
  <c r="A57" a="1"/>
  <c r="A57" s="1"/>
  <c r="I57" s="1"/>
  <c r="BA56"/>
  <c r="AZ56"/>
  <c r="AY56"/>
  <c r="AX56"/>
  <c r="AW56"/>
  <c r="AV56"/>
  <c r="AU56"/>
  <c r="AT56"/>
  <c r="AS56"/>
  <c r="AR56"/>
  <c r="AQ56"/>
  <c r="AP56"/>
  <c r="AO56"/>
  <c r="AN56"/>
  <c r="AM56"/>
  <c r="AL56"/>
  <c r="AK56"/>
  <c r="AJ56"/>
  <c r="AI56"/>
  <c r="AH56"/>
  <c r="AG56"/>
  <c r="AF56"/>
  <c r="AE56"/>
  <c r="AD56"/>
  <c r="AC56"/>
  <c r="AB56"/>
  <c r="AA56"/>
  <c r="Z56"/>
  <c r="Y56"/>
  <c r="X56"/>
  <c r="W56"/>
  <c r="V56"/>
  <c r="U56"/>
  <c r="T56"/>
  <c r="S56"/>
  <c r="R56"/>
  <c r="Q56"/>
  <c r="P56"/>
  <c r="O56"/>
  <c r="N56"/>
  <c r="M56"/>
  <c r="L56"/>
  <c r="K56"/>
  <c r="J56"/>
  <c r="A56" a="1"/>
  <c r="A56" s="1"/>
  <c r="I56" s="1"/>
  <c r="BA55"/>
  <c r="AZ55"/>
  <c r="AY55"/>
  <c r="AX55"/>
  <c r="AW55"/>
  <c r="AV55"/>
  <c r="AU55"/>
  <c r="AT55"/>
  <c r="AS55"/>
  <c r="AR55"/>
  <c r="AQ55"/>
  <c r="AP55"/>
  <c r="AO55"/>
  <c r="AN55"/>
  <c r="AM55"/>
  <c r="AL55"/>
  <c r="AK55"/>
  <c r="AJ55"/>
  <c r="AI55"/>
  <c r="AH55"/>
  <c r="AG55"/>
  <c r="AF55"/>
  <c r="AE55"/>
  <c r="AD55"/>
  <c r="AC55"/>
  <c r="AB55"/>
  <c r="AA55"/>
  <c r="Z55"/>
  <c r="Y55"/>
  <c r="X55"/>
  <c r="W55"/>
  <c r="V55"/>
  <c r="U55"/>
  <c r="T55"/>
  <c r="S55"/>
  <c r="R55"/>
  <c r="Q55"/>
  <c r="P55"/>
  <c r="O55"/>
  <c r="N55"/>
  <c r="M55"/>
  <c r="L55"/>
  <c r="K55"/>
  <c r="J55"/>
  <c r="A55" a="1"/>
  <c r="A55" s="1"/>
  <c r="I55" s="1"/>
  <c r="BA54"/>
  <c r="AZ54"/>
  <c r="AY54"/>
  <c r="AX54"/>
  <c r="AW54"/>
  <c r="AV54"/>
  <c r="AU54"/>
  <c r="AT54"/>
  <c r="AS54"/>
  <c r="AR54"/>
  <c r="AQ54"/>
  <c r="AP54"/>
  <c r="AO54"/>
  <c r="AN54"/>
  <c r="AM54"/>
  <c r="AL54"/>
  <c r="AK54"/>
  <c r="AJ54"/>
  <c r="AI54"/>
  <c r="AH54"/>
  <c r="AG54"/>
  <c r="AF54"/>
  <c r="AE54"/>
  <c r="AD54"/>
  <c r="AC54"/>
  <c r="AB54"/>
  <c r="AA54"/>
  <c r="Z54"/>
  <c r="Y54"/>
  <c r="X54"/>
  <c r="W54"/>
  <c r="V54"/>
  <c r="U54"/>
  <c r="T54"/>
  <c r="S54"/>
  <c r="R54"/>
  <c r="Q54"/>
  <c r="P54"/>
  <c r="O54"/>
  <c r="N54"/>
  <c r="M54"/>
  <c r="L54"/>
  <c r="K54"/>
  <c r="J54"/>
  <c r="A54" a="1"/>
  <c r="A54" s="1"/>
  <c r="I54" s="1"/>
  <c r="BA53"/>
  <c r="AZ53"/>
  <c r="AY53"/>
  <c r="AX53"/>
  <c r="AW53"/>
  <c r="AV53"/>
  <c r="AU53"/>
  <c r="AT53"/>
  <c r="AS53"/>
  <c r="AR53"/>
  <c r="AQ53"/>
  <c r="AP53"/>
  <c r="AO53"/>
  <c r="AN53"/>
  <c r="AM53"/>
  <c r="AL53"/>
  <c r="AK53"/>
  <c r="AJ53"/>
  <c r="AI53"/>
  <c r="AH53"/>
  <c r="AG53"/>
  <c r="AF53"/>
  <c r="AE53"/>
  <c r="AD53"/>
  <c r="AC53"/>
  <c r="AB53"/>
  <c r="AA53"/>
  <c r="Z53"/>
  <c r="Y53"/>
  <c r="X53"/>
  <c r="W53"/>
  <c r="V53"/>
  <c r="U53"/>
  <c r="T53"/>
  <c r="S53"/>
  <c r="R53"/>
  <c r="Q53"/>
  <c r="P53"/>
  <c r="O53"/>
  <c r="N53"/>
  <c r="M53"/>
  <c r="L53"/>
  <c r="K53"/>
  <c r="J53"/>
  <c r="A53" a="1"/>
  <c r="A53" s="1"/>
  <c r="I53" s="1"/>
  <c r="BA52"/>
  <c r="AZ52"/>
  <c r="AY52"/>
  <c r="AX52"/>
  <c r="AW52"/>
  <c r="AV52"/>
  <c r="AU52"/>
  <c r="AT52"/>
  <c r="AS52"/>
  <c r="AR52"/>
  <c r="AQ52"/>
  <c r="AP52"/>
  <c r="AO52"/>
  <c r="AN52"/>
  <c r="AM52"/>
  <c r="AL52"/>
  <c r="AK52"/>
  <c r="AJ52"/>
  <c r="AI52"/>
  <c r="AH52"/>
  <c r="AG52"/>
  <c r="AF52"/>
  <c r="AE52"/>
  <c r="AD52"/>
  <c r="AC52"/>
  <c r="AB52"/>
  <c r="AA52"/>
  <c r="Z52"/>
  <c r="Y52"/>
  <c r="X52"/>
  <c r="W52"/>
  <c r="V52"/>
  <c r="U52"/>
  <c r="T52"/>
  <c r="S52"/>
  <c r="R52"/>
  <c r="Q52"/>
  <c r="P52"/>
  <c r="O52"/>
  <c r="N52"/>
  <c r="M52"/>
  <c r="L52"/>
  <c r="K52"/>
  <c r="J52"/>
  <c r="A52" a="1"/>
  <c r="A52" s="1"/>
  <c r="I52" s="1"/>
  <c r="BA51"/>
  <c r="AZ51"/>
  <c r="AY51"/>
  <c r="AX51"/>
  <c r="AW51"/>
  <c r="AV51"/>
  <c r="AU51"/>
  <c r="AT51"/>
  <c r="AS51"/>
  <c r="AR51"/>
  <c r="AQ51"/>
  <c r="AP51"/>
  <c r="AO51"/>
  <c r="AN51"/>
  <c r="AM51"/>
  <c r="AL51"/>
  <c r="AK51"/>
  <c r="AJ51"/>
  <c r="AI51"/>
  <c r="AH51"/>
  <c r="AG51"/>
  <c r="AF51"/>
  <c r="AE51"/>
  <c r="AD51"/>
  <c r="AC51"/>
  <c r="AB51"/>
  <c r="AA51"/>
  <c r="Z51"/>
  <c r="Y51"/>
  <c r="X51"/>
  <c r="W51"/>
  <c r="V51"/>
  <c r="U51"/>
  <c r="T51"/>
  <c r="S51"/>
  <c r="R51"/>
  <c r="Q51"/>
  <c r="P51"/>
  <c r="O51"/>
  <c r="N51"/>
  <c r="M51"/>
  <c r="L51"/>
  <c r="K51"/>
  <c r="J51"/>
  <c r="A51" a="1"/>
  <c r="A51" s="1"/>
  <c r="I51" s="1"/>
  <c r="BA50"/>
  <c r="AZ50"/>
  <c r="AY50"/>
  <c r="AX50"/>
  <c r="AW50"/>
  <c r="AV50"/>
  <c r="AU50"/>
  <c r="AT50"/>
  <c r="AS50"/>
  <c r="AR50"/>
  <c r="AQ50"/>
  <c r="AP50"/>
  <c r="AO50"/>
  <c r="AN50"/>
  <c r="AM50"/>
  <c r="AL50"/>
  <c r="AK50"/>
  <c r="AJ50"/>
  <c r="AI50"/>
  <c r="AH50"/>
  <c r="AG50"/>
  <c r="AF50"/>
  <c r="AE50"/>
  <c r="AD50"/>
  <c r="AC50"/>
  <c r="AB50"/>
  <c r="AA50"/>
  <c r="Z50"/>
  <c r="Y50"/>
  <c r="X50"/>
  <c r="W50"/>
  <c r="V50"/>
  <c r="U50"/>
  <c r="T50"/>
  <c r="S50"/>
  <c r="R50"/>
  <c r="Q50"/>
  <c r="P50"/>
  <c r="O50"/>
  <c r="N50"/>
  <c r="M50"/>
  <c r="L50"/>
  <c r="K50"/>
  <c r="J50"/>
  <c r="A50" a="1"/>
  <c r="A50" s="1"/>
  <c r="I50" s="1"/>
  <c r="BA49"/>
  <c r="AZ49"/>
  <c r="AY49"/>
  <c r="AX49"/>
  <c r="AW49"/>
  <c r="AV49"/>
  <c r="AU49"/>
  <c r="AT49"/>
  <c r="AS49"/>
  <c r="AR49"/>
  <c r="AQ49"/>
  <c r="AP49"/>
  <c r="AO49"/>
  <c r="AN49"/>
  <c r="AM49"/>
  <c r="AL49"/>
  <c r="AK49"/>
  <c r="AJ49"/>
  <c r="AI49"/>
  <c r="AH49"/>
  <c r="AG49"/>
  <c r="AF49"/>
  <c r="AE49"/>
  <c r="AD49"/>
  <c r="AC49"/>
  <c r="AB49"/>
  <c r="AA49"/>
  <c r="Z49"/>
  <c r="Y49"/>
  <c r="X49"/>
  <c r="W49"/>
  <c r="V49"/>
  <c r="U49"/>
  <c r="T49"/>
  <c r="S49"/>
  <c r="R49"/>
  <c r="Q49"/>
  <c r="P49"/>
  <c r="O49"/>
  <c r="N49"/>
  <c r="M49"/>
  <c r="L49"/>
  <c r="K49"/>
  <c r="J49"/>
  <c r="A49" a="1"/>
  <c r="A49" s="1"/>
  <c r="I49" s="1"/>
  <c r="BA48"/>
  <c r="AZ48"/>
  <c r="AY48"/>
  <c r="AX48"/>
  <c r="AW48"/>
  <c r="AV48"/>
  <c r="AU48"/>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A48" a="1"/>
  <c r="A48" s="1"/>
  <c r="I48" s="1"/>
  <c r="BA47"/>
  <c r="AZ47"/>
  <c r="AY47"/>
  <c r="AX47"/>
  <c r="AW47"/>
  <c r="AV47"/>
  <c r="AU47"/>
  <c r="AT47"/>
  <c r="AS47"/>
  <c r="AR47"/>
  <c r="AQ47"/>
  <c r="AP47"/>
  <c r="AO47"/>
  <c r="AN47"/>
  <c r="AM47"/>
  <c r="AL47"/>
  <c r="AK47"/>
  <c r="AJ47"/>
  <c r="AI47"/>
  <c r="AH47"/>
  <c r="AG47"/>
  <c r="AF47"/>
  <c r="AE47"/>
  <c r="AD47"/>
  <c r="AC47"/>
  <c r="AB47"/>
  <c r="AA47"/>
  <c r="Z47"/>
  <c r="Y47"/>
  <c r="X47"/>
  <c r="W47"/>
  <c r="V47"/>
  <c r="U47"/>
  <c r="T47"/>
  <c r="S47"/>
  <c r="R47"/>
  <c r="Q47"/>
  <c r="P47"/>
  <c r="O47"/>
  <c r="N47"/>
  <c r="M47"/>
  <c r="L47"/>
  <c r="K47"/>
  <c r="J47"/>
  <c r="A47" a="1"/>
  <c r="A47" s="1"/>
  <c r="I47" s="1"/>
  <c r="BA46"/>
  <c r="AZ46"/>
  <c r="AY46"/>
  <c r="AX46"/>
  <c r="AW46"/>
  <c r="AV46"/>
  <c r="AU46"/>
  <c r="AT46"/>
  <c r="AS46"/>
  <c r="AR46"/>
  <c r="AQ46"/>
  <c r="AP46"/>
  <c r="AO46"/>
  <c r="AN46"/>
  <c r="AM46"/>
  <c r="AL46"/>
  <c r="AK46"/>
  <c r="AJ46"/>
  <c r="AI46"/>
  <c r="AH46"/>
  <c r="AG46"/>
  <c r="AF46"/>
  <c r="AE46"/>
  <c r="AD46"/>
  <c r="AC46"/>
  <c r="AB46"/>
  <c r="AA46"/>
  <c r="Z46"/>
  <c r="Y46"/>
  <c r="X46"/>
  <c r="W46"/>
  <c r="V46"/>
  <c r="U46"/>
  <c r="T46"/>
  <c r="S46"/>
  <c r="R46"/>
  <c r="Q46"/>
  <c r="P46"/>
  <c r="O46"/>
  <c r="N46"/>
  <c r="M46"/>
  <c r="L46"/>
  <c r="K46"/>
  <c r="J46"/>
  <c r="A46" a="1"/>
  <c r="A46" s="1"/>
  <c r="I46" s="1"/>
  <c r="BA45"/>
  <c r="AZ45"/>
  <c r="AY45"/>
  <c r="AX45"/>
  <c r="AW45"/>
  <c r="AV45"/>
  <c r="AU45"/>
  <c r="AT45"/>
  <c r="AS45"/>
  <c r="AR45"/>
  <c r="AQ45"/>
  <c r="AP45"/>
  <c r="AO45"/>
  <c r="AN45"/>
  <c r="AM45"/>
  <c r="AL45"/>
  <c r="AK45"/>
  <c r="AJ45"/>
  <c r="AI45"/>
  <c r="AH45"/>
  <c r="AG45"/>
  <c r="AF45"/>
  <c r="AE45"/>
  <c r="AD45"/>
  <c r="AC45"/>
  <c r="AB45"/>
  <c r="AA45"/>
  <c r="Z45"/>
  <c r="Y45"/>
  <c r="X45"/>
  <c r="W45"/>
  <c r="V45"/>
  <c r="U45"/>
  <c r="T45"/>
  <c r="S45"/>
  <c r="R45"/>
  <c r="Q45"/>
  <c r="P45"/>
  <c r="O45"/>
  <c r="N45"/>
  <c r="M45"/>
  <c r="L45"/>
  <c r="K45"/>
  <c r="J45"/>
  <c r="A45" a="1"/>
  <c r="A45" s="1"/>
  <c r="I45" s="1"/>
  <c r="BA44"/>
  <c r="AZ44"/>
  <c r="AY44"/>
  <c r="AX44"/>
  <c r="AW44"/>
  <c r="AV44"/>
  <c r="AU44"/>
  <c r="AT44"/>
  <c r="AS44"/>
  <c r="AR44"/>
  <c r="AQ44"/>
  <c r="AP44"/>
  <c r="AO44"/>
  <c r="AN44"/>
  <c r="AM44"/>
  <c r="AL44"/>
  <c r="AK44"/>
  <c r="AJ44"/>
  <c r="AI44"/>
  <c r="AH44"/>
  <c r="AG44"/>
  <c r="AF44"/>
  <c r="AE44"/>
  <c r="AD44"/>
  <c r="AC44"/>
  <c r="AB44"/>
  <c r="AA44"/>
  <c r="Z44"/>
  <c r="Y44"/>
  <c r="X44"/>
  <c r="W44"/>
  <c r="V44"/>
  <c r="U44"/>
  <c r="T44"/>
  <c r="S44"/>
  <c r="R44"/>
  <c r="Q44"/>
  <c r="P44"/>
  <c r="O44"/>
  <c r="N44"/>
  <c r="M44"/>
  <c r="L44"/>
  <c r="K44"/>
  <c r="J44"/>
  <c r="A44" a="1"/>
  <c r="A44" s="1"/>
  <c r="I44" s="1"/>
  <c r="BA43"/>
  <c r="AZ43"/>
  <c r="AY43"/>
  <c r="AX43"/>
  <c r="AW43"/>
  <c r="AV43"/>
  <c r="AU43"/>
  <c r="AT43"/>
  <c r="AS43"/>
  <c r="AR43"/>
  <c r="AQ43"/>
  <c r="AP43"/>
  <c r="AO43"/>
  <c r="AN43"/>
  <c r="AM43"/>
  <c r="AL43"/>
  <c r="AK43"/>
  <c r="AJ43"/>
  <c r="AI43"/>
  <c r="AH43"/>
  <c r="AG43"/>
  <c r="AF43"/>
  <c r="AE43"/>
  <c r="AD43"/>
  <c r="AC43"/>
  <c r="AB43"/>
  <c r="AA43"/>
  <c r="Z43"/>
  <c r="Y43"/>
  <c r="X43"/>
  <c r="W43"/>
  <c r="V43"/>
  <c r="U43"/>
  <c r="T43"/>
  <c r="S43"/>
  <c r="R43"/>
  <c r="Q43"/>
  <c r="P43"/>
  <c r="O43"/>
  <c r="N43"/>
  <c r="M43"/>
  <c r="L43"/>
  <c r="K43"/>
  <c r="J43"/>
  <c r="A43" a="1"/>
  <c r="A43" s="1"/>
  <c r="I43" s="1"/>
  <c r="BA42"/>
  <c r="AZ42"/>
  <c r="AY42"/>
  <c r="AX42"/>
  <c r="AW42"/>
  <c r="AV42"/>
  <c r="AU42"/>
  <c r="AT42"/>
  <c r="AS42"/>
  <c r="AR42"/>
  <c r="AQ42"/>
  <c r="AP42"/>
  <c r="AO42"/>
  <c r="AN42"/>
  <c r="AM42"/>
  <c r="AL42"/>
  <c r="AK42"/>
  <c r="AJ42"/>
  <c r="AI42"/>
  <c r="AH42"/>
  <c r="AG42"/>
  <c r="AF42"/>
  <c r="AE42"/>
  <c r="AD42"/>
  <c r="AC42"/>
  <c r="AB42"/>
  <c r="AA42"/>
  <c r="Z42"/>
  <c r="Y42"/>
  <c r="X42"/>
  <c r="W42"/>
  <c r="V42"/>
  <c r="U42"/>
  <c r="T42"/>
  <c r="S42"/>
  <c r="R42"/>
  <c r="Q42"/>
  <c r="P42"/>
  <c r="O42"/>
  <c r="N42"/>
  <c r="M42"/>
  <c r="L42"/>
  <c r="K42"/>
  <c r="J42"/>
  <c r="A42" a="1"/>
  <c r="A42" s="1"/>
  <c r="I42" s="1"/>
  <c r="BA41"/>
  <c r="AZ41"/>
  <c r="AY41"/>
  <c r="AX41"/>
  <c r="AW41"/>
  <c r="AV41"/>
  <c r="AU41"/>
  <c r="AT41"/>
  <c r="AS41"/>
  <c r="AR41"/>
  <c r="AQ41"/>
  <c r="AP41"/>
  <c r="AO41"/>
  <c r="AN41"/>
  <c r="AM41"/>
  <c r="AL41"/>
  <c r="AK41"/>
  <c r="AJ41"/>
  <c r="AI41"/>
  <c r="AH41"/>
  <c r="AG41"/>
  <c r="AF41"/>
  <c r="AE41"/>
  <c r="AD41"/>
  <c r="AC41"/>
  <c r="AB41"/>
  <c r="AA41"/>
  <c r="Z41"/>
  <c r="Y41"/>
  <c r="X41"/>
  <c r="W41"/>
  <c r="V41"/>
  <c r="U41"/>
  <c r="T41"/>
  <c r="S41"/>
  <c r="R41"/>
  <c r="Q41"/>
  <c r="P41"/>
  <c r="O41"/>
  <c r="N41"/>
  <c r="M41"/>
  <c r="L41"/>
  <c r="K41"/>
  <c r="J41"/>
  <c r="A41" a="1"/>
  <c r="A41" s="1"/>
  <c r="I41" s="1"/>
  <c r="BA40"/>
  <c r="AZ40"/>
  <c r="AY40"/>
  <c r="AX40"/>
  <c r="AW40"/>
  <c r="AV40"/>
  <c r="AU40"/>
  <c r="AT40"/>
  <c r="AS40"/>
  <c r="AR40"/>
  <c r="AQ40"/>
  <c r="AP40"/>
  <c r="AO40"/>
  <c r="AN40"/>
  <c r="AM40"/>
  <c r="AL40"/>
  <c r="AK40"/>
  <c r="AJ40"/>
  <c r="AI40"/>
  <c r="AH40"/>
  <c r="AG40"/>
  <c r="AF40"/>
  <c r="AE40"/>
  <c r="AD40"/>
  <c r="AC40"/>
  <c r="AB40"/>
  <c r="AA40"/>
  <c r="Z40"/>
  <c r="Y40"/>
  <c r="X40"/>
  <c r="W40"/>
  <c r="V40"/>
  <c r="U40"/>
  <c r="T40"/>
  <c r="S40"/>
  <c r="R40"/>
  <c r="Q40"/>
  <c r="P40"/>
  <c r="O40"/>
  <c r="N40"/>
  <c r="M40"/>
  <c r="L40"/>
  <c r="K40"/>
  <c r="J40"/>
  <c r="A40" a="1"/>
  <c r="A40" s="1"/>
  <c r="I40" s="1"/>
  <c r="BA39"/>
  <c r="AZ39"/>
  <c r="AY39"/>
  <c r="AX39"/>
  <c r="AW39"/>
  <c r="AV39"/>
  <c r="AU39"/>
  <c r="AT39"/>
  <c r="AS39"/>
  <c r="AR39"/>
  <c r="AQ39"/>
  <c r="AP39"/>
  <c r="AO39"/>
  <c r="AN39"/>
  <c r="AM39"/>
  <c r="AL39"/>
  <c r="AK39"/>
  <c r="AJ39"/>
  <c r="AI39"/>
  <c r="AH39"/>
  <c r="AG39"/>
  <c r="AF39"/>
  <c r="AE39"/>
  <c r="AD39"/>
  <c r="AC39"/>
  <c r="AB39"/>
  <c r="AA39"/>
  <c r="Z39"/>
  <c r="Y39"/>
  <c r="X39"/>
  <c r="W39"/>
  <c r="V39"/>
  <c r="U39"/>
  <c r="T39"/>
  <c r="S39"/>
  <c r="R39"/>
  <c r="Q39"/>
  <c r="P39"/>
  <c r="O39"/>
  <c r="N39"/>
  <c r="M39"/>
  <c r="L39"/>
  <c r="K39"/>
  <c r="J39"/>
  <c r="A39" a="1"/>
  <c r="A39" s="1"/>
  <c r="I39" s="1"/>
  <c r="BA38"/>
  <c r="AZ38"/>
  <c r="AY38"/>
  <c r="AX38"/>
  <c r="AW38"/>
  <c r="AV38"/>
  <c r="AU38"/>
  <c r="AT38"/>
  <c r="AS38"/>
  <c r="AR38"/>
  <c r="AQ38"/>
  <c r="AP38"/>
  <c r="AO38"/>
  <c r="AN38"/>
  <c r="AM38"/>
  <c r="AL38"/>
  <c r="AK38"/>
  <c r="AJ38"/>
  <c r="AI38"/>
  <c r="AH38"/>
  <c r="AG38"/>
  <c r="AF38"/>
  <c r="AE38"/>
  <c r="AD38"/>
  <c r="AC38"/>
  <c r="AB38"/>
  <c r="AA38"/>
  <c r="Z38"/>
  <c r="Y38"/>
  <c r="X38"/>
  <c r="W38"/>
  <c r="V38"/>
  <c r="U38"/>
  <c r="T38"/>
  <c r="S38"/>
  <c r="R38"/>
  <c r="Q38"/>
  <c r="P38"/>
  <c r="O38"/>
  <c r="N38"/>
  <c r="M38"/>
  <c r="L38"/>
  <c r="K38"/>
  <c r="J38"/>
  <c r="A38" a="1"/>
  <c r="A38" s="1"/>
  <c r="I38" s="1"/>
  <c r="BA37"/>
  <c r="AZ37"/>
  <c r="AY37"/>
  <c r="AX37"/>
  <c r="AW37"/>
  <c r="AV37"/>
  <c r="AU37"/>
  <c r="AT37"/>
  <c r="AS37"/>
  <c r="AR37"/>
  <c r="AQ37"/>
  <c r="AP37"/>
  <c r="AO37"/>
  <c r="AN37"/>
  <c r="AM37"/>
  <c r="AL37"/>
  <c r="AK37"/>
  <c r="AJ37"/>
  <c r="AI37"/>
  <c r="AH37"/>
  <c r="AG37"/>
  <c r="AF37"/>
  <c r="AE37"/>
  <c r="AD37"/>
  <c r="AC37"/>
  <c r="AB37"/>
  <c r="AA37"/>
  <c r="Z37"/>
  <c r="Y37"/>
  <c r="X37"/>
  <c r="W37"/>
  <c r="V37"/>
  <c r="U37"/>
  <c r="T37"/>
  <c r="S37"/>
  <c r="R37"/>
  <c r="Q37"/>
  <c r="P37"/>
  <c r="O37"/>
  <c r="N37"/>
  <c r="M37"/>
  <c r="L37"/>
  <c r="K37"/>
  <c r="J37"/>
  <c r="A37" a="1"/>
  <c r="A37" s="1"/>
  <c r="I37" s="1"/>
  <c r="BA36"/>
  <c r="AZ36"/>
  <c r="AY36"/>
  <c r="AX36"/>
  <c r="AW36"/>
  <c r="AV36"/>
  <c r="AU36"/>
  <c r="AT36"/>
  <c r="AS36"/>
  <c r="AR36"/>
  <c r="AQ36"/>
  <c r="AP36"/>
  <c r="AO36"/>
  <c r="AN36"/>
  <c r="AM36"/>
  <c r="AL36"/>
  <c r="AK36"/>
  <c r="AJ36"/>
  <c r="AI36"/>
  <c r="AH36"/>
  <c r="AG36"/>
  <c r="AF36"/>
  <c r="AE36"/>
  <c r="AD36"/>
  <c r="AC36"/>
  <c r="AB36"/>
  <c r="AA36"/>
  <c r="Z36"/>
  <c r="Y36"/>
  <c r="X36"/>
  <c r="W36"/>
  <c r="V36"/>
  <c r="U36"/>
  <c r="T36"/>
  <c r="S36"/>
  <c r="R36"/>
  <c r="Q36"/>
  <c r="P36"/>
  <c r="O36"/>
  <c r="N36"/>
  <c r="M36"/>
  <c r="L36"/>
  <c r="K36"/>
  <c r="J36"/>
  <c r="A36" a="1"/>
  <c r="A36" s="1"/>
  <c r="I36" s="1"/>
  <c r="BA35"/>
  <c r="AZ35"/>
  <c r="AY35"/>
  <c r="AX35"/>
  <c r="AW35"/>
  <c r="AV35"/>
  <c r="AU35"/>
  <c r="AT35"/>
  <c r="AS35"/>
  <c r="AR35"/>
  <c r="AQ35"/>
  <c r="AP35"/>
  <c r="AO35"/>
  <c r="AN35"/>
  <c r="AM35"/>
  <c r="AL35"/>
  <c r="AK35"/>
  <c r="AJ35"/>
  <c r="AI35"/>
  <c r="AH35"/>
  <c r="AG35"/>
  <c r="AF35"/>
  <c r="AE35"/>
  <c r="AD35"/>
  <c r="AC35"/>
  <c r="AB35"/>
  <c r="AA35"/>
  <c r="Z35"/>
  <c r="Y35"/>
  <c r="X35"/>
  <c r="W35"/>
  <c r="V35"/>
  <c r="U35"/>
  <c r="T35"/>
  <c r="S35"/>
  <c r="R35"/>
  <c r="Q35"/>
  <c r="P35"/>
  <c r="O35"/>
  <c r="N35"/>
  <c r="M35"/>
  <c r="L35"/>
  <c r="K35"/>
  <c r="J35"/>
  <c r="A35" a="1"/>
  <c r="A35" s="1"/>
  <c r="I35" s="1"/>
  <c r="BA34"/>
  <c r="AZ34"/>
  <c r="AY34"/>
  <c r="AX34"/>
  <c r="AW34"/>
  <c r="AV34"/>
  <c r="AU34"/>
  <c r="AT34"/>
  <c r="AS34"/>
  <c r="AR34"/>
  <c r="AQ34"/>
  <c r="AP34"/>
  <c r="AO34"/>
  <c r="AN34"/>
  <c r="AM34"/>
  <c r="AL34"/>
  <c r="AK34"/>
  <c r="AJ34"/>
  <c r="AI34"/>
  <c r="AH34"/>
  <c r="AG34"/>
  <c r="AF34"/>
  <c r="AE34"/>
  <c r="AD34"/>
  <c r="AC34"/>
  <c r="AB34"/>
  <c r="AA34"/>
  <c r="Z34"/>
  <c r="Y34"/>
  <c r="X34"/>
  <c r="W34"/>
  <c r="V34"/>
  <c r="U34"/>
  <c r="T34"/>
  <c r="S34"/>
  <c r="R34"/>
  <c r="Q34"/>
  <c r="P34"/>
  <c r="O34"/>
  <c r="N34"/>
  <c r="M34"/>
  <c r="L34"/>
  <c r="K34"/>
  <c r="J34"/>
  <c r="A34" a="1"/>
  <c r="A34" s="1"/>
  <c r="I34" s="1"/>
  <c r="BA33"/>
  <c r="AZ33"/>
  <c r="AY33"/>
  <c r="AX33"/>
  <c r="AW33"/>
  <c r="AV33"/>
  <c r="AU33"/>
  <c r="AT33"/>
  <c r="AS33"/>
  <c r="AR33"/>
  <c r="AQ33"/>
  <c r="AP33"/>
  <c r="AO33"/>
  <c r="AN33"/>
  <c r="AM33"/>
  <c r="AL33"/>
  <c r="AK33"/>
  <c r="AJ33"/>
  <c r="AI33"/>
  <c r="AH33"/>
  <c r="AG33"/>
  <c r="AF33"/>
  <c r="AE33"/>
  <c r="AD33"/>
  <c r="AC33"/>
  <c r="AB33"/>
  <c r="AA33"/>
  <c r="Z33"/>
  <c r="Y33"/>
  <c r="X33"/>
  <c r="W33"/>
  <c r="V33"/>
  <c r="U33"/>
  <c r="T33"/>
  <c r="S33"/>
  <c r="R33"/>
  <c r="Q33"/>
  <c r="P33"/>
  <c r="O33"/>
  <c r="N33"/>
  <c r="M33"/>
  <c r="L33"/>
  <c r="K33"/>
  <c r="J33"/>
  <c r="A33" a="1"/>
  <c r="A33" s="1"/>
  <c r="I33" s="1"/>
  <c r="BA32"/>
  <c r="AZ32"/>
  <c r="AY32"/>
  <c r="AX32"/>
  <c r="AW32"/>
  <c r="AV32"/>
  <c r="AU32"/>
  <c r="AT32"/>
  <c r="AS32"/>
  <c r="AR32"/>
  <c r="AQ32"/>
  <c r="AP32"/>
  <c r="AO32"/>
  <c r="AN32"/>
  <c r="AM32"/>
  <c r="AL32"/>
  <c r="AK32"/>
  <c r="AJ32"/>
  <c r="AI32"/>
  <c r="AH32"/>
  <c r="AG32"/>
  <c r="AF32"/>
  <c r="AE32"/>
  <c r="AD32"/>
  <c r="AC32"/>
  <c r="AB32"/>
  <c r="AA32"/>
  <c r="Z32"/>
  <c r="Y32"/>
  <c r="X32"/>
  <c r="W32"/>
  <c r="V32"/>
  <c r="U32"/>
  <c r="T32"/>
  <c r="S32"/>
  <c r="R32"/>
  <c r="Q32"/>
  <c r="P32"/>
  <c r="O32"/>
  <c r="N32"/>
  <c r="M32"/>
  <c r="L32"/>
  <c r="K32"/>
  <c r="J32"/>
  <c r="A32" a="1"/>
  <c r="A32" s="1"/>
  <c r="I32" s="1"/>
  <c r="BA31"/>
  <c r="AZ31"/>
  <c r="AY31"/>
  <c r="AX31"/>
  <c r="AW31"/>
  <c r="AV31"/>
  <c r="AU31"/>
  <c r="AT31"/>
  <c r="AS31"/>
  <c r="AR31"/>
  <c r="AQ31"/>
  <c r="AP31"/>
  <c r="AO31"/>
  <c r="AN31"/>
  <c r="AM31"/>
  <c r="AL31"/>
  <c r="AK31"/>
  <c r="AJ31"/>
  <c r="AI31"/>
  <c r="AH31"/>
  <c r="AG31"/>
  <c r="AF31"/>
  <c r="AE31"/>
  <c r="AD31"/>
  <c r="AC31"/>
  <c r="AB31"/>
  <c r="AA31"/>
  <c r="Z31"/>
  <c r="Y31"/>
  <c r="X31"/>
  <c r="W31"/>
  <c r="V31"/>
  <c r="U31"/>
  <c r="T31"/>
  <c r="S31"/>
  <c r="R31"/>
  <c r="Q31"/>
  <c r="P31"/>
  <c r="O31"/>
  <c r="N31"/>
  <c r="M31"/>
  <c r="L31"/>
  <c r="K31"/>
  <c r="J31"/>
  <c r="A31" a="1"/>
  <c r="A31" s="1"/>
  <c r="I31" s="1"/>
  <c r="BA30"/>
  <c r="AZ30"/>
  <c r="AY30"/>
  <c r="AX30"/>
  <c r="AW30"/>
  <c r="AV30"/>
  <c r="AU30"/>
  <c r="AT30"/>
  <c r="AS30"/>
  <c r="AR30"/>
  <c r="AQ30"/>
  <c r="AP30"/>
  <c r="AO30"/>
  <c r="AN30"/>
  <c r="AM30"/>
  <c r="AL30"/>
  <c r="AK30"/>
  <c r="AJ30"/>
  <c r="AI30"/>
  <c r="AH30"/>
  <c r="AG30"/>
  <c r="AF30"/>
  <c r="AE30"/>
  <c r="AD30"/>
  <c r="AC30"/>
  <c r="AB30"/>
  <c r="AA30"/>
  <c r="Z30"/>
  <c r="Y30"/>
  <c r="X30"/>
  <c r="W30"/>
  <c r="V30"/>
  <c r="U30"/>
  <c r="T30"/>
  <c r="S30"/>
  <c r="R30"/>
  <c r="Q30"/>
  <c r="P30"/>
  <c r="O30"/>
  <c r="N30"/>
  <c r="M30"/>
  <c r="L30"/>
  <c r="K30"/>
  <c r="J30"/>
  <c r="A30" a="1"/>
  <c r="A30" s="1"/>
  <c r="I30" s="1"/>
  <c r="BA29"/>
  <c r="AZ29"/>
  <c r="AY29"/>
  <c r="AX29"/>
  <c r="AW29"/>
  <c r="AV29"/>
  <c r="AU29"/>
  <c r="AT29"/>
  <c r="AS29"/>
  <c r="AR29"/>
  <c r="AQ29"/>
  <c r="AP29"/>
  <c r="AO29"/>
  <c r="AN29"/>
  <c r="AM29"/>
  <c r="AL29"/>
  <c r="AK29"/>
  <c r="AJ29"/>
  <c r="AI29"/>
  <c r="AH29"/>
  <c r="AG29"/>
  <c r="AF29"/>
  <c r="AE29"/>
  <c r="AD29"/>
  <c r="AC29"/>
  <c r="AB29"/>
  <c r="AA29"/>
  <c r="Z29"/>
  <c r="Y29"/>
  <c r="X29"/>
  <c r="W29"/>
  <c r="V29"/>
  <c r="U29"/>
  <c r="T29"/>
  <c r="S29"/>
  <c r="R29"/>
  <c r="Q29"/>
  <c r="P29"/>
  <c r="O29"/>
  <c r="N29"/>
  <c r="M29"/>
  <c r="L29"/>
  <c r="K29"/>
  <c r="J29"/>
  <c r="A29" a="1"/>
  <c r="A29" s="1"/>
  <c r="I29" s="1"/>
  <c r="BA28"/>
  <c r="AZ28"/>
  <c r="AY28"/>
  <c r="AX28"/>
  <c r="AW28"/>
  <c r="AV28"/>
  <c r="AU28"/>
  <c r="AT28"/>
  <c r="AS28"/>
  <c r="AR28"/>
  <c r="AQ28"/>
  <c r="AP28"/>
  <c r="AO28"/>
  <c r="AN28"/>
  <c r="AM28"/>
  <c r="AL28"/>
  <c r="AK28"/>
  <c r="AJ28"/>
  <c r="AI28"/>
  <c r="AH28"/>
  <c r="AG28"/>
  <c r="AF28"/>
  <c r="AE28"/>
  <c r="AD28"/>
  <c r="AC28"/>
  <c r="AB28"/>
  <c r="AA28"/>
  <c r="Z28"/>
  <c r="Y28"/>
  <c r="X28"/>
  <c r="W28"/>
  <c r="V28"/>
  <c r="U28"/>
  <c r="T28"/>
  <c r="S28"/>
  <c r="R28"/>
  <c r="Q28"/>
  <c r="P28"/>
  <c r="O28"/>
  <c r="N28"/>
  <c r="M28"/>
  <c r="L28"/>
  <c r="K28"/>
  <c r="J28"/>
  <c r="A28" a="1"/>
  <c r="A28" s="1"/>
  <c r="I28" s="1"/>
  <c r="BA27"/>
  <c r="AZ27"/>
  <c r="AY27"/>
  <c r="AX27"/>
  <c r="AW27"/>
  <c r="AV27"/>
  <c r="AU27"/>
  <c r="AT27"/>
  <c r="AS27"/>
  <c r="AR27"/>
  <c r="AQ27"/>
  <c r="AP27"/>
  <c r="AO27"/>
  <c r="AN27"/>
  <c r="AM27"/>
  <c r="AL27"/>
  <c r="AK27"/>
  <c r="AJ27"/>
  <c r="AI27"/>
  <c r="AH27"/>
  <c r="AG27"/>
  <c r="AF27"/>
  <c r="AE27"/>
  <c r="AD27"/>
  <c r="AC27"/>
  <c r="AB27"/>
  <c r="AA27"/>
  <c r="Z27"/>
  <c r="Y27"/>
  <c r="X27"/>
  <c r="W27"/>
  <c r="V27"/>
  <c r="U27"/>
  <c r="T27"/>
  <c r="S27"/>
  <c r="R27"/>
  <c r="Q27"/>
  <c r="P27"/>
  <c r="O27"/>
  <c r="N27"/>
  <c r="M27"/>
  <c r="L27"/>
  <c r="K27"/>
  <c r="J27"/>
  <c r="A27" a="1"/>
  <c r="A27" s="1"/>
  <c r="I27" s="1"/>
  <c r="BA26"/>
  <c r="AZ26"/>
  <c r="AY26"/>
  <c r="AX26"/>
  <c r="AW26"/>
  <c r="AV26"/>
  <c r="AU26"/>
  <c r="AT26"/>
  <c r="AS26"/>
  <c r="AR26"/>
  <c r="AQ26"/>
  <c r="AP26"/>
  <c r="AO26"/>
  <c r="AN26"/>
  <c r="AM26"/>
  <c r="AL26"/>
  <c r="AK26"/>
  <c r="AJ26"/>
  <c r="AI26"/>
  <c r="AH26"/>
  <c r="AG26"/>
  <c r="AF26"/>
  <c r="AE26"/>
  <c r="AD26"/>
  <c r="AC26"/>
  <c r="AB26"/>
  <c r="AA26"/>
  <c r="Z26"/>
  <c r="Y26"/>
  <c r="X26"/>
  <c r="W26"/>
  <c r="V26"/>
  <c r="U26"/>
  <c r="T26"/>
  <c r="S26"/>
  <c r="R26"/>
  <c r="Q26"/>
  <c r="P26"/>
  <c r="O26"/>
  <c r="N26"/>
  <c r="M26"/>
  <c r="L26"/>
  <c r="K26"/>
  <c r="J26"/>
  <c r="A26" a="1"/>
  <c r="A26" s="1"/>
  <c r="I26" s="1"/>
  <c r="BA25"/>
  <c r="AZ25"/>
  <c r="AY25"/>
  <c r="AX25"/>
  <c r="AW25"/>
  <c r="AV25"/>
  <c r="AU25"/>
  <c r="AT25"/>
  <c r="AS25"/>
  <c r="AR25"/>
  <c r="AQ25"/>
  <c r="AP25"/>
  <c r="AO25"/>
  <c r="AN25"/>
  <c r="AM25"/>
  <c r="AL25"/>
  <c r="AK25"/>
  <c r="AJ25"/>
  <c r="AI25"/>
  <c r="AH25"/>
  <c r="AG25"/>
  <c r="AF25"/>
  <c r="AE25"/>
  <c r="AD25"/>
  <c r="AC25"/>
  <c r="AB25"/>
  <c r="AA25"/>
  <c r="Z25"/>
  <c r="Y25"/>
  <c r="X25"/>
  <c r="W25"/>
  <c r="V25"/>
  <c r="U25"/>
  <c r="T25"/>
  <c r="S25"/>
  <c r="R25"/>
  <c r="Q25"/>
  <c r="P25"/>
  <c r="O25"/>
  <c r="N25"/>
  <c r="M25"/>
  <c r="L25"/>
  <c r="K25"/>
  <c r="J25"/>
  <c r="A25" a="1"/>
  <c r="A25" s="1"/>
  <c r="I25" s="1"/>
  <c r="BA24"/>
  <c r="AZ24"/>
  <c r="AY24"/>
  <c r="AX24"/>
  <c r="AW24"/>
  <c r="AV24"/>
  <c r="AU24"/>
  <c r="AT24"/>
  <c r="AS24"/>
  <c r="AR24"/>
  <c r="AQ24"/>
  <c r="AP24"/>
  <c r="AO24"/>
  <c r="AN24"/>
  <c r="AM24"/>
  <c r="AL24"/>
  <c r="AK24"/>
  <c r="AJ24"/>
  <c r="AI24"/>
  <c r="AH24"/>
  <c r="AG24"/>
  <c r="AF24"/>
  <c r="AE24"/>
  <c r="AD24"/>
  <c r="AC24"/>
  <c r="AB24"/>
  <c r="AA24"/>
  <c r="Z24"/>
  <c r="Y24"/>
  <c r="X24"/>
  <c r="W24"/>
  <c r="V24"/>
  <c r="U24"/>
  <c r="T24"/>
  <c r="S24"/>
  <c r="R24"/>
  <c r="Q24"/>
  <c r="P24"/>
  <c r="O24"/>
  <c r="N24"/>
  <c r="M24"/>
  <c r="L24"/>
  <c r="K24"/>
  <c r="J24"/>
  <c r="A24" a="1"/>
  <c r="A24" s="1"/>
  <c r="I24" s="1"/>
  <c r="BA23"/>
  <c r="AZ23"/>
  <c r="AY23"/>
  <c r="AX23"/>
  <c r="AW23"/>
  <c r="AV23"/>
  <c r="AU23"/>
  <c r="AT23"/>
  <c r="AS23"/>
  <c r="AR23"/>
  <c r="AQ23"/>
  <c r="AP23"/>
  <c r="AO23"/>
  <c r="AN23"/>
  <c r="AM23"/>
  <c r="AL23"/>
  <c r="AK23"/>
  <c r="AJ23"/>
  <c r="AI23"/>
  <c r="AH23"/>
  <c r="AG23"/>
  <c r="AF23"/>
  <c r="AE23"/>
  <c r="AD23"/>
  <c r="AC23"/>
  <c r="AB23"/>
  <c r="AA23"/>
  <c r="Z23"/>
  <c r="Y23"/>
  <c r="X23"/>
  <c r="W23"/>
  <c r="V23"/>
  <c r="U23"/>
  <c r="T23"/>
  <c r="S23"/>
  <c r="R23"/>
  <c r="Q23"/>
  <c r="P23"/>
  <c r="O23"/>
  <c r="N23"/>
  <c r="M23"/>
  <c r="L23"/>
  <c r="K23"/>
  <c r="J23"/>
  <c r="A23" a="1"/>
  <c r="A23" s="1"/>
  <c r="I23" s="1"/>
  <c r="BA22"/>
  <c r="AZ22"/>
  <c r="AY22"/>
  <c r="AX22"/>
  <c r="AW22"/>
  <c r="AV22"/>
  <c r="AU22"/>
  <c r="AT22"/>
  <c r="AS22"/>
  <c r="AR22"/>
  <c r="AQ22"/>
  <c r="AP22"/>
  <c r="AO22"/>
  <c r="AN22"/>
  <c r="AM22"/>
  <c r="AL22"/>
  <c r="AK22"/>
  <c r="AJ22"/>
  <c r="AI22"/>
  <c r="AH22"/>
  <c r="AG22"/>
  <c r="AF22"/>
  <c r="AE22"/>
  <c r="AD22"/>
  <c r="AC22"/>
  <c r="AB22"/>
  <c r="AA22"/>
  <c r="Z22"/>
  <c r="Y22"/>
  <c r="X22"/>
  <c r="W22"/>
  <c r="V22"/>
  <c r="U22"/>
  <c r="T22"/>
  <c r="S22"/>
  <c r="R22"/>
  <c r="Q22"/>
  <c r="P22"/>
  <c r="O22"/>
  <c r="N22"/>
  <c r="M22"/>
  <c r="L22"/>
  <c r="K22"/>
  <c r="J22"/>
  <c r="A22" a="1"/>
  <c r="A22" s="1"/>
  <c r="I22" s="1"/>
  <c r="BA21"/>
  <c r="AZ21"/>
  <c r="AY21"/>
  <c r="AX21"/>
  <c r="AW21"/>
  <c r="AV21"/>
  <c r="AU21"/>
  <c r="AT21"/>
  <c r="AS21"/>
  <c r="AR21"/>
  <c r="AQ21"/>
  <c r="AP21"/>
  <c r="AO21"/>
  <c r="AN21"/>
  <c r="AM21"/>
  <c r="AL21"/>
  <c r="AK21"/>
  <c r="AJ21"/>
  <c r="AI21"/>
  <c r="AH21"/>
  <c r="AG21"/>
  <c r="AF21"/>
  <c r="AE21"/>
  <c r="AD21"/>
  <c r="AC21"/>
  <c r="AB21"/>
  <c r="AA21"/>
  <c r="Z21"/>
  <c r="Y21"/>
  <c r="X21"/>
  <c r="W21"/>
  <c r="V21"/>
  <c r="U21"/>
  <c r="T21"/>
  <c r="S21"/>
  <c r="R21"/>
  <c r="Q21"/>
  <c r="P21"/>
  <c r="O21"/>
  <c r="N21"/>
  <c r="M21"/>
  <c r="L21"/>
  <c r="K21"/>
  <c r="J21"/>
  <c r="A21" a="1"/>
  <c r="A21" s="1"/>
  <c r="I21" s="1"/>
  <c r="BA20"/>
  <c r="AZ20"/>
  <c r="AY20"/>
  <c r="AX20"/>
  <c r="AW20"/>
  <c r="AV20"/>
  <c r="AU20"/>
  <c r="AT20"/>
  <c r="AS20"/>
  <c r="AR20"/>
  <c r="AQ20"/>
  <c r="AP20"/>
  <c r="AO20"/>
  <c r="AN20"/>
  <c r="AM20"/>
  <c r="AL20"/>
  <c r="AK20"/>
  <c r="AJ20"/>
  <c r="AI20"/>
  <c r="AH20"/>
  <c r="AG20"/>
  <c r="AF20"/>
  <c r="AE20"/>
  <c r="AD20"/>
  <c r="AC20"/>
  <c r="AB20"/>
  <c r="AA20"/>
  <c r="Z20"/>
  <c r="Y20"/>
  <c r="X20"/>
  <c r="W20"/>
  <c r="V20"/>
  <c r="U20"/>
  <c r="T20"/>
  <c r="S20"/>
  <c r="R20"/>
  <c r="Q20"/>
  <c r="P20"/>
  <c r="O20"/>
  <c r="N20"/>
  <c r="M20"/>
  <c r="L20"/>
  <c r="K20"/>
  <c r="J20"/>
  <c r="A20" a="1"/>
  <c r="A20" s="1"/>
  <c r="I20" s="1"/>
  <c r="BA19"/>
  <c r="AZ19"/>
  <c r="AY19"/>
  <c r="AX19"/>
  <c r="AW19"/>
  <c r="AV19"/>
  <c r="AU19"/>
  <c r="AT19"/>
  <c r="AS19"/>
  <c r="AR19"/>
  <c r="AQ19"/>
  <c r="AP19"/>
  <c r="AO19"/>
  <c r="AN19"/>
  <c r="AM19"/>
  <c r="AL19"/>
  <c r="AK19"/>
  <c r="AJ19"/>
  <c r="AI19"/>
  <c r="AH19"/>
  <c r="AG19"/>
  <c r="AF19"/>
  <c r="AE19"/>
  <c r="AD19"/>
  <c r="AC19"/>
  <c r="AB19"/>
  <c r="AA19"/>
  <c r="Z19"/>
  <c r="Y19"/>
  <c r="X19"/>
  <c r="W19"/>
  <c r="V19"/>
  <c r="U19"/>
  <c r="T19"/>
  <c r="S19"/>
  <c r="R19"/>
  <c r="Q19"/>
  <c r="P19"/>
  <c r="O19"/>
  <c r="N19"/>
  <c r="M19"/>
  <c r="L19"/>
  <c r="K19"/>
  <c r="J19"/>
  <c r="A19" a="1"/>
  <c r="A19" s="1"/>
  <c r="I19" s="1"/>
  <c r="BA18"/>
  <c r="AZ18"/>
  <c r="AY18"/>
  <c r="AX18"/>
  <c r="AW18"/>
  <c r="AV18"/>
  <c r="AU18"/>
  <c r="AT18"/>
  <c r="AS18"/>
  <c r="AR18"/>
  <c r="AQ18"/>
  <c r="AP18"/>
  <c r="AO18"/>
  <c r="AN18"/>
  <c r="AM18"/>
  <c r="AL18"/>
  <c r="AK18"/>
  <c r="AJ18"/>
  <c r="AI18"/>
  <c r="AH18"/>
  <c r="AG18"/>
  <c r="AF18"/>
  <c r="AE18"/>
  <c r="AD18"/>
  <c r="AC18"/>
  <c r="AB18"/>
  <c r="AA18"/>
  <c r="Z18"/>
  <c r="Y18"/>
  <c r="X18"/>
  <c r="W18"/>
  <c r="V18"/>
  <c r="U18"/>
  <c r="T18"/>
  <c r="S18"/>
  <c r="R18"/>
  <c r="Q18"/>
  <c r="P18"/>
  <c r="O18"/>
  <c r="N18"/>
  <c r="M18"/>
  <c r="L18"/>
  <c r="K18"/>
  <c r="J18"/>
  <c r="A18" a="1"/>
  <c r="A18" s="1"/>
  <c r="I18" s="1"/>
  <c r="BA17"/>
  <c r="AZ17"/>
  <c r="AY17"/>
  <c r="AX17"/>
  <c r="AW17"/>
  <c r="AV17"/>
  <c r="AU17"/>
  <c r="AT17"/>
  <c r="AS17"/>
  <c r="AR17"/>
  <c r="AQ17"/>
  <c r="AP17"/>
  <c r="AO17"/>
  <c r="AN17"/>
  <c r="AM17"/>
  <c r="AL17"/>
  <c r="AK17"/>
  <c r="AJ17"/>
  <c r="AI17"/>
  <c r="AH17"/>
  <c r="AG17"/>
  <c r="AF17"/>
  <c r="AE17"/>
  <c r="AD17"/>
  <c r="AC17"/>
  <c r="AB17"/>
  <c r="AA17"/>
  <c r="Z17"/>
  <c r="Y17"/>
  <c r="X17"/>
  <c r="W17"/>
  <c r="V17"/>
  <c r="U17"/>
  <c r="T17"/>
  <c r="S17"/>
  <c r="R17"/>
  <c r="Q17"/>
  <c r="P17"/>
  <c r="O17"/>
  <c r="N17"/>
  <c r="M17"/>
  <c r="L17"/>
  <c r="K17"/>
  <c r="J17"/>
  <c r="A17" a="1"/>
  <c r="A17" s="1"/>
  <c r="I17" s="1"/>
  <c r="BA16"/>
  <c r="AZ16"/>
  <c r="AY16"/>
  <c r="AX16"/>
  <c r="AW16"/>
  <c r="AV16"/>
  <c r="AU16"/>
  <c r="AT16"/>
  <c r="AS16"/>
  <c r="AR16"/>
  <c r="AQ16"/>
  <c r="AP16"/>
  <c r="AO16"/>
  <c r="AN16"/>
  <c r="AM16"/>
  <c r="AL16"/>
  <c r="AK16"/>
  <c r="AJ16"/>
  <c r="AI16"/>
  <c r="AH16"/>
  <c r="AG16"/>
  <c r="AF16"/>
  <c r="AE16"/>
  <c r="AD16"/>
  <c r="AC16"/>
  <c r="AB16"/>
  <c r="AA16"/>
  <c r="Z16"/>
  <c r="Y16"/>
  <c r="X16"/>
  <c r="W16"/>
  <c r="V16"/>
  <c r="U16"/>
  <c r="T16"/>
  <c r="S16"/>
  <c r="R16"/>
  <c r="Q16"/>
  <c r="P16"/>
  <c r="O16"/>
  <c r="N16"/>
  <c r="M16"/>
  <c r="L16"/>
  <c r="K16"/>
  <c r="J16"/>
  <c r="A16" a="1"/>
  <c r="A16" s="1"/>
  <c r="I16" s="1"/>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A15" a="1"/>
  <c r="A15" s="1"/>
  <c r="I15" s="1"/>
  <c r="BA14"/>
  <c r="AZ14"/>
  <c r="AY14"/>
  <c r="AX14"/>
  <c r="AW14"/>
  <c r="AV14"/>
  <c r="AU14"/>
  <c r="AT14"/>
  <c r="AS14"/>
  <c r="AR14"/>
  <c r="AQ14"/>
  <c r="AP14"/>
  <c r="AO14"/>
  <c r="AN14"/>
  <c r="AM14"/>
  <c r="AL14"/>
  <c r="AK14"/>
  <c r="AJ14"/>
  <c r="AI14"/>
  <c r="AH14"/>
  <c r="AG14"/>
  <c r="AF14"/>
  <c r="AE14"/>
  <c r="AD14"/>
  <c r="AC14"/>
  <c r="AB14"/>
  <c r="AA14"/>
  <c r="Z14"/>
  <c r="Y14"/>
  <c r="X14"/>
  <c r="W14"/>
  <c r="V14"/>
  <c r="U14"/>
  <c r="T14"/>
  <c r="S14"/>
  <c r="R14"/>
  <c r="Q14"/>
  <c r="P14"/>
  <c r="O14"/>
  <c r="N14"/>
  <c r="M14"/>
  <c r="L14"/>
  <c r="K14"/>
  <c r="J14"/>
  <c r="A14" a="1"/>
  <c r="A14" s="1"/>
  <c r="I14" s="1"/>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A13" a="1"/>
  <c r="A13" s="1"/>
  <c r="I13" s="1"/>
  <c r="BA12"/>
  <c r="AZ12"/>
  <c r="AY12"/>
  <c r="AX12"/>
  <c r="AW12"/>
  <c r="AV12"/>
  <c r="AU12"/>
  <c r="AT12"/>
  <c r="AS12"/>
  <c r="AR12"/>
  <c r="AQ12"/>
  <c r="AP12"/>
  <c r="AO12"/>
  <c r="AN12"/>
  <c r="AM12"/>
  <c r="AL12"/>
  <c r="AK12"/>
  <c r="AJ12"/>
  <c r="AI12"/>
  <c r="AH12"/>
  <c r="AG12"/>
  <c r="AF12"/>
  <c r="AE12"/>
  <c r="AD12"/>
  <c r="AC12"/>
  <c r="AB12"/>
  <c r="AA12"/>
  <c r="Z12"/>
  <c r="Y12"/>
  <c r="X12"/>
  <c r="W12"/>
  <c r="V12"/>
  <c r="U12"/>
  <c r="T12"/>
  <c r="S12"/>
  <c r="R12"/>
  <c r="Q12"/>
  <c r="P12"/>
  <c r="O12"/>
  <c r="N12"/>
  <c r="M12"/>
  <c r="L12"/>
  <c r="K12"/>
  <c r="J12"/>
  <c r="A12" a="1"/>
  <c r="A12" s="1"/>
  <c r="I12" s="1"/>
  <c r="A10" a="1"/>
  <c r="A10" s="1"/>
  <c r="AZ162" i="49"/>
  <c r="BA154"/>
  <c r="AZ154"/>
  <c r="AY154"/>
  <c r="AX154"/>
  <c r="AW154"/>
  <c r="AV154"/>
  <c r="AU154"/>
  <c r="AT154"/>
  <c r="AS154"/>
  <c r="AR154"/>
  <c r="AQ154"/>
  <c r="AP154"/>
  <c r="AO154"/>
  <c r="AN154"/>
  <c r="AM154"/>
  <c r="AL154"/>
  <c r="AK154"/>
  <c r="AJ154"/>
  <c r="AI154"/>
  <c r="AH154"/>
  <c r="AG154"/>
  <c r="AF154"/>
  <c r="AE154"/>
  <c r="AD154"/>
  <c r="AC154"/>
  <c r="AB154"/>
  <c r="AA154"/>
  <c r="Z154"/>
  <c r="Y154"/>
  <c r="X154"/>
  <c r="W154"/>
  <c r="V154"/>
  <c r="U154"/>
  <c r="T154"/>
  <c r="S154"/>
  <c r="R154"/>
  <c r="Q154"/>
  <c r="P154"/>
  <c r="O154"/>
  <c r="N154"/>
  <c r="M154"/>
  <c r="L154"/>
  <c r="K154"/>
  <c r="J154"/>
  <c r="A154" a="1"/>
  <c r="A154" s="1"/>
  <c r="I154" s="1"/>
  <c r="BA153"/>
  <c r="AY153"/>
  <c r="AX153"/>
  <c r="AV153"/>
  <c r="AU153"/>
  <c r="AT153"/>
  <c r="AS153"/>
  <c r="AR153"/>
  <c r="AQ153"/>
  <c r="AP153"/>
  <c r="AO153"/>
  <c r="AN153"/>
  <c r="AM153"/>
  <c r="AL153"/>
  <c r="AK153"/>
  <c r="AJ153"/>
  <c r="AI153"/>
  <c r="AH153"/>
  <c r="AG153"/>
  <c r="AF153"/>
  <c r="AE153"/>
  <c r="AD153"/>
  <c r="AC153"/>
  <c r="AB153"/>
  <c r="AA153"/>
  <c r="Z153"/>
  <c r="Y153"/>
  <c r="X153"/>
  <c r="W153"/>
  <c r="V153"/>
  <c r="U153"/>
  <c r="T153"/>
  <c r="S153"/>
  <c r="R153"/>
  <c r="Q153"/>
  <c r="P153"/>
  <c r="O153"/>
  <c r="N153"/>
  <c r="M153"/>
  <c r="L153"/>
  <c r="K153"/>
  <c r="J153"/>
  <c r="D153"/>
  <c r="AZ152"/>
  <c r="AY152"/>
  <c r="AX152"/>
  <c r="AW152"/>
  <c r="AV152"/>
  <c r="AU152"/>
  <c r="AS152"/>
  <c r="AR152"/>
  <c r="AQ152"/>
  <c r="AP152"/>
  <c r="AO152"/>
  <c r="AN152"/>
  <c r="AM152"/>
  <c r="AL152"/>
  <c r="AK152"/>
  <c r="AJ152"/>
  <c r="AI152"/>
  <c r="AH152"/>
  <c r="AG152"/>
  <c r="AF152"/>
  <c r="AE152"/>
  <c r="AD152"/>
  <c r="AC152"/>
  <c r="AB152"/>
  <c r="AA152"/>
  <c r="Z152"/>
  <c r="Y152"/>
  <c r="X152"/>
  <c r="W152"/>
  <c r="V152"/>
  <c r="U152"/>
  <c r="T152"/>
  <c r="S152"/>
  <c r="R152"/>
  <c r="Q152"/>
  <c r="P152"/>
  <c r="O152"/>
  <c r="N152"/>
  <c r="M152"/>
  <c r="L152"/>
  <c r="K152"/>
  <c r="J152"/>
  <c r="D152"/>
  <c r="AZ151"/>
  <c r="AY151"/>
  <c r="AX151"/>
  <c r="AW151"/>
  <c r="AV151"/>
  <c r="AU151"/>
  <c r="AT151"/>
  <c r="AS151"/>
  <c r="AR151"/>
  <c r="AQ151"/>
  <c r="AP151"/>
  <c r="AO151"/>
  <c r="AM151"/>
  <c r="AL151"/>
  <c r="AK151"/>
  <c r="AJ151"/>
  <c r="AI151"/>
  <c r="AH151"/>
  <c r="AG151"/>
  <c r="AF151"/>
  <c r="AE151"/>
  <c r="AD151"/>
  <c r="AC151"/>
  <c r="AB151"/>
  <c r="AA151"/>
  <c r="Z151"/>
  <c r="Y151"/>
  <c r="X151"/>
  <c r="W151"/>
  <c r="V151"/>
  <c r="U151"/>
  <c r="T151"/>
  <c r="S151"/>
  <c r="R151"/>
  <c r="Q151"/>
  <c r="P151"/>
  <c r="O151"/>
  <c r="N151"/>
  <c r="M151"/>
  <c r="L151"/>
  <c r="K151"/>
  <c r="J151"/>
  <c r="D151"/>
  <c r="BA150"/>
  <c r="AZ150"/>
  <c r="AY150"/>
  <c r="AX150"/>
  <c r="AW150"/>
  <c r="AV150"/>
  <c r="AU150"/>
  <c r="AT150"/>
  <c r="AS150"/>
  <c r="AR150"/>
  <c r="AQ150"/>
  <c r="AP150"/>
  <c r="AO150"/>
  <c r="AN150"/>
  <c r="AM150"/>
  <c r="AL150"/>
  <c r="AK150"/>
  <c r="AJ150"/>
  <c r="AI150"/>
  <c r="AH150"/>
  <c r="AG150"/>
  <c r="AF150"/>
  <c r="AE150"/>
  <c r="AD150"/>
  <c r="AC150"/>
  <c r="AB150"/>
  <c r="AA150"/>
  <c r="Z150"/>
  <c r="Y150"/>
  <c r="X150"/>
  <c r="W150"/>
  <c r="V150"/>
  <c r="U150"/>
  <c r="T150"/>
  <c r="S150"/>
  <c r="R150"/>
  <c r="Q150"/>
  <c r="P150"/>
  <c r="O150"/>
  <c r="N150"/>
  <c r="M150"/>
  <c r="L150"/>
  <c r="K150"/>
  <c r="J150"/>
  <c r="D150"/>
  <c r="BA149"/>
  <c r="AY149"/>
  <c r="AX149"/>
  <c r="AW149"/>
  <c r="AV149"/>
  <c r="AU149"/>
  <c r="AT149"/>
  <c r="AR149"/>
  <c r="AQ149"/>
  <c r="AP149"/>
  <c r="AO149"/>
  <c r="AN149"/>
  <c r="AM149"/>
  <c r="AL149"/>
  <c r="AK149"/>
  <c r="AJ149"/>
  <c r="AI149"/>
  <c r="AH149"/>
  <c r="AG149"/>
  <c r="AF149"/>
  <c r="AE149"/>
  <c r="AD149"/>
  <c r="AC149"/>
  <c r="AB149"/>
  <c r="AA149"/>
  <c r="Z149"/>
  <c r="Y149"/>
  <c r="X149"/>
  <c r="W149"/>
  <c r="V149"/>
  <c r="U149"/>
  <c r="T149"/>
  <c r="S149"/>
  <c r="R149"/>
  <c r="Q149"/>
  <c r="P149"/>
  <c r="O149"/>
  <c r="N149"/>
  <c r="M149"/>
  <c r="L149"/>
  <c r="K149"/>
  <c r="J149"/>
  <c r="D149"/>
  <c r="BA148"/>
  <c r="AZ148"/>
  <c r="AY148"/>
  <c r="AX148"/>
  <c r="AW148"/>
  <c r="AV148"/>
  <c r="AU148"/>
  <c r="AT148"/>
  <c r="AS148"/>
  <c r="AR148"/>
  <c r="AP148"/>
  <c r="AO148"/>
  <c r="AN148"/>
  <c r="AM148"/>
  <c r="AL148"/>
  <c r="AK148"/>
  <c r="AJ148"/>
  <c r="AI148"/>
  <c r="AH148"/>
  <c r="AG148"/>
  <c r="AF148"/>
  <c r="AE148"/>
  <c r="AD148"/>
  <c r="AC148"/>
  <c r="AB148"/>
  <c r="AA148"/>
  <c r="Z148"/>
  <c r="Y148"/>
  <c r="X148"/>
  <c r="W148"/>
  <c r="V148"/>
  <c r="U148"/>
  <c r="S148"/>
  <c r="R148"/>
  <c r="Q148"/>
  <c r="P148"/>
  <c r="O148"/>
  <c r="N148"/>
  <c r="M148"/>
  <c r="L148"/>
  <c r="K148"/>
  <c r="J148"/>
  <c r="D148"/>
  <c r="BA147"/>
  <c r="AZ147"/>
  <c r="AY147"/>
  <c r="AX147"/>
  <c r="AW147"/>
  <c r="AV147"/>
  <c r="AU147"/>
  <c r="AT147"/>
  <c r="AS147"/>
  <c r="AR147"/>
  <c r="AQ147"/>
  <c r="AP147"/>
  <c r="AO147"/>
  <c r="AN147"/>
  <c r="AM147"/>
  <c r="AL147"/>
  <c r="AK147"/>
  <c r="AJ147"/>
  <c r="AI147"/>
  <c r="AH147"/>
  <c r="AG147"/>
  <c r="AF147"/>
  <c r="AE147"/>
  <c r="AD147"/>
  <c r="AC147"/>
  <c r="AB147"/>
  <c r="AA147"/>
  <c r="Z147"/>
  <c r="Y147"/>
  <c r="X147"/>
  <c r="W147"/>
  <c r="V147"/>
  <c r="U147"/>
  <c r="T147"/>
  <c r="S147"/>
  <c r="R147"/>
  <c r="Q147"/>
  <c r="P147"/>
  <c r="O147"/>
  <c r="N147"/>
  <c r="M147"/>
  <c r="L147"/>
  <c r="K147"/>
  <c r="J147"/>
  <c r="A147" a="1"/>
  <c r="A147" s="1"/>
  <c r="I147" s="1"/>
  <c r="BA146"/>
  <c r="AZ146"/>
  <c r="AY146"/>
  <c r="AX146"/>
  <c r="AW146"/>
  <c r="AV146"/>
  <c r="AU146"/>
  <c r="AT146"/>
  <c r="AS146"/>
  <c r="AR146"/>
  <c r="AQ146"/>
  <c r="AP146"/>
  <c r="AO146"/>
  <c r="AN146"/>
  <c r="AM146"/>
  <c r="AL146"/>
  <c r="AK146"/>
  <c r="AJ146"/>
  <c r="AI146"/>
  <c r="AH146"/>
  <c r="AG146"/>
  <c r="AF146"/>
  <c r="AE146"/>
  <c r="AD146"/>
  <c r="AC146"/>
  <c r="AB146"/>
  <c r="AA146"/>
  <c r="Z146"/>
  <c r="Y146"/>
  <c r="X146"/>
  <c r="W146"/>
  <c r="V146"/>
  <c r="U146"/>
  <c r="T146"/>
  <c r="S146"/>
  <c r="R146"/>
  <c r="Q146"/>
  <c r="P146"/>
  <c r="O146"/>
  <c r="N146"/>
  <c r="M146"/>
  <c r="L146"/>
  <c r="K146"/>
  <c r="J146"/>
  <c r="A146" a="1"/>
  <c r="A146" s="1"/>
  <c r="I146" s="1"/>
  <c r="BA145"/>
  <c r="AZ145"/>
  <c r="AY145"/>
  <c r="AX145"/>
  <c r="AW145"/>
  <c r="AV145"/>
  <c r="AU145"/>
  <c r="AT145"/>
  <c r="AS145"/>
  <c r="AR145"/>
  <c r="AQ145"/>
  <c r="AP145"/>
  <c r="AO145"/>
  <c r="AN145"/>
  <c r="AM145"/>
  <c r="AL145"/>
  <c r="AK145"/>
  <c r="AJ145"/>
  <c r="AI145"/>
  <c r="AH145"/>
  <c r="AG145"/>
  <c r="AF145"/>
  <c r="AE145"/>
  <c r="AD145"/>
  <c r="AC145"/>
  <c r="AB145"/>
  <c r="AA145"/>
  <c r="Z145"/>
  <c r="Y145"/>
  <c r="X145"/>
  <c r="W145"/>
  <c r="V145"/>
  <c r="U145"/>
  <c r="T145"/>
  <c r="S145"/>
  <c r="R145"/>
  <c r="Q145"/>
  <c r="P145"/>
  <c r="O145"/>
  <c r="N145"/>
  <c r="M145"/>
  <c r="L145"/>
  <c r="K145"/>
  <c r="J145"/>
  <c r="A145" a="1"/>
  <c r="A145" s="1"/>
  <c r="I145" s="1"/>
  <c r="BA144"/>
  <c r="AZ144"/>
  <c r="AY144"/>
  <c r="AX144"/>
  <c r="AW144"/>
  <c r="AV144"/>
  <c r="AU144"/>
  <c r="AT144"/>
  <c r="AS144"/>
  <c r="AR144"/>
  <c r="AQ144"/>
  <c r="AP144"/>
  <c r="AO144"/>
  <c r="AN144"/>
  <c r="AM144"/>
  <c r="AL144"/>
  <c r="AK144"/>
  <c r="AJ144"/>
  <c r="AI144"/>
  <c r="AH144"/>
  <c r="AG144"/>
  <c r="AF144"/>
  <c r="AE144"/>
  <c r="AD144"/>
  <c r="AC144"/>
  <c r="AB144"/>
  <c r="AA144"/>
  <c r="Z144"/>
  <c r="Y144"/>
  <c r="X144"/>
  <c r="W144"/>
  <c r="V144"/>
  <c r="U144"/>
  <c r="T144"/>
  <c r="S144"/>
  <c r="R144"/>
  <c r="Q144"/>
  <c r="P144"/>
  <c r="O144"/>
  <c r="N144"/>
  <c r="M144"/>
  <c r="L144"/>
  <c r="K144"/>
  <c r="J144"/>
  <c r="A144" a="1"/>
  <c r="A144" s="1"/>
  <c r="I144" s="1"/>
  <c r="BA143"/>
  <c r="AZ143"/>
  <c r="AY143"/>
  <c r="AX143"/>
  <c r="AW143"/>
  <c r="AV143"/>
  <c r="AU143"/>
  <c r="AT143"/>
  <c r="AS143"/>
  <c r="AR143"/>
  <c r="AQ143"/>
  <c r="AP143"/>
  <c r="AO143"/>
  <c r="AN143"/>
  <c r="AM143"/>
  <c r="AL143"/>
  <c r="AK143"/>
  <c r="AJ143"/>
  <c r="AI143"/>
  <c r="AH143"/>
  <c r="AG143"/>
  <c r="AF143"/>
  <c r="AE143"/>
  <c r="AD143"/>
  <c r="AC143"/>
  <c r="AB143"/>
  <c r="AA143"/>
  <c r="Z143"/>
  <c r="Y143"/>
  <c r="X143"/>
  <c r="W143"/>
  <c r="V143"/>
  <c r="U143"/>
  <c r="T143"/>
  <c r="S143"/>
  <c r="R143"/>
  <c r="Q143"/>
  <c r="P143"/>
  <c r="O143"/>
  <c r="N143"/>
  <c r="M143"/>
  <c r="L143"/>
  <c r="K143"/>
  <c r="J143"/>
  <c r="A143" a="1"/>
  <c r="A143" s="1"/>
  <c r="I143" s="1"/>
  <c r="BA142"/>
  <c r="AZ142"/>
  <c r="AY142"/>
  <c r="AX142"/>
  <c r="AW142"/>
  <c r="AV142"/>
  <c r="AU142"/>
  <c r="AT142"/>
  <c r="AS142"/>
  <c r="AR142"/>
  <c r="AQ142"/>
  <c r="AP142"/>
  <c r="AO142"/>
  <c r="AN142"/>
  <c r="AM142"/>
  <c r="AL142"/>
  <c r="AK142"/>
  <c r="AJ142"/>
  <c r="AI142"/>
  <c r="AH142"/>
  <c r="AG142"/>
  <c r="AF142"/>
  <c r="AE142"/>
  <c r="AD142"/>
  <c r="AC142"/>
  <c r="AB142"/>
  <c r="AA142"/>
  <c r="Z142"/>
  <c r="Y142"/>
  <c r="X142"/>
  <c r="W142"/>
  <c r="V142"/>
  <c r="U142"/>
  <c r="T142"/>
  <c r="S142"/>
  <c r="R142"/>
  <c r="Q142"/>
  <c r="P142"/>
  <c r="O142"/>
  <c r="N142"/>
  <c r="M142"/>
  <c r="L142"/>
  <c r="K142"/>
  <c r="J142"/>
  <c r="A142" a="1"/>
  <c r="A142" s="1"/>
  <c r="I142" s="1"/>
  <c r="BA141"/>
  <c r="AZ141"/>
  <c r="AY141"/>
  <c r="AX141"/>
  <c r="AW141"/>
  <c r="AV141"/>
  <c r="AU141"/>
  <c r="AT141"/>
  <c r="AS141"/>
  <c r="AR141"/>
  <c r="AQ141"/>
  <c r="AP141"/>
  <c r="AO141"/>
  <c r="AN141"/>
  <c r="AM141"/>
  <c r="AL141"/>
  <c r="AK141"/>
  <c r="AJ141"/>
  <c r="AI141"/>
  <c r="AH141"/>
  <c r="AG141"/>
  <c r="AF141"/>
  <c r="AE141"/>
  <c r="AD141"/>
  <c r="AC141"/>
  <c r="AB141"/>
  <c r="AA141"/>
  <c r="Z141"/>
  <c r="Y141"/>
  <c r="X141"/>
  <c r="W141"/>
  <c r="V141"/>
  <c r="U141"/>
  <c r="T141"/>
  <c r="S141"/>
  <c r="R141"/>
  <c r="Q141"/>
  <c r="P141"/>
  <c r="O141"/>
  <c r="N141"/>
  <c r="M141"/>
  <c r="L141"/>
  <c r="K141"/>
  <c r="J141"/>
  <c r="A141" a="1"/>
  <c r="A141" s="1"/>
  <c r="I141" s="1"/>
  <c r="BA140"/>
  <c r="AZ140"/>
  <c r="AY140"/>
  <c r="AX140"/>
  <c r="AW140"/>
  <c r="AV140"/>
  <c r="AU140"/>
  <c r="AT140"/>
  <c r="AS140"/>
  <c r="AR140"/>
  <c r="AQ140"/>
  <c r="AP140"/>
  <c r="AO140"/>
  <c r="AN140"/>
  <c r="AM140"/>
  <c r="AL140"/>
  <c r="AK140"/>
  <c r="AJ140"/>
  <c r="AI140"/>
  <c r="AH140"/>
  <c r="AG140"/>
  <c r="AF140"/>
  <c r="AE140"/>
  <c r="AD140"/>
  <c r="AC140"/>
  <c r="AB140"/>
  <c r="AA140"/>
  <c r="Z140"/>
  <c r="Y140"/>
  <c r="X140"/>
  <c r="W140"/>
  <c r="V140"/>
  <c r="U140"/>
  <c r="T140"/>
  <c r="S140"/>
  <c r="R140"/>
  <c r="Q140"/>
  <c r="P140"/>
  <c r="O140"/>
  <c r="N140"/>
  <c r="M140"/>
  <c r="L140"/>
  <c r="K140"/>
  <c r="J140"/>
  <c r="A140" a="1"/>
  <c r="A140" s="1"/>
  <c r="I140" s="1"/>
  <c r="BA139"/>
  <c r="AZ139"/>
  <c r="AY139"/>
  <c r="AX139"/>
  <c r="AW139"/>
  <c r="AV139"/>
  <c r="AU139"/>
  <c r="AT139"/>
  <c r="AS139"/>
  <c r="AR139"/>
  <c r="AQ139"/>
  <c r="AP139"/>
  <c r="AO139"/>
  <c r="AN139"/>
  <c r="AM139"/>
  <c r="AL139"/>
  <c r="AK139"/>
  <c r="AJ139"/>
  <c r="AI139"/>
  <c r="AH139"/>
  <c r="AG139"/>
  <c r="AF139"/>
  <c r="AE139"/>
  <c r="AD139"/>
  <c r="AC139"/>
  <c r="AB139"/>
  <c r="AA139"/>
  <c r="Z139"/>
  <c r="Y139"/>
  <c r="X139"/>
  <c r="W139"/>
  <c r="V139"/>
  <c r="U139"/>
  <c r="T139"/>
  <c r="S139"/>
  <c r="R139"/>
  <c r="Q139"/>
  <c r="P139"/>
  <c r="O139"/>
  <c r="N139"/>
  <c r="M139"/>
  <c r="L139"/>
  <c r="K139"/>
  <c r="J139"/>
  <c r="A139" a="1"/>
  <c r="A139" s="1"/>
  <c r="I139" s="1"/>
  <c r="BA138"/>
  <c r="AZ138"/>
  <c r="AY138"/>
  <c r="AX138"/>
  <c r="AW138"/>
  <c r="AV138"/>
  <c r="AU138"/>
  <c r="AT138"/>
  <c r="AS138"/>
  <c r="AR138"/>
  <c r="AQ138"/>
  <c r="AP138"/>
  <c r="AO138"/>
  <c r="AN138"/>
  <c r="AM138"/>
  <c r="AL138"/>
  <c r="AK138"/>
  <c r="AJ138"/>
  <c r="AI138"/>
  <c r="AH138"/>
  <c r="AG138"/>
  <c r="AF138"/>
  <c r="AE138"/>
  <c r="AD138"/>
  <c r="AC138"/>
  <c r="AB138"/>
  <c r="AA138"/>
  <c r="Z138"/>
  <c r="Y138"/>
  <c r="X138"/>
  <c r="W138"/>
  <c r="V138"/>
  <c r="U138"/>
  <c r="T138"/>
  <c r="S138"/>
  <c r="R138"/>
  <c r="Q138"/>
  <c r="P138"/>
  <c r="O138"/>
  <c r="N138"/>
  <c r="M138"/>
  <c r="L138"/>
  <c r="K138"/>
  <c r="J138"/>
  <c r="A138" a="1"/>
  <c r="A138" s="1"/>
  <c r="I138" s="1"/>
  <c r="BA137"/>
  <c r="AZ137"/>
  <c r="AY137"/>
  <c r="AX137"/>
  <c r="AW137"/>
  <c r="AV137"/>
  <c r="AU137"/>
  <c r="AT137"/>
  <c r="AS137"/>
  <c r="AR137"/>
  <c r="AQ137"/>
  <c r="AP137"/>
  <c r="AO137"/>
  <c r="AN137"/>
  <c r="AM137"/>
  <c r="AL137"/>
  <c r="AK137"/>
  <c r="AJ137"/>
  <c r="AI137"/>
  <c r="AH137"/>
  <c r="AG137"/>
  <c r="AF137"/>
  <c r="AE137"/>
  <c r="AD137"/>
  <c r="AC137"/>
  <c r="AB137"/>
  <c r="AA137"/>
  <c r="Z137"/>
  <c r="Y137"/>
  <c r="X137"/>
  <c r="W137"/>
  <c r="V137"/>
  <c r="U137"/>
  <c r="T137"/>
  <c r="S137"/>
  <c r="R137"/>
  <c r="Q137"/>
  <c r="P137"/>
  <c r="O137"/>
  <c r="N137"/>
  <c r="M137"/>
  <c r="L137"/>
  <c r="K137"/>
  <c r="J137"/>
  <c r="A137" a="1"/>
  <c r="A137" s="1"/>
  <c r="I137" s="1"/>
  <c r="BA136"/>
  <c r="AZ136"/>
  <c r="AY136"/>
  <c r="AX136"/>
  <c r="AW136"/>
  <c r="AV136"/>
  <c r="AU136"/>
  <c r="AT136"/>
  <c r="AS136"/>
  <c r="AR136"/>
  <c r="AQ136"/>
  <c r="AP136"/>
  <c r="AO136"/>
  <c r="AN136"/>
  <c r="AM136"/>
  <c r="AL136"/>
  <c r="AK136"/>
  <c r="AJ136"/>
  <c r="AI136"/>
  <c r="AH136"/>
  <c r="AG136"/>
  <c r="AF136"/>
  <c r="AE136"/>
  <c r="AD136"/>
  <c r="AC136"/>
  <c r="AB136"/>
  <c r="AA136"/>
  <c r="Z136"/>
  <c r="Y136"/>
  <c r="X136"/>
  <c r="W136"/>
  <c r="V136"/>
  <c r="U136"/>
  <c r="T136"/>
  <c r="S136"/>
  <c r="R136"/>
  <c r="Q136"/>
  <c r="P136"/>
  <c r="O136"/>
  <c r="N136"/>
  <c r="M136"/>
  <c r="L136"/>
  <c r="K136"/>
  <c r="J136"/>
  <c r="A136" a="1"/>
  <c r="A136" s="1"/>
  <c r="I136" s="1"/>
  <c r="BA135"/>
  <c r="AZ135"/>
  <c r="AY135"/>
  <c r="AX135"/>
  <c r="AW135"/>
  <c r="AV135"/>
  <c r="AU135"/>
  <c r="AT135"/>
  <c r="AS135"/>
  <c r="AR135"/>
  <c r="AQ135"/>
  <c r="AP135"/>
  <c r="AO135"/>
  <c r="AN135"/>
  <c r="AM135"/>
  <c r="AL135"/>
  <c r="AK135"/>
  <c r="AJ135"/>
  <c r="AI135"/>
  <c r="AH135"/>
  <c r="AG135"/>
  <c r="AF135"/>
  <c r="AE135"/>
  <c r="AD135"/>
  <c r="AC135"/>
  <c r="AB135"/>
  <c r="AA135"/>
  <c r="Z135"/>
  <c r="Y135"/>
  <c r="X135"/>
  <c r="W135"/>
  <c r="V135"/>
  <c r="U135"/>
  <c r="T135"/>
  <c r="S135"/>
  <c r="R135"/>
  <c r="Q135"/>
  <c r="P135"/>
  <c r="O135"/>
  <c r="N135"/>
  <c r="M135"/>
  <c r="L135"/>
  <c r="K135"/>
  <c r="J135"/>
  <c r="A135" a="1"/>
  <c r="A135" s="1"/>
  <c r="I135" s="1"/>
  <c r="BA134"/>
  <c r="AZ134"/>
  <c r="AY134"/>
  <c r="AX134"/>
  <c r="AW134"/>
  <c r="AV134"/>
  <c r="AU134"/>
  <c r="AT134"/>
  <c r="AS134"/>
  <c r="AR134"/>
  <c r="AQ134"/>
  <c r="AP134"/>
  <c r="AO134"/>
  <c r="AN134"/>
  <c r="AM134"/>
  <c r="AL134"/>
  <c r="AK134"/>
  <c r="AJ134"/>
  <c r="AI134"/>
  <c r="AH134"/>
  <c r="AG134"/>
  <c r="AF134"/>
  <c r="AE134"/>
  <c r="AD134"/>
  <c r="AC134"/>
  <c r="AB134"/>
  <c r="AA134"/>
  <c r="Z134"/>
  <c r="Y134"/>
  <c r="X134"/>
  <c r="W134"/>
  <c r="V134"/>
  <c r="U134"/>
  <c r="T134"/>
  <c r="S134"/>
  <c r="R134"/>
  <c r="Q134"/>
  <c r="P134"/>
  <c r="O134"/>
  <c r="N134"/>
  <c r="M134"/>
  <c r="L134"/>
  <c r="K134"/>
  <c r="J134"/>
  <c r="A134" a="1"/>
  <c r="A134" s="1"/>
  <c r="I134" s="1"/>
  <c r="BA133"/>
  <c r="AZ133"/>
  <c r="AY133"/>
  <c r="AX133"/>
  <c r="AW133"/>
  <c r="AV133"/>
  <c r="AU133"/>
  <c r="AT133"/>
  <c r="AS133"/>
  <c r="AR133"/>
  <c r="AQ133"/>
  <c r="AP133"/>
  <c r="AO133"/>
  <c r="AN133"/>
  <c r="AM133"/>
  <c r="AL133"/>
  <c r="AK133"/>
  <c r="AJ133"/>
  <c r="AI133"/>
  <c r="AH133"/>
  <c r="AG133"/>
  <c r="AF133"/>
  <c r="AE133"/>
  <c r="AD133"/>
  <c r="AC133"/>
  <c r="AB133"/>
  <c r="AA133"/>
  <c r="Z133"/>
  <c r="Y133"/>
  <c r="X133"/>
  <c r="W133"/>
  <c r="V133"/>
  <c r="U133"/>
  <c r="T133"/>
  <c r="S133"/>
  <c r="R133"/>
  <c r="Q133"/>
  <c r="P133"/>
  <c r="O133"/>
  <c r="N133"/>
  <c r="M133"/>
  <c r="L133"/>
  <c r="K133"/>
  <c r="J133"/>
  <c r="A133" a="1"/>
  <c r="A133" s="1"/>
  <c r="I133" s="1"/>
  <c r="BA132"/>
  <c r="AZ132"/>
  <c r="AY132"/>
  <c r="AX132"/>
  <c r="AW132"/>
  <c r="AV132"/>
  <c r="AU132"/>
  <c r="AT132"/>
  <c r="AS132"/>
  <c r="AR132"/>
  <c r="AQ132"/>
  <c r="AP132"/>
  <c r="AO132"/>
  <c r="AN132"/>
  <c r="AM132"/>
  <c r="AL132"/>
  <c r="AK132"/>
  <c r="AJ132"/>
  <c r="AI132"/>
  <c r="AH132"/>
  <c r="AG132"/>
  <c r="AF132"/>
  <c r="AE132"/>
  <c r="AD132"/>
  <c r="AC132"/>
  <c r="AB132"/>
  <c r="AA132"/>
  <c r="Z132"/>
  <c r="Y132"/>
  <c r="X132"/>
  <c r="W132"/>
  <c r="V132"/>
  <c r="U132"/>
  <c r="T132"/>
  <c r="S132"/>
  <c r="R132"/>
  <c r="Q132"/>
  <c r="P132"/>
  <c r="O132"/>
  <c r="N132"/>
  <c r="M132"/>
  <c r="L132"/>
  <c r="K132"/>
  <c r="J132"/>
  <c r="A132" a="1"/>
  <c r="A132" s="1"/>
  <c r="I132" s="1"/>
  <c r="BA131"/>
  <c r="AZ131"/>
  <c r="AY131"/>
  <c r="AX131"/>
  <c r="AW131"/>
  <c r="AV131"/>
  <c r="AU131"/>
  <c r="AT131"/>
  <c r="AS131"/>
  <c r="AR131"/>
  <c r="AQ131"/>
  <c r="AP131"/>
  <c r="AO131"/>
  <c r="AN131"/>
  <c r="AM131"/>
  <c r="AL131"/>
  <c r="AK131"/>
  <c r="AJ131"/>
  <c r="AI131"/>
  <c r="AH131"/>
  <c r="AG131"/>
  <c r="AF131"/>
  <c r="AE131"/>
  <c r="AD131"/>
  <c r="AC131"/>
  <c r="AB131"/>
  <c r="AA131"/>
  <c r="Z131"/>
  <c r="Y131"/>
  <c r="X131"/>
  <c r="W131"/>
  <c r="V131"/>
  <c r="U131"/>
  <c r="T131"/>
  <c r="S131"/>
  <c r="R131"/>
  <c r="Q131"/>
  <c r="P131"/>
  <c r="O131"/>
  <c r="N131"/>
  <c r="M131"/>
  <c r="L131"/>
  <c r="K131"/>
  <c r="J131"/>
  <c r="A131" a="1"/>
  <c r="A131" s="1"/>
  <c r="I131" s="1"/>
  <c r="BA130"/>
  <c r="AZ130"/>
  <c r="AY130"/>
  <c r="AX130"/>
  <c r="AW130"/>
  <c r="AV130"/>
  <c r="AU130"/>
  <c r="AT130"/>
  <c r="AS130"/>
  <c r="AR130"/>
  <c r="AQ130"/>
  <c r="AP130"/>
  <c r="AO130"/>
  <c r="AN130"/>
  <c r="AM130"/>
  <c r="AL130"/>
  <c r="AK130"/>
  <c r="AJ130"/>
  <c r="AI130"/>
  <c r="AH130"/>
  <c r="AG130"/>
  <c r="AF130"/>
  <c r="AE130"/>
  <c r="AD130"/>
  <c r="AC130"/>
  <c r="AB130"/>
  <c r="AA130"/>
  <c r="Z130"/>
  <c r="Y130"/>
  <c r="X130"/>
  <c r="W130"/>
  <c r="V130"/>
  <c r="U130"/>
  <c r="T130"/>
  <c r="S130"/>
  <c r="R130"/>
  <c r="Q130"/>
  <c r="P130"/>
  <c r="O130"/>
  <c r="N130"/>
  <c r="M130"/>
  <c r="L130"/>
  <c r="K130"/>
  <c r="J130"/>
  <c r="A130" a="1"/>
  <c r="A130" s="1"/>
  <c r="I130" s="1"/>
  <c r="BA129"/>
  <c r="AZ129"/>
  <c r="AY129"/>
  <c r="AX129"/>
  <c r="AW129"/>
  <c r="AV129"/>
  <c r="AU129"/>
  <c r="AT129"/>
  <c r="AS129"/>
  <c r="AR129"/>
  <c r="AQ129"/>
  <c r="AP129"/>
  <c r="AO129"/>
  <c r="AN129"/>
  <c r="AM129"/>
  <c r="AL129"/>
  <c r="AK129"/>
  <c r="AJ129"/>
  <c r="AI129"/>
  <c r="AH129"/>
  <c r="AG129"/>
  <c r="AF129"/>
  <c r="AE129"/>
  <c r="AD129"/>
  <c r="AC129"/>
  <c r="AB129"/>
  <c r="AA129"/>
  <c r="Z129"/>
  <c r="Y129"/>
  <c r="X129"/>
  <c r="W129"/>
  <c r="V129"/>
  <c r="U129"/>
  <c r="T129"/>
  <c r="S129"/>
  <c r="R129"/>
  <c r="Q129"/>
  <c r="P129"/>
  <c r="O129"/>
  <c r="N129"/>
  <c r="M129"/>
  <c r="L129"/>
  <c r="K129"/>
  <c r="J129"/>
  <c r="A129" a="1"/>
  <c r="A129" s="1"/>
  <c r="I129" s="1"/>
  <c r="BA128"/>
  <c r="AZ128"/>
  <c r="AY128"/>
  <c r="AX128"/>
  <c r="AW128"/>
  <c r="AV128"/>
  <c r="AU128"/>
  <c r="AT128"/>
  <c r="AS128"/>
  <c r="AR128"/>
  <c r="AQ128"/>
  <c r="AP128"/>
  <c r="AO128"/>
  <c r="AN128"/>
  <c r="AM128"/>
  <c r="AL128"/>
  <c r="AK128"/>
  <c r="AJ128"/>
  <c r="AI128"/>
  <c r="AH128"/>
  <c r="AG128"/>
  <c r="AF128"/>
  <c r="AE128"/>
  <c r="AD128"/>
  <c r="AC128"/>
  <c r="AB128"/>
  <c r="AA128"/>
  <c r="Z128"/>
  <c r="Y128"/>
  <c r="X128"/>
  <c r="W128"/>
  <c r="V128"/>
  <c r="U128"/>
  <c r="T128"/>
  <c r="S128"/>
  <c r="R128"/>
  <c r="Q128"/>
  <c r="P128"/>
  <c r="O128"/>
  <c r="N128"/>
  <c r="M128"/>
  <c r="L128"/>
  <c r="K128"/>
  <c r="J128"/>
  <c r="A128" a="1"/>
  <c r="A128" s="1"/>
  <c r="I128" s="1"/>
  <c r="BA127"/>
  <c r="AZ127"/>
  <c r="AY127"/>
  <c r="AX127"/>
  <c r="AW127"/>
  <c r="AV127"/>
  <c r="AU127"/>
  <c r="AT127"/>
  <c r="AS127"/>
  <c r="AR127"/>
  <c r="AQ127"/>
  <c r="AP127"/>
  <c r="AO127"/>
  <c r="AN127"/>
  <c r="AM127"/>
  <c r="AL127"/>
  <c r="AK127"/>
  <c r="AJ127"/>
  <c r="AI127"/>
  <c r="AH127"/>
  <c r="AG127"/>
  <c r="AF127"/>
  <c r="AE127"/>
  <c r="AD127"/>
  <c r="AC127"/>
  <c r="AB127"/>
  <c r="AA127"/>
  <c r="Z127"/>
  <c r="Y127"/>
  <c r="X127"/>
  <c r="W127"/>
  <c r="V127"/>
  <c r="U127"/>
  <c r="T127"/>
  <c r="S127"/>
  <c r="R127"/>
  <c r="Q127"/>
  <c r="P127"/>
  <c r="O127"/>
  <c r="N127"/>
  <c r="M127"/>
  <c r="L127"/>
  <c r="K127"/>
  <c r="J127"/>
  <c r="A127" a="1"/>
  <c r="A127" s="1"/>
  <c r="I127" s="1"/>
  <c r="BA126"/>
  <c r="AZ126"/>
  <c r="AY126"/>
  <c r="AX126"/>
  <c r="AW126"/>
  <c r="AV126"/>
  <c r="AU126"/>
  <c r="AT126"/>
  <c r="AS126"/>
  <c r="AR126"/>
  <c r="AQ126"/>
  <c r="AP126"/>
  <c r="AO126"/>
  <c r="AN126"/>
  <c r="AM126"/>
  <c r="AL126"/>
  <c r="AK126"/>
  <c r="AJ126"/>
  <c r="AI126"/>
  <c r="AH126"/>
  <c r="AG126"/>
  <c r="AF126"/>
  <c r="AE126"/>
  <c r="AD126"/>
  <c r="AC126"/>
  <c r="AB126"/>
  <c r="AA126"/>
  <c r="Z126"/>
  <c r="Y126"/>
  <c r="X126"/>
  <c r="W126"/>
  <c r="V126"/>
  <c r="U126"/>
  <c r="T126"/>
  <c r="S126"/>
  <c r="R126"/>
  <c r="Q126"/>
  <c r="P126"/>
  <c r="O126"/>
  <c r="N126"/>
  <c r="M126"/>
  <c r="L126"/>
  <c r="K126"/>
  <c r="J126"/>
  <c r="A126" a="1"/>
  <c r="A126" s="1"/>
  <c r="I126" s="1"/>
  <c r="BA125"/>
  <c r="AZ125"/>
  <c r="AY125"/>
  <c r="AX125"/>
  <c r="AW125"/>
  <c r="AV125"/>
  <c r="AU125"/>
  <c r="AT125"/>
  <c r="AS125"/>
  <c r="AR125"/>
  <c r="AQ125"/>
  <c r="AP125"/>
  <c r="AO125"/>
  <c r="AN125"/>
  <c r="AM125"/>
  <c r="AL125"/>
  <c r="AK125"/>
  <c r="AJ125"/>
  <c r="AI125"/>
  <c r="AH125"/>
  <c r="AG125"/>
  <c r="AF125"/>
  <c r="AE125"/>
  <c r="AD125"/>
  <c r="AC125"/>
  <c r="AB125"/>
  <c r="AA125"/>
  <c r="Z125"/>
  <c r="Y125"/>
  <c r="X125"/>
  <c r="W125"/>
  <c r="V125"/>
  <c r="U125"/>
  <c r="T125"/>
  <c r="S125"/>
  <c r="R125"/>
  <c r="Q125"/>
  <c r="P125"/>
  <c r="O125"/>
  <c r="N125"/>
  <c r="M125"/>
  <c r="L125"/>
  <c r="K125"/>
  <c r="J125"/>
  <c r="A125" a="1"/>
  <c r="A125" s="1"/>
  <c r="I125" s="1"/>
  <c r="BA124"/>
  <c r="AZ124"/>
  <c r="AY124"/>
  <c r="AX124"/>
  <c r="AW124"/>
  <c r="AV124"/>
  <c r="AU124"/>
  <c r="AT124"/>
  <c r="AS124"/>
  <c r="AR124"/>
  <c r="AQ124"/>
  <c r="AP124"/>
  <c r="AO124"/>
  <c r="AN124"/>
  <c r="AM124"/>
  <c r="AL124"/>
  <c r="AK124"/>
  <c r="AJ124"/>
  <c r="AI124"/>
  <c r="AH124"/>
  <c r="AG124"/>
  <c r="AF124"/>
  <c r="AE124"/>
  <c r="AD124"/>
  <c r="AC124"/>
  <c r="AB124"/>
  <c r="AA124"/>
  <c r="Z124"/>
  <c r="Y124"/>
  <c r="X124"/>
  <c r="W124"/>
  <c r="V124"/>
  <c r="U124"/>
  <c r="T124"/>
  <c r="S124"/>
  <c r="R124"/>
  <c r="Q124"/>
  <c r="P124"/>
  <c r="O124"/>
  <c r="N124"/>
  <c r="M124"/>
  <c r="L124"/>
  <c r="K124"/>
  <c r="J124"/>
  <c r="A124" a="1"/>
  <c r="A124" s="1"/>
  <c r="I124" s="1"/>
  <c r="BA123"/>
  <c r="AZ123"/>
  <c r="AY123"/>
  <c r="AX123"/>
  <c r="AW123"/>
  <c r="AV123"/>
  <c r="AU123"/>
  <c r="AT123"/>
  <c r="AS123"/>
  <c r="AR123"/>
  <c r="AQ123"/>
  <c r="AP123"/>
  <c r="AO123"/>
  <c r="AN123"/>
  <c r="AM123"/>
  <c r="AL123"/>
  <c r="AK123"/>
  <c r="AJ123"/>
  <c r="AI123"/>
  <c r="AH123"/>
  <c r="AG123"/>
  <c r="AF123"/>
  <c r="AE123"/>
  <c r="AD123"/>
  <c r="AC123"/>
  <c r="AB123"/>
  <c r="AA123"/>
  <c r="Z123"/>
  <c r="Y123"/>
  <c r="X123"/>
  <c r="W123"/>
  <c r="V123"/>
  <c r="U123"/>
  <c r="T123"/>
  <c r="S123"/>
  <c r="R123"/>
  <c r="Q123"/>
  <c r="P123"/>
  <c r="O123"/>
  <c r="N123"/>
  <c r="M123"/>
  <c r="L123"/>
  <c r="K123"/>
  <c r="J123"/>
  <c r="A123" a="1"/>
  <c r="A123" s="1"/>
  <c r="I123" s="1"/>
  <c r="BA122"/>
  <c r="AZ122"/>
  <c r="AY122"/>
  <c r="AX122"/>
  <c r="AW122"/>
  <c r="AV122"/>
  <c r="AU122"/>
  <c r="AT122"/>
  <c r="AS122"/>
  <c r="AR122"/>
  <c r="AQ122"/>
  <c r="AP122"/>
  <c r="AO122"/>
  <c r="AN122"/>
  <c r="AM122"/>
  <c r="AL122"/>
  <c r="AK122"/>
  <c r="AJ122"/>
  <c r="AI122"/>
  <c r="AH122"/>
  <c r="AG122"/>
  <c r="AF122"/>
  <c r="AE122"/>
  <c r="AD122"/>
  <c r="AC122"/>
  <c r="AB122"/>
  <c r="AA122"/>
  <c r="Z122"/>
  <c r="Y122"/>
  <c r="X122"/>
  <c r="W122"/>
  <c r="V122"/>
  <c r="U122"/>
  <c r="T122"/>
  <c r="S122"/>
  <c r="R122"/>
  <c r="Q122"/>
  <c r="P122"/>
  <c r="O122"/>
  <c r="N122"/>
  <c r="M122"/>
  <c r="L122"/>
  <c r="K122"/>
  <c r="J122"/>
  <c r="A122" a="1"/>
  <c r="A122" s="1"/>
  <c r="I122" s="1"/>
  <c r="BA121"/>
  <c r="AZ121"/>
  <c r="AY121"/>
  <c r="AX121"/>
  <c r="AW121"/>
  <c r="AV121"/>
  <c r="AU121"/>
  <c r="AT121"/>
  <c r="AS121"/>
  <c r="AR121"/>
  <c r="AQ121"/>
  <c r="AP121"/>
  <c r="AO121"/>
  <c r="AN121"/>
  <c r="AM121"/>
  <c r="AL121"/>
  <c r="AK121"/>
  <c r="AJ121"/>
  <c r="AI121"/>
  <c r="AH121"/>
  <c r="AG121"/>
  <c r="AF121"/>
  <c r="AE121"/>
  <c r="AD121"/>
  <c r="AC121"/>
  <c r="AB121"/>
  <c r="AA121"/>
  <c r="Z121"/>
  <c r="Y121"/>
  <c r="X121"/>
  <c r="W121"/>
  <c r="V121"/>
  <c r="U121"/>
  <c r="T121"/>
  <c r="S121"/>
  <c r="R121"/>
  <c r="Q121"/>
  <c r="P121"/>
  <c r="O121"/>
  <c r="N121"/>
  <c r="M121"/>
  <c r="L121"/>
  <c r="K121"/>
  <c r="J121"/>
  <c r="A121" a="1"/>
  <c r="A121" s="1"/>
  <c r="I121" s="1"/>
  <c r="BA120"/>
  <c r="AZ120"/>
  <c r="AY120"/>
  <c r="AX120"/>
  <c r="AW120"/>
  <c r="AV120"/>
  <c r="AU120"/>
  <c r="AT120"/>
  <c r="AS120"/>
  <c r="AR120"/>
  <c r="AQ120"/>
  <c r="AP120"/>
  <c r="AO120"/>
  <c r="AN120"/>
  <c r="AM120"/>
  <c r="AL120"/>
  <c r="AK120"/>
  <c r="AJ120"/>
  <c r="AI120"/>
  <c r="AH120"/>
  <c r="AG120"/>
  <c r="AF120"/>
  <c r="AE120"/>
  <c r="AD120"/>
  <c r="AC120"/>
  <c r="AB120"/>
  <c r="AA120"/>
  <c r="Z120"/>
  <c r="Y120"/>
  <c r="X120"/>
  <c r="W120"/>
  <c r="V120"/>
  <c r="U120"/>
  <c r="T120"/>
  <c r="S120"/>
  <c r="R120"/>
  <c r="Q120"/>
  <c r="P120"/>
  <c r="O120"/>
  <c r="N120"/>
  <c r="M120"/>
  <c r="L120"/>
  <c r="K120"/>
  <c r="J120"/>
  <c r="A120" a="1"/>
  <c r="A120" s="1"/>
  <c r="I120" s="1"/>
  <c r="BA119"/>
  <c r="AZ119"/>
  <c r="AY119"/>
  <c r="AX119"/>
  <c r="AW119"/>
  <c r="AV119"/>
  <c r="AU119"/>
  <c r="AT119"/>
  <c r="AS119"/>
  <c r="AR119"/>
  <c r="AQ119"/>
  <c r="AP119"/>
  <c r="AO119"/>
  <c r="AN119"/>
  <c r="AM119"/>
  <c r="AL119"/>
  <c r="AK119"/>
  <c r="AJ119"/>
  <c r="AI119"/>
  <c r="AH119"/>
  <c r="AG119"/>
  <c r="AF119"/>
  <c r="AE119"/>
  <c r="AD119"/>
  <c r="AC119"/>
  <c r="AB119"/>
  <c r="AA119"/>
  <c r="Z119"/>
  <c r="Y119"/>
  <c r="X119"/>
  <c r="W119"/>
  <c r="V119"/>
  <c r="U119"/>
  <c r="T119"/>
  <c r="S119"/>
  <c r="R119"/>
  <c r="Q119"/>
  <c r="P119"/>
  <c r="O119"/>
  <c r="N119"/>
  <c r="M119"/>
  <c r="L119"/>
  <c r="K119"/>
  <c r="J119"/>
  <c r="A119" a="1"/>
  <c r="A119" s="1"/>
  <c r="I119" s="1"/>
  <c r="BA118"/>
  <c r="AZ118"/>
  <c r="AY118"/>
  <c r="AX118"/>
  <c r="AW118"/>
  <c r="AV118"/>
  <c r="AU118"/>
  <c r="AT118"/>
  <c r="AS118"/>
  <c r="AR118"/>
  <c r="AQ118"/>
  <c r="AP118"/>
  <c r="AO118"/>
  <c r="AN118"/>
  <c r="AM118"/>
  <c r="AL118"/>
  <c r="AK118"/>
  <c r="AJ118"/>
  <c r="AI118"/>
  <c r="AH118"/>
  <c r="AG118"/>
  <c r="AF118"/>
  <c r="AE118"/>
  <c r="AD118"/>
  <c r="AC118"/>
  <c r="AB118"/>
  <c r="AA118"/>
  <c r="Z118"/>
  <c r="Y118"/>
  <c r="X118"/>
  <c r="W118"/>
  <c r="V118"/>
  <c r="U118"/>
  <c r="T118"/>
  <c r="S118"/>
  <c r="R118"/>
  <c r="Q118"/>
  <c r="P118"/>
  <c r="O118"/>
  <c r="N118"/>
  <c r="M118"/>
  <c r="L118"/>
  <c r="K118"/>
  <c r="J118"/>
  <c r="A118" a="1"/>
  <c r="A118" s="1"/>
  <c r="I118" s="1"/>
  <c r="BA117"/>
  <c r="AZ117"/>
  <c r="AY117"/>
  <c r="AX117"/>
  <c r="AW117"/>
  <c r="AV117"/>
  <c r="AU117"/>
  <c r="AT117"/>
  <c r="AS117"/>
  <c r="AR117"/>
  <c r="AQ117"/>
  <c r="AP117"/>
  <c r="AO117"/>
  <c r="AN117"/>
  <c r="AM117"/>
  <c r="AL117"/>
  <c r="AK117"/>
  <c r="AJ117"/>
  <c r="AI117"/>
  <c r="AH117"/>
  <c r="AG117"/>
  <c r="AF117"/>
  <c r="AE117"/>
  <c r="AD117"/>
  <c r="AC117"/>
  <c r="AB117"/>
  <c r="AA117"/>
  <c r="Z117"/>
  <c r="Y117"/>
  <c r="X117"/>
  <c r="W117"/>
  <c r="V117"/>
  <c r="U117"/>
  <c r="T117"/>
  <c r="S117"/>
  <c r="R117"/>
  <c r="Q117"/>
  <c r="P117"/>
  <c r="O117"/>
  <c r="N117"/>
  <c r="M117"/>
  <c r="L117"/>
  <c r="K117"/>
  <c r="J117"/>
  <c r="A117" a="1"/>
  <c r="A117" s="1"/>
  <c r="I117" s="1"/>
  <c r="BA116"/>
  <c r="AZ116"/>
  <c r="AY116"/>
  <c r="AX116"/>
  <c r="AW116"/>
  <c r="AV116"/>
  <c r="AU116"/>
  <c r="AT116"/>
  <c r="AS116"/>
  <c r="AR116"/>
  <c r="AQ116"/>
  <c r="AP116"/>
  <c r="AO116"/>
  <c r="AN116"/>
  <c r="AM116"/>
  <c r="AL116"/>
  <c r="AK116"/>
  <c r="AJ116"/>
  <c r="AI116"/>
  <c r="AH116"/>
  <c r="AG116"/>
  <c r="AF116"/>
  <c r="AE116"/>
  <c r="AD116"/>
  <c r="AC116"/>
  <c r="AB116"/>
  <c r="AA116"/>
  <c r="Z116"/>
  <c r="Y116"/>
  <c r="X116"/>
  <c r="W116"/>
  <c r="V116"/>
  <c r="U116"/>
  <c r="T116"/>
  <c r="S116"/>
  <c r="R116"/>
  <c r="Q116"/>
  <c r="P116"/>
  <c r="O116"/>
  <c r="N116"/>
  <c r="M116"/>
  <c r="L116"/>
  <c r="K116"/>
  <c r="J116"/>
  <c r="A116" a="1"/>
  <c r="A116" s="1"/>
  <c r="I116" s="1"/>
  <c r="BA115"/>
  <c r="AZ115"/>
  <c r="AY115"/>
  <c r="AX115"/>
  <c r="AW115"/>
  <c r="AV115"/>
  <c r="AU115"/>
  <c r="AT115"/>
  <c r="AS115"/>
  <c r="AR115"/>
  <c r="AQ115"/>
  <c r="AP115"/>
  <c r="AO115"/>
  <c r="AN115"/>
  <c r="AM115"/>
  <c r="AL115"/>
  <c r="AK115"/>
  <c r="AJ115"/>
  <c r="AI115"/>
  <c r="AH115"/>
  <c r="AG115"/>
  <c r="AF115"/>
  <c r="AE115"/>
  <c r="AD115"/>
  <c r="AC115"/>
  <c r="AB115"/>
  <c r="AA115"/>
  <c r="Z115"/>
  <c r="Y115"/>
  <c r="X115"/>
  <c r="W115"/>
  <c r="V115"/>
  <c r="U115"/>
  <c r="T115"/>
  <c r="S115"/>
  <c r="R115"/>
  <c r="Q115"/>
  <c r="P115"/>
  <c r="O115"/>
  <c r="N115"/>
  <c r="M115"/>
  <c r="L115"/>
  <c r="K115"/>
  <c r="J115"/>
  <c r="A115" a="1"/>
  <c r="A115" s="1"/>
  <c r="I115" s="1"/>
  <c r="BA114"/>
  <c r="AZ114"/>
  <c r="AY114"/>
  <c r="AX114"/>
  <c r="AW114"/>
  <c r="AV114"/>
  <c r="AU114"/>
  <c r="AT114"/>
  <c r="AS114"/>
  <c r="AR114"/>
  <c r="AQ114"/>
  <c r="AP114"/>
  <c r="AO114"/>
  <c r="AN114"/>
  <c r="AM114"/>
  <c r="AL114"/>
  <c r="AK114"/>
  <c r="AJ114"/>
  <c r="AI114"/>
  <c r="AH114"/>
  <c r="AG114"/>
  <c r="AF114"/>
  <c r="AE114"/>
  <c r="AD114"/>
  <c r="AC114"/>
  <c r="AB114"/>
  <c r="AA114"/>
  <c r="Z114"/>
  <c r="Y114"/>
  <c r="X114"/>
  <c r="W114"/>
  <c r="V114"/>
  <c r="U114"/>
  <c r="T114"/>
  <c r="S114"/>
  <c r="R114"/>
  <c r="Q114"/>
  <c r="P114"/>
  <c r="O114"/>
  <c r="N114"/>
  <c r="M114"/>
  <c r="L114"/>
  <c r="K114"/>
  <c r="J114"/>
  <c r="A114" a="1"/>
  <c r="A114" s="1"/>
  <c r="I114" s="1"/>
  <c r="BA113"/>
  <c r="AZ113"/>
  <c r="AY113"/>
  <c r="AX113"/>
  <c r="AW113"/>
  <c r="AV113"/>
  <c r="AU113"/>
  <c r="AT113"/>
  <c r="AS113"/>
  <c r="AR113"/>
  <c r="AQ113"/>
  <c r="AP113"/>
  <c r="AO113"/>
  <c r="AN113"/>
  <c r="AM113"/>
  <c r="AL113"/>
  <c r="AK113"/>
  <c r="AJ113"/>
  <c r="AI113"/>
  <c r="AH113"/>
  <c r="AG113"/>
  <c r="AF113"/>
  <c r="AE113"/>
  <c r="AD113"/>
  <c r="AC113"/>
  <c r="AB113"/>
  <c r="AA113"/>
  <c r="Z113"/>
  <c r="Y113"/>
  <c r="X113"/>
  <c r="W113"/>
  <c r="V113"/>
  <c r="U113"/>
  <c r="T113"/>
  <c r="S113"/>
  <c r="R113"/>
  <c r="Q113"/>
  <c r="P113"/>
  <c r="O113"/>
  <c r="N113"/>
  <c r="M113"/>
  <c r="L113"/>
  <c r="K113"/>
  <c r="J113"/>
  <c r="A113" a="1"/>
  <c r="A113" s="1"/>
  <c r="I113" s="1"/>
  <c r="BA112"/>
  <c r="AZ112"/>
  <c r="AY112"/>
  <c r="AX112"/>
  <c r="AW112"/>
  <c r="AV112"/>
  <c r="AU112"/>
  <c r="AT112"/>
  <c r="AS112"/>
  <c r="AR112"/>
  <c r="AQ112"/>
  <c r="AP112"/>
  <c r="AO112"/>
  <c r="AN112"/>
  <c r="AM112"/>
  <c r="AL112"/>
  <c r="AK112"/>
  <c r="AJ112"/>
  <c r="AI112"/>
  <c r="AH112"/>
  <c r="AG112"/>
  <c r="AF112"/>
  <c r="AE112"/>
  <c r="AD112"/>
  <c r="AC112"/>
  <c r="AB112"/>
  <c r="AA112"/>
  <c r="Z112"/>
  <c r="Y112"/>
  <c r="X112"/>
  <c r="W112"/>
  <c r="V112"/>
  <c r="U112"/>
  <c r="T112"/>
  <c r="S112"/>
  <c r="R112"/>
  <c r="Q112"/>
  <c r="P112"/>
  <c r="O112"/>
  <c r="N112"/>
  <c r="M112"/>
  <c r="L112"/>
  <c r="K112"/>
  <c r="J112"/>
  <c r="A112" a="1"/>
  <c r="A112" s="1"/>
  <c r="I112" s="1"/>
  <c r="BA111"/>
  <c r="AZ111"/>
  <c r="AY111"/>
  <c r="AX111"/>
  <c r="AW111"/>
  <c r="AV111"/>
  <c r="AU111"/>
  <c r="AT111"/>
  <c r="AS111"/>
  <c r="AR111"/>
  <c r="AQ111"/>
  <c r="AP111"/>
  <c r="AO111"/>
  <c r="AN111"/>
  <c r="AM111"/>
  <c r="AL111"/>
  <c r="AK111"/>
  <c r="AJ111"/>
  <c r="AI111"/>
  <c r="AH111"/>
  <c r="AG111"/>
  <c r="AF111"/>
  <c r="AE111"/>
  <c r="AD111"/>
  <c r="AC111"/>
  <c r="AB111"/>
  <c r="AA111"/>
  <c r="Z111"/>
  <c r="Y111"/>
  <c r="X111"/>
  <c r="W111"/>
  <c r="V111"/>
  <c r="U111"/>
  <c r="T111"/>
  <c r="S111"/>
  <c r="R111"/>
  <c r="Q111"/>
  <c r="P111"/>
  <c r="O111"/>
  <c r="N111"/>
  <c r="M111"/>
  <c r="L111"/>
  <c r="K111"/>
  <c r="J111"/>
  <c r="A111" a="1"/>
  <c r="A111" s="1"/>
  <c r="I111" s="1"/>
  <c r="BA110"/>
  <c r="AZ110"/>
  <c r="AY110"/>
  <c r="AX110"/>
  <c r="AW110"/>
  <c r="AV110"/>
  <c r="AU110"/>
  <c r="AT110"/>
  <c r="AS110"/>
  <c r="AR110"/>
  <c r="AQ110"/>
  <c r="AP110"/>
  <c r="AO110"/>
  <c r="AN110"/>
  <c r="AM110"/>
  <c r="AL110"/>
  <c r="AK110"/>
  <c r="AJ110"/>
  <c r="AI110"/>
  <c r="AH110"/>
  <c r="AG110"/>
  <c r="AF110"/>
  <c r="AE110"/>
  <c r="AD110"/>
  <c r="AC110"/>
  <c r="AB110"/>
  <c r="AA110"/>
  <c r="Z110"/>
  <c r="Y110"/>
  <c r="X110"/>
  <c r="W110"/>
  <c r="V110"/>
  <c r="U110"/>
  <c r="T110"/>
  <c r="S110"/>
  <c r="R110"/>
  <c r="Q110"/>
  <c r="P110"/>
  <c r="O110"/>
  <c r="N110"/>
  <c r="M110"/>
  <c r="L110"/>
  <c r="K110"/>
  <c r="J110"/>
  <c r="A110" a="1"/>
  <c r="A110" s="1"/>
  <c r="I110" s="1"/>
  <c r="BA109"/>
  <c r="AZ109"/>
  <c r="AY109"/>
  <c r="AX109"/>
  <c r="AW109"/>
  <c r="AV109"/>
  <c r="AU109"/>
  <c r="AT109"/>
  <c r="AS109"/>
  <c r="AR109"/>
  <c r="AQ109"/>
  <c r="AP109"/>
  <c r="AO109"/>
  <c r="AN109"/>
  <c r="AM109"/>
  <c r="AL109"/>
  <c r="AK109"/>
  <c r="AJ109"/>
  <c r="AI109"/>
  <c r="AH109"/>
  <c r="AG109"/>
  <c r="AF109"/>
  <c r="AE109"/>
  <c r="AD109"/>
  <c r="AC109"/>
  <c r="AB109"/>
  <c r="AA109"/>
  <c r="Z109"/>
  <c r="Y109"/>
  <c r="X109"/>
  <c r="W109"/>
  <c r="V109"/>
  <c r="U109"/>
  <c r="T109"/>
  <c r="S109"/>
  <c r="R109"/>
  <c r="Q109"/>
  <c r="P109"/>
  <c r="O109"/>
  <c r="N109"/>
  <c r="M109"/>
  <c r="L109"/>
  <c r="K109"/>
  <c r="J109"/>
  <c r="A109" a="1"/>
  <c r="A109" s="1"/>
  <c r="I109" s="1"/>
  <c r="BA108"/>
  <c r="AZ108"/>
  <c r="AY108"/>
  <c r="AX108"/>
  <c r="AW108"/>
  <c r="AV108"/>
  <c r="AU108"/>
  <c r="AT108"/>
  <c r="AS108"/>
  <c r="AR108"/>
  <c r="AQ108"/>
  <c r="AP108"/>
  <c r="AO108"/>
  <c r="AN108"/>
  <c r="AM108"/>
  <c r="AL108"/>
  <c r="AK108"/>
  <c r="AJ108"/>
  <c r="AI108"/>
  <c r="AH108"/>
  <c r="AG108"/>
  <c r="AF108"/>
  <c r="AE108"/>
  <c r="AD108"/>
  <c r="AC108"/>
  <c r="AB108"/>
  <c r="AA108"/>
  <c r="Z108"/>
  <c r="Y108"/>
  <c r="X108"/>
  <c r="W108"/>
  <c r="V108"/>
  <c r="U108"/>
  <c r="T108"/>
  <c r="S108"/>
  <c r="R108"/>
  <c r="Q108"/>
  <c r="P108"/>
  <c r="O108"/>
  <c r="N108"/>
  <c r="M108"/>
  <c r="L108"/>
  <c r="K108"/>
  <c r="J108"/>
  <c r="A108" a="1"/>
  <c r="A108" s="1"/>
  <c r="I108" s="1"/>
  <c r="BA107"/>
  <c r="AZ107"/>
  <c r="AY107"/>
  <c r="AX107"/>
  <c r="AW107"/>
  <c r="AV107"/>
  <c r="AU107"/>
  <c r="AT107"/>
  <c r="AS107"/>
  <c r="AR107"/>
  <c r="AQ107"/>
  <c r="AP107"/>
  <c r="AO107"/>
  <c r="AN107"/>
  <c r="AM107"/>
  <c r="AL107"/>
  <c r="AK107"/>
  <c r="AJ107"/>
  <c r="AI107"/>
  <c r="AH107"/>
  <c r="AG107"/>
  <c r="AF107"/>
  <c r="AE107"/>
  <c r="AD107"/>
  <c r="AC107"/>
  <c r="AB107"/>
  <c r="AA107"/>
  <c r="Z107"/>
  <c r="Y107"/>
  <c r="X107"/>
  <c r="W107"/>
  <c r="V107"/>
  <c r="U107"/>
  <c r="T107"/>
  <c r="S107"/>
  <c r="R107"/>
  <c r="Q107"/>
  <c r="P107"/>
  <c r="O107"/>
  <c r="N107"/>
  <c r="M107"/>
  <c r="L107"/>
  <c r="K107"/>
  <c r="J107"/>
  <c r="A107" a="1"/>
  <c r="A107" s="1"/>
  <c r="I107" s="1"/>
  <c r="BA106"/>
  <c r="AZ106"/>
  <c r="AY106"/>
  <c r="AX106"/>
  <c r="AW106"/>
  <c r="AV106"/>
  <c r="AU106"/>
  <c r="AT106"/>
  <c r="AS106"/>
  <c r="AR106"/>
  <c r="AQ106"/>
  <c r="AP106"/>
  <c r="AO106"/>
  <c r="AN106"/>
  <c r="AM106"/>
  <c r="AL106"/>
  <c r="AK106"/>
  <c r="AJ106"/>
  <c r="AI106"/>
  <c r="AH106"/>
  <c r="AG106"/>
  <c r="AF106"/>
  <c r="AE106"/>
  <c r="AD106"/>
  <c r="AC106"/>
  <c r="AB106"/>
  <c r="AA106"/>
  <c r="Z106"/>
  <c r="Y106"/>
  <c r="X106"/>
  <c r="W106"/>
  <c r="V106"/>
  <c r="U106"/>
  <c r="T106"/>
  <c r="S106"/>
  <c r="R106"/>
  <c r="Q106"/>
  <c r="P106"/>
  <c r="O106"/>
  <c r="N106"/>
  <c r="M106"/>
  <c r="L106"/>
  <c r="K106"/>
  <c r="J106"/>
  <c r="A106" a="1"/>
  <c r="A106" s="1"/>
  <c r="I106" s="1"/>
  <c r="BA105"/>
  <c r="AZ105"/>
  <c r="AY105"/>
  <c r="AX105"/>
  <c r="AW105"/>
  <c r="AV105"/>
  <c r="AU105"/>
  <c r="AT105"/>
  <c r="AS105"/>
  <c r="AR105"/>
  <c r="AQ105"/>
  <c r="AP105"/>
  <c r="AO105"/>
  <c r="AN105"/>
  <c r="AM105"/>
  <c r="AL105"/>
  <c r="AK105"/>
  <c r="AJ105"/>
  <c r="AI105"/>
  <c r="AH105"/>
  <c r="AG105"/>
  <c r="AF105"/>
  <c r="AE105"/>
  <c r="AD105"/>
  <c r="AC105"/>
  <c r="AB105"/>
  <c r="AA105"/>
  <c r="Z105"/>
  <c r="Y105"/>
  <c r="X105"/>
  <c r="W105"/>
  <c r="V105"/>
  <c r="U105"/>
  <c r="T105"/>
  <c r="S105"/>
  <c r="R105"/>
  <c r="Q105"/>
  <c r="P105"/>
  <c r="O105"/>
  <c r="N105"/>
  <c r="M105"/>
  <c r="L105"/>
  <c r="K105"/>
  <c r="J105"/>
  <c r="A105" a="1"/>
  <c r="A105" s="1"/>
  <c r="I105" s="1"/>
  <c r="BA104"/>
  <c r="AZ104"/>
  <c r="AY104"/>
  <c r="AX104"/>
  <c r="AW104"/>
  <c r="AV104"/>
  <c r="AU104"/>
  <c r="AT104"/>
  <c r="AS104"/>
  <c r="AR104"/>
  <c r="AQ104"/>
  <c r="AP104"/>
  <c r="AO104"/>
  <c r="AN104"/>
  <c r="AM104"/>
  <c r="AL104"/>
  <c r="AK104"/>
  <c r="AJ104"/>
  <c r="AI104"/>
  <c r="AH104"/>
  <c r="AG104"/>
  <c r="AF104"/>
  <c r="AE104"/>
  <c r="AD104"/>
  <c r="AC104"/>
  <c r="AB104"/>
  <c r="AA104"/>
  <c r="Z104"/>
  <c r="Y104"/>
  <c r="X104"/>
  <c r="W104"/>
  <c r="V104"/>
  <c r="U104"/>
  <c r="T104"/>
  <c r="S104"/>
  <c r="R104"/>
  <c r="Q104"/>
  <c r="P104"/>
  <c r="O104"/>
  <c r="N104"/>
  <c r="M104"/>
  <c r="L104"/>
  <c r="K104"/>
  <c r="J104"/>
  <c r="A104" a="1"/>
  <c r="A104" s="1"/>
  <c r="I104" s="1"/>
  <c r="BA103"/>
  <c r="AZ103"/>
  <c r="AY103"/>
  <c r="AX103"/>
  <c r="AW103"/>
  <c r="AV103"/>
  <c r="AU103"/>
  <c r="AT103"/>
  <c r="AS103"/>
  <c r="AR103"/>
  <c r="AQ103"/>
  <c r="AP103"/>
  <c r="AO103"/>
  <c r="AN103"/>
  <c r="AM103"/>
  <c r="AL103"/>
  <c r="AK103"/>
  <c r="AJ103"/>
  <c r="AI103"/>
  <c r="AH103"/>
  <c r="AG103"/>
  <c r="AF103"/>
  <c r="AE103"/>
  <c r="AD103"/>
  <c r="AC103"/>
  <c r="AB103"/>
  <c r="AA103"/>
  <c r="Z103"/>
  <c r="Y103"/>
  <c r="X103"/>
  <c r="W103"/>
  <c r="V103"/>
  <c r="U103"/>
  <c r="T103"/>
  <c r="S103"/>
  <c r="R103"/>
  <c r="Q103"/>
  <c r="P103"/>
  <c r="O103"/>
  <c r="N103"/>
  <c r="M103"/>
  <c r="L103"/>
  <c r="K103"/>
  <c r="J103"/>
  <c r="A103" a="1"/>
  <c r="A103" s="1"/>
  <c r="I103" s="1"/>
  <c r="BA102"/>
  <c r="AZ102"/>
  <c r="AY102"/>
  <c r="AX102"/>
  <c r="AW102"/>
  <c r="AV102"/>
  <c r="AU102"/>
  <c r="AT102"/>
  <c r="AS102"/>
  <c r="AR102"/>
  <c r="AQ102"/>
  <c r="AP102"/>
  <c r="AO102"/>
  <c r="AN102"/>
  <c r="AM102"/>
  <c r="AL102"/>
  <c r="AK102"/>
  <c r="AJ102"/>
  <c r="AI102"/>
  <c r="AH102"/>
  <c r="AG102"/>
  <c r="AF102"/>
  <c r="AE102"/>
  <c r="AD102"/>
  <c r="AC102"/>
  <c r="AB102"/>
  <c r="AA102"/>
  <c r="Z102"/>
  <c r="Y102"/>
  <c r="X102"/>
  <c r="W102"/>
  <c r="V102"/>
  <c r="U102"/>
  <c r="T102"/>
  <c r="S102"/>
  <c r="R102"/>
  <c r="Q102"/>
  <c r="P102"/>
  <c r="O102"/>
  <c r="N102"/>
  <c r="M102"/>
  <c r="L102"/>
  <c r="K102"/>
  <c r="J102"/>
  <c r="A102" a="1"/>
  <c r="A102" s="1"/>
  <c r="I102" s="1"/>
  <c r="BA101"/>
  <c r="AZ101"/>
  <c r="AY101"/>
  <c r="AX101"/>
  <c r="AW101"/>
  <c r="AV101"/>
  <c r="AU101"/>
  <c r="AT101"/>
  <c r="AS101"/>
  <c r="AR101"/>
  <c r="AQ101"/>
  <c r="AP101"/>
  <c r="AO101"/>
  <c r="AN101"/>
  <c r="AM101"/>
  <c r="AL101"/>
  <c r="AK101"/>
  <c r="AJ101"/>
  <c r="AI101"/>
  <c r="AH101"/>
  <c r="AG101"/>
  <c r="AF101"/>
  <c r="AE101"/>
  <c r="AD101"/>
  <c r="AC101"/>
  <c r="AB101"/>
  <c r="AA101"/>
  <c r="Z101"/>
  <c r="Y101"/>
  <c r="X101"/>
  <c r="W101"/>
  <c r="V101"/>
  <c r="U101"/>
  <c r="T101"/>
  <c r="S101"/>
  <c r="R101"/>
  <c r="Q101"/>
  <c r="P101"/>
  <c r="O101"/>
  <c r="N101"/>
  <c r="M101"/>
  <c r="L101"/>
  <c r="K101"/>
  <c r="J101"/>
  <c r="A101" a="1"/>
  <c r="A101" s="1"/>
  <c r="I101" s="1"/>
  <c r="BA100"/>
  <c r="AZ100"/>
  <c r="AY100"/>
  <c r="AX100"/>
  <c r="AW100"/>
  <c r="AV100"/>
  <c r="AU100"/>
  <c r="AT100"/>
  <c r="AS100"/>
  <c r="AR100"/>
  <c r="AQ100"/>
  <c r="AP100"/>
  <c r="AO100"/>
  <c r="AN100"/>
  <c r="AM100"/>
  <c r="AL100"/>
  <c r="AK100"/>
  <c r="AJ100"/>
  <c r="AI100"/>
  <c r="AH100"/>
  <c r="AG100"/>
  <c r="AF100"/>
  <c r="AE100"/>
  <c r="AD100"/>
  <c r="AC100"/>
  <c r="AB100"/>
  <c r="AA100"/>
  <c r="Z100"/>
  <c r="Y100"/>
  <c r="X100"/>
  <c r="W100"/>
  <c r="V100"/>
  <c r="U100"/>
  <c r="T100"/>
  <c r="S100"/>
  <c r="R100"/>
  <c r="Q100"/>
  <c r="P100"/>
  <c r="O100"/>
  <c r="N100"/>
  <c r="M100"/>
  <c r="L100"/>
  <c r="K100"/>
  <c r="J100"/>
  <c r="A100" a="1"/>
  <c r="A100" s="1"/>
  <c r="I100" s="1"/>
  <c r="BA99"/>
  <c r="AZ99"/>
  <c r="AY99"/>
  <c r="AX99"/>
  <c r="AW99"/>
  <c r="AV99"/>
  <c r="AU99"/>
  <c r="AT99"/>
  <c r="AS99"/>
  <c r="AR99"/>
  <c r="AQ99"/>
  <c r="AP99"/>
  <c r="AO99"/>
  <c r="AN99"/>
  <c r="AM99"/>
  <c r="AL99"/>
  <c r="AK99"/>
  <c r="AJ99"/>
  <c r="AI99"/>
  <c r="AH99"/>
  <c r="AG99"/>
  <c r="AF99"/>
  <c r="AE99"/>
  <c r="AD99"/>
  <c r="AC99"/>
  <c r="AB99"/>
  <c r="AA99"/>
  <c r="Z99"/>
  <c r="Y99"/>
  <c r="X99"/>
  <c r="W99"/>
  <c r="V99"/>
  <c r="U99"/>
  <c r="T99"/>
  <c r="S99"/>
  <c r="R99"/>
  <c r="Q99"/>
  <c r="P99"/>
  <c r="O99"/>
  <c r="N99"/>
  <c r="M99"/>
  <c r="L99"/>
  <c r="K99"/>
  <c r="J99"/>
  <c r="A99" a="1"/>
  <c r="A99" s="1"/>
  <c r="I99" s="1"/>
  <c r="BA98"/>
  <c r="AZ98"/>
  <c r="AY98"/>
  <c r="AX98"/>
  <c r="AW98"/>
  <c r="AV98"/>
  <c r="AU98"/>
  <c r="AT98"/>
  <c r="AS98"/>
  <c r="AR98"/>
  <c r="AQ98"/>
  <c r="AP98"/>
  <c r="AO98"/>
  <c r="AN98"/>
  <c r="AM98"/>
  <c r="AL98"/>
  <c r="AK98"/>
  <c r="AJ98"/>
  <c r="AI98"/>
  <c r="AH98"/>
  <c r="AG98"/>
  <c r="AF98"/>
  <c r="AE98"/>
  <c r="AD98"/>
  <c r="AC98"/>
  <c r="AB98"/>
  <c r="AA98"/>
  <c r="Z98"/>
  <c r="Y98"/>
  <c r="X98"/>
  <c r="W98"/>
  <c r="V98"/>
  <c r="U98"/>
  <c r="T98"/>
  <c r="S98"/>
  <c r="R98"/>
  <c r="Q98"/>
  <c r="P98"/>
  <c r="O98"/>
  <c r="N98"/>
  <c r="M98"/>
  <c r="L98"/>
  <c r="K98"/>
  <c r="J98"/>
  <c r="A98" a="1"/>
  <c r="A98" s="1"/>
  <c r="I98" s="1"/>
  <c r="BA97"/>
  <c r="AZ97"/>
  <c r="AY97"/>
  <c r="AX97"/>
  <c r="AW97"/>
  <c r="AV97"/>
  <c r="AU97"/>
  <c r="AT97"/>
  <c r="AS97"/>
  <c r="AR97"/>
  <c r="AQ97"/>
  <c r="AP97"/>
  <c r="AO97"/>
  <c r="AN97"/>
  <c r="AM97"/>
  <c r="AL97"/>
  <c r="AK97"/>
  <c r="AJ97"/>
  <c r="AI97"/>
  <c r="AH97"/>
  <c r="AG97"/>
  <c r="AF97"/>
  <c r="AE97"/>
  <c r="AD97"/>
  <c r="AC97"/>
  <c r="AB97"/>
  <c r="AA97"/>
  <c r="Z97"/>
  <c r="Y97"/>
  <c r="X97"/>
  <c r="W97"/>
  <c r="V97"/>
  <c r="U97"/>
  <c r="T97"/>
  <c r="S97"/>
  <c r="R97"/>
  <c r="Q97"/>
  <c r="P97"/>
  <c r="O97"/>
  <c r="N97"/>
  <c r="M97"/>
  <c r="L97"/>
  <c r="K97"/>
  <c r="J97"/>
  <c r="A97" a="1"/>
  <c r="A97" s="1"/>
  <c r="I97" s="1"/>
  <c r="BA96"/>
  <c r="AZ96"/>
  <c r="AY96"/>
  <c r="AX96"/>
  <c r="AW96"/>
  <c r="AV96"/>
  <c r="AU96"/>
  <c r="AT96"/>
  <c r="AS96"/>
  <c r="AR96"/>
  <c r="AQ96"/>
  <c r="AP96"/>
  <c r="AO96"/>
  <c r="AN96"/>
  <c r="AM96"/>
  <c r="AL96"/>
  <c r="AK96"/>
  <c r="AJ96"/>
  <c r="AI96"/>
  <c r="AH96"/>
  <c r="AG96"/>
  <c r="AF96"/>
  <c r="AE96"/>
  <c r="AD96"/>
  <c r="AC96"/>
  <c r="AB96"/>
  <c r="AA96"/>
  <c r="Z96"/>
  <c r="Y96"/>
  <c r="X96"/>
  <c r="W96"/>
  <c r="V96"/>
  <c r="U96"/>
  <c r="T96"/>
  <c r="S96"/>
  <c r="R96"/>
  <c r="Q96"/>
  <c r="P96"/>
  <c r="O96"/>
  <c r="N96"/>
  <c r="M96"/>
  <c r="L96"/>
  <c r="K96"/>
  <c r="J96"/>
  <c r="A96" a="1"/>
  <c r="A96" s="1"/>
  <c r="I96" s="1"/>
  <c r="BA95"/>
  <c r="AZ95"/>
  <c r="AY95"/>
  <c r="AX95"/>
  <c r="AW95"/>
  <c r="AV95"/>
  <c r="AU95"/>
  <c r="AT95"/>
  <c r="AS95"/>
  <c r="AR95"/>
  <c r="AQ95"/>
  <c r="AP95"/>
  <c r="AO95"/>
  <c r="AN95"/>
  <c r="AM95"/>
  <c r="AL95"/>
  <c r="AK95"/>
  <c r="AJ95"/>
  <c r="AI95"/>
  <c r="AH95"/>
  <c r="AG95"/>
  <c r="AF95"/>
  <c r="AE95"/>
  <c r="AD95"/>
  <c r="AC95"/>
  <c r="AB95"/>
  <c r="AA95"/>
  <c r="Z95"/>
  <c r="Y95"/>
  <c r="X95"/>
  <c r="W95"/>
  <c r="V95"/>
  <c r="U95"/>
  <c r="T95"/>
  <c r="S95"/>
  <c r="R95"/>
  <c r="Q95"/>
  <c r="P95"/>
  <c r="O95"/>
  <c r="N95"/>
  <c r="M95"/>
  <c r="L95"/>
  <c r="K95"/>
  <c r="J95"/>
  <c r="A95" a="1"/>
  <c r="A95" s="1"/>
  <c r="I95" s="1"/>
  <c r="BA94"/>
  <c r="AZ94"/>
  <c r="AY94"/>
  <c r="AX94"/>
  <c r="AW94"/>
  <c r="AV94"/>
  <c r="AU94"/>
  <c r="AT94"/>
  <c r="AS94"/>
  <c r="AR94"/>
  <c r="AQ94"/>
  <c r="AP94"/>
  <c r="AO94"/>
  <c r="AN94"/>
  <c r="AM94"/>
  <c r="AL94"/>
  <c r="AK94"/>
  <c r="AJ94"/>
  <c r="AI94"/>
  <c r="AH94"/>
  <c r="AG94"/>
  <c r="AF94"/>
  <c r="AE94"/>
  <c r="AD94"/>
  <c r="AC94"/>
  <c r="AB94"/>
  <c r="AA94"/>
  <c r="Z94"/>
  <c r="Y94"/>
  <c r="X94"/>
  <c r="W94"/>
  <c r="V94"/>
  <c r="U94"/>
  <c r="T94"/>
  <c r="S94"/>
  <c r="R94"/>
  <c r="Q94"/>
  <c r="P94"/>
  <c r="O94"/>
  <c r="N94"/>
  <c r="M94"/>
  <c r="L94"/>
  <c r="K94"/>
  <c r="J94"/>
  <c r="A94" a="1"/>
  <c r="A94" s="1"/>
  <c r="I94" s="1"/>
  <c r="BA93"/>
  <c r="AZ93"/>
  <c r="AY93"/>
  <c r="AX93"/>
  <c r="AW93"/>
  <c r="AV93"/>
  <c r="AU93"/>
  <c r="AT93"/>
  <c r="AS93"/>
  <c r="AR93"/>
  <c r="AQ93"/>
  <c r="AP93"/>
  <c r="AO93"/>
  <c r="AN93"/>
  <c r="AM93"/>
  <c r="AL93"/>
  <c r="AK93"/>
  <c r="AJ93"/>
  <c r="AI93"/>
  <c r="AH93"/>
  <c r="AG93"/>
  <c r="AF93"/>
  <c r="AE93"/>
  <c r="AD93"/>
  <c r="AC93"/>
  <c r="AB93"/>
  <c r="AA93"/>
  <c r="Z93"/>
  <c r="Y93"/>
  <c r="X93"/>
  <c r="W93"/>
  <c r="V93"/>
  <c r="U93"/>
  <c r="T93"/>
  <c r="S93"/>
  <c r="R93"/>
  <c r="Q93"/>
  <c r="P93"/>
  <c r="O93"/>
  <c r="N93"/>
  <c r="M93"/>
  <c r="L93"/>
  <c r="K93"/>
  <c r="J93"/>
  <c r="A93" a="1"/>
  <c r="A93" s="1"/>
  <c r="I93" s="1"/>
  <c r="BA92"/>
  <c r="AZ92"/>
  <c r="AY92"/>
  <c r="AX92"/>
  <c r="AW92"/>
  <c r="AV92"/>
  <c r="AU92"/>
  <c r="AT92"/>
  <c r="AS92"/>
  <c r="AR92"/>
  <c r="AQ92"/>
  <c r="AP92"/>
  <c r="AO92"/>
  <c r="AN92"/>
  <c r="AM92"/>
  <c r="AL92"/>
  <c r="AK92"/>
  <c r="AJ92"/>
  <c r="AI92"/>
  <c r="AH92"/>
  <c r="AG92"/>
  <c r="AF92"/>
  <c r="AE92"/>
  <c r="AD92"/>
  <c r="AC92"/>
  <c r="AB92"/>
  <c r="AA92"/>
  <c r="Z92"/>
  <c r="Y92"/>
  <c r="X92"/>
  <c r="W92"/>
  <c r="V92"/>
  <c r="U92"/>
  <c r="T92"/>
  <c r="S92"/>
  <c r="R92"/>
  <c r="Q92"/>
  <c r="P92"/>
  <c r="O92"/>
  <c r="N92"/>
  <c r="M92"/>
  <c r="L92"/>
  <c r="K92"/>
  <c r="J92"/>
  <c r="A92" a="1"/>
  <c r="A92" s="1"/>
  <c r="I92" s="1"/>
  <c r="BA91"/>
  <c r="AZ91"/>
  <c r="AY91"/>
  <c r="AX91"/>
  <c r="AW91"/>
  <c r="AV91"/>
  <c r="AU91"/>
  <c r="AT91"/>
  <c r="AS91"/>
  <c r="AR91"/>
  <c r="AQ91"/>
  <c r="AP91"/>
  <c r="AO91"/>
  <c r="AN91"/>
  <c r="AM91"/>
  <c r="AL91"/>
  <c r="AK91"/>
  <c r="AJ91"/>
  <c r="AI91"/>
  <c r="AH91"/>
  <c r="AG91"/>
  <c r="AF91"/>
  <c r="AE91"/>
  <c r="AD91"/>
  <c r="AC91"/>
  <c r="AB91"/>
  <c r="AA91"/>
  <c r="Z91"/>
  <c r="Y91"/>
  <c r="X91"/>
  <c r="W91"/>
  <c r="V91"/>
  <c r="U91"/>
  <c r="T91"/>
  <c r="S91"/>
  <c r="R91"/>
  <c r="Q91"/>
  <c r="P91"/>
  <c r="O91"/>
  <c r="N91"/>
  <c r="M91"/>
  <c r="L91"/>
  <c r="K91"/>
  <c r="J91"/>
  <c r="A91" a="1"/>
  <c r="A91" s="1"/>
  <c r="I91" s="1"/>
  <c r="BA90"/>
  <c r="AZ90"/>
  <c r="AY90"/>
  <c r="AX90"/>
  <c r="AW90"/>
  <c r="AV90"/>
  <c r="AU90"/>
  <c r="AT90"/>
  <c r="AS90"/>
  <c r="AR90"/>
  <c r="AQ90"/>
  <c r="AP90"/>
  <c r="AO90"/>
  <c r="AN90"/>
  <c r="AM90"/>
  <c r="AL90"/>
  <c r="AK90"/>
  <c r="AJ90"/>
  <c r="AI90"/>
  <c r="AH90"/>
  <c r="AG90"/>
  <c r="AF90"/>
  <c r="AE90"/>
  <c r="AD90"/>
  <c r="AC90"/>
  <c r="AB90"/>
  <c r="AA90"/>
  <c r="Z90"/>
  <c r="Y90"/>
  <c r="X90"/>
  <c r="W90"/>
  <c r="V90"/>
  <c r="U90"/>
  <c r="T90"/>
  <c r="S90"/>
  <c r="R90"/>
  <c r="Q90"/>
  <c r="P90"/>
  <c r="O90"/>
  <c r="N90"/>
  <c r="M90"/>
  <c r="L90"/>
  <c r="K90"/>
  <c r="J90"/>
  <c r="A90" a="1"/>
  <c r="A90" s="1"/>
  <c r="I90" s="1"/>
  <c r="BA89"/>
  <c r="AZ89"/>
  <c r="AY89"/>
  <c r="AX89"/>
  <c r="AW89"/>
  <c r="AV89"/>
  <c r="AU89"/>
  <c r="AT89"/>
  <c r="AS89"/>
  <c r="AR89"/>
  <c r="AQ89"/>
  <c r="AP89"/>
  <c r="AO89"/>
  <c r="AN89"/>
  <c r="AM89"/>
  <c r="AL89"/>
  <c r="AK89"/>
  <c r="AJ89"/>
  <c r="AI89"/>
  <c r="AH89"/>
  <c r="AG89"/>
  <c r="AF89"/>
  <c r="AE89"/>
  <c r="AD89"/>
  <c r="AC89"/>
  <c r="AB89"/>
  <c r="AA89"/>
  <c r="Z89"/>
  <c r="Y89"/>
  <c r="X89"/>
  <c r="W89"/>
  <c r="V89"/>
  <c r="U89"/>
  <c r="T89"/>
  <c r="S89"/>
  <c r="R89"/>
  <c r="Q89"/>
  <c r="P89"/>
  <c r="O89"/>
  <c r="N89"/>
  <c r="M89"/>
  <c r="L89"/>
  <c r="K89"/>
  <c r="J89"/>
  <c r="A89" a="1"/>
  <c r="A89" s="1"/>
  <c r="I89" s="1"/>
  <c r="BA88"/>
  <c r="AZ88"/>
  <c r="AY88"/>
  <c r="AX88"/>
  <c r="AW88"/>
  <c r="AV88"/>
  <c r="AU88"/>
  <c r="AT88"/>
  <c r="AS88"/>
  <c r="AR88"/>
  <c r="AQ88"/>
  <c r="AP88"/>
  <c r="AO88"/>
  <c r="AN88"/>
  <c r="AM88"/>
  <c r="AL88"/>
  <c r="AK88"/>
  <c r="AJ88"/>
  <c r="AI88"/>
  <c r="AH88"/>
  <c r="AG88"/>
  <c r="AF88"/>
  <c r="AE88"/>
  <c r="AD88"/>
  <c r="AC88"/>
  <c r="AB88"/>
  <c r="AA88"/>
  <c r="Z88"/>
  <c r="Y88"/>
  <c r="X88"/>
  <c r="W88"/>
  <c r="V88"/>
  <c r="U88"/>
  <c r="T88"/>
  <c r="S88"/>
  <c r="R88"/>
  <c r="Q88"/>
  <c r="P88"/>
  <c r="O88"/>
  <c r="N88"/>
  <c r="M88"/>
  <c r="L88"/>
  <c r="K88"/>
  <c r="J88"/>
  <c r="A88" a="1"/>
  <c r="A88" s="1"/>
  <c r="I88" s="1"/>
  <c r="BA87"/>
  <c r="AZ87"/>
  <c r="AY87"/>
  <c r="AX87"/>
  <c r="AW87"/>
  <c r="AV87"/>
  <c r="AU87"/>
  <c r="AT87"/>
  <c r="AS87"/>
  <c r="AR87"/>
  <c r="AQ87"/>
  <c r="AP87"/>
  <c r="AO87"/>
  <c r="AN87"/>
  <c r="AM87"/>
  <c r="AL87"/>
  <c r="AK87"/>
  <c r="AJ87"/>
  <c r="AI87"/>
  <c r="AH87"/>
  <c r="AG87"/>
  <c r="AF87"/>
  <c r="AE87"/>
  <c r="AD87"/>
  <c r="AC87"/>
  <c r="AB87"/>
  <c r="AA87"/>
  <c r="Z87"/>
  <c r="Y87"/>
  <c r="X87"/>
  <c r="W87"/>
  <c r="V87"/>
  <c r="U87"/>
  <c r="T87"/>
  <c r="S87"/>
  <c r="R87"/>
  <c r="Q87"/>
  <c r="P87"/>
  <c r="O87"/>
  <c r="N87"/>
  <c r="M87"/>
  <c r="L87"/>
  <c r="K87"/>
  <c r="J87"/>
  <c r="A87" a="1"/>
  <c r="A87" s="1"/>
  <c r="I87" s="1"/>
  <c r="BA86"/>
  <c r="AZ86"/>
  <c r="AY86"/>
  <c r="AX86"/>
  <c r="AW86"/>
  <c r="AV86"/>
  <c r="AU86"/>
  <c r="AT86"/>
  <c r="AS86"/>
  <c r="AR86"/>
  <c r="AQ86"/>
  <c r="AP86"/>
  <c r="AO86"/>
  <c r="AN86"/>
  <c r="AM86"/>
  <c r="AL86"/>
  <c r="AK86"/>
  <c r="AJ86"/>
  <c r="AI86"/>
  <c r="AH86"/>
  <c r="AG86"/>
  <c r="AF86"/>
  <c r="AE86"/>
  <c r="AD86"/>
  <c r="AC86"/>
  <c r="AB86"/>
  <c r="AA86"/>
  <c r="Z86"/>
  <c r="Y86"/>
  <c r="X86"/>
  <c r="W86"/>
  <c r="V86"/>
  <c r="U86"/>
  <c r="T86"/>
  <c r="S86"/>
  <c r="R86"/>
  <c r="Q86"/>
  <c r="P86"/>
  <c r="O86"/>
  <c r="N86"/>
  <c r="M86"/>
  <c r="L86"/>
  <c r="K86"/>
  <c r="J86"/>
  <c r="A86" a="1"/>
  <c r="A86" s="1"/>
  <c r="I86" s="1"/>
  <c r="BA85"/>
  <c r="AZ85"/>
  <c r="AY85"/>
  <c r="AX85"/>
  <c r="AW85"/>
  <c r="AV85"/>
  <c r="AU85"/>
  <c r="AT85"/>
  <c r="AS85"/>
  <c r="AR85"/>
  <c r="AQ85"/>
  <c r="AP85"/>
  <c r="AO85"/>
  <c r="AN85"/>
  <c r="AM85"/>
  <c r="AL85"/>
  <c r="AK85"/>
  <c r="AJ85"/>
  <c r="AI85"/>
  <c r="AH85"/>
  <c r="AG85"/>
  <c r="AF85"/>
  <c r="AE85"/>
  <c r="AD85"/>
  <c r="AC85"/>
  <c r="AB85"/>
  <c r="AA85"/>
  <c r="Z85"/>
  <c r="Y85"/>
  <c r="X85"/>
  <c r="W85"/>
  <c r="V85"/>
  <c r="U85"/>
  <c r="T85"/>
  <c r="S85"/>
  <c r="R85"/>
  <c r="Q85"/>
  <c r="P85"/>
  <c r="O85"/>
  <c r="N85"/>
  <c r="M85"/>
  <c r="L85"/>
  <c r="K85"/>
  <c r="J85"/>
  <c r="A85" a="1"/>
  <c r="A85" s="1"/>
  <c r="I85" s="1"/>
  <c r="BA84"/>
  <c r="AZ84"/>
  <c r="AY84"/>
  <c r="AX84"/>
  <c r="AW84"/>
  <c r="AV84"/>
  <c r="AU84"/>
  <c r="AT84"/>
  <c r="AS84"/>
  <c r="AR84"/>
  <c r="AQ84"/>
  <c r="AP84"/>
  <c r="AO84"/>
  <c r="AN84"/>
  <c r="AM84"/>
  <c r="AL84"/>
  <c r="AK84"/>
  <c r="AJ84"/>
  <c r="AI84"/>
  <c r="AH84"/>
  <c r="AG84"/>
  <c r="AF84"/>
  <c r="AE84"/>
  <c r="AD84"/>
  <c r="AC84"/>
  <c r="AB84"/>
  <c r="AA84"/>
  <c r="Z84"/>
  <c r="Y84"/>
  <c r="X84"/>
  <c r="W84"/>
  <c r="V84"/>
  <c r="U84"/>
  <c r="T84"/>
  <c r="S84"/>
  <c r="R84"/>
  <c r="Q84"/>
  <c r="P84"/>
  <c r="O84"/>
  <c r="N84"/>
  <c r="M84"/>
  <c r="L84"/>
  <c r="K84"/>
  <c r="J84"/>
  <c r="A84" a="1"/>
  <c r="A84" s="1"/>
  <c r="I84" s="1"/>
  <c r="BA83"/>
  <c r="AZ83"/>
  <c r="AY83"/>
  <c r="AX83"/>
  <c r="AW83"/>
  <c r="AV83"/>
  <c r="AU83"/>
  <c r="AT83"/>
  <c r="AS83"/>
  <c r="AR83"/>
  <c r="AQ83"/>
  <c r="AP83"/>
  <c r="AO83"/>
  <c r="AN83"/>
  <c r="AM83"/>
  <c r="AL83"/>
  <c r="AK83"/>
  <c r="AJ83"/>
  <c r="AI83"/>
  <c r="AH83"/>
  <c r="AG83"/>
  <c r="AF83"/>
  <c r="AE83"/>
  <c r="AD83"/>
  <c r="AC83"/>
  <c r="AB83"/>
  <c r="AA83"/>
  <c r="Z83"/>
  <c r="Y83"/>
  <c r="X83"/>
  <c r="W83"/>
  <c r="V83"/>
  <c r="U83"/>
  <c r="T83"/>
  <c r="S83"/>
  <c r="R83"/>
  <c r="Q83"/>
  <c r="P83"/>
  <c r="O83"/>
  <c r="N83"/>
  <c r="M83"/>
  <c r="L83"/>
  <c r="K83"/>
  <c r="J83"/>
  <c r="A83" a="1"/>
  <c r="A83" s="1"/>
  <c r="I83" s="1"/>
  <c r="BA82"/>
  <c r="AZ82"/>
  <c r="AY82"/>
  <c r="AX82"/>
  <c r="AW82"/>
  <c r="AV82"/>
  <c r="AU82"/>
  <c r="AT82"/>
  <c r="AS82"/>
  <c r="AR82"/>
  <c r="AQ82"/>
  <c r="AP82"/>
  <c r="AO82"/>
  <c r="AN82"/>
  <c r="AM82"/>
  <c r="AL82"/>
  <c r="AK82"/>
  <c r="AJ82"/>
  <c r="AI82"/>
  <c r="AH82"/>
  <c r="AG82"/>
  <c r="AF82"/>
  <c r="AE82"/>
  <c r="AD82"/>
  <c r="AC82"/>
  <c r="AB82"/>
  <c r="AA82"/>
  <c r="Z82"/>
  <c r="Y82"/>
  <c r="X82"/>
  <c r="W82"/>
  <c r="V82"/>
  <c r="U82"/>
  <c r="T82"/>
  <c r="S82"/>
  <c r="R82"/>
  <c r="Q82"/>
  <c r="P82"/>
  <c r="O82"/>
  <c r="N82"/>
  <c r="M82"/>
  <c r="L82"/>
  <c r="K82"/>
  <c r="J82"/>
  <c r="A82" a="1"/>
  <c r="A82" s="1"/>
  <c r="I82" s="1"/>
  <c r="BA81"/>
  <c r="AZ81"/>
  <c r="AY81"/>
  <c r="AX81"/>
  <c r="AW81"/>
  <c r="AV81"/>
  <c r="AU81"/>
  <c r="AT81"/>
  <c r="AS81"/>
  <c r="AR81"/>
  <c r="AQ81"/>
  <c r="AP81"/>
  <c r="AO81"/>
  <c r="AN81"/>
  <c r="AM81"/>
  <c r="AL81"/>
  <c r="AK81"/>
  <c r="AJ81"/>
  <c r="AI81"/>
  <c r="AH81"/>
  <c r="AG81"/>
  <c r="AF81"/>
  <c r="AE81"/>
  <c r="AD81"/>
  <c r="AC81"/>
  <c r="AB81"/>
  <c r="AA81"/>
  <c r="Z81"/>
  <c r="Y81"/>
  <c r="X81"/>
  <c r="W81"/>
  <c r="V81"/>
  <c r="U81"/>
  <c r="T81"/>
  <c r="S81"/>
  <c r="R81"/>
  <c r="Q81"/>
  <c r="P81"/>
  <c r="O81"/>
  <c r="N81"/>
  <c r="M81"/>
  <c r="L81"/>
  <c r="K81"/>
  <c r="J81"/>
  <c r="A81" a="1"/>
  <c r="A81" s="1"/>
  <c r="I81" s="1"/>
  <c r="BA80"/>
  <c r="AZ80"/>
  <c r="AY80"/>
  <c r="AX80"/>
  <c r="AW80"/>
  <c r="AV80"/>
  <c r="AU80"/>
  <c r="AT80"/>
  <c r="AS80"/>
  <c r="AR80"/>
  <c r="AQ80"/>
  <c r="AP80"/>
  <c r="AO80"/>
  <c r="AN80"/>
  <c r="AM80"/>
  <c r="AL80"/>
  <c r="AK80"/>
  <c r="AJ80"/>
  <c r="AI80"/>
  <c r="AH80"/>
  <c r="AG80"/>
  <c r="AF80"/>
  <c r="AE80"/>
  <c r="AD80"/>
  <c r="AC80"/>
  <c r="AB80"/>
  <c r="AA80"/>
  <c r="Z80"/>
  <c r="Y80"/>
  <c r="X80"/>
  <c r="W80"/>
  <c r="V80"/>
  <c r="U80"/>
  <c r="T80"/>
  <c r="S80"/>
  <c r="R80"/>
  <c r="Q80"/>
  <c r="P80"/>
  <c r="O80"/>
  <c r="N80"/>
  <c r="M80"/>
  <c r="L80"/>
  <c r="K80"/>
  <c r="J80"/>
  <c r="A80" a="1"/>
  <c r="A80" s="1"/>
  <c r="I80" s="1"/>
  <c r="BA79"/>
  <c r="AZ79"/>
  <c r="AY79"/>
  <c r="AX79"/>
  <c r="AW79"/>
  <c r="AV79"/>
  <c r="AU79"/>
  <c r="AT79"/>
  <c r="AS79"/>
  <c r="AR79"/>
  <c r="AQ79"/>
  <c r="AP79"/>
  <c r="AO79"/>
  <c r="AN79"/>
  <c r="AM79"/>
  <c r="AL79"/>
  <c r="AK79"/>
  <c r="AJ79"/>
  <c r="AI79"/>
  <c r="AH79"/>
  <c r="AG79"/>
  <c r="AF79"/>
  <c r="AE79"/>
  <c r="AD79"/>
  <c r="AC79"/>
  <c r="AB79"/>
  <c r="AA79"/>
  <c r="Z79"/>
  <c r="Y79"/>
  <c r="X79"/>
  <c r="W79"/>
  <c r="V79"/>
  <c r="U79"/>
  <c r="T79"/>
  <c r="S79"/>
  <c r="R79"/>
  <c r="Q79"/>
  <c r="P79"/>
  <c r="O79"/>
  <c r="N79"/>
  <c r="M79"/>
  <c r="L79"/>
  <c r="K79"/>
  <c r="J79"/>
  <c r="A79" a="1"/>
  <c r="A79" s="1"/>
  <c r="I79" s="1"/>
  <c r="BA78"/>
  <c r="AZ78"/>
  <c r="AY78"/>
  <c r="AX78"/>
  <c r="AW78"/>
  <c r="AV78"/>
  <c r="AU78"/>
  <c r="AT78"/>
  <c r="AS78"/>
  <c r="AR78"/>
  <c r="AQ78"/>
  <c r="AP78"/>
  <c r="AO78"/>
  <c r="AN78"/>
  <c r="AM78"/>
  <c r="AL78"/>
  <c r="AK78"/>
  <c r="AJ78"/>
  <c r="AI78"/>
  <c r="AH78"/>
  <c r="AG78"/>
  <c r="AF78"/>
  <c r="AE78"/>
  <c r="AD78"/>
  <c r="AC78"/>
  <c r="AB78"/>
  <c r="AA78"/>
  <c r="Z78"/>
  <c r="Y78"/>
  <c r="X78"/>
  <c r="W78"/>
  <c r="V78"/>
  <c r="U78"/>
  <c r="T78"/>
  <c r="S78"/>
  <c r="R78"/>
  <c r="Q78"/>
  <c r="P78"/>
  <c r="O78"/>
  <c r="N78"/>
  <c r="M78"/>
  <c r="L78"/>
  <c r="K78"/>
  <c r="J78"/>
  <c r="A78" a="1"/>
  <c r="A78" s="1"/>
  <c r="I78" s="1"/>
  <c r="BA77"/>
  <c r="AZ77"/>
  <c r="AY77"/>
  <c r="AX77"/>
  <c r="AW77"/>
  <c r="AV77"/>
  <c r="AU77"/>
  <c r="AT77"/>
  <c r="AS77"/>
  <c r="AR77"/>
  <c r="AQ77"/>
  <c r="AP77"/>
  <c r="AO77"/>
  <c r="AN77"/>
  <c r="AM77"/>
  <c r="AL77"/>
  <c r="AK77"/>
  <c r="AJ77"/>
  <c r="AI77"/>
  <c r="AH77"/>
  <c r="AG77"/>
  <c r="AF77"/>
  <c r="AE77"/>
  <c r="AD77"/>
  <c r="AC77"/>
  <c r="AB77"/>
  <c r="AA77"/>
  <c r="Z77"/>
  <c r="Y77"/>
  <c r="X77"/>
  <c r="W77"/>
  <c r="V77"/>
  <c r="U77"/>
  <c r="T77"/>
  <c r="S77"/>
  <c r="R77"/>
  <c r="Q77"/>
  <c r="P77"/>
  <c r="O77"/>
  <c r="N77"/>
  <c r="M77"/>
  <c r="L77"/>
  <c r="K77"/>
  <c r="J77"/>
  <c r="A77" a="1"/>
  <c r="A77" s="1"/>
  <c r="I77" s="1"/>
  <c r="BA76"/>
  <c r="AZ76"/>
  <c r="AY76"/>
  <c r="AX76"/>
  <c r="AW76"/>
  <c r="AV76"/>
  <c r="AU76"/>
  <c r="AT76"/>
  <c r="AS76"/>
  <c r="AR76"/>
  <c r="AQ76"/>
  <c r="AP76"/>
  <c r="AO76"/>
  <c r="AN76"/>
  <c r="AM76"/>
  <c r="AL76"/>
  <c r="AK76"/>
  <c r="AJ76"/>
  <c r="AI76"/>
  <c r="AH76"/>
  <c r="AG76"/>
  <c r="AF76"/>
  <c r="AE76"/>
  <c r="AD76"/>
  <c r="AC76"/>
  <c r="AB76"/>
  <c r="AA76"/>
  <c r="Z76"/>
  <c r="Y76"/>
  <c r="X76"/>
  <c r="W76"/>
  <c r="V76"/>
  <c r="U76"/>
  <c r="T76"/>
  <c r="S76"/>
  <c r="R76"/>
  <c r="Q76"/>
  <c r="P76"/>
  <c r="O76"/>
  <c r="N76"/>
  <c r="M76"/>
  <c r="L76"/>
  <c r="K76"/>
  <c r="J76"/>
  <c r="A76" a="1"/>
  <c r="A76" s="1"/>
  <c r="I76" s="1"/>
  <c r="BA75"/>
  <c r="AZ75"/>
  <c r="AY75"/>
  <c r="AX75"/>
  <c r="AW75"/>
  <c r="AV75"/>
  <c r="AU75"/>
  <c r="AT75"/>
  <c r="AS75"/>
  <c r="AR75"/>
  <c r="AQ75"/>
  <c r="AP75"/>
  <c r="AO75"/>
  <c r="AN75"/>
  <c r="AM75"/>
  <c r="AL75"/>
  <c r="AK75"/>
  <c r="AJ75"/>
  <c r="AI75"/>
  <c r="AH75"/>
  <c r="AG75"/>
  <c r="AF75"/>
  <c r="AE75"/>
  <c r="AD75"/>
  <c r="AC75"/>
  <c r="AB75"/>
  <c r="AA75"/>
  <c r="Z75"/>
  <c r="Y75"/>
  <c r="X75"/>
  <c r="W75"/>
  <c r="V75"/>
  <c r="U75"/>
  <c r="T75"/>
  <c r="S75"/>
  <c r="R75"/>
  <c r="Q75"/>
  <c r="P75"/>
  <c r="O75"/>
  <c r="N75"/>
  <c r="M75"/>
  <c r="L75"/>
  <c r="K75"/>
  <c r="J75"/>
  <c r="A75" a="1"/>
  <c r="A75" s="1"/>
  <c r="I75" s="1"/>
  <c r="BA74"/>
  <c r="AZ74"/>
  <c r="AY74"/>
  <c r="AX74"/>
  <c r="AW74"/>
  <c r="AV74"/>
  <c r="AU74"/>
  <c r="AT74"/>
  <c r="AS74"/>
  <c r="AR74"/>
  <c r="AQ74"/>
  <c r="AP74"/>
  <c r="AO74"/>
  <c r="AN74"/>
  <c r="AM74"/>
  <c r="AL74"/>
  <c r="AK74"/>
  <c r="AJ74"/>
  <c r="AI74"/>
  <c r="AH74"/>
  <c r="AG74"/>
  <c r="AF74"/>
  <c r="AE74"/>
  <c r="AD74"/>
  <c r="AC74"/>
  <c r="AB74"/>
  <c r="AA74"/>
  <c r="Z74"/>
  <c r="Y74"/>
  <c r="X74"/>
  <c r="W74"/>
  <c r="V74"/>
  <c r="U74"/>
  <c r="T74"/>
  <c r="S74"/>
  <c r="R74"/>
  <c r="Q74"/>
  <c r="P74"/>
  <c r="O74"/>
  <c r="N74"/>
  <c r="M74"/>
  <c r="L74"/>
  <c r="K74"/>
  <c r="J74"/>
  <c r="A74" a="1"/>
  <c r="A74" s="1"/>
  <c r="I74" s="1"/>
  <c r="BA73"/>
  <c r="AZ73"/>
  <c r="AY73"/>
  <c r="AX73"/>
  <c r="AW73"/>
  <c r="AV73"/>
  <c r="AU73"/>
  <c r="AT73"/>
  <c r="AS73"/>
  <c r="AR73"/>
  <c r="AQ73"/>
  <c r="AP73"/>
  <c r="AO73"/>
  <c r="AN73"/>
  <c r="AM73"/>
  <c r="AL73"/>
  <c r="AK73"/>
  <c r="AJ73"/>
  <c r="AI73"/>
  <c r="AH73"/>
  <c r="AG73"/>
  <c r="AF73"/>
  <c r="AE73"/>
  <c r="AD73"/>
  <c r="AC73"/>
  <c r="AB73"/>
  <c r="AA73"/>
  <c r="Z73"/>
  <c r="Y73"/>
  <c r="X73"/>
  <c r="W73"/>
  <c r="V73"/>
  <c r="U73"/>
  <c r="T73"/>
  <c r="S73"/>
  <c r="R73"/>
  <c r="Q73"/>
  <c r="P73"/>
  <c r="O73"/>
  <c r="N73"/>
  <c r="M73"/>
  <c r="L73"/>
  <c r="K73"/>
  <c r="J73"/>
  <c r="A73" a="1"/>
  <c r="A73" s="1"/>
  <c r="I73" s="1"/>
  <c r="BA72"/>
  <c r="AZ72"/>
  <c r="AY72"/>
  <c r="AX72"/>
  <c r="AW72"/>
  <c r="AV72"/>
  <c r="AU72"/>
  <c r="AT72"/>
  <c r="AS72"/>
  <c r="AR72"/>
  <c r="AQ72"/>
  <c r="AP72"/>
  <c r="AO72"/>
  <c r="AN72"/>
  <c r="AM72"/>
  <c r="AL72"/>
  <c r="AK72"/>
  <c r="AJ72"/>
  <c r="AI72"/>
  <c r="AH72"/>
  <c r="AG72"/>
  <c r="AF72"/>
  <c r="AE72"/>
  <c r="AD72"/>
  <c r="AC72"/>
  <c r="AB72"/>
  <c r="AA72"/>
  <c r="Z72"/>
  <c r="Y72"/>
  <c r="X72"/>
  <c r="W72"/>
  <c r="V72"/>
  <c r="U72"/>
  <c r="T72"/>
  <c r="S72"/>
  <c r="R72"/>
  <c r="Q72"/>
  <c r="P72"/>
  <c r="O72"/>
  <c r="N72"/>
  <c r="M72"/>
  <c r="L72"/>
  <c r="K72"/>
  <c r="J72"/>
  <c r="A72" a="1"/>
  <c r="A72" s="1"/>
  <c r="I72" s="1"/>
  <c r="BA71"/>
  <c r="AZ71"/>
  <c r="AY71"/>
  <c r="AX71"/>
  <c r="AW71"/>
  <c r="AV71"/>
  <c r="AU71"/>
  <c r="AT71"/>
  <c r="AS71"/>
  <c r="AR71"/>
  <c r="AQ71"/>
  <c r="AP71"/>
  <c r="AO71"/>
  <c r="AN71"/>
  <c r="AM71"/>
  <c r="AL71"/>
  <c r="AK71"/>
  <c r="AJ71"/>
  <c r="AI71"/>
  <c r="AH71"/>
  <c r="AG71"/>
  <c r="AF71"/>
  <c r="AE71"/>
  <c r="AD71"/>
  <c r="AC71"/>
  <c r="AB71"/>
  <c r="AA71"/>
  <c r="Z71"/>
  <c r="Y71"/>
  <c r="X71"/>
  <c r="W71"/>
  <c r="V71"/>
  <c r="U71"/>
  <c r="T71"/>
  <c r="S71"/>
  <c r="R71"/>
  <c r="Q71"/>
  <c r="P71"/>
  <c r="O71"/>
  <c r="N71"/>
  <c r="M71"/>
  <c r="L71"/>
  <c r="K71"/>
  <c r="J71"/>
  <c r="A71" a="1"/>
  <c r="A71" s="1"/>
  <c r="I71" s="1"/>
  <c r="BA70"/>
  <c r="AZ70"/>
  <c r="AY70"/>
  <c r="AX70"/>
  <c r="AW70"/>
  <c r="AV70"/>
  <c r="AU70"/>
  <c r="AT70"/>
  <c r="AS70"/>
  <c r="AR70"/>
  <c r="AQ70"/>
  <c r="AP70"/>
  <c r="AO70"/>
  <c r="AN70"/>
  <c r="AM70"/>
  <c r="AL70"/>
  <c r="AK70"/>
  <c r="AJ70"/>
  <c r="AI70"/>
  <c r="AH70"/>
  <c r="AG70"/>
  <c r="AF70"/>
  <c r="AE70"/>
  <c r="AD70"/>
  <c r="AC70"/>
  <c r="AB70"/>
  <c r="AA70"/>
  <c r="Z70"/>
  <c r="Y70"/>
  <c r="X70"/>
  <c r="W70"/>
  <c r="V70"/>
  <c r="U70"/>
  <c r="T70"/>
  <c r="S70"/>
  <c r="R70"/>
  <c r="Q70"/>
  <c r="P70"/>
  <c r="O70"/>
  <c r="N70"/>
  <c r="M70"/>
  <c r="L70"/>
  <c r="K70"/>
  <c r="J70"/>
  <c r="A70" a="1"/>
  <c r="A70" s="1"/>
  <c r="I70" s="1"/>
  <c r="BA69"/>
  <c r="AZ69"/>
  <c r="AY69"/>
  <c r="AX69"/>
  <c r="AW69"/>
  <c r="AV69"/>
  <c r="AU69"/>
  <c r="AT69"/>
  <c r="AS69"/>
  <c r="AR69"/>
  <c r="AQ69"/>
  <c r="AP69"/>
  <c r="AO69"/>
  <c r="AN69"/>
  <c r="AM69"/>
  <c r="AL69"/>
  <c r="AK69"/>
  <c r="AJ69"/>
  <c r="AI69"/>
  <c r="AH69"/>
  <c r="AG69"/>
  <c r="AF69"/>
  <c r="AE69"/>
  <c r="AD69"/>
  <c r="AC69"/>
  <c r="AB69"/>
  <c r="AA69"/>
  <c r="Z69"/>
  <c r="Y69"/>
  <c r="X69"/>
  <c r="W69"/>
  <c r="V69"/>
  <c r="U69"/>
  <c r="T69"/>
  <c r="S69"/>
  <c r="R69"/>
  <c r="Q69"/>
  <c r="P69"/>
  <c r="O69"/>
  <c r="N69"/>
  <c r="M69"/>
  <c r="L69"/>
  <c r="K69"/>
  <c r="J69"/>
  <c r="A69" a="1"/>
  <c r="A69" s="1"/>
  <c r="I69" s="1"/>
  <c r="BA68"/>
  <c r="AZ68"/>
  <c r="AY68"/>
  <c r="AX68"/>
  <c r="AW68"/>
  <c r="AV68"/>
  <c r="AU68"/>
  <c r="AT68"/>
  <c r="AS68"/>
  <c r="AR68"/>
  <c r="AQ68"/>
  <c r="AP68"/>
  <c r="AO68"/>
  <c r="AN68"/>
  <c r="AM68"/>
  <c r="AL68"/>
  <c r="AK68"/>
  <c r="AJ68"/>
  <c r="AI68"/>
  <c r="AH68"/>
  <c r="AG68"/>
  <c r="AF68"/>
  <c r="AE68"/>
  <c r="AD68"/>
  <c r="AC68"/>
  <c r="AB68"/>
  <c r="AA68"/>
  <c r="Z68"/>
  <c r="Y68"/>
  <c r="X68"/>
  <c r="W68"/>
  <c r="V68"/>
  <c r="U68"/>
  <c r="T68"/>
  <c r="S68"/>
  <c r="R68"/>
  <c r="Q68"/>
  <c r="P68"/>
  <c r="O68"/>
  <c r="N68"/>
  <c r="M68"/>
  <c r="L68"/>
  <c r="K68"/>
  <c r="J68"/>
  <c r="A68" a="1"/>
  <c r="A68" s="1"/>
  <c r="I68" s="1"/>
  <c r="BA67"/>
  <c r="AZ67"/>
  <c r="AY67"/>
  <c r="AX67"/>
  <c r="AW67"/>
  <c r="AV67"/>
  <c r="AU67"/>
  <c r="AT67"/>
  <c r="AS67"/>
  <c r="AR67"/>
  <c r="AQ67"/>
  <c r="AP67"/>
  <c r="AO67"/>
  <c r="AN67"/>
  <c r="AM67"/>
  <c r="AL67"/>
  <c r="AK67"/>
  <c r="AJ67"/>
  <c r="AI67"/>
  <c r="AH67"/>
  <c r="AG67"/>
  <c r="AF67"/>
  <c r="AE67"/>
  <c r="AD67"/>
  <c r="AC67"/>
  <c r="AB67"/>
  <c r="AA67"/>
  <c r="Z67"/>
  <c r="Y67"/>
  <c r="X67"/>
  <c r="W67"/>
  <c r="V67"/>
  <c r="U67"/>
  <c r="T67"/>
  <c r="S67"/>
  <c r="R67"/>
  <c r="Q67"/>
  <c r="P67"/>
  <c r="O67"/>
  <c r="N67"/>
  <c r="M67"/>
  <c r="L67"/>
  <c r="K67"/>
  <c r="J67"/>
  <c r="A67" a="1"/>
  <c r="A67" s="1"/>
  <c r="I67" s="1"/>
  <c r="BA66"/>
  <c r="AZ66"/>
  <c r="AY66"/>
  <c r="AX66"/>
  <c r="AW66"/>
  <c r="AV66"/>
  <c r="AU66"/>
  <c r="AT66"/>
  <c r="AS66"/>
  <c r="AR66"/>
  <c r="AQ66"/>
  <c r="AP66"/>
  <c r="AO66"/>
  <c r="AN66"/>
  <c r="AM66"/>
  <c r="AL66"/>
  <c r="AK66"/>
  <c r="AJ66"/>
  <c r="AI66"/>
  <c r="AH66"/>
  <c r="AG66"/>
  <c r="AF66"/>
  <c r="AE66"/>
  <c r="AD66"/>
  <c r="AC66"/>
  <c r="AB66"/>
  <c r="AA66"/>
  <c r="Z66"/>
  <c r="Y66"/>
  <c r="X66"/>
  <c r="W66"/>
  <c r="V66"/>
  <c r="U66"/>
  <c r="T66"/>
  <c r="S66"/>
  <c r="R66"/>
  <c r="Q66"/>
  <c r="P66"/>
  <c r="O66"/>
  <c r="N66"/>
  <c r="M66"/>
  <c r="L66"/>
  <c r="K66"/>
  <c r="J66"/>
  <c r="A66" a="1"/>
  <c r="A66" s="1"/>
  <c r="I66" s="1"/>
  <c r="BA65"/>
  <c r="AZ65"/>
  <c r="AY65"/>
  <c r="AX65"/>
  <c r="AW65"/>
  <c r="AV65"/>
  <c r="AU65"/>
  <c r="AT65"/>
  <c r="AS65"/>
  <c r="AR65"/>
  <c r="AQ65"/>
  <c r="AP65"/>
  <c r="AO65"/>
  <c r="AN65"/>
  <c r="AM65"/>
  <c r="AL65"/>
  <c r="AK65"/>
  <c r="AJ65"/>
  <c r="AI65"/>
  <c r="AH65"/>
  <c r="AG65"/>
  <c r="AF65"/>
  <c r="AE65"/>
  <c r="AD65"/>
  <c r="AC65"/>
  <c r="AB65"/>
  <c r="AA65"/>
  <c r="Z65"/>
  <c r="Y65"/>
  <c r="X65"/>
  <c r="W65"/>
  <c r="V65"/>
  <c r="U65"/>
  <c r="T65"/>
  <c r="S65"/>
  <c r="R65"/>
  <c r="Q65"/>
  <c r="P65"/>
  <c r="O65"/>
  <c r="N65"/>
  <c r="M65"/>
  <c r="L65"/>
  <c r="K65"/>
  <c r="J65"/>
  <c r="A65" a="1"/>
  <c r="A65" s="1"/>
  <c r="I65" s="1"/>
  <c r="BA64"/>
  <c r="AZ64"/>
  <c r="AY64"/>
  <c r="AX64"/>
  <c r="AW64"/>
  <c r="AV64"/>
  <c r="AU64"/>
  <c r="AT64"/>
  <c r="AS64"/>
  <c r="AR64"/>
  <c r="AQ64"/>
  <c r="AP64"/>
  <c r="AO64"/>
  <c r="AN64"/>
  <c r="AM64"/>
  <c r="AL64"/>
  <c r="AK64"/>
  <c r="AJ64"/>
  <c r="AI64"/>
  <c r="AH64"/>
  <c r="AG64"/>
  <c r="AF64"/>
  <c r="AE64"/>
  <c r="AD64"/>
  <c r="AC64"/>
  <c r="AB64"/>
  <c r="AA64"/>
  <c r="Z64"/>
  <c r="Y64"/>
  <c r="X64"/>
  <c r="W64"/>
  <c r="V64"/>
  <c r="U64"/>
  <c r="T64"/>
  <c r="S64"/>
  <c r="R64"/>
  <c r="Q64"/>
  <c r="P64"/>
  <c r="O64"/>
  <c r="N64"/>
  <c r="M64"/>
  <c r="L64"/>
  <c r="K64"/>
  <c r="J64"/>
  <c r="A64" a="1"/>
  <c r="A64" s="1"/>
  <c r="I64" s="1"/>
  <c r="BA63"/>
  <c r="AZ63"/>
  <c r="AY63"/>
  <c r="AX63"/>
  <c r="AW63"/>
  <c r="AV63"/>
  <c r="AU63"/>
  <c r="AT63"/>
  <c r="AS63"/>
  <c r="AR63"/>
  <c r="AQ63"/>
  <c r="AP63"/>
  <c r="AO63"/>
  <c r="AN63"/>
  <c r="AM63"/>
  <c r="AL63"/>
  <c r="AK63"/>
  <c r="AJ63"/>
  <c r="AI63"/>
  <c r="AH63"/>
  <c r="AG63"/>
  <c r="AF63"/>
  <c r="AE63"/>
  <c r="AD63"/>
  <c r="AC63"/>
  <c r="AB63"/>
  <c r="AA63"/>
  <c r="Z63"/>
  <c r="Y63"/>
  <c r="X63"/>
  <c r="W63"/>
  <c r="V63"/>
  <c r="U63"/>
  <c r="T63"/>
  <c r="S63"/>
  <c r="R63"/>
  <c r="Q63"/>
  <c r="P63"/>
  <c r="O63"/>
  <c r="N63"/>
  <c r="M63"/>
  <c r="L63"/>
  <c r="K63"/>
  <c r="J63"/>
  <c r="A63" a="1"/>
  <c r="A63" s="1"/>
  <c r="I63" s="1"/>
  <c r="BA62"/>
  <c r="AZ62"/>
  <c r="AY62"/>
  <c r="AX62"/>
  <c r="AW62"/>
  <c r="AV62"/>
  <c r="AU62"/>
  <c r="AT62"/>
  <c r="AS62"/>
  <c r="AR62"/>
  <c r="AQ62"/>
  <c r="AP62"/>
  <c r="AO62"/>
  <c r="AN62"/>
  <c r="AM62"/>
  <c r="AL62"/>
  <c r="AK62"/>
  <c r="AJ62"/>
  <c r="AI62"/>
  <c r="AH62"/>
  <c r="AG62"/>
  <c r="AF62"/>
  <c r="AE62"/>
  <c r="AD62"/>
  <c r="AC62"/>
  <c r="AB62"/>
  <c r="AA62"/>
  <c r="Z62"/>
  <c r="Y62"/>
  <c r="X62"/>
  <c r="W62"/>
  <c r="V62"/>
  <c r="U62"/>
  <c r="T62"/>
  <c r="S62"/>
  <c r="R62"/>
  <c r="Q62"/>
  <c r="P62"/>
  <c r="O62"/>
  <c r="N62"/>
  <c r="M62"/>
  <c r="L62"/>
  <c r="K62"/>
  <c r="J62"/>
  <c r="A62" a="1"/>
  <c r="A62" s="1"/>
  <c r="I62" s="1"/>
  <c r="BA61"/>
  <c r="AZ61"/>
  <c r="AY61"/>
  <c r="AX61"/>
  <c r="AW61"/>
  <c r="AV61"/>
  <c r="AU61"/>
  <c r="AT61"/>
  <c r="AS61"/>
  <c r="AR61"/>
  <c r="AQ61"/>
  <c r="AP61"/>
  <c r="AO61"/>
  <c r="AN61"/>
  <c r="AM61"/>
  <c r="AL61"/>
  <c r="AK61"/>
  <c r="AJ61"/>
  <c r="AI61"/>
  <c r="AH61"/>
  <c r="AG61"/>
  <c r="AF61"/>
  <c r="AE61"/>
  <c r="AD61"/>
  <c r="AC61"/>
  <c r="AB61"/>
  <c r="AA61"/>
  <c r="Z61"/>
  <c r="Y61"/>
  <c r="X61"/>
  <c r="W61"/>
  <c r="V61"/>
  <c r="U61"/>
  <c r="T61"/>
  <c r="S61"/>
  <c r="R61"/>
  <c r="Q61"/>
  <c r="P61"/>
  <c r="O61"/>
  <c r="N61"/>
  <c r="M61"/>
  <c r="L61"/>
  <c r="K61"/>
  <c r="J61"/>
  <c r="A61" a="1"/>
  <c r="A61" s="1"/>
  <c r="I61" s="1"/>
  <c r="BA60"/>
  <c r="AZ60"/>
  <c r="AY60"/>
  <c r="AX60"/>
  <c r="AW60"/>
  <c r="AV60"/>
  <c r="AU60"/>
  <c r="AT60"/>
  <c r="AS60"/>
  <c r="AR60"/>
  <c r="AQ60"/>
  <c r="AP60"/>
  <c r="AO60"/>
  <c r="AN60"/>
  <c r="AM60"/>
  <c r="AL60"/>
  <c r="AK60"/>
  <c r="AJ60"/>
  <c r="AI60"/>
  <c r="AH60"/>
  <c r="AG60"/>
  <c r="AF60"/>
  <c r="AE60"/>
  <c r="AD60"/>
  <c r="AC60"/>
  <c r="AB60"/>
  <c r="AA60"/>
  <c r="Z60"/>
  <c r="Y60"/>
  <c r="X60"/>
  <c r="W60"/>
  <c r="V60"/>
  <c r="U60"/>
  <c r="T60"/>
  <c r="S60"/>
  <c r="R60"/>
  <c r="Q60"/>
  <c r="P60"/>
  <c r="O60"/>
  <c r="N60"/>
  <c r="M60"/>
  <c r="L60"/>
  <c r="K60"/>
  <c r="J60"/>
  <c r="A60" a="1"/>
  <c r="A60" s="1"/>
  <c r="I60" s="1"/>
  <c r="BA59"/>
  <c r="AZ59"/>
  <c r="AY59"/>
  <c r="AX59"/>
  <c r="AW59"/>
  <c r="AV59"/>
  <c r="AU59"/>
  <c r="AT59"/>
  <c r="AS59"/>
  <c r="AR59"/>
  <c r="AQ59"/>
  <c r="AP59"/>
  <c r="AO59"/>
  <c r="AN59"/>
  <c r="AM59"/>
  <c r="AL59"/>
  <c r="AK59"/>
  <c r="AJ59"/>
  <c r="AI59"/>
  <c r="AH59"/>
  <c r="AG59"/>
  <c r="AF59"/>
  <c r="AE59"/>
  <c r="AD59"/>
  <c r="AC59"/>
  <c r="AB59"/>
  <c r="AA59"/>
  <c r="Z59"/>
  <c r="Y59"/>
  <c r="X59"/>
  <c r="W59"/>
  <c r="V59"/>
  <c r="U59"/>
  <c r="T59"/>
  <c r="S59"/>
  <c r="R59"/>
  <c r="Q59"/>
  <c r="P59"/>
  <c r="O59"/>
  <c r="N59"/>
  <c r="M59"/>
  <c r="L59"/>
  <c r="K59"/>
  <c r="J59"/>
  <c r="A59" a="1"/>
  <c r="A59" s="1"/>
  <c r="I59" s="1"/>
  <c r="BA58"/>
  <c r="AZ58"/>
  <c r="AY58"/>
  <c r="AX58"/>
  <c r="AW58"/>
  <c r="AV58"/>
  <c r="AU58"/>
  <c r="AT58"/>
  <c r="AS58"/>
  <c r="AR58"/>
  <c r="AQ58"/>
  <c r="AP58"/>
  <c r="AO58"/>
  <c r="AN58"/>
  <c r="AM58"/>
  <c r="AL58"/>
  <c r="AK58"/>
  <c r="AJ58"/>
  <c r="AI58"/>
  <c r="AH58"/>
  <c r="AG58"/>
  <c r="AF58"/>
  <c r="AE58"/>
  <c r="AD58"/>
  <c r="AC58"/>
  <c r="AB58"/>
  <c r="AA58"/>
  <c r="Z58"/>
  <c r="Y58"/>
  <c r="X58"/>
  <c r="W58"/>
  <c r="V58"/>
  <c r="U58"/>
  <c r="T58"/>
  <c r="S58"/>
  <c r="R58"/>
  <c r="Q58"/>
  <c r="P58"/>
  <c r="O58"/>
  <c r="N58"/>
  <c r="M58"/>
  <c r="L58"/>
  <c r="K58"/>
  <c r="J58"/>
  <c r="A58" a="1"/>
  <c r="A58" s="1"/>
  <c r="I58" s="1"/>
  <c r="BA57"/>
  <c r="AZ57"/>
  <c r="AY57"/>
  <c r="AX57"/>
  <c r="AW57"/>
  <c r="AV57"/>
  <c r="AU57"/>
  <c r="AT57"/>
  <c r="AS57"/>
  <c r="AR57"/>
  <c r="AQ57"/>
  <c r="AP57"/>
  <c r="AO57"/>
  <c r="AN57"/>
  <c r="AM57"/>
  <c r="AL57"/>
  <c r="AK57"/>
  <c r="AJ57"/>
  <c r="AI57"/>
  <c r="AH57"/>
  <c r="AG57"/>
  <c r="AF57"/>
  <c r="AE57"/>
  <c r="AD57"/>
  <c r="AC57"/>
  <c r="AB57"/>
  <c r="AA57"/>
  <c r="Z57"/>
  <c r="Y57"/>
  <c r="X57"/>
  <c r="W57"/>
  <c r="V57"/>
  <c r="U57"/>
  <c r="T57"/>
  <c r="S57"/>
  <c r="R57"/>
  <c r="Q57"/>
  <c r="P57"/>
  <c r="O57"/>
  <c r="N57"/>
  <c r="M57"/>
  <c r="L57"/>
  <c r="K57"/>
  <c r="J57"/>
  <c r="A57" a="1"/>
  <c r="A57" s="1"/>
  <c r="I57" s="1"/>
  <c r="BA56"/>
  <c r="AZ56"/>
  <c r="AY56"/>
  <c r="AX56"/>
  <c r="AW56"/>
  <c r="AV56"/>
  <c r="AU56"/>
  <c r="AT56"/>
  <c r="AS56"/>
  <c r="AR56"/>
  <c r="AQ56"/>
  <c r="AP56"/>
  <c r="AO56"/>
  <c r="AN56"/>
  <c r="AM56"/>
  <c r="AL56"/>
  <c r="AK56"/>
  <c r="AJ56"/>
  <c r="AI56"/>
  <c r="AH56"/>
  <c r="AG56"/>
  <c r="AF56"/>
  <c r="AE56"/>
  <c r="AD56"/>
  <c r="AC56"/>
  <c r="AB56"/>
  <c r="AA56"/>
  <c r="Z56"/>
  <c r="Y56"/>
  <c r="X56"/>
  <c r="W56"/>
  <c r="V56"/>
  <c r="U56"/>
  <c r="T56"/>
  <c r="S56"/>
  <c r="R56"/>
  <c r="Q56"/>
  <c r="P56"/>
  <c r="O56"/>
  <c r="N56"/>
  <c r="M56"/>
  <c r="L56"/>
  <c r="K56"/>
  <c r="J56"/>
  <c r="A56" a="1"/>
  <c r="A56" s="1"/>
  <c r="I56" s="1"/>
  <c r="BA55"/>
  <c r="AZ55"/>
  <c r="AY55"/>
  <c r="AX55"/>
  <c r="AW55"/>
  <c r="AV55"/>
  <c r="AU55"/>
  <c r="AT55"/>
  <c r="AS55"/>
  <c r="AR55"/>
  <c r="AQ55"/>
  <c r="AP55"/>
  <c r="AO55"/>
  <c r="AN55"/>
  <c r="AM55"/>
  <c r="AL55"/>
  <c r="AK55"/>
  <c r="AJ55"/>
  <c r="AI55"/>
  <c r="AH55"/>
  <c r="AG55"/>
  <c r="AF55"/>
  <c r="AE55"/>
  <c r="AD55"/>
  <c r="AC55"/>
  <c r="AB55"/>
  <c r="AA55"/>
  <c r="Z55"/>
  <c r="Y55"/>
  <c r="X55"/>
  <c r="W55"/>
  <c r="V55"/>
  <c r="U55"/>
  <c r="T55"/>
  <c r="S55"/>
  <c r="R55"/>
  <c r="Q55"/>
  <c r="P55"/>
  <c r="O55"/>
  <c r="N55"/>
  <c r="M55"/>
  <c r="L55"/>
  <c r="K55"/>
  <c r="J55"/>
  <c r="A55" a="1"/>
  <c r="A55" s="1"/>
  <c r="I55" s="1"/>
  <c r="BA54"/>
  <c r="AZ54"/>
  <c r="AY54"/>
  <c r="AX54"/>
  <c r="AW54"/>
  <c r="AV54"/>
  <c r="AU54"/>
  <c r="AT54"/>
  <c r="AS54"/>
  <c r="AR54"/>
  <c r="AQ54"/>
  <c r="AP54"/>
  <c r="AO54"/>
  <c r="AN54"/>
  <c r="AM54"/>
  <c r="AL54"/>
  <c r="AK54"/>
  <c r="AJ54"/>
  <c r="AI54"/>
  <c r="AH54"/>
  <c r="AG54"/>
  <c r="AF54"/>
  <c r="AE54"/>
  <c r="AD54"/>
  <c r="AC54"/>
  <c r="AB54"/>
  <c r="AA54"/>
  <c r="Z54"/>
  <c r="Y54"/>
  <c r="X54"/>
  <c r="W54"/>
  <c r="V54"/>
  <c r="U54"/>
  <c r="T54"/>
  <c r="S54"/>
  <c r="R54"/>
  <c r="Q54"/>
  <c r="P54"/>
  <c r="O54"/>
  <c r="N54"/>
  <c r="M54"/>
  <c r="L54"/>
  <c r="K54"/>
  <c r="J54"/>
  <c r="A54" a="1"/>
  <c r="A54" s="1"/>
  <c r="I54" s="1"/>
  <c r="BA53"/>
  <c r="AZ53"/>
  <c r="AY53"/>
  <c r="AX53"/>
  <c r="AW53"/>
  <c r="AV53"/>
  <c r="AU53"/>
  <c r="AT53"/>
  <c r="AS53"/>
  <c r="AR53"/>
  <c r="AQ53"/>
  <c r="AP53"/>
  <c r="AO53"/>
  <c r="AN53"/>
  <c r="AM53"/>
  <c r="AL53"/>
  <c r="AK53"/>
  <c r="AJ53"/>
  <c r="AI53"/>
  <c r="AH53"/>
  <c r="AG53"/>
  <c r="AF53"/>
  <c r="AE53"/>
  <c r="AD53"/>
  <c r="AC53"/>
  <c r="AB53"/>
  <c r="AA53"/>
  <c r="Z53"/>
  <c r="Y53"/>
  <c r="X53"/>
  <c r="W53"/>
  <c r="V53"/>
  <c r="U53"/>
  <c r="T53"/>
  <c r="S53"/>
  <c r="R53"/>
  <c r="Q53"/>
  <c r="P53"/>
  <c r="O53"/>
  <c r="N53"/>
  <c r="M53"/>
  <c r="L53"/>
  <c r="K53"/>
  <c r="J53"/>
  <c r="A53" a="1"/>
  <c r="A53" s="1"/>
  <c r="I53" s="1"/>
  <c r="BA52"/>
  <c r="AZ52"/>
  <c r="AY52"/>
  <c r="AX52"/>
  <c r="AW52"/>
  <c r="AV52"/>
  <c r="AU52"/>
  <c r="AT52"/>
  <c r="AS52"/>
  <c r="AR52"/>
  <c r="AQ52"/>
  <c r="AP52"/>
  <c r="AO52"/>
  <c r="AN52"/>
  <c r="AM52"/>
  <c r="AL52"/>
  <c r="AK52"/>
  <c r="AJ52"/>
  <c r="AI52"/>
  <c r="AH52"/>
  <c r="AG52"/>
  <c r="AF52"/>
  <c r="AE52"/>
  <c r="AD52"/>
  <c r="AC52"/>
  <c r="AB52"/>
  <c r="AA52"/>
  <c r="Z52"/>
  <c r="Y52"/>
  <c r="X52"/>
  <c r="W52"/>
  <c r="V52"/>
  <c r="U52"/>
  <c r="T52"/>
  <c r="S52"/>
  <c r="R52"/>
  <c r="Q52"/>
  <c r="P52"/>
  <c r="O52"/>
  <c r="N52"/>
  <c r="M52"/>
  <c r="L52"/>
  <c r="K52"/>
  <c r="J52"/>
  <c r="A52" a="1"/>
  <c r="A52" s="1"/>
  <c r="I52" s="1"/>
  <c r="BA51"/>
  <c r="AZ51"/>
  <c r="AY51"/>
  <c r="AX51"/>
  <c r="AW51"/>
  <c r="AV51"/>
  <c r="AU51"/>
  <c r="AT51"/>
  <c r="AS51"/>
  <c r="AR51"/>
  <c r="AQ51"/>
  <c r="AP51"/>
  <c r="AO51"/>
  <c r="AN51"/>
  <c r="AM51"/>
  <c r="AL51"/>
  <c r="AK51"/>
  <c r="AJ51"/>
  <c r="AI51"/>
  <c r="AH51"/>
  <c r="AG51"/>
  <c r="AF51"/>
  <c r="AE51"/>
  <c r="AD51"/>
  <c r="AC51"/>
  <c r="AB51"/>
  <c r="AA51"/>
  <c r="Z51"/>
  <c r="Y51"/>
  <c r="X51"/>
  <c r="W51"/>
  <c r="V51"/>
  <c r="U51"/>
  <c r="T51"/>
  <c r="S51"/>
  <c r="R51"/>
  <c r="Q51"/>
  <c r="P51"/>
  <c r="O51"/>
  <c r="N51"/>
  <c r="M51"/>
  <c r="L51"/>
  <c r="K51"/>
  <c r="J51"/>
  <c r="A51" a="1"/>
  <c r="A51" s="1"/>
  <c r="I51" s="1"/>
  <c r="BA50"/>
  <c r="AZ50"/>
  <c r="AY50"/>
  <c r="AX50"/>
  <c r="AW50"/>
  <c r="AV50"/>
  <c r="AU50"/>
  <c r="AT50"/>
  <c r="AS50"/>
  <c r="AR50"/>
  <c r="AQ50"/>
  <c r="AP50"/>
  <c r="AO50"/>
  <c r="AN50"/>
  <c r="AM50"/>
  <c r="AL50"/>
  <c r="AK50"/>
  <c r="AJ50"/>
  <c r="AI50"/>
  <c r="AH50"/>
  <c r="AG50"/>
  <c r="AF50"/>
  <c r="AE50"/>
  <c r="AD50"/>
  <c r="AC50"/>
  <c r="AB50"/>
  <c r="AA50"/>
  <c r="Z50"/>
  <c r="Y50"/>
  <c r="X50"/>
  <c r="W50"/>
  <c r="V50"/>
  <c r="U50"/>
  <c r="T50"/>
  <c r="S50"/>
  <c r="R50"/>
  <c r="Q50"/>
  <c r="P50"/>
  <c r="O50"/>
  <c r="N50"/>
  <c r="M50"/>
  <c r="L50"/>
  <c r="K50"/>
  <c r="J50"/>
  <c r="A50" a="1"/>
  <c r="A50" s="1"/>
  <c r="I50" s="1"/>
  <c r="BA49"/>
  <c r="AZ49"/>
  <c r="AY49"/>
  <c r="AX49"/>
  <c r="AW49"/>
  <c r="AV49"/>
  <c r="AU49"/>
  <c r="AT49"/>
  <c r="AS49"/>
  <c r="AR49"/>
  <c r="AQ49"/>
  <c r="AP49"/>
  <c r="AO49"/>
  <c r="AN49"/>
  <c r="AM49"/>
  <c r="AL49"/>
  <c r="AK49"/>
  <c r="AJ49"/>
  <c r="AI49"/>
  <c r="AH49"/>
  <c r="AG49"/>
  <c r="AF49"/>
  <c r="AE49"/>
  <c r="AD49"/>
  <c r="AC49"/>
  <c r="AB49"/>
  <c r="AA49"/>
  <c r="Z49"/>
  <c r="Y49"/>
  <c r="X49"/>
  <c r="W49"/>
  <c r="V49"/>
  <c r="U49"/>
  <c r="T49"/>
  <c r="S49"/>
  <c r="R49"/>
  <c r="Q49"/>
  <c r="P49"/>
  <c r="O49"/>
  <c r="N49"/>
  <c r="M49"/>
  <c r="L49"/>
  <c r="K49"/>
  <c r="J49"/>
  <c r="A49" a="1"/>
  <c r="A49" s="1"/>
  <c r="I49" s="1"/>
  <c r="BA48"/>
  <c r="AZ48"/>
  <c r="AY48"/>
  <c r="AX48"/>
  <c r="AW48"/>
  <c r="AV48"/>
  <c r="AU48"/>
  <c r="AT48"/>
  <c r="AS48"/>
  <c r="AR48"/>
  <c r="AQ48"/>
  <c r="AP48"/>
  <c r="AO48"/>
  <c r="AN48"/>
  <c r="AM48"/>
  <c r="AL48"/>
  <c r="AK48"/>
  <c r="AJ48"/>
  <c r="AI48"/>
  <c r="AH48"/>
  <c r="AG48"/>
  <c r="AF48"/>
  <c r="AE48"/>
  <c r="AD48"/>
  <c r="AC48"/>
  <c r="AB48"/>
  <c r="AA48"/>
  <c r="Z48"/>
  <c r="Y48"/>
  <c r="X48"/>
  <c r="W48"/>
  <c r="V48"/>
  <c r="U48"/>
  <c r="T48"/>
  <c r="S48"/>
  <c r="R48"/>
  <c r="Q48"/>
  <c r="P48"/>
  <c r="O48"/>
  <c r="N48"/>
  <c r="M48"/>
  <c r="L48"/>
  <c r="K48"/>
  <c r="J48"/>
  <c r="A48" a="1"/>
  <c r="A48" s="1"/>
  <c r="I48" s="1"/>
  <c r="BA47"/>
  <c r="AZ47"/>
  <c r="AY47"/>
  <c r="AX47"/>
  <c r="AW47"/>
  <c r="AV47"/>
  <c r="AU47"/>
  <c r="AT47"/>
  <c r="AS47"/>
  <c r="AR47"/>
  <c r="AQ47"/>
  <c r="AP47"/>
  <c r="AO47"/>
  <c r="AN47"/>
  <c r="AM47"/>
  <c r="AL47"/>
  <c r="AK47"/>
  <c r="AJ47"/>
  <c r="AI47"/>
  <c r="AH47"/>
  <c r="AG47"/>
  <c r="AF47"/>
  <c r="AE47"/>
  <c r="AD47"/>
  <c r="AC47"/>
  <c r="AB47"/>
  <c r="AA47"/>
  <c r="Z47"/>
  <c r="Y47"/>
  <c r="X47"/>
  <c r="W47"/>
  <c r="V47"/>
  <c r="U47"/>
  <c r="T47"/>
  <c r="S47"/>
  <c r="R47"/>
  <c r="Q47"/>
  <c r="P47"/>
  <c r="O47"/>
  <c r="N47"/>
  <c r="M47"/>
  <c r="L47"/>
  <c r="K47"/>
  <c r="J47"/>
  <c r="A47" a="1"/>
  <c r="A47" s="1"/>
  <c r="I47" s="1"/>
  <c r="BA46"/>
  <c r="AZ46"/>
  <c r="AY46"/>
  <c r="AX46"/>
  <c r="AW46"/>
  <c r="AV46"/>
  <c r="AU46"/>
  <c r="AT46"/>
  <c r="AS46"/>
  <c r="AR46"/>
  <c r="AQ46"/>
  <c r="AP46"/>
  <c r="AO46"/>
  <c r="AN46"/>
  <c r="AM46"/>
  <c r="AL46"/>
  <c r="AK46"/>
  <c r="AJ46"/>
  <c r="AI46"/>
  <c r="AH46"/>
  <c r="AG46"/>
  <c r="AF46"/>
  <c r="AE46"/>
  <c r="AD46"/>
  <c r="AC46"/>
  <c r="AB46"/>
  <c r="AA46"/>
  <c r="Z46"/>
  <c r="Y46"/>
  <c r="X46"/>
  <c r="W46"/>
  <c r="V46"/>
  <c r="U46"/>
  <c r="T46"/>
  <c r="S46"/>
  <c r="R46"/>
  <c r="Q46"/>
  <c r="P46"/>
  <c r="O46"/>
  <c r="N46"/>
  <c r="M46"/>
  <c r="L46"/>
  <c r="K46"/>
  <c r="J46"/>
  <c r="A46" a="1"/>
  <c r="A46" s="1"/>
  <c r="I46" s="1"/>
  <c r="BA45"/>
  <c r="AZ45"/>
  <c r="AY45"/>
  <c r="AX45"/>
  <c r="AW45"/>
  <c r="AV45"/>
  <c r="AU45"/>
  <c r="AT45"/>
  <c r="AS45"/>
  <c r="AR45"/>
  <c r="AQ45"/>
  <c r="AP45"/>
  <c r="AO45"/>
  <c r="AN45"/>
  <c r="AM45"/>
  <c r="AL45"/>
  <c r="AK45"/>
  <c r="AJ45"/>
  <c r="AI45"/>
  <c r="AH45"/>
  <c r="AG45"/>
  <c r="AF45"/>
  <c r="AE45"/>
  <c r="AD45"/>
  <c r="AC45"/>
  <c r="AB45"/>
  <c r="AA45"/>
  <c r="Z45"/>
  <c r="Y45"/>
  <c r="X45"/>
  <c r="W45"/>
  <c r="V45"/>
  <c r="U45"/>
  <c r="T45"/>
  <c r="S45"/>
  <c r="R45"/>
  <c r="Q45"/>
  <c r="P45"/>
  <c r="O45"/>
  <c r="N45"/>
  <c r="M45"/>
  <c r="L45"/>
  <c r="K45"/>
  <c r="J45"/>
  <c r="A45" a="1"/>
  <c r="A45" s="1"/>
  <c r="I45" s="1"/>
  <c r="BA44"/>
  <c r="AZ44"/>
  <c r="AY44"/>
  <c r="AX44"/>
  <c r="AW44"/>
  <c r="AV44"/>
  <c r="AU44"/>
  <c r="AT44"/>
  <c r="AS44"/>
  <c r="AR44"/>
  <c r="AQ44"/>
  <c r="AP44"/>
  <c r="AO44"/>
  <c r="AN44"/>
  <c r="AM44"/>
  <c r="AL44"/>
  <c r="AK44"/>
  <c r="AJ44"/>
  <c r="AI44"/>
  <c r="AH44"/>
  <c r="AG44"/>
  <c r="AF44"/>
  <c r="AE44"/>
  <c r="AD44"/>
  <c r="AC44"/>
  <c r="AB44"/>
  <c r="AA44"/>
  <c r="Z44"/>
  <c r="Y44"/>
  <c r="X44"/>
  <c r="W44"/>
  <c r="V44"/>
  <c r="U44"/>
  <c r="T44"/>
  <c r="S44"/>
  <c r="R44"/>
  <c r="Q44"/>
  <c r="P44"/>
  <c r="O44"/>
  <c r="N44"/>
  <c r="M44"/>
  <c r="L44"/>
  <c r="K44"/>
  <c r="J44"/>
  <c r="A44" a="1"/>
  <c r="A44" s="1"/>
  <c r="I44" s="1"/>
  <c r="BA43"/>
  <c r="AZ43"/>
  <c r="AY43"/>
  <c r="AX43"/>
  <c r="AW43"/>
  <c r="AV43"/>
  <c r="AU43"/>
  <c r="AT43"/>
  <c r="AS43"/>
  <c r="AR43"/>
  <c r="AQ43"/>
  <c r="AP43"/>
  <c r="AO43"/>
  <c r="AN43"/>
  <c r="AM43"/>
  <c r="AL43"/>
  <c r="AK43"/>
  <c r="AJ43"/>
  <c r="AI43"/>
  <c r="AH43"/>
  <c r="AG43"/>
  <c r="AF43"/>
  <c r="AE43"/>
  <c r="AD43"/>
  <c r="AC43"/>
  <c r="AB43"/>
  <c r="AA43"/>
  <c r="Z43"/>
  <c r="Y43"/>
  <c r="X43"/>
  <c r="W43"/>
  <c r="V43"/>
  <c r="U43"/>
  <c r="T43"/>
  <c r="S43"/>
  <c r="R43"/>
  <c r="Q43"/>
  <c r="P43"/>
  <c r="O43"/>
  <c r="N43"/>
  <c r="M43"/>
  <c r="L43"/>
  <c r="K43"/>
  <c r="J43"/>
  <c r="A43" a="1"/>
  <c r="A43" s="1"/>
  <c r="I43" s="1"/>
  <c r="BA42"/>
  <c r="AZ42"/>
  <c r="AY42"/>
  <c r="AX42"/>
  <c r="AW42"/>
  <c r="AV42"/>
  <c r="AU42"/>
  <c r="AT42"/>
  <c r="AS42"/>
  <c r="AR42"/>
  <c r="AQ42"/>
  <c r="AP42"/>
  <c r="AO42"/>
  <c r="AN42"/>
  <c r="AM42"/>
  <c r="AL42"/>
  <c r="AK42"/>
  <c r="AJ42"/>
  <c r="AI42"/>
  <c r="AH42"/>
  <c r="AG42"/>
  <c r="AF42"/>
  <c r="AE42"/>
  <c r="AD42"/>
  <c r="AC42"/>
  <c r="AB42"/>
  <c r="AA42"/>
  <c r="Z42"/>
  <c r="Y42"/>
  <c r="X42"/>
  <c r="W42"/>
  <c r="V42"/>
  <c r="U42"/>
  <c r="T42"/>
  <c r="S42"/>
  <c r="R42"/>
  <c r="Q42"/>
  <c r="P42"/>
  <c r="O42"/>
  <c r="N42"/>
  <c r="M42"/>
  <c r="L42"/>
  <c r="K42"/>
  <c r="J42"/>
  <c r="A42" a="1"/>
  <c r="A42" s="1"/>
  <c r="I42" s="1"/>
  <c r="BA41"/>
  <c r="AZ41"/>
  <c r="AY41"/>
  <c r="AX41"/>
  <c r="AW41"/>
  <c r="AV41"/>
  <c r="AU41"/>
  <c r="AT41"/>
  <c r="AS41"/>
  <c r="AR41"/>
  <c r="AQ41"/>
  <c r="AP41"/>
  <c r="AO41"/>
  <c r="AN41"/>
  <c r="AM41"/>
  <c r="AL41"/>
  <c r="AK41"/>
  <c r="AJ41"/>
  <c r="AI41"/>
  <c r="AH41"/>
  <c r="AG41"/>
  <c r="AF41"/>
  <c r="AE41"/>
  <c r="AD41"/>
  <c r="AC41"/>
  <c r="AB41"/>
  <c r="AA41"/>
  <c r="Z41"/>
  <c r="Y41"/>
  <c r="X41"/>
  <c r="W41"/>
  <c r="V41"/>
  <c r="U41"/>
  <c r="T41"/>
  <c r="S41"/>
  <c r="R41"/>
  <c r="Q41"/>
  <c r="P41"/>
  <c r="O41"/>
  <c r="N41"/>
  <c r="M41"/>
  <c r="L41"/>
  <c r="K41"/>
  <c r="J41"/>
  <c r="A41" a="1"/>
  <c r="A41" s="1"/>
  <c r="I41" s="1"/>
  <c r="BA40"/>
  <c r="AZ40"/>
  <c r="AY40"/>
  <c r="AX40"/>
  <c r="AW40"/>
  <c r="AV40"/>
  <c r="AU40"/>
  <c r="AT40"/>
  <c r="AS40"/>
  <c r="AR40"/>
  <c r="AQ40"/>
  <c r="AP40"/>
  <c r="AO40"/>
  <c r="AN40"/>
  <c r="AM40"/>
  <c r="AL40"/>
  <c r="AK40"/>
  <c r="AJ40"/>
  <c r="AI40"/>
  <c r="AH40"/>
  <c r="AG40"/>
  <c r="AF40"/>
  <c r="AE40"/>
  <c r="AD40"/>
  <c r="AC40"/>
  <c r="AB40"/>
  <c r="AA40"/>
  <c r="Z40"/>
  <c r="Y40"/>
  <c r="X40"/>
  <c r="W40"/>
  <c r="V40"/>
  <c r="U40"/>
  <c r="T40"/>
  <c r="S40"/>
  <c r="R40"/>
  <c r="Q40"/>
  <c r="P40"/>
  <c r="O40"/>
  <c r="N40"/>
  <c r="M40"/>
  <c r="L40"/>
  <c r="K40"/>
  <c r="J40"/>
  <c r="A40" a="1"/>
  <c r="A40" s="1"/>
  <c r="I40" s="1"/>
  <c r="BA39"/>
  <c r="AZ39"/>
  <c r="AY39"/>
  <c r="AX39"/>
  <c r="AW39"/>
  <c r="AV39"/>
  <c r="AU39"/>
  <c r="AT39"/>
  <c r="AS39"/>
  <c r="AR39"/>
  <c r="AQ39"/>
  <c r="AP39"/>
  <c r="AO39"/>
  <c r="AN39"/>
  <c r="AM39"/>
  <c r="AL39"/>
  <c r="AK39"/>
  <c r="AJ39"/>
  <c r="AI39"/>
  <c r="AH39"/>
  <c r="AG39"/>
  <c r="AF39"/>
  <c r="AE39"/>
  <c r="AD39"/>
  <c r="AC39"/>
  <c r="AB39"/>
  <c r="AA39"/>
  <c r="Z39"/>
  <c r="Y39"/>
  <c r="X39"/>
  <c r="W39"/>
  <c r="V39"/>
  <c r="U39"/>
  <c r="T39"/>
  <c r="S39"/>
  <c r="R39"/>
  <c r="Q39"/>
  <c r="P39"/>
  <c r="O39"/>
  <c r="N39"/>
  <c r="M39"/>
  <c r="L39"/>
  <c r="K39"/>
  <c r="J39"/>
  <c r="A39" a="1"/>
  <c r="A39" s="1"/>
  <c r="I39" s="1"/>
  <c r="BA38"/>
  <c r="AZ38"/>
  <c r="AY38"/>
  <c r="AX38"/>
  <c r="AW38"/>
  <c r="AV38"/>
  <c r="AU38"/>
  <c r="AT38"/>
  <c r="AS38"/>
  <c r="AR38"/>
  <c r="AQ38"/>
  <c r="AP38"/>
  <c r="AO38"/>
  <c r="AN38"/>
  <c r="AM38"/>
  <c r="AL38"/>
  <c r="AK38"/>
  <c r="AJ38"/>
  <c r="AI38"/>
  <c r="AH38"/>
  <c r="AG38"/>
  <c r="AF38"/>
  <c r="AE38"/>
  <c r="AD38"/>
  <c r="AC38"/>
  <c r="AB38"/>
  <c r="AA38"/>
  <c r="Z38"/>
  <c r="Y38"/>
  <c r="X38"/>
  <c r="W38"/>
  <c r="V38"/>
  <c r="U38"/>
  <c r="T38"/>
  <c r="S38"/>
  <c r="R38"/>
  <c r="Q38"/>
  <c r="P38"/>
  <c r="O38"/>
  <c r="N38"/>
  <c r="M38"/>
  <c r="L38"/>
  <c r="K38"/>
  <c r="J38"/>
  <c r="A38" a="1"/>
  <c r="A38" s="1"/>
  <c r="I38" s="1"/>
  <c r="BA37"/>
  <c r="AZ37"/>
  <c r="AY37"/>
  <c r="AX37"/>
  <c r="AW37"/>
  <c r="AV37"/>
  <c r="AU37"/>
  <c r="AT37"/>
  <c r="AS37"/>
  <c r="AR37"/>
  <c r="AQ37"/>
  <c r="AP37"/>
  <c r="AO37"/>
  <c r="AN37"/>
  <c r="AM37"/>
  <c r="AL37"/>
  <c r="AK37"/>
  <c r="AJ37"/>
  <c r="AI37"/>
  <c r="AH37"/>
  <c r="AG37"/>
  <c r="AF37"/>
  <c r="AE37"/>
  <c r="AD37"/>
  <c r="AC37"/>
  <c r="AB37"/>
  <c r="AA37"/>
  <c r="Z37"/>
  <c r="Y37"/>
  <c r="X37"/>
  <c r="W37"/>
  <c r="V37"/>
  <c r="U37"/>
  <c r="T37"/>
  <c r="S37"/>
  <c r="R37"/>
  <c r="Q37"/>
  <c r="P37"/>
  <c r="O37"/>
  <c r="N37"/>
  <c r="M37"/>
  <c r="L37"/>
  <c r="K37"/>
  <c r="J37"/>
  <c r="A37" a="1"/>
  <c r="A37" s="1"/>
  <c r="I37" s="1"/>
  <c r="BA36"/>
  <c r="AZ36"/>
  <c r="AY36"/>
  <c r="AX36"/>
  <c r="AW36"/>
  <c r="AV36"/>
  <c r="AU36"/>
  <c r="AT36"/>
  <c r="AS36"/>
  <c r="AR36"/>
  <c r="AQ36"/>
  <c r="AP36"/>
  <c r="AO36"/>
  <c r="AN36"/>
  <c r="AM36"/>
  <c r="AL36"/>
  <c r="AK36"/>
  <c r="AJ36"/>
  <c r="AI36"/>
  <c r="AH36"/>
  <c r="AG36"/>
  <c r="AF36"/>
  <c r="AE36"/>
  <c r="AD36"/>
  <c r="AC36"/>
  <c r="AB36"/>
  <c r="AA36"/>
  <c r="Z36"/>
  <c r="Y36"/>
  <c r="X36"/>
  <c r="W36"/>
  <c r="V36"/>
  <c r="U36"/>
  <c r="T36"/>
  <c r="S36"/>
  <c r="R36"/>
  <c r="Q36"/>
  <c r="P36"/>
  <c r="O36"/>
  <c r="N36"/>
  <c r="M36"/>
  <c r="L36"/>
  <c r="K36"/>
  <c r="J36"/>
  <c r="A36" a="1"/>
  <c r="A36" s="1"/>
  <c r="I36" s="1"/>
  <c r="BA35"/>
  <c r="AZ35"/>
  <c r="AY35"/>
  <c r="AX35"/>
  <c r="AW35"/>
  <c r="AV35"/>
  <c r="AU35"/>
  <c r="AT35"/>
  <c r="AS35"/>
  <c r="AR35"/>
  <c r="AQ35"/>
  <c r="AP35"/>
  <c r="AO35"/>
  <c r="AN35"/>
  <c r="AM35"/>
  <c r="AL35"/>
  <c r="AK35"/>
  <c r="AJ35"/>
  <c r="AI35"/>
  <c r="AH35"/>
  <c r="AG35"/>
  <c r="AF35"/>
  <c r="AE35"/>
  <c r="AD35"/>
  <c r="AC35"/>
  <c r="AB35"/>
  <c r="AA35"/>
  <c r="Z35"/>
  <c r="Y35"/>
  <c r="X35"/>
  <c r="W35"/>
  <c r="V35"/>
  <c r="U35"/>
  <c r="T35"/>
  <c r="S35"/>
  <c r="R35"/>
  <c r="Q35"/>
  <c r="P35"/>
  <c r="O35"/>
  <c r="N35"/>
  <c r="M35"/>
  <c r="L35"/>
  <c r="K35"/>
  <c r="J35"/>
  <c r="A35" a="1"/>
  <c r="A35" s="1"/>
  <c r="I35" s="1"/>
  <c r="BA34"/>
  <c r="AZ34"/>
  <c r="AY34"/>
  <c r="AX34"/>
  <c r="AW34"/>
  <c r="AV34"/>
  <c r="AU34"/>
  <c r="AT34"/>
  <c r="AS34"/>
  <c r="AR34"/>
  <c r="AQ34"/>
  <c r="AP34"/>
  <c r="AO34"/>
  <c r="AN34"/>
  <c r="AM34"/>
  <c r="AL34"/>
  <c r="AK34"/>
  <c r="AJ34"/>
  <c r="AI34"/>
  <c r="AH34"/>
  <c r="AG34"/>
  <c r="AF34"/>
  <c r="AE34"/>
  <c r="AD34"/>
  <c r="AC34"/>
  <c r="AB34"/>
  <c r="AA34"/>
  <c r="Z34"/>
  <c r="Y34"/>
  <c r="X34"/>
  <c r="W34"/>
  <c r="V34"/>
  <c r="U34"/>
  <c r="T34"/>
  <c r="S34"/>
  <c r="R34"/>
  <c r="Q34"/>
  <c r="P34"/>
  <c r="O34"/>
  <c r="N34"/>
  <c r="M34"/>
  <c r="L34"/>
  <c r="K34"/>
  <c r="J34"/>
  <c r="A34" a="1"/>
  <c r="A34" s="1"/>
  <c r="I34" s="1"/>
  <c r="BA33"/>
  <c r="AZ33"/>
  <c r="AY33"/>
  <c r="AX33"/>
  <c r="AW33"/>
  <c r="AV33"/>
  <c r="AU33"/>
  <c r="AT33"/>
  <c r="AS33"/>
  <c r="AR33"/>
  <c r="AQ33"/>
  <c r="AP33"/>
  <c r="AO33"/>
  <c r="AN33"/>
  <c r="AM33"/>
  <c r="AL33"/>
  <c r="AK33"/>
  <c r="AJ33"/>
  <c r="AI33"/>
  <c r="AH33"/>
  <c r="AG33"/>
  <c r="AF33"/>
  <c r="AE33"/>
  <c r="AD33"/>
  <c r="AC33"/>
  <c r="AB33"/>
  <c r="AA33"/>
  <c r="Z33"/>
  <c r="Y33"/>
  <c r="X33"/>
  <c r="W33"/>
  <c r="V33"/>
  <c r="U33"/>
  <c r="T33"/>
  <c r="S33"/>
  <c r="R33"/>
  <c r="Q33"/>
  <c r="P33"/>
  <c r="O33"/>
  <c r="N33"/>
  <c r="M33"/>
  <c r="L33"/>
  <c r="K33"/>
  <c r="J33"/>
  <c r="A33" a="1"/>
  <c r="A33" s="1"/>
  <c r="I33" s="1"/>
  <c r="BA32"/>
  <c r="AZ32"/>
  <c r="AY32"/>
  <c r="AX32"/>
  <c r="AW32"/>
  <c r="AV32"/>
  <c r="AU32"/>
  <c r="AT32"/>
  <c r="AS32"/>
  <c r="AR32"/>
  <c r="AQ32"/>
  <c r="AP32"/>
  <c r="AO32"/>
  <c r="AN32"/>
  <c r="AM32"/>
  <c r="AL32"/>
  <c r="AK32"/>
  <c r="AJ32"/>
  <c r="AI32"/>
  <c r="AH32"/>
  <c r="AG32"/>
  <c r="AF32"/>
  <c r="AE32"/>
  <c r="AD32"/>
  <c r="AC32"/>
  <c r="AB32"/>
  <c r="AA32"/>
  <c r="Z32"/>
  <c r="Y32"/>
  <c r="X32"/>
  <c r="W32"/>
  <c r="V32"/>
  <c r="U32"/>
  <c r="T32"/>
  <c r="S32"/>
  <c r="R32"/>
  <c r="Q32"/>
  <c r="P32"/>
  <c r="O32"/>
  <c r="N32"/>
  <c r="M32"/>
  <c r="L32"/>
  <c r="K32"/>
  <c r="J32"/>
  <c r="A32" a="1"/>
  <c r="A32" s="1"/>
  <c r="I32" s="1"/>
  <c r="BA31"/>
  <c r="AZ31"/>
  <c r="AY31"/>
  <c r="AX31"/>
  <c r="AW31"/>
  <c r="AV31"/>
  <c r="AU31"/>
  <c r="AT31"/>
  <c r="AS31"/>
  <c r="AR31"/>
  <c r="AQ31"/>
  <c r="AP31"/>
  <c r="AO31"/>
  <c r="AN31"/>
  <c r="AM31"/>
  <c r="AL31"/>
  <c r="AK31"/>
  <c r="AJ31"/>
  <c r="AI31"/>
  <c r="AH31"/>
  <c r="AG31"/>
  <c r="AF31"/>
  <c r="AE31"/>
  <c r="AD31"/>
  <c r="AC31"/>
  <c r="AB31"/>
  <c r="AA31"/>
  <c r="Z31"/>
  <c r="Y31"/>
  <c r="X31"/>
  <c r="W31"/>
  <c r="V31"/>
  <c r="U31"/>
  <c r="T31"/>
  <c r="S31"/>
  <c r="R31"/>
  <c r="Q31"/>
  <c r="P31"/>
  <c r="O31"/>
  <c r="N31"/>
  <c r="M31"/>
  <c r="L31"/>
  <c r="K31"/>
  <c r="J31"/>
  <c r="A31" a="1"/>
  <c r="A31" s="1"/>
  <c r="I31" s="1"/>
  <c r="BA30"/>
  <c r="AZ30"/>
  <c r="AY30"/>
  <c r="AX30"/>
  <c r="AW30"/>
  <c r="AV30"/>
  <c r="AU30"/>
  <c r="AT30"/>
  <c r="AS30"/>
  <c r="AR30"/>
  <c r="AQ30"/>
  <c r="AP30"/>
  <c r="AO30"/>
  <c r="AN30"/>
  <c r="AM30"/>
  <c r="AL30"/>
  <c r="AK30"/>
  <c r="AJ30"/>
  <c r="AI30"/>
  <c r="AH30"/>
  <c r="AG30"/>
  <c r="AF30"/>
  <c r="AE30"/>
  <c r="AD30"/>
  <c r="AC30"/>
  <c r="AB30"/>
  <c r="AA30"/>
  <c r="Z30"/>
  <c r="Y30"/>
  <c r="X30"/>
  <c r="W30"/>
  <c r="V30"/>
  <c r="U30"/>
  <c r="T30"/>
  <c r="S30"/>
  <c r="R30"/>
  <c r="Q30"/>
  <c r="P30"/>
  <c r="O30"/>
  <c r="N30"/>
  <c r="M30"/>
  <c r="L30"/>
  <c r="K30"/>
  <c r="J30"/>
  <c r="A30" a="1"/>
  <c r="A30" s="1"/>
  <c r="I30" s="1"/>
  <c r="BA29"/>
  <c r="AZ29"/>
  <c r="AY29"/>
  <c r="AX29"/>
  <c r="AW29"/>
  <c r="AV29"/>
  <c r="AU29"/>
  <c r="AT29"/>
  <c r="AS29"/>
  <c r="AR29"/>
  <c r="AQ29"/>
  <c r="AP29"/>
  <c r="AO29"/>
  <c r="AN29"/>
  <c r="AM29"/>
  <c r="AL29"/>
  <c r="AK29"/>
  <c r="AJ29"/>
  <c r="AI29"/>
  <c r="AH29"/>
  <c r="AG29"/>
  <c r="AF29"/>
  <c r="AE29"/>
  <c r="AD29"/>
  <c r="AC29"/>
  <c r="AB29"/>
  <c r="AA29"/>
  <c r="Z29"/>
  <c r="Y29"/>
  <c r="X29"/>
  <c r="W29"/>
  <c r="V29"/>
  <c r="U29"/>
  <c r="T29"/>
  <c r="S29"/>
  <c r="R29"/>
  <c r="Q29"/>
  <c r="P29"/>
  <c r="O29"/>
  <c r="N29"/>
  <c r="M29"/>
  <c r="L29"/>
  <c r="K29"/>
  <c r="J29"/>
  <c r="A29" a="1"/>
  <c r="A29" s="1"/>
  <c r="I29" s="1"/>
  <c r="BA28"/>
  <c r="AZ28"/>
  <c r="AY28"/>
  <c r="AX28"/>
  <c r="AW28"/>
  <c r="AV28"/>
  <c r="AU28"/>
  <c r="AT28"/>
  <c r="AS28"/>
  <c r="AR28"/>
  <c r="AQ28"/>
  <c r="AP28"/>
  <c r="AO28"/>
  <c r="AN28"/>
  <c r="AM28"/>
  <c r="AL28"/>
  <c r="AK28"/>
  <c r="AJ28"/>
  <c r="AI28"/>
  <c r="AH28"/>
  <c r="AG28"/>
  <c r="AF28"/>
  <c r="AE28"/>
  <c r="AD28"/>
  <c r="AC28"/>
  <c r="AB28"/>
  <c r="AA28"/>
  <c r="Z28"/>
  <c r="Y28"/>
  <c r="X28"/>
  <c r="W28"/>
  <c r="V28"/>
  <c r="U28"/>
  <c r="T28"/>
  <c r="S28"/>
  <c r="R28"/>
  <c r="Q28"/>
  <c r="P28"/>
  <c r="O28"/>
  <c r="N28"/>
  <c r="M28"/>
  <c r="L28"/>
  <c r="K28"/>
  <c r="J28"/>
  <c r="A28" a="1"/>
  <c r="A28" s="1"/>
  <c r="I28" s="1"/>
  <c r="BA27"/>
  <c r="AZ27"/>
  <c r="AY27"/>
  <c r="AX27"/>
  <c r="AW27"/>
  <c r="AV27"/>
  <c r="AU27"/>
  <c r="AT27"/>
  <c r="AS27"/>
  <c r="AR27"/>
  <c r="AQ27"/>
  <c r="AP27"/>
  <c r="AO27"/>
  <c r="AN27"/>
  <c r="AM27"/>
  <c r="AL27"/>
  <c r="AK27"/>
  <c r="AJ27"/>
  <c r="AI27"/>
  <c r="AH27"/>
  <c r="AG27"/>
  <c r="AF27"/>
  <c r="AE27"/>
  <c r="AD27"/>
  <c r="AC27"/>
  <c r="AB27"/>
  <c r="AA27"/>
  <c r="Z27"/>
  <c r="Y27"/>
  <c r="X27"/>
  <c r="W27"/>
  <c r="V27"/>
  <c r="U27"/>
  <c r="T27"/>
  <c r="S27"/>
  <c r="R27"/>
  <c r="Q27"/>
  <c r="P27"/>
  <c r="O27"/>
  <c r="N27"/>
  <c r="M27"/>
  <c r="L27"/>
  <c r="K27"/>
  <c r="J27"/>
  <c r="A27" a="1"/>
  <c r="A27" s="1"/>
  <c r="I27" s="1"/>
  <c r="BA26"/>
  <c r="AZ26"/>
  <c r="AY26"/>
  <c r="AX26"/>
  <c r="AW26"/>
  <c r="AV26"/>
  <c r="AU26"/>
  <c r="AT26"/>
  <c r="AS26"/>
  <c r="AR26"/>
  <c r="AQ26"/>
  <c r="AP26"/>
  <c r="AO26"/>
  <c r="AN26"/>
  <c r="AM26"/>
  <c r="AL26"/>
  <c r="AK26"/>
  <c r="AJ26"/>
  <c r="AI26"/>
  <c r="AH26"/>
  <c r="AG26"/>
  <c r="AF26"/>
  <c r="AE26"/>
  <c r="AD26"/>
  <c r="AC26"/>
  <c r="AB26"/>
  <c r="AA26"/>
  <c r="Z26"/>
  <c r="Y26"/>
  <c r="X26"/>
  <c r="W26"/>
  <c r="V26"/>
  <c r="U26"/>
  <c r="T26"/>
  <c r="S26"/>
  <c r="R26"/>
  <c r="Q26"/>
  <c r="P26"/>
  <c r="O26"/>
  <c r="N26"/>
  <c r="M26"/>
  <c r="L26"/>
  <c r="K26"/>
  <c r="J26"/>
  <c r="A26" a="1"/>
  <c r="A26" s="1"/>
  <c r="I26" s="1"/>
  <c r="BA25"/>
  <c r="AZ25"/>
  <c r="AY25"/>
  <c r="AX25"/>
  <c r="AW25"/>
  <c r="AV25"/>
  <c r="AU25"/>
  <c r="AT25"/>
  <c r="AS25"/>
  <c r="AR25"/>
  <c r="AQ25"/>
  <c r="AP25"/>
  <c r="AO25"/>
  <c r="AN25"/>
  <c r="AM25"/>
  <c r="AL25"/>
  <c r="AK25"/>
  <c r="AJ25"/>
  <c r="AI25"/>
  <c r="AH25"/>
  <c r="AG25"/>
  <c r="AF25"/>
  <c r="AE25"/>
  <c r="AD25"/>
  <c r="AC25"/>
  <c r="AB25"/>
  <c r="AA25"/>
  <c r="Z25"/>
  <c r="Y25"/>
  <c r="X25"/>
  <c r="W25"/>
  <c r="V25"/>
  <c r="U25"/>
  <c r="T25"/>
  <c r="S25"/>
  <c r="R25"/>
  <c r="Q25"/>
  <c r="P25"/>
  <c r="O25"/>
  <c r="N25"/>
  <c r="M25"/>
  <c r="L25"/>
  <c r="K25"/>
  <c r="J25"/>
  <c r="A25" a="1"/>
  <c r="A25" s="1"/>
  <c r="I25" s="1"/>
  <c r="BA24"/>
  <c r="AZ24"/>
  <c r="AY24"/>
  <c r="AX24"/>
  <c r="AW24"/>
  <c r="AV24"/>
  <c r="AU24"/>
  <c r="AT24"/>
  <c r="AS24"/>
  <c r="AR24"/>
  <c r="AQ24"/>
  <c r="AP24"/>
  <c r="AO24"/>
  <c r="AN24"/>
  <c r="AM24"/>
  <c r="AL24"/>
  <c r="AK24"/>
  <c r="AJ24"/>
  <c r="AI24"/>
  <c r="AH24"/>
  <c r="AG24"/>
  <c r="AF24"/>
  <c r="AE24"/>
  <c r="AD24"/>
  <c r="AC24"/>
  <c r="AB24"/>
  <c r="AA24"/>
  <c r="Z24"/>
  <c r="Y24"/>
  <c r="X24"/>
  <c r="W24"/>
  <c r="V24"/>
  <c r="U24"/>
  <c r="T24"/>
  <c r="S24"/>
  <c r="R24"/>
  <c r="Q24"/>
  <c r="P24"/>
  <c r="O24"/>
  <c r="N24"/>
  <c r="M24"/>
  <c r="L24"/>
  <c r="K24"/>
  <c r="J24"/>
  <c r="A24" a="1"/>
  <c r="A24" s="1"/>
  <c r="I24" s="1"/>
  <c r="BA23"/>
  <c r="AZ23"/>
  <c r="AY23"/>
  <c r="AX23"/>
  <c r="AW23"/>
  <c r="AV23"/>
  <c r="AU23"/>
  <c r="AT23"/>
  <c r="AS23"/>
  <c r="AR23"/>
  <c r="AQ23"/>
  <c r="AP23"/>
  <c r="AO23"/>
  <c r="AN23"/>
  <c r="AM23"/>
  <c r="AL23"/>
  <c r="AK23"/>
  <c r="AJ23"/>
  <c r="AI23"/>
  <c r="AH23"/>
  <c r="AG23"/>
  <c r="AF23"/>
  <c r="AE23"/>
  <c r="AD23"/>
  <c r="AC23"/>
  <c r="AB23"/>
  <c r="AA23"/>
  <c r="Z23"/>
  <c r="Y23"/>
  <c r="X23"/>
  <c r="W23"/>
  <c r="V23"/>
  <c r="U23"/>
  <c r="T23"/>
  <c r="S23"/>
  <c r="R23"/>
  <c r="Q23"/>
  <c r="P23"/>
  <c r="O23"/>
  <c r="N23"/>
  <c r="M23"/>
  <c r="L23"/>
  <c r="K23"/>
  <c r="J23"/>
  <c r="A23" a="1"/>
  <c r="A23" s="1"/>
  <c r="I23" s="1"/>
  <c r="BA22"/>
  <c r="AZ22"/>
  <c r="AY22"/>
  <c r="AX22"/>
  <c r="AW22"/>
  <c r="AV22"/>
  <c r="AU22"/>
  <c r="AT22"/>
  <c r="AS22"/>
  <c r="AR22"/>
  <c r="AQ22"/>
  <c r="AP22"/>
  <c r="AO22"/>
  <c r="AN22"/>
  <c r="AM22"/>
  <c r="AL22"/>
  <c r="AK22"/>
  <c r="AJ22"/>
  <c r="AI22"/>
  <c r="AH22"/>
  <c r="AG22"/>
  <c r="AF22"/>
  <c r="AE22"/>
  <c r="AD22"/>
  <c r="AC22"/>
  <c r="AB22"/>
  <c r="AA22"/>
  <c r="Z22"/>
  <c r="Y22"/>
  <c r="X22"/>
  <c r="W22"/>
  <c r="V22"/>
  <c r="U22"/>
  <c r="T22"/>
  <c r="S22"/>
  <c r="R22"/>
  <c r="Q22"/>
  <c r="P22"/>
  <c r="O22"/>
  <c r="N22"/>
  <c r="M22"/>
  <c r="L22"/>
  <c r="K22"/>
  <c r="J22"/>
  <c r="A22" a="1"/>
  <c r="A22" s="1"/>
  <c r="I22" s="1"/>
  <c r="BA21"/>
  <c r="AZ21"/>
  <c r="AY21"/>
  <c r="AX21"/>
  <c r="AW21"/>
  <c r="AV21"/>
  <c r="AU21"/>
  <c r="AT21"/>
  <c r="AS21"/>
  <c r="AR21"/>
  <c r="AQ21"/>
  <c r="AP21"/>
  <c r="AO21"/>
  <c r="AN21"/>
  <c r="AM21"/>
  <c r="AL21"/>
  <c r="AK21"/>
  <c r="AJ21"/>
  <c r="AI21"/>
  <c r="AH21"/>
  <c r="AG21"/>
  <c r="AF21"/>
  <c r="AE21"/>
  <c r="AD21"/>
  <c r="AC21"/>
  <c r="AB21"/>
  <c r="AA21"/>
  <c r="Z21"/>
  <c r="Y21"/>
  <c r="X21"/>
  <c r="W21"/>
  <c r="V21"/>
  <c r="U21"/>
  <c r="T21"/>
  <c r="S21"/>
  <c r="R21"/>
  <c r="Q21"/>
  <c r="P21"/>
  <c r="O21"/>
  <c r="N21"/>
  <c r="M21"/>
  <c r="L21"/>
  <c r="K21"/>
  <c r="J21"/>
  <c r="A21" a="1"/>
  <c r="A21" s="1"/>
  <c r="I21" s="1"/>
  <c r="BA20"/>
  <c r="AZ20"/>
  <c r="AY20"/>
  <c r="AX20"/>
  <c r="AW20"/>
  <c r="AV20"/>
  <c r="AU20"/>
  <c r="AT20"/>
  <c r="AS20"/>
  <c r="AR20"/>
  <c r="AQ20"/>
  <c r="AP20"/>
  <c r="AO20"/>
  <c r="AN20"/>
  <c r="AM20"/>
  <c r="AL20"/>
  <c r="AK20"/>
  <c r="AJ20"/>
  <c r="AI20"/>
  <c r="AH20"/>
  <c r="AG20"/>
  <c r="AF20"/>
  <c r="AE20"/>
  <c r="AD20"/>
  <c r="AC20"/>
  <c r="AB20"/>
  <c r="AA20"/>
  <c r="Z20"/>
  <c r="Y20"/>
  <c r="X20"/>
  <c r="W20"/>
  <c r="V20"/>
  <c r="U20"/>
  <c r="T20"/>
  <c r="S20"/>
  <c r="R20"/>
  <c r="Q20"/>
  <c r="P20"/>
  <c r="O20"/>
  <c r="N20"/>
  <c r="M20"/>
  <c r="L20"/>
  <c r="K20"/>
  <c r="J20"/>
  <c r="A20" a="1"/>
  <c r="A20" s="1"/>
  <c r="I20" s="1"/>
  <c r="BA19"/>
  <c r="AZ19"/>
  <c r="AY19"/>
  <c r="AX19"/>
  <c r="AW19"/>
  <c r="AV19"/>
  <c r="AU19"/>
  <c r="AT19"/>
  <c r="AS19"/>
  <c r="AR19"/>
  <c r="AQ19"/>
  <c r="AP19"/>
  <c r="AO19"/>
  <c r="AN19"/>
  <c r="AM19"/>
  <c r="AL19"/>
  <c r="AK19"/>
  <c r="AJ19"/>
  <c r="AI19"/>
  <c r="AH19"/>
  <c r="AG19"/>
  <c r="AF19"/>
  <c r="AE19"/>
  <c r="AD19"/>
  <c r="AC19"/>
  <c r="AB19"/>
  <c r="AA19"/>
  <c r="Z19"/>
  <c r="Y19"/>
  <c r="X19"/>
  <c r="W19"/>
  <c r="V19"/>
  <c r="U19"/>
  <c r="T19"/>
  <c r="S19"/>
  <c r="R19"/>
  <c r="Q19"/>
  <c r="P19"/>
  <c r="O19"/>
  <c r="N19"/>
  <c r="M19"/>
  <c r="L19"/>
  <c r="K19"/>
  <c r="J19"/>
  <c r="A19" a="1"/>
  <c r="A19" s="1"/>
  <c r="I19" s="1"/>
  <c r="BA18"/>
  <c r="AZ18"/>
  <c r="AY18"/>
  <c r="AX18"/>
  <c r="AW18"/>
  <c r="AV18"/>
  <c r="AU18"/>
  <c r="AT18"/>
  <c r="AS18"/>
  <c r="AR18"/>
  <c r="AQ18"/>
  <c r="AP18"/>
  <c r="AO18"/>
  <c r="AN18"/>
  <c r="AM18"/>
  <c r="AL18"/>
  <c r="AK18"/>
  <c r="AJ18"/>
  <c r="AI18"/>
  <c r="AH18"/>
  <c r="AG18"/>
  <c r="AF18"/>
  <c r="AE18"/>
  <c r="AD18"/>
  <c r="AC18"/>
  <c r="AB18"/>
  <c r="AA18"/>
  <c r="Z18"/>
  <c r="Y18"/>
  <c r="X18"/>
  <c r="W18"/>
  <c r="V18"/>
  <c r="U18"/>
  <c r="T18"/>
  <c r="S18"/>
  <c r="R18"/>
  <c r="Q18"/>
  <c r="P18"/>
  <c r="O18"/>
  <c r="N18"/>
  <c r="M18"/>
  <c r="L18"/>
  <c r="K18"/>
  <c r="J18"/>
  <c r="A18" a="1"/>
  <c r="A18" s="1"/>
  <c r="I18" s="1"/>
  <c r="BA17"/>
  <c r="AZ17"/>
  <c r="AY17"/>
  <c r="AX17"/>
  <c r="AW17"/>
  <c r="AV17"/>
  <c r="AU17"/>
  <c r="AT17"/>
  <c r="AS17"/>
  <c r="AR17"/>
  <c r="AQ17"/>
  <c r="AP17"/>
  <c r="AO17"/>
  <c r="AN17"/>
  <c r="AM17"/>
  <c r="AL17"/>
  <c r="AK17"/>
  <c r="AJ17"/>
  <c r="AI17"/>
  <c r="AH17"/>
  <c r="AG17"/>
  <c r="AF17"/>
  <c r="AE17"/>
  <c r="AD17"/>
  <c r="AC17"/>
  <c r="AB17"/>
  <c r="AA17"/>
  <c r="Z17"/>
  <c r="Y17"/>
  <c r="X17"/>
  <c r="W17"/>
  <c r="V17"/>
  <c r="U17"/>
  <c r="T17"/>
  <c r="S17"/>
  <c r="R17"/>
  <c r="Q17"/>
  <c r="P17"/>
  <c r="O17"/>
  <c r="N17"/>
  <c r="M17"/>
  <c r="L17"/>
  <c r="K17"/>
  <c r="J17"/>
  <c r="A17" a="1"/>
  <c r="A17" s="1"/>
  <c r="I17" s="1"/>
  <c r="BA16"/>
  <c r="AZ16"/>
  <c r="AY16"/>
  <c r="AX16"/>
  <c r="AW16"/>
  <c r="AV16"/>
  <c r="AU16"/>
  <c r="AT16"/>
  <c r="AS16"/>
  <c r="AR16"/>
  <c r="AQ16"/>
  <c r="AP16"/>
  <c r="AO16"/>
  <c r="AN16"/>
  <c r="AM16"/>
  <c r="AL16"/>
  <c r="AK16"/>
  <c r="AJ16"/>
  <c r="AI16"/>
  <c r="AH16"/>
  <c r="AG16"/>
  <c r="AF16"/>
  <c r="AE16"/>
  <c r="AD16"/>
  <c r="AC16"/>
  <c r="AB16"/>
  <c r="AA16"/>
  <c r="Z16"/>
  <c r="Y16"/>
  <c r="X16"/>
  <c r="W16"/>
  <c r="V16"/>
  <c r="U16"/>
  <c r="T16"/>
  <c r="S16"/>
  <c r="R16"/>
  <c r="Q16"/>
  <c r="P16"/>
  <c r="O16"/>
  <c r="N16"/>
  <c r="M16"/>
  <c r="L16"/>
  <c r="K16"/>
  <c r="J16"/>
  <c r="A16" a="1"/>
  <c r="A16" s="1"/>
  <c r="I16" s="1"/>
  <c r="BA15"/>
  <c r="AZ15"/>
  <c r="AY15"/>
  <c r="AX15"/>
  <c r="AW15"/>
  <c r="AV15"/>
  <c r="AU15"/>
  <c r="AT15"/>
  <c r="AS15"/>
  <c r="AR15"/>
  <c r="AQ15"/>
  <c r="AP15"/>
  <c r="AO15"/>
  <c r="AN15"/>
  <c r="AM15"/>
  <c r="AL15"/>
  <c r="AK15"/>
  <c r="AJ15"/>
  <c r="AI15"/>
  <c r="AH15"/>
  <c r="AG15"/>
  <c r="AF15"/>
  <c r="AE15"/>
  <c r="AD15"/>
  <c r="AC15"/>
  <c r="AB15"/>
  <c r="AA15"/>
  <c r="Z15"/>
  <c r="Y15"/>
  <c r="X15"/>
  <c r="W15"/>
  <c r="V15"/>
  <c r="U15"/>
  <c r="T15"/>
  <c r="S15"/>
  <c r="R15"/>
  <c r="Q15"/>
  <c r="P15"/>
  <c r="O15"/>
  <c r="N15"/>
  <c r="M15"/>
  <c r="L15"/>
  <c r="K15"/>
  <c r="J15"/>
  <c r="A15" a="1"/>
  <c r="A15" s="1"/>
  <c r="I15" s="1"/>
  <c r="BA14"/>
  <c r="AZ14"/>
  <c r="AY14"/>
  <c r="AX14"/>
  <c r="AW14"/>
  <c r="AV14"/>
  <c r="AU14"/>
  <c r="AT14"/>
  <c r="AS14"/>
  <c r="AR14"/>
  <c r="AQ14"/>
  <c r="AP14"/>
  <c r="AO14"/>
  <c r="AN14"/>
  <c r="AM14"/>
  <c r="AL14"/>
  <c r="AK14"/>
  <c r="AJ14"/>
  <c r="AI14"/>
  <c r="AH14"/>
  <c r="AG14"/>
  <c r="AF14"/>
  <c r="AE14"/>
  <c r="AD14"/>
  <c r="AC14"/>
  <c r="AB14"/>
  <c r="AA14"/>
  <c r="Z14"/>
  <c r="Y14"/>
  <c r="X14"/>
  <c r="W14"/>
  <c r="V14"/>
  <c r="U14"/>
  <c r="T14"/>
  <c r="S14"/>
  <c r="R14"/>
  <c r="Q14"/>
  <c r="P14"/>
  <c r="O14"/>
  <c r="N14"/>
  <c r="M14"/>
  <c r="L14"/>
  <c r="K14"/>
  <c r="J14"/>
  <c r="A14" a="1"/>
  <c r="A14" s="1"/>
  <c r="I14" s="1"/>
  <c r="BA13"/>
  <c r="AZ13"/>
  <c r="AY13"/>
  <c r="AX13"/>
  <c r="AW13"/>
  <c r="AV13"/>
  <c r="AU13"/>
  <c r="AT13"/>
  <c r="AS13"/>
  <c r="AR13"/>
  <c r="AQ13"/>
  <c r="AP13"/>
  <c r="AO13"/>
  <c r="AN13"/>
  <c r="AM13"/>
  <c r="AL13"/>
  <c r="AK13"/>
  <c r="AJ13"/>
  <c r="AI13"/>
  <c r="AH13"/>
  <c r="AG13"/>
  <c r="AF13"/>
  <c r="AE13"/>
  <c r="AD13"/>
  <c r="AC13"/>
  <c r="AB13"/>
  <c r="AA13"/>
  <c r="Z13"/>
  <c r="Y13"/>
  <c r="X13"/>
  <c r="W13"/>
  <c r="V13"/>
  <c r="U13"/>
  <c r="T13"/>
  <c r="S13"/>
  <c r="R13"/>
  <c r="Q13"/>
  <c r="P13"/>
  <c r="O13"/>
  <c r="N13"/>
  <c r="M13"/>
  <c r="L13"/>
  <c r="K13"/>
  <c r="J13"/>
  <c r="A13" a="1"/>
  <c r="A13" s="1"/>
  <c r="I13" s="1"/>
  <c r="BA12"/>
  <c r="AZ12"/>
  <c r="AY12"/>
  <c r="AX12"/>
  <c r="AW12"/>
  <c r="AV12"/>
  <c r="AU12"/>
  <c r="AT12"/>
  <c r="AS12"/>
  <c r="AR12"/>
  <c r="AQ12"/>
  <c r="AP12"/>
  <c r="AO12"/>
  <c r="AN12"/>
  <c r="AM12"/>
  <c r="AL12"/>
  <c r="AK12"/>
  <c r="AJ12"/>
  <c r="AI12"/>
  <c r="AH12"/>
  <c r="AG12"/>
  <c r="AF12"/>
  <c r="AE12"/>
  <c r="AD12"/>
  <c r="AC12"/>
  <c r="AB12"/>
  <c r="AA12"/>
  <c r="Z12"/>
  <c r="Y12"/>
  <c r="X12"/>
  <c r="W12"/>
  <c r="V12"/>
  <c r="U12"/>
  <c r="T12"/>
  <c r="S12"/>
  <c r="R12"/>
  <c r="Q12"/>
  <c r="P12"/>
  <c r="O12"/>
  <c r="N12"/>
  <c r="M12"/>
  <c r="L12"/>
  <c r="K12"/>
  <c r="J12"/>
  <c r="A12" a="1"/>
  <c r="A12" s="1"/>
  <c r="I12" s="1"/>
  <c r="A10" a="1"/>
  <c r="A10" s="1"/>
  <c r="M2"/>
  <c r="M1"/>
  <c r="A451" i="48" a="1"/>
  <c r="A451" s="1"/>
  <c r="BG450"/>
  <c r="BF450"/>
  <c r="BE450"/>
  <c r="BD450"/>
  <c r="BC450"/>
  <c r="BB450"/>
  <c r="BA450"/>
  <c r="AZ450"/>
  <c r="AY450"/>
  <c r="AX450"/>
  <c r="AW450"/>
  <c r="AV450"/>
  <c r="AU450"/>
  <c r="AT450"/>
  <c r="AS450"/>
  <c r="AR450"/>
  <c r="AQ450"/>
  <c r="AP450"/>
  <c r="AO450"/>
  <c r="AN450"/>
  <c r="AM450"/>
  <c r="AL450"/>
  <c r="AK450"/>
  <c r="AJ450"/>
  <c r="AI450"/>
  <c r="AH450"/>
  <c r="AG450"/>
  <c r="AF450"/>
  <c r="AE450"/>
  <c r="AD450"/>
  <c r="AC450"/>
  <c r="AB450"/>
  <c r="AA450"/>
  <c r="Z450"/>
  <c r="U450"/>
  <c r="T450"/>
  <c r="Q450"/>
  <c r="P450"/>
  <c r="O450"/>
  <c r="N450"/>
  <c r="M450"/>
  <c r="L450"/>
  <c r="K450"/>
  <c r="J450"/>
  <c r="A450" a="1"/>
  <c r="A450" s="1"/>
  <c r="I450" s="1"/>
  <c r="BG140"/>
  <c r="BF140"/>
  <c r="BE140"/>
  <c r="BD140"/>
  <c r="BC140"/>
  <c r="BB140"/>
  <c r="BA140"/>
  <c r="AZ140"/>
  <c r="AY140"/>
  <c r="AX140"/>
  <c r="AW140"/>
  <c r="AV140"/>
  <c r="AU140"/>
  <c r="AT140"/>
  <c r="AS140"/>
  <c r="AR140"/>
  <c r="AQ140"/>
  <c r="AP140"/>
  <c r="AO140"/>
  <c r="AN140"/>
  <c r="AM140"/>
  <c r="AL140"/>
  <c r="AK140"/>
  <c r="AJ140"/>
  <c r="AI140"/>
  <c r="AH140"/>
  <c r="AG140"/>
  <c r="AF140"/>
  <c r="AE140"/>
  <c r="AD140"/>
  <c r="AC140"/>
  <c r="AB140"/>
  <c r="AA140"/>
  <c r="Z140"/>
  <c r="U140"/>
  <c r="T140"/>
  <c r="Q140"/>
  <c r="P140"/>
  <c r="O140"/>
  <c r="N140"/>
  <c r="M140"/>
  <c r="L140"/>
  <c r="K140"/>
  <c r="J140"/>
  <c r="A140" a="1"/>
  <c r="A140" s="1"/>
  <c r="I140" s="1"/>
  <c r="BG139"/>
  <c r="BF139"/>
  <c r="BE139"/>
  <c r="BD139"/>
  <c r="BC139"/>
  <c r="BB139"/>
  <c r="BA139"/>
  <c r="AZ139"/>
  <c r="AY139"/>
  <c r="AX139"/>
  <c r="AW139"/>
  <c r="AV139"/>
  <c r="AU139"/>
  <c r="AT139"/>
  <c r="AS139"/>
  <c r="AR139"/>
  <c r="AQ139"/>
  <c r="AP139"/>
  <c r="AO139"/>
  <c r="AN139"/>
  <c r="AM139"/>
  <c r="AL139"/>
  <c r="AK139"/>
  <c r="AJ139"/>
  <c r="AI139"/>
  <c r="AH139"/>
  <c r="AG139"/>
  <c r="AF139"/>
  <c r="AE139"/>
  <c r="AD139"/>
  <c r="AC139"/>
  <c r="AB139"/>
  <c r="AA139"/>
  <c r="Z139"/>
  <c r="U139"/>
  <c r="T139"/>
  <c r="Q139"/>
  <c r="P139"/>
  <c r="O139"/>
  <c r="N139"/>
  <c r="M139"/>
  <c r="L139"/>
  <c r="K139"/>
  <c r="J139"/>
  <c r="A139" a="1"/>
  <c r="A139" s="1"/>
  <c r="I139" s="1"/>
  <c r="BG138"/>
  <c r="BF138"/>
  <c r="BE138"/>
  <c r="BD138"/>
  <c r="BC138"/>
  <c r="BB138"/>
  <c r="BA138"/>
  <c r="AZ138"/>
  <c r="AY138"/>
  <c r="AX138"/>
  <c r="AW138"/>
  <c r="AV138"/>
  <c r="AU138"/>
  <c r="AT138"/>
  <c r="AS138"/>
  <c r="AR138"/>
  <c r="AQ138"/>
  <c r="AP138"/>
  <c r="AO138"/>
  <c r="AN138"/>
  <c r="AM138"/>
  <c r="AL138"/>
  <c r="AK138"/>
  <c r="AJ138"/>
  <c r="AI138"/>
  <c r="AH138"/>
  <c r="AG138"/>
  <c r="AF138"/>
  <c r="AE138"/>
  <c r="AD138"/>
  <c r="AC138"/>
  <c r="AB138"/>
  <c r="AA138"/>
  <c r="Z138"/>
  <c r="U138"/>
  <c r="T138"/>
  <c r="Q138"/>
  <c r="P138"/>
  <c r="O138"/>
  <c r="N138"/>
  <c r="M138"/>
  <c r="L138"/>
  <c r="K138"/>
  <c r="J138"/>
  <c r="A138" a="1"/>
  <c r="A138" s="1"/>
  <c r="I138" s="1"/>
  <c r="BG137"/>
  <c r="BF137"/>
  <c r="BE137"/>
  <c r="BD137"/>
  <c r="BC137"/>
  <c r="BB137"/>
  <c r="BA137"/>
  <c r="AZ137"/>
  <c r="AY137"/>
  <c r="AX137"/>
  <c r="AW137"/>
  <c r="AV137"/>
  <c r="AU137"/>
  <c r="AT137"/>
  <c r="AS137"/>
  <c r="AR137"/>
  <c r="AQ137"/>
  <c r="AP137"/>
  <c r="AO137"/>
  <c r="AN137"/>
  <c r="AM137"/>
  <c r="AL137"/>
  <c r="AK137"/>
  <c r="AJ137"/>
  <c r="AI137"/>
  <c r="AH137"/>
  <c r="AG137"/>
  <c r="AF137"/>
  <c r="AE137"/>
  <c r="AD137"/>
  <c r="AC137"/>
  <c r="AB137"/>
  <c r="AA137"/>
  <c r="Z137"/>
  <c r="U137"/>
  <c r="T137"/>
  <c r="Q137"/>
  <c r="P137"/>
  <c r="O137"/>
  <c r="N137"/>
  <c r="M137"/>
  <c r="L137"/>
  <c r="K137"/>
  <c r="J137"/>
  <c r="A137" a="1"/>
  <c r="A137" s="1"/>
  <c r="I137" s="1"/>
  <c r="BG136"/>
  <c r="BF136"/>
  <c r="BE136"/>
  <c r="BD136"/>
  <c r="BC136"/>
  <c r="BB136"/>
  <c r="BA136"/>
  <c r="AZ136"/>
  <c r="AY136"/>
  <c r="AX136"/>
  <c r="AW136"/>
  <c r="AV136"/>
  <c r="AU136"/>
  <c r="AT136"/>
  <c r="AS136"/>
  <c r="AR136"/>
  <c r="AQ136"/>
  <c r="AP136"/>
  <c r="AO136"/>
  <c r="AN136"/>
  <c r="AM136"/>
  <c r="AL136"/>
  <c r="AK136"/>
  <c r="AJ136"/>
  <c r="AI136"/>
  <c r="AH136"/>
  <c r="AG136"/>
  <c r="AF136"/>
  <c r="AE136"/>
  <c r="AD136"/>
  <c r="AC136"/>
  <c r="AB136"/>
  <c r="AA136"/>
  <c r="Z136"/>
  <c r="U136"/>
  <c r="T136"/>
  <c r="Q136"/>
  <c r="P136"/>
  <c r="O136"/>
  <c r="N136"/>
  <c r="M136"/>
  <c r="L136"/>
  <c r="K136"/>
  <c r="J136"/>
  <c r="A136" a="1"/>
  <c r="A136" s="1"/>
  <c r="I136" s="1"/>
  <c r="BG135"/>
  <c r="BF135"/>
  <c r="BE135"/>
  <c r="BD135"/>
  <c r="BC135"/>
  <c r="BB135"/>
  <c r="BA135"/>
  <c r="AZ135"/>
  <c r="AY135"/>
  <c r="AX135"/>
  <c r="AW135"/>
  <c r="AV135"/>
  <c r="AU135"/>
  <c r="AT135"/>
  <c r="AS135"/>
  <c r="AR135"/>
  <c r="AQ135"/>
  <c r="AP135"/>
  <c r="AO135"/>
  <c r="AN135"/>
  <c r="AM135"/>
  <c r="AL135"/>
  <c r="AK135"/>
  <c r="AJ135"/>
  <c r="AI135"/>
  <c r="AH135"/>
  <c r="AG135"/>
  <c r="AF135"/>
  <c r="AE135"/>
  <c r="AD135"/>
  <c r="AC135"/>
  <c r="AB135"/>
  <c r="AA135"/>
  <c r="Z135"/>
  <c r="U135"/>
  <c r="T135"/>
  <c r="Q135"/>
  <c r="P135"/>
  <c r="O135"/>
  <c r="N135"/>
  <c r="M135"/>
  <c r="L135"/>
  <c r="K135"/>
  <c r="J135"/>
  <c r="A135" a="1"/>
  <c r="A135" s="1"/>
  <c r="I135" s="1"/>
  <c r="BG59"/>
  <c r="BF59"/>
  <c r="BE59"/>
  <c r="BD59"/>
  <c r="BC59"/>
  <c r="BB59"/>
  <c r="BA59"/>
  <c r="AZ59"/>
  <c r="AY59"/>
  <c r="AX59"/>
  <c r="AW59"/>
  <c r="AV59"/>
  <c r="AU59"/>
  <c r="AT59"/>
  <c r="AS59"/>
  <c r="AR59"/>
  <c r="AQ59"/>
  <c r="AP59"/>
  <c r="AO59"/>
  <c r="AN59"/>
  <c r="AM59"/>
  <c r="AL59"/>
  <c r="AK59"/>
  <c r="AJ59"/>
  <c r="AI59"/>
  <c r="AH59"/>
  <c r="AG59"/>
  <c r="AF59"/>
  <c r="AE59"/>
  <c r="AD59"/>
  <c r="AC59"/>
  <c r="AB59"/>
  <c r="AA59"/>
  <c r="Z59"/>
  <c r="U59"/>
  <c r="T59"/>
  <c r="Q59"/>
  <c r="P59"/>
  <c r="O59"/>
  <c r="N59"/>
  <c r="M59"/>
  <c r="L59"/>
  <c r="K59"/>
  <c r="J59"/>
  <c r="A59" a="1"/>
  <c r="A59" s="1"/>
  <c r="I59" s="1"/>
  <c r="BG58"/>
  <c r="BF58"/>
  <c r="BE58"/>
  <c r="BD58"/>
  <c r="BC58"/>
  <c r="BB58"/>
  <c r="BA58"/>
  <c r="AZ58"/>
  <c r="AY58"/>
  <c r="AX58"/>
  <c r="AW58"/>
  <c r="AV58"/>
  <c r="AU58"/>
  <c r="AT58"/>
  <c r="AS58"/>
  <c r="AR58"/>
  <c r="AQ58"/>
  <c r="AP58"/>
  <c r="AO58"/>
  <c r="AN58"/>
  <c r="AM58"/>
  <c r="AL58"/>
  <c r="AK58"/>
  <c r="AJ58"/>
  <c r="AI58"/>
  <c r="AH58"/>
  <c r="AG58"/>
  <c r="AF58"/>
  <c r="AE58"/>
  <c r="AD58"/>
  <c r="AC58"/>
  <c r="AB58"/>
  <c r="AA58"/>
  <c r="Z58"/>
  <c r="U58"/>
  <c r="T58"/>
  <c r="Q58"/>
  <c r="P58"/>
  <c r="O58"/>
  <c r="N58"/>
  <c r="M58"/>
  <c r="L58"/>
  <c r="K58"/>
  <c r="J58"/>
  <c r="A58" a="1"/>
  <c r="A58" s="1"/>
  <c r="I58" s="1"/>
  <c r="BG57"/>
  <c r="BF57"/>
  <c r="BE57"/>
  <c r="BD57"/>
  <c r="BC57"/>
  <c r="BB57"/>
  <c r="BA57"/>
  <c r="AZ57"/>
  <c r="AY57"/>
  <c r="AX57"/>
  <c r="AW57"/>
  <c r="AV57"/>
  <c r="AU57"/>
  <c r="AT57"/>
  <c r="AS57"/>
  <c r="AR57"/>
  <c r="AQ57"/>
  <c r="AP57"/>
  <c r="AO57"/>
  <c r="AN57"/>
  <c r="AM57"/>
  <c r="AL57"/>
  <c r="AK57"/>
  <c r="AJ57"/>
  <c r="AI57"/>
  <c r="AH57"/>
  <c r="AG57"/>
  <c r="AF57"/>
  <c r="AE57"/>
  <c r="AD57"/>
  <c r="AC57"/>
  <c r="AB57"/>
  <c r="AA57"/>
  <c r="Z57"/>
  <c r="U57"/>
  <c r="T57"/>
  <c r="Q57"/>
  <c r="P57"/>
  <c r="O57"/>
  <c r="N57"/>
  <c r="M57"/>
  <c r="L57"/>
  <c r="K57"/>
  <c r="J57"/>
  <c r="A57" a="1"/>
  <c r="A57" s="1"/>
  <c r="I57" s="1"/>
  <c r="BG56"/>
  <c r="BF56"/>
  <c r="BE56"/>
  <c r="BD56"/>
  <c r="BC56"/>
  <c r="BB56"/>
  <c r="BA56"/>
  <c r="AZ56"/>
  <c r="AY56"/>
  <c r="AX56"/>
  <c r="AW56"/>
  <c r="AV56"/>
  <c r="AU56"/>
  <c r="AT56"/>
  <c r="AS56"/>
  <c r="AR56"/>
  <c r="AQ56"/>
  <c r="AP56"/>
  <c r="AO56"/>
  <c r="AN56"/>
  <c r="AM56"/>
  <c r="AL56"/>
  <c r="AK56"/>
  <c r="AJ56"/>
  <c r="AI56"/>
  <c r="AH56"/>
  <c r="AG56"/>
  <c r="AF56"/>
  <c r="AE56"/>
  <c r="AD56"/>
  <c r="AC56"/>
  <c r="AB56"/>
  <c r="AA56"/>
  <c r="Z56"/>
  <c r="U56"/>
  <c r="T56"/>
  <c r="Q56"/>
  <c r="P56"/>
  <c r="O56"/>
  <c r="N56"/>
  <c r="M56"/>
  <c r="L56"/>
  <c r="K56"/>
  <c r="J56"/>
  <c r="A56" a="1"/>
  <c r="A56" s="1"/>
  <c r="I56" s="1"/>
  <c r="BG55"/>
  <c r="BF55"/>
  <c r="BE55"/>
  <c r="BD55"/>
  <c r="BC55"/>
  <c r="BB55"/>
  <c r="BA55"/>
  <c r="AZ55"/>
  <c r="AY55"/>
  <c r="AX55"/>
  <c r="AW55"/>
  <c r="AV55"/>
  <c r="AU55"/>
  <c r="AT55"/>
  <c r="AS55"/>
  <c r="AR55"/>
  <c r="AQ55"/>
  <c r="AP55"/>
  <c r="AO55"/>
  <c r="AN55"/>
  <c r="AM55"/>
  <c r="AL55"/>
  <c r="AK55"/>
  <c r="AJ55"/>
  <c r="AI55"/>
  <c r="AH55"/>
  <c r="AG55"/>
  <c r="AF55"/>
  <c r="AE55"/>
  <c r="AD55"/>
  <c r="AC55"/>
  <c r="AB55"/>
  <c r="AA55"/>
  <c r="Z55"/>
  <c r="U55"/>
  <c r="T55"/>
  <c r="Q55"/>
  <c r="P55"/>
  <c r="O55"/>
  <c r="N55"/>
  <c r="M55"/>
  <c r="L55"/>
  <c r="K55"/>
  <c r="J55"/>
  <c r="A55" a="1"/>
  <c r="A55" s="1"/>
  <c r="I55" s="1"/>
  <c r="BG54"/>
  <c r="BF54"/>
  <c r="BE54"/>
  <c r="BD54"/>
  <c r="BC54"/>
  <c r="BB54"/>
  <c r="BA54"/>
  <c r="AZ54"/>
  <c r="AY54"/>
  <c r="AX54"/>
  <c r="AW54"/>
  <c r="AV54"/>
  <c r="AU54"/>
  <c r="AT54"/>
  <c r="AS54"/>
  <c r="AR54"/>
  <c r="AQ54"/>
  <c r="AP54"/>
  <c r="AO54"/>
  <c r="AN54"/>
  <c r="AM54"/>
  <c r="AL54"/>
  <c r="AK54"/>
  <c r="AJ54"/>
  <c r="AI54"/>
  <c r="AH54"/>
  <c r="AG54"/>
  <c r="AF54"/>
  <c r="AE54"/>
  <c r="AD54"/>
  <c r="AC54"/>
  <c r="AB54"/>
  <c r="AA54"/>
  <c r="Z54"/>
  <c r="U54"/>
  <c r="T54"/>
  <c r="Q54"/>
  <c r="P54"/>
  <c r="O54"/>
  <c r="N54"/>
  <c r="M54"/>
  <c r="L54"/>
  <c r="K54"/>
  <c r="J54"/>
  <c r="A54" a="1"/>
  <c r="A54" s="1"/>
  <c r="I54" s="1"/>
  <c r="BG53"/>
  <c r="BF53"/>
  <c r="BE53"/>
  <c r="BD53"/>
  <c r="BC53"/>
  <c r="BB53"/>
  <c r="BA53"/>
  <c r="AZ53"/>
  <c r="AY53"/>
  <c r="AX53"/>
  <c r="AW53"/>
  <c r="AV53"/>
  <c r="AU53"/>
  <c r="AT53"/>
  <c r="AS53"/>
  <c r="AR53"/>
  <c r="AQ53"/>
  <c r="AP53"/>
  <c r="AO53"/>
  <c r="AN53"/>
  <c r="AM53"/>
  <c r="AL53"/>
  <c r="AK53"/>
  <c r="AJ53"/>
  <c r="AI53"/>
  <c r="AH53"/>
  <c r="AG53"/>
  <c r="AF53"/>
  <c r="AE53"/>
  <c r="AD53"/>
  <c r="AC53"/>
  <c r="AB53"/>
  <c r="AA53"/>
  <c r="Z53"/>
  <c r="U53"/>
  <c r="T53"/>
  <c r="Q53"/>
  <c r="P53"/>
  <c r="O53"/>
  <c r="N53"/>
  <c r="M53"/>
  <c r="L53"/>
  <c r="K53"/>
  <c r="J53"/>
  <c r="A53" a="1"/>
  <c r="A53" s="1"/>
  <c r="I53" s="1"/>
  <c r="BG52"/>
  <c r="BF52"/>
  <c r="BE52"/>
  <c r="BD52"/>
  <c r="BC52"/>
  <c r="BB52"/>
  <c r="BA52"/>
  <c r="AZ52"/>
  <c r="AY52"/>
  <c r="AX52"/>
  <c r="AW52"/>
  <c r="AV52"/>
  <c r="AU52"/>
  <c r="AT52"/>
  <c r="AS52"/>
  <c r="AR52"/>
  <c r="AQ52"/>
  <c r="AP52"/>
  <c r="AO52"/>
  <c r="AN52"/>
  <c r="AM52"/>
  <c r="AL52"/>
  <c r="AK52"/>
  <c r="AJ52"/>
  <c r="AI52"/>
  <c r="AH52"/>
  <c r="AG52"/>
  <c r="AF52"/>
  <c r="AE52"/>
  <c r="AD52"/>
  <c r="AC52"/>
  <c r="AB52"/>
  <c r="AA52"/>
  <c r="Z52"/>
  <c r="U52"/>
  <c r="T52"/>
  <c r="Q52"/>
  <c r="P52"/>
  <c r="O52"/>
  <c r="N52"/>
  <c r="M52"/>
  <c r="L52"/>
  <c r="K52"/>
  <c r="J52"/>
  <c r="A52" a="1"/>
  <c r="A52" s="1"/>
  <c r="I52" s="1"/>
  <c r="BG51"/>
  <c r="BF51"/>
  <c r="BE51"/>
  <c r="BD51"/>
  <c r="BC51"/>
  <c r="BB51"/>
  <c r="BA51"/>
  <c r="AZ51"/>
  <c r="AY51"/>
  <c r="AX51"/>
  <c r="AW51"/>
  <c r="AV51"/>
  <c r="AU51"/>
  <c r="AT51"/>
  <c r="AS51"/>
  <c r="AR51"/>
  <c r="AQ51"/>
  <c r="AP51"/>
  <c r="AO51"/>
  <c r="AN51"/>
  <c r="AM51"/>
  <c r="AL51"/>
  <c r="AK51"/>
  <c r="AJ51"/>
  <c r="AI51"/>
  <c r="AH51"/>
  <c r="AG51"/>
  <c r="AF51"/>
  <c r="AE51"/>
  <c r="AD51"/>
  <c r="AC51"/>
  <c r="AB51"/>
  <c r="AA51"/>
  <c r="Z51"/>
  <c r="U51"/>
  <c r="T51"/>
  <c r="Q51"/>
  <c r="P51"/>
  <c r="O51"/>
  <c r="N51"/>
  <c r="M51"/>
  <c r="L51"/>
  <c r="K51"/>
  <c r="J51"/>
  <c r="A51" a="1"/>
  <c r="A51" s="1"/>
  <c r="I51" s="1"/>
  <c r="BG50"/>
  <c r="BF50"/>
  <c r="BE50"/>
  <c r="BD50"/>
  <c r="BC50"/>
  <c r="BB50"/>
  <c r="BA50"/>
  <c r="AZ50"/>
  <c r="AY50"/>
  <c r="AX50"/>
  <c r="AW50"/>
  <c r="AV50"/>
  <c r="AU50"/>
  <c r="AT50"/>
  <c r="AS50"/>
  <c r="AR50"/>
  <c r="AQ50"/>
  <c r="AP50"/>
  <c r="AO50"/>
  <c r="AN50"/>
  <c r="AM50"/>
  <c r="AL50"/>
  <c r="AK50"/>
  <c r="AJ50"/>
  <c r="AI50"/>
  <c r="AH50"/>
  <c r="AG50"/>
  <c r="AF50"/>
  <c r="AE50"/>
  <c r="AD50"/>
  <c r="AC50"/>
  <c r="AB50"/>
  <c r="AA50"/>
  <c r="Z50"/>
  <c r="U50"/>
  <c r="T50"/>
  <c r="Q50"/>
  <c r="P50"/>
  <c r="O50"/>
  <c r="N50"/>
  <c r="M50"/>
  <c r="L50"/>
  <c r="K50"/>
  <c r="J50"/>
  <c r="A50" a="1"/>
  <c r="A50" s="1"/>
  <c r="I50" s="1"/>
  <c r="BG49"/>
  <c r="BF49"/>
  <c r="BE49"/>
  <c r="BD49"/>
  <c r="BC49"/>
  <c r="BB49"/>
  <c r="BA49"/>
  <c r="AZ49"/>
  <c r="AY49"/>
  <c r="AX49"/>
  <c r="AW49"/>
  <c r="AV49"/>
  <c r="AU49"/>
  <c r="AT49"/>
  <c r="AS49"/>
  <c r="AR49"/>
  <c r="AQ49"/>
  <c r="AP49"/>
  <c r="AO49"/>
  <c r="AN49"/>
  <c r="AM49"/>
  <c r="AL49"/>
  <c r="AK49"/>
  <c r="AJ49"/>
  <c r="AI49"/>
  <c r="AH49"/>
  <c r="AG49"/>
  <c r="AF49"/>
  <c r="AE49"/>
  <c r="AD49"/>
  <c r="AC49"/>
  <c r="AB49"/>
  <c r="AA49"/>
  <c r="Z49"/>
  <c r="U49"/>
  <c r="T49"/>
  <c r="Q49"/>
  <c r="P49"/>
  <c r="O49"/>
  <c r="N49"/>
  <c r="M49"/>
  <c r="L49"/>
  <c r="K49"/>
  <c r="J49"/>
  <c r="A49" a="1"/>
  <c r="A49" s="1"/>
  <c r="I49" s="1"/>
  <c r="BG48"/>
  <c r="BF48"/>
  <c r="BE48"/>
  <c r="BD48"/>
  <c r="BC48"/>
  <c r="BB48"/>
  <c r="BA48"/>
  <c r="AZ48"/>
  <c r="AY48"/>
  <c r="AX48"/>
  <c r="AW48"/>
  <c r="AV48"/>
  <c r="AU48"/>
  <c r="AT48"/>
  <c r="AS48"/>
  <c r="AR48"/>
  <c r="AQ48"/>
  <c r="AP48"/>
  <c r="AO48"/>
  <c r="AN48"/>
  <c r="AM48"/>
  <c r="AL48"/>
  <c r="AK48"/>
  <c r="AJ48"/>
  <c r="AI48"/>
  <c r="AH48"/>
  <c r="AG48"/>
  <c r="AF48"/>
  <c r="AE48"/>
  <c r="AD48"/>
  <c r="AC48"/>
  <c r="AB48"/>
  <c r="AA48"/>
  <c r="Z48"/>
  <c r="U48"/>
  <c r="T48"/>
  <c r="Q48"/>
  <c r="P48"/>
  <c r="O48"/>
  <c r="N48"/>
  <c r="M48"/>
  <c r="L48"/>
  <c r="K48"/>
  <c r="J48"/>
  <c r="A48" a="1"/>
  <c r="A48" s="1"/>
  <c r="I48" s="1"/>
  <c r="BG47"/>
  <c r="BF47"/>
  <c r="BE47"/>
  <c r="BD47"/>
  <c r="BC47"/>
  <c r="BB47"/>
  <c r="BA47"/>
  <c r="AZ47"/>
  <c r="AY47"/>
  <c r="AX47"/>
  <c r="AW47"/>
  <c r="AV47"/>
  <c r="AU47"/>
  <c r="AT47"/>
  <c r="AS47"/>
  <c r="AR47"/>
  <c r="AQ47"/>
  <c r="AP47"/>
  <c r="AO47"/>
  <c r="AN47"/>
  <c r="AM47"/>
  <c r="AL47"/>
  <c r="AK47"/>
  <c r="AJ47"/>
  <c r="AI47"/>
  <c r="AH47"/>
  <c r="AG47"/>
  <c r="AF47"/>
  <c r="AE47"/>
  <c r="AD47"/>
  <c r="AC47"/>
  <c r="AB47"/>
  <c r="AA47"/>
  <c r="Z47"/>
  <c r="U47"/>
  <c r="T47"/>
  <c r="Q47"/>
  <c r="P47"/>
  <c r="O47"/>
  <c r="N47"/>
  <c r="M47"/>
  <c r="L47"/>
  <c r="K47"/>
  <c r="J47"/>
  <c r="A47" a="1"/>
  <c r="A47" s="1"/>
  <c r="I47" s="1"/>
  <c r="BG46"/>
  <c r="BF46"/>
  <c r="BE46"/>
  <c r="BD46"/>
  <c r="BC46"/>
  <c r="BB46"/>
  <c r="BA46"/>
  <c r="AZ46"/>
  <c r="AY46"/>
  <c r="AX46"/>
  <c r="AW46"/>
  <c r="AV46"/>
  <c r="AU46"/>
  <c r="AT46"/>
  <c r="AS46"/>
  <c r="AR46"/>
  <c r="AQ46"/>
  <c r="AP46"/>
  <c r="AO46"/>
  <c r="AN46"/>
  <c r="AM46"/>
  <c r="AL46"/>
  <c r="AK46"/>
  <c r="AJ46"/>
  <c r="AI46"/>
  <c r="AH46"/>
  <c r="AG46"/>
  <c r="AF46"/>
  <c r="AE46"/>
  <c r="AD46"/>
  <c r="AC46"/>
  <c r="AB46"/>
  <c r="AA46"/>
  <c r="Z46"/>
  <c r="U46"/>
  <c r="T46"/>
  <c r="Q46"/>
  <c r="P46"/>
  <c r="O46"/>
  <c r="N46"/>
  <c r="M46"/>
  <c r="L46"/>
  <c r="K46"/>
  <c r="J46"/>
  <c r="A46" a="1"/>
  <c r="A46" s="1"/>
  <c r="I46" s="1"/>
  <c r="BG45"/>
  <c r="BF45"/>
  <c r="BE45"/>
  <c r="BD45"/>
  <c r="BC45"/>
  <c r="BB45"/>
  <c r="BA45"/>
  <c r="AZ45"/>
  <c r="AY45"/>
  <c r="AX45"/>
  <c r="AW45"/>
  <c r="AV45"/>
  <c r="AU45"/>
  <c r="AT45"/>
  <c r="AS45"/>
  <c r="AR45"/>
  <c r="AQ45"/>
  <c r="AP45"/>
  <c r="AO45"/>
  <c r="AN45"/>
  <c r="AM45"/>
  <c r="AL45"/>
  <c r="AK45"/>
  <c r="AJ45"/>
  <c r="AI45"/>
  <c r="AH45"/>
  <c r="AG45"/>
  <c r="AF45"/>
  <c r="AE45"/>
  <c r="AD45"/>
  <c r="AC45"/>
  <c r="AB45"/>
  <c r="AA45"/>
  <c r="Z45"/>
  <c r="U45"/>
  <c r="T45"/>
  <c r="Q45"/>
  <c r="P45"/>
  <c r="O45"/>
  <c r="N45"/>
  <c r="M45"/>
  <c r="L45"/>
  <c r="K45"/>
  <c r="J45"/>
  <c r="A45" a="1"/>
  <c r="A45" s="1"/>
  <c r="I45" s="1"/>
  <c r="BG44"/>
  <c r="BF44"/>
  <c r="BE44"/>
  <c r="BD44"/>
  <c r="BC44"/>
  <c r="BB44"/>
  <c r="BA44"/>
  <c r="AZ44"/>
  <c r="AY44"/>
  <c r="AX44"/>
  <c r="AW44"/>
  <c r="AV44"/>
  <c r="AU44"/>
  <c r="AT44"/>
  <c r="AS44"/>
  <c r="AR44"/>
  <c r="AQ44"/>
  <c r="AP44"/>
  <c r="AO44"/>
  <c r="AN44"/>
  <c r="AM44"/>
  <c r="AL44"/>
  <c r="AK44"/>
  <c r="AJ44"/>
  <c r="AI44"/>
  <c r="AH44"/>
  <c r="AG44"/>
  <c r="AF44"/>
  <c r="AE44"/>
  <c r="AD44"/>
  <c r="AC44"/>
  <c r="AB44"/>
  <c r="AA44"/>
  <c r="Z44"/>
  <c r="U44"/>
  <c r="T44"/>
  <c r="Q44"/>
  <c r="P44"/>
  <c r="O44"/>
  <c r="N44"/>
  <c r="M44"/>
  <c r="L44"/>
  <c r="K44"/>
  <c r="J44"/>
  <c r="A44" a="1"/>
  <c r="A44" s="1"/>
  <c r="I44" s="1"/>
  <c r="BG43"/>
  <c r="BF43"/>
  <c r="BE43"/>
  <c r="BD43"/>
  <c r="BC43"/>
  <c r="BB43"/>
  <c r="BA43"/>
  <c r="AZ43"/>
  <c r="AY43"/>
  <c r="AX43"/>
  <c r="AW43"/>
  <c r="AV43"/>
  <c r="AU43"/>
  <c r="AT43"/>
  <c r="AS43"/>
  <c r="AR43"/>
  <c r="AQ43"/>
  <c r="AP43"/>
  <c r="AO43"/>
  <c r="AN43"/>
  <c r="AM43"/>
  <c r="AL43"/>
  <c r="AK43"/>
  <c r="AJ43"/>
  <c r="AI43"/>
  <c r="AH43"/>
  <c r="AG43"/>
  <c r="AF43"/>
  <c r="AE43"/>
  <c r="AD43"/>
  <c r="AC43"/>
  <c r="AB43"/>
  <c r="AA43"/>
  <c r="Z43"/>
  <c r="U43"/>
  <c r="T43"/>
  <c r="Q43"/>
  <c r="P43"/>
  <c r="O43"/>
  <c r="N43"/>
  <c r="M43"/>
  <c r="L43"/>
  <c r="K43"/>
  <c r="J43"/>
  <c r="A43" a="1"/>
  <c r="A43" s="1"/>
  <c r="I43" s="1"/>
  <c r="BG42"/>
  <c r="BF42"/>
  <c r="BE42"/>
  <c r="BD42"/>
  <c r="BC42"/>
  <c r="BB42"/>
  <c r="BA42"/>
  <c r="AZ42"/>
  <c r="AY42"/>
  <c r="AX42"/>
  <c r="AW42"/>
  <c r="AV42"/>
  <c r="AU42"/>
  <c r="AT42"/>
  <c r="AS42"/>
  <c r="AR42"/>
  <c r="AQ42"/>
  <c r="AP42"/>
  <c r="AO42"/>
  <c r="AN42"/>
  <c r="AM42"/>
  <c r="AL42"/>
  <c r="AK42"/>
  <c r="AJ42"/>
  <c r="AI42"/>
  <c r="AH42"/>
  <c r="AG42"/>
  <c r="AF42"/>
  <c r="AE42"/>
  <c r="AD42"/>
  <c r="AC42"/>
  <c r="AB42"/>
  <c r="AA42"/>
  <c r="Z42"/>
  <c r="U42"/>
  <c r="T42"/>
  <c r="Q42"/>
  <c r="P42"/>
  <c r="O42"/>
  <c r="N42"/>
  <c r="M42"/>
  <c r="L42"/>
  <c r="K42"/>
  <c r="J42"/>
  <c r="A42" a="1"/>
  <c r="A42" s="1"/>
  <c r="I42" s="1"/>
  <c r="BG41"/>
  <c r="BF41"/>
  <c r="BE41"/>
  <c r="BD41"/>
  <c r="BC41"/>
  <c r="BB41"/>
  <c r="BA41"/>
  <c r="AZ41"/>
  <c r="AY41"/>
  <c r="AX41"/>
  <c r="AW41"/>
  <c r="AV41"/>
  <c r="AU41"/>
  <c r="AT41"/>
  <c r="AS41"/>
  <c r="AR41"/>
  <c r="AQ41"/>
  <c r="AP41"/>
  <c r="AO41"/>
  <c r="AN41"/>
  <c r="AM41"/>
  <c r="AL41"/>
  <c r="AK41"/>
  <c r="AJ41"/>
  <c r="AI41"/>
  <c r="AH41"/>
  <c r="AG41"/>
  <c r="AF41"/>
  <c r="AE41"/>
  <c r="AD41"/>
  <c r="AC41"/>
  <c r="AB41"/>
  <c r="AA41"/>
  <c r="Z41"/>
  <c r="U41"/>
  <c r="T41"/>
  <c r="Q41"/>
  <c r="P41"/>
  <c r="O41"/>
  <c r="N41"/>
  <c r="M41"/>
  <c r="L41"/>
  <c r="K41"/>
  <c r="J41"/>
  <c r="A41" a="1"/>
  <c r="A41" s="1"/>
  <c r="I41" s="1"/>
  <c r="BG40"/>
  <c r="BF40"/>
  <c r="BE40"/>
  <c r="BD40"/>
  <c r="BC40"/>
  <c r="BB40"/>
  <c r="BA40"/>
  <c r="AZ40"/>
  <c r="AY40"/>
  <c r="AX40"/>
  <c r="AW40"/>
  <c r="AV40"/>
  <c r="AU40"/>
  <c r="AT40"/>
  <c r="AS40"/>
  <c r="AR40"/>
  <c r="AQ40"/>
  <c r="AP40"/>
  <c r="AO40"/>
  <c r="AN40"/>
  <c r="AM40"/>
  <c r="AL40"/>
  <c r="AK40"/>
  <c r="AJ40"/>
  <c r="AI40"/>
  <c r="AH40"/>
  <c r="AG40"/>
  <c r="AF40"/>
  <c r="AE40"/>
  <c r="AD40"/>
  <c r="AC40"/>
  <c r="AB40"/>
  <c r="AA40"/>
  <c r="Z40"/>
  <c r="U40"/>
  <c r="T40"/>
  <c r="Q40"/>
  <c r="P40"/>
  <c r="O40"/>
  <c r="N40"/>
  <c r="M40"/>
  <c r="L40"/>
  <c r="K40"/>
  <c r="J40"/>
  <c r="A40" a="1"/>
  <c r="A40" s="1"/>
  <c r="I40" s="1"/>
  <c r="BG39"/>
  <c r="BF39"/>
  <c r="BE39"/>
  <c r="BD39"/>
  <c r="BC39"/>
  <c r="BB39"/>
  <c r="BA39"/>
  <c r="AZ39"/>
  <c r="AY39"/>
  <c r="AX39"/>
  <c r="AW39"/>
  <c r="AV39"/>
  <c r="AU39"/>
  <c r="AT39"/>
  <c r="AS39"/>
  <c r="AR39"/>
  <c r="AQ39"/>
  <c r="AP39"/>
  <c r="AO39"/>
  <c r="AN39"/>
  <c r="AM39"/>
  <c r="AL39"/>
  <c r="AK39"/>
  <c r="AJ39"/>
  <c r="AI39"/>
  <c r="AH39"/>
  <c r="AG39"/>
  <c r="AF39"/>
  <c r="AE39"/>
  <c r="AD39"/>
  <c r="AC39"/>
  <c r="AB39"/>
  <c r="AA39"/>
  <c r="Z39"/>
  <c r="U39"/>
  <c r="T39"/>
  <c r="Q39"/>
  <c r="P39"/>
  <c r="O39"/>
  <c r="N39"/>
  <c r="M39"/>
  <c r="L39"/>
  <c r="K39"/>
  <c r="J39"/>
  <c r="A39" a="1"/>
  <c r="A39" s="1"/>
  <c r="I39" s="1"/>
  <c r="BG38"/>
  <c r="BF38"/>
  <c r="BE38"/>
  <c r="BD38"/>
  <c r="BC38"/>
  <c r="BB38"/>
  <c r="BA38"/>
  <c r="AZ38"/>
  <c r="AY38"/>
  <c r="AX38"/>
  <c r="AW38"/>
  <c r="AV38"/>
  <c r="AU38"/>
  <c r="AT38"/>
  <c r="AS38"/>
  <c r="AR38"/>
  <c r="AQ38"/>
  <c r="AP38"/>
  <c r="AO38"/>
  <c r="AN38"/>
  <c r="AM38"/>
  <c r="AL38"/>
  <c r="AK38"/>
  <c r="AJ38"/>
  <c r="AI38"/>
  <c r="AH38"/>
  <c r="AG38"/>
  <c r="AF38"/>
  <c r="AE38"/>
  <c r="AD38"/>
  <c r="AC38"/>
  <c r="AB38"/>
  <c r="AA38"/>
  <c r="Z38"/>
  <c r="U38"/>
  <c r="T38"/>
  <c r="Q38"/>
  <c r="P38"/>
  <c r="O38"/>
  <c r="N38"/>
  <c r="M38"/>
  <c r="L38"/>
  <c r="K38"/>
  <c r="J38"/>
  <c r="A38" a="1"/>
  <c r="A38" s="1"/>
  <c r="I38" s="1"/>
  <c r="BG37"/>
  <c r="BF37"/>
  <c r="BE37"/>
  <c r="BD37"/>
  <c r="BC37"/>
  <c r="BB37"/>
  <c r="BA37"/>
  <c r="AZ37"/>
  <c r="AY37"/>
  <c r="AX37"/>
  <c r="AW37"/>
  <c r="AV37"/>
  <c r="AU37"/>
  <c r="AT37"/>
  <c r="AS37"/>
  <c r="AR37"/>
  <c r="AQ37"/>
  <c r="AP37"/>
  <c r="AO37"/>
  <c r="AN37"/>
  <c r="AM37"/>
  <c r="AL37"/>
  <c r="AK37"/>
  <c r="AJ37"/>
  <c r="AI37"/>
  <c r="AH37"/>
  <c r="AG37"/>
  <c r="AF37"/>
  <c r="AE37"/>
  <c r="AD37"/>
  <c r="AC37"/>
  <c r="AB37"/>
  <c r="AA37"/>
  <c r="Z37"/>
  <c r="U37"/>
  <c r="T37"/>
  <c r="Q37"/>
  <c r="P37"/>
  <c r="O37"/>
  <c r="N37"/>
  <c r="M37"/>
  <c r="L37"/>
  <c r="K37"/>
  <c r="J37"/>
  <c r="A37" a="1"/>
  <c r="A37" s="1"/>
  <c r="I37" s="1"/>
  <c r="BG36"/>
  <c r="BF36"/>
  <c r="BE36"/>
  <c r="BD36"/>
  <c r="BC36"/>
  <c r="BB36"/>
  <c r="BA36"/>
  <c r="AZ36"/>
  <c r="AY36"/>
  <c r="AX36"/>
  <c r="AW36"/>
  <c r="AV36"/>
  <c r="AU36"/>
  <c r="AT36"/>
  <c r="AS36"/>
  <c r="AR36"/>
  <c r="AQ36"/>
  <c r="AP36"/>
  <c r="AO36"/>
  <c r="AN36"/>
  <c r="AM36"/>
  <c r="AL36"/>
  <c r="AK36"/>
  <c r="AJ36"/>
  <c r="AI36"/>
  <c r="AH36"/>
  <c r="AG36"/>
  <c r="AF36"/>
  <c r="AE36"/>
  <c r="AD36"/>
  <c r="AC36"/>
  <c r="AB36"/>
  <c r="AA36"/>
  <c r="Z36"/>
  <c r="U36"/>
  <c r="T36"/>
  <c r="Q36"/>
  <c r="P36"/>
  <c r="O36"/>
  <c r="N36"/>
  <c r="M36"/>
  <c r="L36"/>
  <c r="K36"/>
  <c r="J36"/>
  <c r="A36" a="1"/>
  <c r="A36" s="1"/>
  <c r="I36" s="1"/>
  <c r="BG35"/>
  <c r="BF35"/>
  <c r="BE35"/>
  <c r="BD35"/>
  <c r="BC35"/>
  <c r="BB35"/>
  <c r="BA35"/>
  <c r="AZ35"/>
  <c r="AY35"/>
  <c r="AX35"/>
  <c r="AW35"/>
  <c r="AV35"/>
  <c r="AU35"/>
  <c r="AT35"/>
  <c r="AS35"/>
  <c r="AR35"/>
  <c r="AQ35"/>
  <c r="AP35"/>
  <c r="AO35"/>
  <c r="AN35"/>
  <c r="AM35"/>
  <c r="AL35"/>
  <c r="AK35"/>
  <c r="AJ35"/>
  <c r="AI35"/>
  <c r="AH35"/>
  <c r="AG35"/>
  <c r="AF35"/>
  <c r="AE35"/>
  <c r="AD35"/>
  <c r="AC35"/>
  <c r="AB35"/>
  <c r="AA35"/>
  <c r="Z35"/>
  <c r="U35"/>
  <c r="T35"/>
  <c r="Q35"/>
  <c r="P35"/>
  <c r="O35"/>
  <c r="N35"/>
  <c r="M35"/>
  <c r="L35"/>
  <c r="K35"/>
  <c r="J35"/>
  <c r="A35" a="1"/>
  <c r="A35" s="1"/>
  <c r="I35" s="1"/>
  <c r="BG34"/>
  <c r="BF34"/>
  <c r="BE34"/>
  <c r="BD34"/>
  <c r="BC34"/>
  <c r="BB34"/>
  <c r="BA34"/>
  <c r="AZ34"/>
  <c r="AY34"/>
  <c r="AX34"/>
  <c r="AW34"/>
  <c r="AV34"/>
  <c r="AU34"/>
  <c r="AT34"/>
  <c r="AS34"/>
  <c r="AR34"/>
  <c r="AQ34"/>
  <c r="AP34"/>
  <c r="AO34"/>
  <c r="AN34"/>
  <c r="AM34"/>
  <c r="AL34"/>
  <c r="AK34"/>
  <c r="AJ34"/>
  <c r="AI34"/>
  <c r="AH34"/>
  <c r="AG34"/>
  <c r="AF34"/>
  <c r="AE34"/>
  <c r="AD34"/>
  <c r="AC34"/>
  <c r="AB34"/>
  <c r="AA34"/>
  <c r="Z34"/>
  <c r="U34"/>
  <c r="T34"/>
  <c r="Q34"/>
  <c r="P34"/>
  <c r="O34"/>
  <c r="N34"/>
  <c r="M34"/>
  <c r="L34"/>
  <c r="K34"/>
  <c r="J34"/>
  <c r="A34" a="1"/>
  <c r="A34" s="1"/>
  <c r="I34" s="1"/>
  <c r="BG33"/>
  <c r="BF33"/>
  <c r="BE33"/>
  <c r="BD33"/>
  <c r="BC33"/>
  <c r="BB33"/>
  <c r="BA33"/>
  <c r="AZ33"/>
  <c r="AY33"/>
  <c r="AX33"/>
  <c r="AW33"/>
  <c r="AV33"/>
  <c r="AU33"/>
  <c r="AT33"/>
  <c r="AS33"/>
  <c r="AR33"/>
  <c r="AQ33"/>
  <c r="AP33"/>
  <c r="AO33"/>
  <c r="AN33"/>
  <c r="AM33"/>
  <c r="AL33"/>
  <c r="AK33"/>
  <c r="AJ33"/>
  <c r="AI33"/>
  <c r="AH33"/>
  <c r="AG33"/>
  <c r="AF33"/>
  <c r="AE33"/>
  <c r="AD33"/>
  <c r="AC33"/>
  <c r="AB33"/>
  <c r="AA33"/>
  <c r="Z33"/>
  <c r="U33"/>
  <c r="T33"/>
  <c r="Q33"/>
  <c r="P33"/>
  <c r="O33"/>
  <c r="N33"/>
  <c r="M33"/>
  <c r="L33"/>
  <c r="K33"/>
  <c r="J33"/>
  <c r="A33" a="1"/>
  <c r="A33" s="1"/>
  <c r="I33" s="1"/>
  <c r="BG32"/>
  <c r="BF32"/>
  <c r="BE32"/>
  <c r="BD32"/>
  <c r="BC32"/>
  <c r="BB32"/>
  <c r="BA32"/>
  <c r="AZ32"/>
  <c r="AY32"/>
  <c r="AX32"/>
  <c r="AW32"/>
  <c r="AV32"/>
  <c r="AU32"/>
  <c r="AT32"/>
  <c r="AS32"/>
  <c r="AR32"/>
  <c r="AQ32"/>
  <c r="AP32"/>
  <c r="AO32"/>
  <c r="AN32"/>
  <c r="AM32"/>
  <c r="AL32"/>
  <c r="AK32"/>
  <c r="AJ32"/>
  <c r="AI32"/>
  <c r="AH32"/>
  <c r="AG32"/>
  <c r="AF32"/>
  <c r="AE32"/>
  <c r="AD32"/>
  <c r="AC32"/>
  <c r="AB32"/>
  <c r="AA32"/>
  <c r="Z32"/>
  <c r="U32"/>
  <c r="T32"/>
  <c r="Q32"/>
  <c r="P32"/>
  <c r="O32"/>
  <c r="N32"/>
  <c r="M32"/>
  <c r="L32"/>
  <c r="K32"/>
  <c r="J32"/>
  <c r="A32" a="1"/>
  <c r="A32" s="1"/>
  <c r="I32" s="1"/>
  <c r="BG31"/>
  <c r="BF31"/>
  <c r="BE31"/>
  <c r="BD31"/>
  <c r="BC31"/>
  <c r="BB31"/>
  <c r="BA31"/>
  <c r="AZ31"/>
  <c r="AY31"/>
  <c r="AX31"/>
  <c r="AW31"/>
  <c r="AV31"/>
  <c r="AU31"/>
  <c r="AT31"/>
  <c r="AS31"/>
  <c r="AR31"/>
  <c r="AQ31"/>
  <c r="AP31"/>
  <c r="AO31"/>
  <c r="AN31"/>
  <c r="AM31"/>
  <c r="AL31"/>
  <c r="AK31"/>
  <c r="AJ31"/>
  <c r="AI31"/>
  <c r="AH31"/>
  <c r="AG31"/>
  <c r="AF31"/>
  <c r="AE31"/>
  <c r="AD31"/>
  <c r="AC31"/>
  <c r="AB31"/>
  <c r="AA31"/>
  <c r="Z31"/>
  <c r="U31"/>
  <c r="T31"/>
  <c r="Q31"/>
  <c r="P31"/>
  <c r="O31"/>
  <c r="N31"/>
  <c r="M31"/>
  <c r="L31"/>
  <c r="K31"/>
  <c r="J31"/>
  <c r="A31" a="1"/>
  <c r="A31" s="1"/>
  <c r="I31" s="1"/>
  <c r="BG30"/>
  <c r="BF30"/>
  <c r="BE30"/>
  <c r="BD30"/>
  <c r="BC30"/>
  <c r="BB30"/>
  <c r="BA30"/>
  <c r="AZ30"/>
  <c r="AY30"/>
  <c r="AX30"/>
  <c r="AW30"/>
  <c r="AV30"/>
  <c r="AU30"/>
  <c r="AT30"/>
  <c r="AS30"/>
  <c r="AR30"/>
  <c r="AQ30"/>
  <c r="AP30"/>
  <c r="AO30"/>
  <c r="AN30"/>
  <c r="AM30"/>
  <c r="AL30"/>
  <c r="AK30"/>
  <c r="AJ30"/>
  <c r="AI30"/>
  <c r="AH30"/>
  <c r="AG30"/>
  <c r="AF30"/>
  <c r="AE30"/>
  <c r="AD30"/>
  <c r="AC30"/>
  <c r="AB30"/>
  <c r="AA30"/>
  <c r="Z30"/>
  <c r="U30"/>
  <c r="T30"/>
  <c r="Q30"/>
  <c r="P30"/>
  <c r="O30"/>
  <c r="N30"/>
  <c r="M30"/>
  <c r="L30"/>
  <c r="K30"/>
  <c r="J30"/>
  <c r="A30" a="1"/>
  <c r="A30" s="1"/>
  <c r="I30" s="1"/>
  <c r="BG29"/>
  <c r="BF29"/>
  <c r="BE29"/>
  <c r="BD29"/>
  <c r="BC29"/>
  <c r="BB29"/>
  <c r="BA29"/>
  <c r="AZ29"/>
  <c r="AY29"/>
  <c r="AX29"/>
  <c r="AW29"/>
  <c r="AV29"/>
  <c r="AU29"/>
  <c r="AT29"/>
  <c r="AS29"/>
  <c r="AR29"/>
  <c r="AQ29"/>
  <c r="AP29"/>
  <c r="AO29"/>
  <c r="AN29"/>
  <c r="AM29"/>
  <c r="AL29"/>
  <c r="AK29"/>
  <c r="AJ29"/>
  <c r="AI29"/>
  <c r="AH29"/>
  <c r="AG29"/>
  <c r="AF29"/>
  <c r="AE29"/>
  <c r="AD29"/>
  <c r="AC29"/>
  <c r="AB29"/>
  <c r="AA29"/>
  <c r="Z29"/>
  <c r="U29"/>
  <c r="T29"/>
  <c r="Q29"/>
  <c r="P29"/>
  <c r="O29"/>
  <c r="N29"/>
  <c r="M29"/>
  <c r="L29"/>
  <c r="K29"/>
  <c r="J29"/>
  <c r="A29" a="1"/>
  <c r="A29" s="1"/>
  <c r="I29" s="1"/>
  <c r="BG28"/>
  <c r="BF28"/>
  <c r="BE28"/>
  <c r="BD28"/>
  <c r="BC28"/>
  <c r="BB28"/>
  <c r="BA28"/>
  <c r="AZ28"/>
  <c r="AY28"/>
  <c r="AX28"/>
  <c r="AW28"/>
  <c r="AV28"/>
  <c r="AU28"/>
  <c r="AT28"/>
  <c r="AS28"/>
  <c r="AR28"/>
  <c r="AQ28"/>
  <c r="AP28"/>
  <c r="AO28"/>
  <c r="AN28"/>
  <c r="AM28"/>
  <c r="AL28"/>
  <c r="AK28"/>
  <c r="AJ28"/>
  <c r="AI28"/>
  <c r="AH28"/>
  <c r="AG28"/>
  <c r="AF28"/>
  <c r="AE28"/>
  <c r="AD28"/>
  <c r="AC28"/>
  <c r="AB28"/>
  <c r="AA28"/>
  <c r="Z28"/>
  <c r="U28"/>
  <c r="T28"/>
  <c r="Q28"/>
  <c r="P28"/>
  <c r="O28"/>
  <c r="N28"/>
  <c r="M28"/>
  <c r="L28"/>
  <c r="K28"/>
  <c r="J28"/>
  <c r="A28" a="1"/>
  <c r="A28" s="1"/>
  <c r="I28" s="1"/>
  <c r="BG27"/>
  <c r="BF27"/>
  <c r="BE27"/>
  <c r="BD27"/>
  <c r="BC27"/>
  <c r="BB27"/>
  <c r="BA27"/>
  <c r="AZ27"/>
  <c r="AY27"/>
  <c r="AX27"/>
  <c r="AW27"/>
  <c r="AV27"/>
  <c r="AU27"/>
  <c r="AT27"/>
  <c r="AS27"/>
  <c r="AR27"/>
  <c r="AQ27"/>
  <c r="AP27"/>
  <c r="AO27"/>
  <c r="AN27"/>
  <c r="AM27"/>
  <c r="AL27"/>
  <c r="AK27"/>
  <c r="AJ27"/>
  <c r="AI27"/>
  <c r="AH27"/>
  <c r="AG27"/>
  <c r="AF27"/>
  <c r="AE27"/>
  <c r="AD27"/>
  <c r="AC27"/>
  <c r="AB27"/>
  <c r="AA27"/>
  <c r="Z27"/>
  <c r="U27"/>
  <c r="T27"/>
  <c r="Q27"/>
  <c r="P27"/>
  <c r="O27"/>
  <c r="N27"/>
  <c r="M27"/>
  <c r="L27"/>
  <c r="K27"/>
  <c r="J27"/>
  <c r="A27" a="1"/>
  <c r="A27" s="1"/>
  <c r="I27" s="1"/>
  <c r="BG26"/>
  <c r="BF26"/>
  <c r="BE26"/>
  <c r="BD26"/>
  <c r="BC26"/>
  <c r="BB26"/>
  <c r="BA26"/>
  <c r="AZ26"/>
  <c r="AY26"/>
  <c r="AX26"/>
  <c r="AW26"/>
  <c r="AV26"/>
  <c r="AU26"/>
  <c r="AT26"/>
  <c r="AS26"/>
  <c r="AR26"/>
  <c r="AQ26"/>
  <c r="AP26"/>
  <c r="AO26"/>
  <c r="AN26"/>
  <c r="AM26"/>
  <c r="AL26"/>
  <c r="AK26"/>
  <c r="AJ26"/>
  <c r="AI26"/>
  <c r="AH26"/>
  <c r="AG26"/>
  <c r="AF26"/>
  <c r="AE26"/>
  <c r="AD26"/>
  <c r="AC26"/>
  <c r="AB26"/>
  <c r="AA26"/>
  <c r="Z26"/>
  <c r="U26"/>
  <c r="T26"/>
  <c r="Q26"/>
  <c r="P26"/>
  <c r="O26"/>
  <c r="N26"/>
  <c r="M26"/>
  <c r="L26"/>
  <c r="K26"/>
  <c r="J26"/>
  <c r="A26" a="1"/>
  <c r="A26" s="1"/>
  <c r="I26" s="1"/>
  <c r="BG25"/>
  <c r="BF25"/>
  <c r="BE25"/>
  <c r="BD25"/>
  <c r="BC25"/>
  <c r="BB25"/>
  <c r="BA25"/>
  <c r="AZ25"/>
  <c r="AY25"/>
  <c r="AX25"/>
  <c r="AW25"/>
  <c r="AV25"/>
  <c r="AU25"/>
  <c r="AT25"/>
  <c r="AS25"/>
  <c r="AR25"/>
  <c r="AQ25"/>
  <c r="AP25"/>
  <c r="AO25"/>
  <c r="AN25"/>
  <c r="AM25"/>
  <c r="AL25"/>
  <c r="AK25"/>
  <c r="AJ25"/>
  <c r="AI25"/>
  <c r="AH25"/>
  <c r="AG25"/>
  <c r="AF25"/>
  <c r="AE25"/>
  <c r="AD25"/>
  <c r="AC25"/>
  <c r="AB25"/>
  <c r="AA25"/>
  <c r="Z25"/>
  <c r="U25"/>
  <c r="T25"/>
  <c r="Q25"/>
  <c r="P25"/>
  <c r="O25"/>
  <c r="N25"/>
  <c r="M25"/>
  <c r="L25"/>
  <c r="K25"/>
  <c r="J25"/>
  <c r="A25" a="1"/>
  <c r="A25" s="1"/>
  <c r="I25" s="1"/>
  <c r="BG24"/>
  <c r="BF24"/>
  <c r="BE24"/>
  <c r="BD24"/>
  <c r="BC24"/>
  <c r="BB24"/>
  <c r="BA24"/>
  <c r="AZ24"/>
  <c r="AY24"/>
  <c r="AX24"/>
  <c r="AW24"/>
  <c r="AV24"/>
  <c r="AU24"/>
  <c r="AT24"/>
  <c r="AS24"/>
  <c r="AR24"/>
  <c r="AQ24"/>
  <c r="AP24"/>
  <c r="AO24"/>
  <c r="AN24"/>
  <c r="AM24"/>
  <c r="AL24"/>
  <c r="AK24"/>
  <c r="AJ24"/>
  <c r="AI24"/>
  <c r="AH24"/>
  <c r="AG24"/>
  <c r="AF24"/>
  <c r="AE24"/>
  <c r="AD24"/>
  <c r="AC24"/>
  <c r="AB24"/>
  <c r="AA24"/>
  <c r="Z24"/>
  <c r="U24"/>
  <c r="T24"/>
  <c r="Q24"/>
  <c r="P24"/>
  <c r="O24"/>
  <c r="N24"/>
  <c r="M24"/>
  <c r="L24"/>
  <c r="K24"/>
  <c r="J24"/>
  <c r="A24" a="1"/>
  <c r="A24" s="1"/>
  <c r="I24" s="1"/>
  <c r="BG23"/>
  <c r="BF23"/>
  <c r="BE23"/>
  <c r="BD23"/>
  <c r="BC23"/>
  <c r="BB23"/>
  <c r="BA23"/>
  <c r="AZ23"/>
  <c r="AY23"/>
  <c r="AX23"/>
  <c r="AW23"/>
  <c r="AV23"/>
  <c r="AU23"/>
  <c r="AT23"/>
  <c r="AS23"/>
  <c r="AR23"/>
  <c r="AQ23"/>
  <c r="AP23"/>
  <c r="AO23"/>
  <c r="AN23"/>
  <c r="AM23"/>
  <c r="AL23"/>
  <c r="AK23"/>
  <c r="AJ23"/>
  <c r="AI23"/>
  <c r="AH23"/>
  <c r="AG23"/>
  <c r="AF23"/>
  <c r="AE23"/>
  <c r="AD23"/>
  <c r="AC23"/>
  <c r="AB23"/>
  <c r="AA23"/>
  <c r="Z23"/>
  <c r="U23"/>
  <c r="T23"/>
  <c r="Q23"/>
  <c r="P23"/>
  <c r="O23"/>
  <c r="N23"/>
  <c r="M23"/>
  <c r="L23"/>
  <c r="K23"/>
  <c r="J23"/>
  <c r="A23" a="1"/>
  <c r="A23" s="1"/>
  <c r="I23" s="1"/>
  <c r="BG22"/>
  <c r="BF22"/>
  <c r="BE22"/>
  <c r="BD22"/>
  <c r="BC22"/>
  <c r="BB22"/>
  <c r="BA22"/>
  <c r="AZ22"/>
  <c r="AY22"/>
  <c r="AX22"/>
  <c r="AW22"/>
  <c r="AV22"/>
  <c r="AU22"/>
  <c r="AT22"/>
  <c r="AS22"/>
  <c r="AR22"/>
  <c r="AQ22"/>
  <c r="AP22"/>
  <c r="AO22"/>
  <c r="AN22"/>
  <c r="AM22"/>
  <c r="AL22"/>
  <c r="AK22"/>
  <c r="AJ22"/>
  <c r="AI22"/>
  <c r="AH22"/>
  <c r="AG22"/>
  <c r="AF22"/>
  <c r="AE22"/>
  <c r="AD22"/>
  <c r="AC22"/>
  <c r="AB22"/>
  <c r="AA22"/>
  <c r="Z22"/>
  <c r="U22"/>
  <c r="T22"/>
  <c r="Q22"/>
  <c r="P22"/>
  <c r="O22"/>
  <c r="N22"/>
  <c r="M22"/>
  <c r="L22"/>
  <c r="K22"/>
  <c r="J22"/>
  <c r="A22" a="1"/>
  <c r="A22" s="1"/>
  <c r="I22" s="1"/>
  <c r="BG21"/>
  <c r="BF21"/>
  <c r="BE21"/>
  <c r="BD21"/>
  <c r="BC21"/>
  <c r="BB21"/>
  <c r="BA21"/>
  <c r="AZ21"/>
  <c r="AY21"/>
  <c r="AX21"/>
  <c r="AW21"/>
  <c r="AV21"/>
  <c r="AU21"/>
  <c r="AT21"/>
  <c r="AS21"/>
  <c r="AR21"/>
  <c r="AQ21"/>
  <c r="AP21"/>
  <c r="AO21"/>
  <c r="AN21"/>
  <c r="AM21"/>
  <c r="AL21"/>
  <c r="AK21"/>
  <c r="AJ21"/>
  <c r="AI21"/>
  <c r="AH21"/>
  <c r="AG21"/>
  <c r="AF21"/>
  <c r="AE21"/>
  <c r="AD21"/>
  <c r="AC21"/>
  <c r="AB21"/>
  <c r="AA21"/>
  <c r="Z21"/>
  <c r="U21"/>
  <c r="T21"/>
  <c r="Q21"/>
  <c r="P21"/>
  <c r="O21"/>
  <c r="N21"/>
  <c r="M21"/>
  <c r="L21"/>
  <c r="K21"/>
  <c r="J21"/>
  <c r="A21" a="1"/>
  <c r="A21" s="1"/>
  <c r="I21" s="1"/>
  <c r="BG20"/>
  <c r="BF20"/>
  <c r="BE20"/>
  <c r="BD20"/>
  <c r="BC20"/>
  <c r="BB20"/>
  <c r="BA20"/>
  <c r="AZ20"/>
  <c r="AY20"/>
  <c r="AX20"/>
  <c r="AW20"/>
  <c r="AV20"/>
  <c r="AU20"/>
  <c r="AT20"/>
  <c r="AS20"/>
  <c r="AR20"/>
  <c r="AQ20"/>
  <c r="AP20"/>
  <c r="AO20"/>
  <c r="AN20"/>
  <c r="AM20"/>
  <c r="AL20"/>
  <c r="AK20"/>
  <c r="AJ20"/>
  <c r="AI20"/>
  <c r="AH20"/>
  <c r="AG20"/>
  <c r="AF20"/>
  <c r="AE20"/>
  <c r="AD20"/>
  <c r="AC20"/>
  <c r="AB20"/>
  <c r="AA20"/>
  <c r="Z20"/>
  <c r="U20"/>
  <c r="T20"/>
  <c r="Q20"/>
  <c r="P20"/>
  <c r="O20"/>
  <c r="N20"/>
  <c r="M20"/>
  <c r="L20"/>
  <c r="K20"/>
  <c r="J20"/>
  <c r="A20" a="1"/>
  <c r="A20" s="1"/>
  <c r="I20" s="1"/>
  <c r="BG19"/>
  <c r="BF19"/>
  <c r="BE19"/>
  <c r="BD19"/>
  <c r="BC19"/>
  <c r="BB19"/>
  <c r="BA19"/>
  <c r="AZ19"/>
  <c r="AY19"/>
  <c r="AX19"/>
  <c r="AW19"/>
  <c r="AV19"/>
  <c r="AU19"/>
  <c r="AT19"/>
  <c r="AS19"/>
  <c r="AR19"/>
  <c r="AQ19"/>
  <c r="AP19"/>
  <c r="AO19"/>
  <c r="AN19"/>
  <c r="AM19"/>
  <c r="AL19"/>
  <c r="AK19"/>
  <c r="AJ19"/>
  <c r="AI19"/>
  <c r="AH19"/>
  <c r="AG19"/>
  <c r="AF19"/>
  <c r="AE19"/>
  <c r="AD19"/>
  <c r="AC19"/>
  <c r="AB19"/>
  <c r="AA19"/>
  <c r="Z19"/>
  <c r="U19"/>
  <c r="T19"/>
  <c r="Q19"/>
  <c r="P19"/>
  <c r="O19"/>
  <c r="N19"/>
  <c r="M19"/>
  <c r="L19"/>
  <c r="K19"/>
  <c r="J19"/>
  <c r="A19" a="1"/>
  <c r="A19" s="1"/>
  <c r="I19" s="1"/>
  <c r="BG18"/>
  <c r="BF18"/>
  <c r="BE18"/>
  <c r="BD18"/>
  <c r="BC18"/>
  <c r="BB18"/>
  <c r="BA18"/>
  <c r="AZ18"/>
  <c r="AY18"/>
  <c r="AX18"/>
  <c r="AW18"/>
  <c r="AV18"/>
  <c r="AU18"/>
  <c r="AT18"/>
  <c r="AS18"/>
  <c r="AR18"/>
  <c r="AQ18"/>
  <c r="AP18"/>
  <c r="AO18"/>
  <c r="AN18"/>
  <c r="AM18"/>
  <c r="AL18"/>
  <c r="AK18"/>
  <c r="AJ18"/>
  <c r="AI18"/>
  <c r="AH18"/>
  <c r="AG18"/>
  <c r="AF18"/>
  <c r="AE18"/>
  <c r="AD18"/>
  <c r="AC18"/>
  <c r="AB18"/>
  <c r="AA18"/>
  <c r="Z18"/>
  <c r="U18"/>
  <c r="T18"/>
  <c r="Q18"/>
  <c r="P18"/>
  <c r="O18"/>
  <c r="N18"/>
  <c r="M18"/>
  <c r="L18"/>
  <c r="K18"/>
  <c r="J18"/>
  <c r="A18" a="1"/>
  <c r="A18" s="1"/>
  <c r="I18" s="1"/>
  <c r="BG17"/>
  <c r="BF17"/>
  <c r="BE17"/>
  <c r="BD17"/>
  <c r="BC17"/>
  <c r="BB17"/>
  <c r="BA17"/>
  <c r="AZ17"/>
  <c r="AY17"/>
  <c r="AX17"/>
  <c r="AW17"/>
  <c r="AV17"/>
  <c r="AU17"/>
  <c r="AT17"/>
  <c r="AS17"/>
  <c r="AR17"/>
  <c r="AQ17"/>
  <c r="AP17"/>
  <c r="AO17"/>
  <c r="AN17"/>
  <c r="AM17"/>
  <c r="AL17"/>
  <c r="AK17"/>
  <c r="AJ17"/>
  <c r="AI17"/>
  <c r="AH17"/>
  <c r="AG17"/>
  <c r="AF17"/>
  <c r="AE17"/>
  <c r="AD17"/>
  <c r="AC17"/>
  <c r="AB17"/>
  <c r="AA17"/>
  <c r="Z17"/>
  <c r="U17"/>
  <c r="T17"/>
  <c r="Q17"/>
  <c r="P17"/>
  <c r="O17"/>
  <c r="N17"/>
  <c r="M17"/>
  <c r="L17"/>
  <c r="K17"/>
  <c r="J17"/>
  <c r="A17" a="1"/>
  <c r="A17" s="1"/>
  <c r="I17" s="1"/>
  <c r="BG16"/>
  <c r="BF16"/>
  <c r="BE16"/>
  <c r="BD16"/>
  <c r="BC16"/>
  <c r="BB16"/>
  <c r="BA16"/>
  <c r="AZ16"/>
  <c r="AY16"/>
  <c r="AX16"/>
  <c r="AW16"/>
  <c r="AV16"/>
  <c r="AU16"/>
  <c r="AT16"/>
  <c r="AS16"/>
  <c r="AR16"/>
  <c r="AQ16"/>
  <c r="AP16"/>
  <c r="AO16"/>
  <c r="AN16"/>
  <c r="AM16"/>
  <c r="AL16"/>
  <c r="AK16"/>
  <c r="AJ16"/>
  <c r="AI16"/>
  <c r="AH16"/>
  <c r="AG16"/>
  <c r="AF16"/>
  <c r="AE16"/>
  <c r="AD16"/>
  <c r="AC16"/>
  <c r="AB16"/>
  <c r="AA16"/>
  <c r="Z16"/>
  <c r="U16"/>
  <c r="T16"/>
  <c r="Q16"/>
  <c r="P16"/>
  <c r="O16"/>
  <c r="N16"/>
  <c r="M16"/>
  <c r="L16"/>
  <c r="K16"/>
  <c r="J16"/>
  <c r="A16" a="1"/>
  <c r="A16" s="1"/>
  <c r="I16" s="1"/>
  <c r="BG15"/>
  <c r="BF15"/>
  <c r="BE15"/>
  <c r="BD15"/>
  <c r="BC15"/>
  <c r="BB15"/>
  <c r="BA15"/>
  <c r="AZ15"/>
  <c r="AY15"/>
  <c r="AX15"/>
  <c r="AW15"/>
  <c r="AV15"/>
  <c r="AU15"/>
  <c r="AT15"/>
  <c r="AS15"/>
  <c r="AR15"/>
  <c r="AQ15"/>
  <c r="AP15"/>
  <c r="AO15"/>
  <c r="AN15"/>
  <c r="AM15"/>
  <c r="AL15"/>
  <c r="AK15"/>
  <c r="AJ15"/>
  <c r="AI15"/>
  <c r="AH15"/>
  <c r="AG15"/>
  <c r="AF15"/>
  <c r="AE15"/>
  <c r="AD15"/>
  <c r="AC15"/>
  <c r="AB15"/>
  <c r="AA15"/>
  <c r="Z15"/>
  <c r="U15"/>
  <c r="T15"/>
  <c r="Q15"/>
  <c r="P15"/>
  <c r="O15"/>
  <c r="N15"/>
  <c r="M15"/>
  <c r="L15"/>
  <c r="K15"/>
  <c r="J15"/>
  <c r="A15" a="1"/>
  <c r="A15" s="1"/>
  <c r="I15" s="1"/>
  <c r="BG14"/>
  <c r="BF14"/>
  <c r="BE14"/>
  <c r="BD14"/>
  <c r="BC14"/>
  <c r="BB14"/>
  <c r="BA14"/>
  <c r="AZ14"/>
  <c r="AY14"/>
  <c r="AX14"/>
  <c r="AW14"/>
  <c r="AV14"/>
  <c r="AU14"/>
  <c r="AT14"/>
  <c r="AS14"/>
  <c r="AR14"/>
  <c r="AQ14"/>
  <c r="AP14"/>
  <c r="AO14"/>
  <c r="AN14"/>
  <c r="AM14"/>
  <c r="AL14"/>
  <c r="AK14"/>
  <c r="AJ14"/>
  <c r="AI14"/>
  <c r="AH14"/>
  <c r="AG14"/>
  <c r="AF14"/>
  <c r="AE14"/>
  <c r="AD14"/>
  <c r="AC14"/>
  <c r="AB14"/>
  <c r="AA14"/>
  <c r="Z14"/>
  <c r="U14"/>
  <c r="T14"/>
  <c r="Q14"/>
  <c r="P14"/>
  <c r="O14"/>
  <c r="N14"/>
  <c r="M14"/>
  <c r="L14"/>
  <c r="K14"/>
  <c r="J14"/>
  <c r="A14" a="1"/>
  <c r="A14" s="1"/>
  <c r="I14" s="1"/>
  <c r="BG13"/>
  <c r="BF13"/>
  <c r="BE13"/>
  <c r="BD13"/>
  <c r="BC13"/>
  <c r="BB13"/>
  <c r="BA13"/>
  <c r="AZ13"/>
  <c r="AY13"/>
  <c r="AX13"/>
  <c r="AW13"/>
  <c r="AV13"/>
  <c r="AU13"/>
  <c r="AT13"/>
  <c r="AS13"/>
  <c r="AR13"/>
  <c r="AQ13"/>
  <c r="AP13"/>
  <c r="AO13"/>
  <c r="AN13"/>
  <c r="AM13"/>
  <c r="AL13"/>
  <c r="AK13"/>
  <c r="AJ13"/>
  <c r="AI13"/>
  <c r="AH13"/>
  <c r="AG13"/>
  <c r="AF13"/>
  <c r="AE13"/>
  <c r="AD13"/>
  <c r="AC13"/>
  <c r="AB13"/>
  <c r="AA13"/>
  <c r="Z13"/>
  <c r="U13"/>
  <c r="T13"/>
  <c r="Q13"/>
  <c r="P13"/>
  <c r="O13"/>
  <c r="N13"/>
  <c r="M13"/>
  <c r="L13"/>
  <c r="K13"/>
  <c r="J13"/>
  <c r="A13" a="1"/>
  <c r="A13" s="1"/>
  <c r="I13" s="1"/>
  <c r="BG12"/>
  <c r="BF12"/>
  <c r="BE12"/>
  <c r="BD12"/>
  <c r="BC12"/>
  <c r="BB12"/>
  <c r="BA12"/>
  <c r="AZ12"/>
  <c r="AY12"/>
  <c r="AX12"/>
  <c r="AW12"/>
  <c r="AV12"/>
  <c r="AU12"/>
  <c r="AT12"/>
  <c r="AS12"/>
  <c r="AR12"/>
  <c r="AQ12"/>
  <c r="AP12"/>
  <c r="AO12"/>
  <c r="AN12"/>
  <c r="AM12"/>
  <c r="AL12"/>
  <c r="AK12"/>
  <c r="AJ12"/>
  <c r="AI12"/>
  <c r="AH12"/>
  <c r="AG12"/>
  <c r="AF12"/>
  <c r="AE12"/>
  <c r="AD12"/>
  <c r="AC12"/>
  <c r="AB12"/>
  <c r="AA12"/>
  <c r="Z12"/>
  <c r="U12"/>
  <c r="T12"/>
  <c r="Q12"/>
  <c r="P12"/>
  <c r="O12"/>
  <c r="N12"/>
  <c r="M12"/>
  <c r="L12"/>
  <c r="K12"/>
  <c r="J12"/>
  <c r="A12" a="1"/>
  <c r="A12" s="1"/>
  <c r="I12" s="1"/>
  <c r="AU10"/>
  <c r="AT10"/>
  <c r="AS10"/>
  <c r="AR10"/>
  <c r="AQ10"/>
  <c r="AP10"/>
  <c r="AO10"/>
  <c r="AN10"/>
  <c r="AM10"/>
  <c r="AL10"/>
  <c r="AK10"/>
  <c r="AJ10"/>
  <c r="AI10"/>
  <c r="AH10"/>
  <c r="AG10"/>
  <c r="AF10"/>
  <c r="AE10"/>
  <c r="AD10"/>
  <c r="AC10"/>
  <c r="AB10"/>
  <c r="AA10"/>
  <c r="Z10"/>
  <c r="U10"/>
  <c r="T10"/>
  <c r="Q10"/>
  <c r="P10"/>
  <c r="O10"/>
  <c r="N10"/>
  <c r="M10"/>
  <c r="L10"/>
  <c r="K10"/>
  <c r="J10"/>
  <c r="A10" a="1"/>
  <c r="A10" s="1"/>
  <c r="B760" i="34"/>
  <c r="AH760" s="1"/>
  <c r="B759"/>
  <c r="AH759" s="1"/>
  <c r="B758"/>
  <c r="AH758" s="1"/>
  <c r="B757"/>
  <c r="B756"/>
  <c r="B755"/>
  <c r="B754"/>
  <c r="B753"/>
  <c r="B752"/>
  <c r="B751"/>
  <c r="B750"/>
  <c r="B749"/>
  <c r="B748"/>
  <c r="B747"/>
  <c r="B746"/>
  <c r="B745"/>
  <c r="B744"/>
  <c r="B743"/>
  <c r="B742"/>
  <c r="B741"/>
  <c r="B740"/>
  <c r="B739"/>
  <c r="B738"/>
  <c r="B737"/>
  <c r="B736"/>
  <c r="B735"/>
  <c r="B734"/>
  <c r="B733"/>
  <c r="B732"/>
  <c r="B731"/>
  <c r="B707"/>
  <c r="B666"/>
  <c r="B665"/>
  <c r="B664"/>
  <c r="B663"/>
  <c r="B662"/>
  <c r="B659"/>
  <c r="B658"/>
  <c r="B657"/>
  <c r="B656"/>
  <c r="B655"/>
  <c r="B654"/>
  <c r="B653"/>
  <c r="B652"/>
  <c r="B651"/>
  <c r="B650"/>
  <c r="B646"/>
  <c r="B644"/>
  <c r="B643"/>
  <c r="B642"/>
  <c r="B641"/>
  <c r="B640"/>
  <c r="B639"/>
  <c r="B638"/>
  <c r="B637"/>
  <c r="B636"/>
  <c r="B635"/>
  <c r="B634"/>
  <c r="B633"/>
  <c r="B632"/>
  <c r="B631"/>
  <c r="B630"/>
  <c r="B629"/>
  <c r="B628"/>
  <c r="B627"/>
  <c r="B626"/>
  <c r="B625"/>
  <c r="B624"/>
  <c r="B623"/>
  <c r="B622"/>
  <c r="B621"/>
  <c r="B620"/>
  <c r="B619"/>
  <c r="B618"/>
  <c r="B617"/>
  <c r="B616"/>
  <c r="B615"/>
  <c r="B614"/>
  <c r="B613"/>
  <c r="B612"/>
  <c r="B611"/>
  <c r="B610"/>
  <c r="B609"/>
  <c r="B605"/>
  <c r="B604"/>
  <c r="B603"/>
  <c r="B602"/>
  <c r="B601"/>
  <c r="B600"/>
  <c r="B599"/>
  <c r="B598"/>
  <c r="B597"/>
  <c r="B596"/>
  <c r="B595"/>
  <c r="B594"/>
  <c r="B593"/>
  <c r="B592"/>
  <c r="B591"/>
  <c r="B590"/>
  <c r="B589"/>
  <c r="B588"/>
  <c r="B587"/>
  <c r="B586"/>
  <c r="B585"/>
  <c r="B584"/>
  <c r="B608"/>
  <c r="B607"/>
  <c r="B606"/>
  <c r="B583"/>
  <c r="B582"/>
  <c r="B581"/>
  <c r="B580"/>
  <c r="B579"/>
  <c r="B578"/>
  <c r="B577"/>
  <c r="B576"/>
  <c r="B575"/>
  <c r="B574"/>
  <c r="B573"/>
  <c r="B572"/>
  <c r="B571"/>
  <c r="B570"/>
  <c r="B569"/>
  <c r="B568"/>
  <c r="B567"/>
  <c r="B566"/>
  <c r="B565"/>
  <c r="B564"/>
  <c r="B563"/>
  <c r="B559"/>
  <c r="B558"/>
  <c r="B557"/>
  <c r="B562"/>
  <c r="B561"/>
  <c r="B560"/>
  <c r="B556"/>
  <c r="B555"/>
  <c r="B554"/>
  <c r="B553"/>
  <c r="B552"/>
  <c r="B551"/>
  <c r="B550"/>
  <c r="B549"/>
  <c r="B548"/>
  <c r="B547"/>
  <c r="B546"/>
  <c r="B545"/>
  <c r="B544"/>
  <c r="B543"/>
  <c r="B542"/>
  <c r="B541"/>
  <c r="B540"/>
  <c r="B539"/>
  <c r="B538"/>
  <c r="B537"/>
  <c r="B536"/>
  <c r="B535"/>
  <c r="B534"/>
  <c r="B533"/>
  <c r="B532"/>
  <c r="B531"/>
  <c r="B530"/>
  <c r="B529"/>
  <c r="B528"/>
  <c r="B527"/>
  <c r="B526"/>
  <c r="B525"/>
  <c r="B524"/>
  <c r="B523"/>
  <c r="B522"/>
  <c r="B521"/>
  <c r="B520"/>
  <c r="B519"/>
  <c r="B518"/>
  <c r="B517"/>
  <c r="B516"/>
  <c r="B515"/>
  <c r="B514"/>
  <c r="B511"/>
  <c r="B510"/>
  <c r="B509"/>
  <c r="B507"/>
  <c r="B506"/>
  <c r="B505"/>
  <c r="B504"/>
  <c r="B503"/>
  <c r="B502"/>
  <c r="B501"/>
  <c r="B500"/>
  <c r="B499"/>
  <c r="B498"/>
  <c r="B497"/>
  <c r="B496"/>
  <c r="B495"/>
  <c r="B494"/>
  <c r="B493"/>
  <c r="B492"/>
  <c r="B491"/>
  <c r="B490"/>
  <c r="B489"/>
  <c r="B488"/>
  <c r="B487"/>
  <c r="B486"/>
  <c r="B485"/>
  <c r="B484"/>
  <c r="B483"/>
  <c r="B482"/>
  <c r="B481"/>
  <c r="B480"/>
  <c r="B479"/>
  <c r="B478"/>
  <c r="B477"/>
  <c r="B476"/>
  <c r="B475"/>
  <c r="B474"/>
  <c r="B473"/>
  <c r="B472"/>
  <c r="B471"/>
  <c r="B470"/>
  <c r="B469"/>
  <c r="B468"/>
  <c r="B467"/>
  <c r="B466"/>
  <c r="B465"/>
  <c r="B464"/>
  <c r="B463"/>
  <c r="B462"/>
  <c r="B461"/>
  <c r="B460"/>
  <c r="B459"/>
  <c r="B458"/>
  <c r="B457"/>
  <c r="B456"/>
  <c r="B455"/>
  <c r="B454"/>
  <c r="B453"/>
  <c r="B452"/>
  <c r="B451"/>
  <c r="B450"/>
  <c r="B449"/>
  <c r="B448"/>
  <c r="B447"/>
  <c r="B446"/>
  <c r="B445"/>
  <c r="B444"/>
  <c r="B443"/>
  <c r="B442"/>
  <c r="B441"/>
  <c r="B440"/>
  <c r="B439"/>
  <c r="B438"/>
  <c r="B437"/>
  <c r="B436"/>
  <c r="B435"/>
  <c r="B426"/>
  <c r="B425"/>
  <c r="B424"/>
  <c r="B421"/>
  <c r="B420"/>
  <c r="B419"/>
  <c r="B418"/>
  <c r="B415"/>
  <c r="B434"/>
  <c r="B423"/>
  <c r="B422"/>
  <c r="B414"/>
  <c r="B417"/>
  <c r="B416"/>
  <c r="B378"/>
  <c r="B377"/>
  <c r="B376"/>
  <c r="B375"/>
  <c r="B374"/>
  <c r="B380"/>
  <c r="B379"/>
  <c r="B357"/>
  <c r="B356"/>
  <c r="B408"/>
  <c r="B407"/>
  <c r="B406"/>
  <c r="B405"/>
  <c r="B404"/>
  <c r="B403"/>
  <c r="B402"/>
  <c r="B400"/>
  <c r="B399"/>
  <c r="B398"/>
  <c r="B397"/>
  <c r="B396"/>
  <c r="B395"/>
  <c r="B394"/>
  <c r="B393"/>
  <c r="B392"/>
  <c r="B391"/>
  <c r="B390"/>
  <c r="B389"/>
  <c r="B388"/>
  <c r="B385"/>
  <c r="B401"/>
  <c r="B387"/>
  <c r="B386"/>
  <c r="B319"/>
  <c r="B384"/>
  <c r="B383"/>
  <c r="B382"/>
  <c r="B381"/>
  <c r="B373"/>
  <c r="B372"/>
  <c r="B371"/>
  <c r="B365"/>
  <c r="B364"/>
  <c r="B355"/>
  <c r="B354"/>
  <c r="B353"/>
  <c r="B352"/>
  <c r="B351"/>
  <c r="B350"/>
  <c r="B349"/>
  <c r="B348"/>
  <c r="B347"/>
  <c r="B346"/>
  <c r="B345"/>
  <c r="B344"/>
  <c r="B338"/>
  <c r="B324"/>
  <c r="B323"/>
  <c r="B322"/>
  <c r="B318"/>
  <c r="B317"/>
  <c r="B316"/>
  <c r="B307"/>
  <c r="B306"/>
  <c r="B305"/>
  <c r="B304"/>
  <c r="B303"/>
  <c r="B302"/>
  <c r="B301"/>
  <c r="B300"/>
  <c r="B299"/>
  <c r="B298"/>
  <c r="B297"/>
  <c r="B296"/>
  <c r="B295"/>
  <c r="B294"/>
  <c r="B293"/>
  <c r="B292"/>
  <c r="B291"/>
  <c r="B290"/>
  <c r="B370"/>
  <c r="B363"/>
  <c r="B343"/>
  <c r="B342"/>
  <c r="B341"/>
  <c r="B337"/>
  <c r="B336"/>
  <c r="B321"/>
  <c r="B320"/>
  <c r="B315"/>
  <c r="B289"/>
  <c r="B288"/>
  <c r="B286"/>
  <c r="B361"/>
  <c r="B360"/>
  <c r="B330"/>
  <c r="B329"/>
  <c r="B313"/>
  <c r="B312"/>
  <c r="B275"/>
  <c r="B274"/>
  <c r="B430"/>
  <c r="B429"/>
  <c r="B428"/>
  <c r="B427"/>
  <c r="B328"/>
  <c r="B327"/>
  <c r="B359"/>
  <c r="B358"/>
  <c r="B340"/>
  <c r="B339"/>
  <c r="B362"/>
  <c r="B367"/>
  <c r="B366"/>
  <c r="B369"/>
  <c r="B368"/>
  <c r="B326"/>
  <c r="B325"/>
  <c r="B335"/>
  <c r="B334"/>
  <c r="B331"/>
  <c r="B310"/>
  <c r="B309"/>
  <c r="B333"/>
  <c r="B332"/>
  <c r="B314"/>
  <c r="B311"/>
  <c r="B308"/>
  <c r="B285"/>
  <c r="B284"/>
  <c r="B281"/>
  <c r="B280"/>
  <c r="B279"/>
  <c r="B278"/>
  <c r="B277"/>
  <c r="B276"/>
  <c r="B265"/>
  <c r="B264"/>
  <c r="B263"/>
  <c r="B262"/>
  <c r="B261"/>
  <c r="B260"/>
  <c r="B259"/>
  <c r="B258"/>
  <c r="B253"/>
  <c r="B252"/>
  <c r="AH252" s="1"/>
  <c r="B273"/>
  <c r="B272"/>
  <c r="B268"/>
  <c r="B267"/>
  <c r="B248"/>
  <c r="AH248" s="1"/>
  <c r="B247"/>
  <c r="AH247" s="1"/>
  <c r="B246"/>
  <c r="AH246" s="1"/>
  <c r="B245"/>
  <c r="AH245" s="1"/>
  <c r="B244"/>
  <c r="AH244" s="1"/>
  <c r="B243"/>
  <c r="AH243" s="1"/>
  <c r="B242"/>
  <c r="AH242" s="1"/>
  <c r="B241"/>
  <c r="AH241" s="1"/>
  <c r="B240"/>
  <c r="AH240" s="1"/>
  <c r="B239"/>
  <c r="AH239" s="1"/>
  <c r="B238"/>
  <c r="AH238" s="1"/>
  <c r="B237"/>
  <c r="AH237" s="1"/>
  <c r="B235"/>
  <c r="AH235" s="1"/>
  <c r="B234"/>
  <c r="AH234" s="1"/>
  <c r="B232"/>
  <c r="AH232" s="1"/>
  <c r="B231"/>
  <c r="AH231" s="1"/>
  <c r="B230"/>
  <c r="AH230" s="1"/>
  <c r="B229"/>
  <c r="AH229" s="1"/>
  <c r="B228"/>
  <c r="AH228" s="1"/>
  <c r="B227"/>
  <c r="AH227" s="1"/>
  <c r="B226"/>
  <c r="AH226" s="1"/>
  <c r="B225"/>
  <c r="AH225" s="1"/>
  <c r="B223"/>
  <c r="AH223" s="1"/>
  <c r="B221"/>
  <c r="AH221" s="1"/>
  <c r="B217"/>
  <c r="AH217" s="1"/>
  <c r="B216"/>
  <c r="AH216" s="1"/>
  <c r="B215"/>
  <c r="AH215" s="1"/>
  <c r="B214"/>
  <c r="AH214" s="1"/>
  <c r="B213"/>
  <c r="AH213" s="1"/>
  <c r="B212"/>
  <c r="AH212" s="1"/>
  <c r="B211"/>
  <c r="AH211" s="1"/>
  <c r="B210"/>
  <c r="AH210" s="1"/>
  <c r="B209"/>
  <c r="AH209" s="1"/>
  <c r="B208"/>
  <c r="AH208" s="1"/>
  <c r="B207"/>
  <c r="AH207" s="1"/>
  <c r="B206"/>
  <c r="AH206" s="1"/>
  <c r="B205"/>
  <c r="AH205" s="1"/>
  <c r="B204"/>
  <c r="AH204" s="1"/>
  <c r="B203"/>
  <c r="AH203" s="1"/>
  <c r="B202"/>
  <c r="AH202" s="1"/>
  <c r="B201"/>
  <c r="AH201" s="1"/>
  <c r="B200"/>
  <c r="AH200" s="1"/>
  <c r="B199"/>
  <c r="AH199" s="1"/>
  <c r="B198"/>
  <c r="AH198" s="1"/>
  <c r="B197"/>
  <c r="AH197" s="1"/>
  <c r="B196"/>
  <c r="AH196" s="1"/>
  <c r="B195"/>
  <c r="AH195" s="1"/>
  <c r="B194"/>
  <c r="AH194" s="1"/>
  <c r="B193"/>
  <c r="AH193" s="1"/>
  <c r="B192"/>
  <c r="AH192" s="1"/>
  <c r="B191"/>
  <c r="AH191" s="1"/>
  <c r="B190"/>
  <c r="AH190" s="1"/>
  <c r="B189"/>
  <c r="AH189" s="1"/>
  <c r="B188"/>
  <c r="AH188" s="1"/>
  <c r="B187"/>
  <c r="AH187" s="1"/>
  <c r="B186"/>
  <c r="AH186" s="1"/>
  <c r="B185"/>
  <c r="AH185" s="1"/>
  <c r="B184"/>
  <c r="AH184" s="1"/>
  <c r="B183"/>
  <c r="AH183" s="1"/>
  <c r="B182"/>
  <c r="AH182" s="1"/>
  <c r="B181"/>
  <c r="AH181" s="1"/>
  <c r="B180"/>
  <c r="AH180" s="1"/>
  <c r="B179"/>
  <c r="AH179" s="1"/>
  <c r="B178"/>
  <c r="AH178" s="1"/>
  <c r="B167"/>
  <c r="AH167" s="1"/>
  <c r="B166"/>
  <c r="AH166" s="1"/>
  <c r="B177"/>
  <c r="AH177" s="1"/>
  <c r="B176"/>
  <c r="AH176" s="1"/>
  <c r="B175"/>
  <c r="AH175" s="1"/>
  <c r="B174"/>
  <c r="AH174" s="1"/>
  <c r="B172"/>
  <c r="AH172" s="1"/>
  <c r="B171"/>
  <c r="AH171" s="1"/>
  <c r="B170"/>
  <c r="AH170" s="1"/>
  <c r="B165"/>
  <c r="AH165" s="1"/>
  <c r="B164"/>
  <c r="AH164" s="1"/>
  <c r="B163"/>
  <c r="AH163" s="1"/>
  <c r="B162"/>
  <c r="AH162" s="1"/>
  <c r="B159"/>
  <c r="AH159" s="1"/>
  <c r="B158"/>
  <c r="AH158" s="1"/>
  <c r="B157"/>
  <c r="AH157" s="1"/>
  <c r="B156"/>
  <c r="AH156" s="1"/>
  <c r="B155"/>
  <c r="AH155" s="1"/>
  <c r="B154"/>
  <c r="AH154" s="1"/>
  <c r="B153"/>
  <c r="AH153" s="1"/>
  <c r="B152"/>
  <c r="AH152" s="1"/>
  <c r="B151"/>
  <c r="AH151" s="1"/>
  <c r="B150"/>
  <c r="AH150" s="1"/>
  <c r="B149"/>
  <c r="AH149" s="1"/>
  <c r="B148"/>
  <c r="AH148" s="1"/>
  <c r="B147"/>
  <c r="AH147" s="1"/>
  <c r="B146"/>
  <c r="AH146" s="1"/>
  <c r="B145"/>
  <c r="AH145" s="1"/>
  <c r="B144"/>
  <c r="AH144" s="1"/>
  <c r="B143"/>
  <c r="AH143" s="1"/>
  <c r="B142"/>
  <c r="AH142" s="1"/>
  <c r="B141"/>
  <c r="AH141" s="1"/>
  <c r="B140"/>
  <c r="AH140" s="1"/>
  <c r="B139"/>
  <c r="AH139" s="1"/>
  <c r="B138"/>
  <c r="AH138" s="1"/>
  <c r="B137"/>
  <c r="AH137" s="1"/>
  <c r="B136"/>
  <c r="AH136" s="1"/>
  <c r="B135"/>
  <c r="AH135" s="1"/>
  <c r="B134"/>
  <c r="AH134" s="1"/>
  <c r="B133"/>
  <c r="AH133" s="1"/>
  <c r="B132"/>
  <c r="AH132" s="1"/>
  <c r="B131"/>
  <c r="AH131" s="1"/>
  <c r="B130"/>
  <c r="AH130" s="1"/>
  <c r="B129"/>
  <c r="AH129" s="1"/>
  <c r="B128"/>
  <c r="AH128" s="1"/>
  <c r="B127"/>
  <c r="AH127" s="1"/>
  <c r="B126"/>
  <c r="AH126" s="1"/>
  <c r="B125"/>
  <c r="AH125" s="1"/>
  <c r="B124"/>
  <c r="AH124" s="1"/>
  <c r="B123"/>
  <c r="AH123" s="1"/>
  <c r="B122"/>
  <c r="AH122" s="1"/>
  <c r="B121"/>
  <c r="AH121" s="1"/>
  <c r="B120"/>
  <c r="AH120" s="1"/>
  <c r="B119"/>
  <c r="AH119" s="1"/>
  <c r="B118"/>
  <c r="AH118" s="1"/>
  <c r="B117"/>
  <c r="AH117" s="1"/>
  <c r="B116"/>
  <c r="AH116" s="1"/>
  <c r="B115"/>
  <c r="AH115" s="1"/>
  <c r="B114"/>
  <c r="AH114" s="1"/>
  <c r="B113"/>
  <c r="AH113" s="1"/>
  <c r="B112"/>
  <c r="AH112" s="1"/>
  <c r="B111"/>
  <c r="AH111" s="1"/>
  <c r="B110"/>
  <c r="AH110" s="1"/>
  <c r="B109"/>
  <c r="AH109" s="1"/>
  <c r="B108"/>
  <c r="AH108" s="1"/>
  <c r="B107"/>
  <c r="AH107" s="1"/>
  <c r="B106"/>
  <c r="AH106" s="1"/>
  <c r="B105"/>
  <c r="AH105" s="1"/>
  <c r="B104"/>
  <c r="AH104" s="1"/>
  <c r="B103"/>
  <c r="AH103" s="1"/>
  <c r="B102"/>
  <c r="AH102" s="1"/>
  <c r="B101"/>
  <c r="AH101" s="1"/>
  <c r="B100"/>
  <c r="AH100" s="1"/>
  <c r="B99"/>
  <c r="AH99" s="1"/>
  <c r="B98"/>
  <c r="AH98" s="1"/>
  <c r="B97"/>
  <c r="AH97" s="1"/>
  <c r="B96"/>
  <c r="AH96" s="1"/>
  <c r="B95"/>
  <c r="AH95" s="1"/>
  <c r="B94"/>
  <c r="AH94" s="1"/>
  <c r="B93"/>
  <c r="AH93" s="1"/>
  <c r="B92"/>
  <c r="AH92" s="1"/>
  <c r="B91"/>
  <c r="AH91" s="1"/>
  <c r="B90"/>
  <c r="AH90" s="1"/>
  <c r="B89"/>
  <c r="AH89" s="1"/>
  <c r="B88"/>
  <c r="AH88" s="1"/>
  <c r="B87"/>
  <c r="AH87" s="1"/>
  <c r="B86"/>
  <c r="AH86" s="1"/>
  <c r="B85"/>
  <c r="AH85" s="1"/>
  <c r="B84"/>
  <c r="AH84" s="1"/>
  <c r="B83"/>
  <c r="AH83" s="1"/>
  <c r="B82"/>
  <c r="AH82" s="1"/>
  <c r="B81"/>
  <c r="AH81" s="1"/>
  <c r="B80"/>
  <c r="AH80" s="1"/>
  <c r="B79"/>
  <c r="AH79" s="1"/>
  <c r="B78"/>
  <c r="AH78" s="1"/>
  <c r="B77"/>
  <c r="AH77" s="1"/>
  <c r="B76"/>
  <c r="AH76" s="1"/>
  <c r="B75"/>
  <c r="AH75" s="1"/>
  <c r="B74"/>
  <c r="AH74" s="1"/>
  <c r="B73"/>
  <c r="AH73" s="1"/>
  <c r="B72"/>
  <c r="AH72" s="1"/>
  <c r="B71"/>
  <c r="AH71" s="1"/>
  <c r="B70"/>
  <c r="AH70" s="1"/>
  <c r="B69"/>
  <c r="AH69" s="1"/>
  <c r="B68"/>
  <c r="AH68" s="1"/>
  <c r="B67"/>
  <c r="AH67" s="1"/>
  <c r="B66"/>
  <c r="AH66" s="1"/>
  <c r="B65"/>
  <c r="AH65" s="1"/>
  <c r="B64"/>
  <c r="AH64" s="1"/>
  <c r="B63"/>
  <c r="AH63" s="1"/>
  <c r="B62"/>
  <c r="AH62" s="1"/>
  <c r="B61"/>
  <c r="AH61" s="1"/>
  <c r="B60"/>
  <c r="AH60" s="1"/>
  <c r="B59"/>
  <c r="AH59" s="1"/>
  <c r="B58"/>
  <c r="AH58" s="1"/>
  <c r="B57"/>
  <c r="AH57" s="1"/>
  <c r="B56"/>
  <c r="AH56" s="1"/>
  <c r="B55"/>
  <c r="AH55" s="1"/>
  <c r="B54"/>
  <c r="AH54" s="1"/>
  <c r="B53"/>
  <c r="AH53" s="1"/>
  <c r="B52"/>
  <c r="AH52" s="1"/>
  <c r="B51"/>
  <c r="AH51" s="1"/>
  <c r="B50"/>
  <c r="AH50" s="1"/>
  <c r="B49"/>
  <c r="AH49" s="1"/>
  <c r="B48"/>
  <c r="AH48" s="1"/>
  <c r="B47"/>
  <c r="AH47" s="1"/>
  <c r="B46"/>
  <c r="AH46" s="1"/>
  <c r="B45"/>
  <c r="AH45" s="1"/>
  <c r="B44"/>
  <c r="AH44" s="1"/>
  <c r="B43"/>
  <c r="AH43" s="1"/>
  <c r="B42"/>
  <c r="AH42" s="1"/>
  <c r="B41"/>
  <c r="AH41" s="1"/>
  <c r="B40"/>
  <c r="AH40" s="1"/>
  <c r="B39"/>
  <c r="AH39" s="1"/>
  <c r="B38"/>
  <c r="AH38" s="1"/>
  <c r="B37"/>
  <c r="AH37" s="1"/>
  <c r="B36"/>
  <c r="AH36" s="1"/>
  <c r="B35"/>
  <c r="AH35" s="1"/>
  <c r="B34"/>
  <c r="AH34" s="1"/>
  <c r="B33"/>
  <c r="AH33" s="1"/>
  <c r="B32"/>
  <c r="AH32" s="1"/>
  <c r="B31"/>
  <c r="AH31" s="1"/>
  <c r="B30"/>
  <c r="AH30" s="1"/>
  <c r="B29"/>
  <c r="AH29" s="1"/>
  <c r="B28"/>
  <c r="AH28" s="1"/>
  <c r="B27"/>
  <c r="AH27" s="1"/>
  <c r="B26"/>
  <c r="AH26" s="1"/>
  <c r="B25"/>
  <c r="AH25" s="1"/>
  <c r="B17"/>
  <c r="AH17" s="1"/>
  <c r="B16"/>
  <c r="B15"/>
  <c r="B14"/>
  <c r="B12"/>
  <c r="Q11"/>
  <c r="B11"/>
  <c r="AK10"/>
  <c r="AJ10"/>
  <c r="AE10"/>
  <c r="B10"/>
  <c r="AF7"/>
  <c r="AF702" s="1"/>
  <c r="D48" i="15"/>
  <c r="C48"/>
  <c r="D14"/>
  <c r="C14"/>
  <c r="H12" i="61"/>
  <c r="C12"/>
  <c r="T13" i="34" l="1"/>
  <c r="S13"/>
  <c r="T645"/>
  <c r="R726"/>
  <c r="S726"/>
  <c r="R728"/>
  <c r="R729"/>
  <c r="R730"/>
  <c r="S729"/>
  <c r="R647"/>
  <c r="S648"/>
  <c r="R649"/>
  <c r="S647"/>
  <c r="T648"/>
  <c r="S649"/>
  <c r="R713"/>
  <c r="T713"/>
  <c r="R712"/>
  <c r="R725"/>
  <c r="T719"/>
  <c r="T710"/>
  <c r="S711"/>
  <c r="S714"/>
  <c r="R716"/>
  <c r="T718"/>
  <c r="S719"/>
  <c r="R720"/>
  <c r="T722"/>
  <c r="S723"/>
  <c r="R724"/>
  <c r="R727"/>
  <c r="R714"/>
  <c r="T715"/>
  <c r="S716"/>
  <c r="S720"/>
  <c r="S724"/>
  <c r="S727"/>
  <c r="R13"/>
  <c r="R645"/>
  <c r="S645"/>
  <c r="T726"/>
  <c r="T728"/>
  <c r="T729"/>
  <c r="T730"/>
  <c r="S728"/>
  <c r="S730"/>
  <c r="T647"/>
  <c r="T649"/>
  <c r="R648"/>
  <c r="R721"/>
  <c r="S712"/>
  <c r="T712"/>
  <c r="S713"/>
  <c r="R717"/>
  <c r="T711"/>
  <c r="T723"/>
  <c r="R711"/>
  <c r="T717"/>
  <c r="R719"/>
  <c r="T721"/>
  <c r="R723"/>
  <c r="T725"/>
  <c r="R710"/>
  <c r="S715"/>
  <c r="T716"/>
  <c r="S717"/>
  <c r="R718"/>
  <c r="T720"/>
  <c r="S721"/>
  <c r="R722"/>
  <c r="T724"/>
  <c r="S725"/>
  <c r="T727"/>
  <c r="S710"/>
  <c r="T714"/>
  <c r="R715"/>
  <c r="S718"/>
  <c r="S722"/>
  <c r="AF645"/>
  <c r="AF13"/>
  <c r="AF730"/>
  <c r="AF729"/>
  <c r="AF728"/>
  <c r="AF726"/>
  <c r="AF648"/>
  <c r="AF649"/>
  <c r="AF647"/>
  <c r="Z713"/>
  <c r="AA712"/>
  <c r="Y713"/>
  <c r="Z717"/>
  <c r="Z711"/>
  <c r="Z723"/>
  <c r="AA711"/>
  <c r="Y714"/>
  <c r="Y715"/>
  <c r="Z716"/>
  <c r="Y717"/>
  <c r="AA719"/>
  <c r="Z720"/>
  <c r="Y721"/>
  <c r="AA723"/>
  <c r="Z724"/>
  <c r="Y725"/>
  <c r="Z727"/>
  <c r="Y710"/>
  <c r="Z714"/>
  <c r="Y716"/>
  <c r="Y718"/>
  <c r="Y720"/>
  <c r="Y722"/>
  <c r="Y724"/>
  <c r="Z725"/>
  <c r="AA727"/>
  <c r="Z660"/>
  <c r="AA660"/>
  <c r="Y661"/>
  <c r="Y704"/>
  <c r="Z704"/>
  <c r="Z705"/>
  <c r="AA705"/>
  <c r="AA678"/>
  <c r="AA694"/>
  <c r="Z703"/>
  <c r="AA703"/>
  <c r="Y709"/>
  <c r="Y694"/>
  <c r="AA695"/>
  <c r="Y701"/>
  <c r="Y699"/>
  <c r="AA688"/>
  <c r="Y678"/>
  <c r="AA679"/>
  <c r="Y687"/>
  <c r="Z687"/>
  <c r="Z688"/>
  <c r="Z689"/>
  <c r="Y690"/>
  <c r="Y686"/>
  <c r="AA682"/>
  <c r="Z683"/>
  <c r="AA683"/>
  <c r="Y684"/>
  <c r="Z684"/>
  <c r="Y685"/>
  <c r="Z681"/>
  <c r="AA681"/>
  <c r="Y668"/>
  <c r="Y670"/>
  <c r="Y672"/>
  <c r="Y674"/>
  <c r="Y676"/>
  <c r="Y692"/>
  <c r="Z668"/>
  <c r="Y669"/>
  <c r="AA671"/>
  <c r="Z672"/>
  <c r="Y673"/>
  <c r="AA675"/>
  <c r="Z676"/>
  <c r="Y700"/>
  <c r="AA693"/>
  <c r="Y698"/>
  <c r="Y667"/>
  <c r="Z18"/>
  <c r="AA19"/>
  <c r="Y21"/>
  <c r="Z22"/>
  <c r="AA23"/>
  <c r="Y18"/>
  <c r="Z19"/>
  <c r="Y20"/>
  <c r="Z21"/>
  <c r="Y22"/>
  <c r="Z23"/>
  <c r="Y24"/>
  <c r="Y712"/>
  <c r="Z712"/>
  <c r="AA713"/>
  <c r="Z721"/>
  <c r="Z719"/>
  <c r="Z710"/>
  <c r="Y711"/>
  <c r="AA714"/>
  <c r="AA715"/>
  <c r="AA717"/>
  <c r="Z718"/>
  <c r="Y719"/>
  <c r="AA721"/>
  <c r="Z722"/>
  <c r="Y723"/>
  <c r="AA725"/>
  <c r="AA710"/>
  <c r="Z715"/>
  <c r="AA716"/>
  <c r="AA718"/>
  <c r="AA720"/>
  <c r="AA722"/>
  <c r="AA724"/>
  <c r="Y727"/>
  <c r="Y660"/>
  <c r="Z661"/>
  <c r="AA661"/>
  <c r="AA704"/>
  <c r="Y705"/>
  <c r="AA680"/>
  <c r="AA697"/>
  <c r="Y703"/>
  <c r="Z709"/>
  <c r="AA709"/>
  <c r="Y691"/>
  <c r="Y695"/>
  <c r="AA691"/>
  <c r="Y697"/>
  <c r="Z701"/>
  <c r="AA701"/>
  <c r="Z691"/>
  <c r="Z694"/>
  <c r="Z695"/>
  <c r="Z697"/>
  <c r="Z699"/>
  <c r="AA699"/>
  <c r="Y677"/>
  <c r="Y679"/>
  <c r="AA687"/>
  <c r="AA677"/>
  <c r="Y680"/>
  <c r="Y689"/>
  <c r="Y688"/>
  <c r="AA689"/>
  <c r="Z690"/>
  <c r="AA690"/>
  <c r="Z686"/>
  <c r="AA686"/>
  <c r="Y682"/>
  <c r="Z682"/>
  <c r="Y683"/>
  <c r="AA684"/>
  <c r="Z685"/>
  <c r="AA685"/>
  <c r="Z677"/>
  <c r="Z678"/>
  <c r="Z679"/>
  <c r="Z680"/>
  <c r="Y681"/>
  <c r="AA668"/>
  <c r="Z669"/>
  <c r="AA670"/>
  <c r="Z671"/>
  <c r="AA672"/>
  <c r="Z673"/>
  <c r="AA674"/>
  <c r="Z675"/>
  <c r="AA676"/>
  <c r="Z700"/>
  <c r="AA692"/>
  <c r="Z693"/>
  <c r="Z698"/>
  <c r="AA669"/>
  <c r="Z670"/>
  <c r="Y671"/>
  <c r="AA673"/>
  <c r="Z674"/>
  <c r="Y675"/>
  <c r="AA700"/>
  <c r="Z692"/>
  <c r="Y693"/>
  <c r="AA698"/>
  <c r="Z667"/>
  <c r="AA667"/>
  <c r="Y19"/>
  <c r="Z20"/>
  <c r="AA21"/>
  <c r="Y23"/>
  <c r="Z24"/>
  <c r="AA18"/>
  <c r="AA20"/>
  <c r="AA22"/>
  <c r="AA24"/>
  <c r="Y708"/>
  <c r="Y696"/>
  <c r="AA708"/>
  <c r="Z708"/>
  <c r="Z696"/>
  <c r="AA696"/>
  <c r="AA411"/>
  <c r="Z411"/>
  <c r="AA409"/>
  <c r="Z409"/>
  <c r="AA413"/>
  <c r="Z413"/>
  <c r="AA412"/>
  <c r="Z412"/>
  <c r="AA410"/>
  <c r="AA512"/>
  <c r="Z512"/>
  <c r="Y411"/>
  <c r="Y409"/>
  <c r="Y413"/>
  <c r="Y412"/>
  <c r="Y410"/>
  <c r="Y512"/>
  <c r="Z410"/>
  <c r="Y287"/>
  <c r="Z287"/>
  <c r="AA287"/>
  <c r="AA431"/>
  <c r="Z431"/>
  <c r="Y254"/>
  <c r="Y256"/>
  <c r="AA432"/>
  <c r="Z432"/>
  <c r="Y255"/>
  <c r="Y257"/>
  <c r="Y431"/>
  <c r="Z254"/>
  <c r="AA254"/>
  <c r="Z256"/>
  <c r="AA256"/>
  <c r="Y432"/>
  <c r="Z255"/>
  <c r="AA255"/>
  <c r="Z257"/>
  <c r="AA257"/>
  <c r="Y283"/>
  <c r="Y282"/>
  <c r="Z282"/>
  <c r="Z283"/>
  <c r="AA283"/>
  <c r="AA282"/>
  <c r="Y251"/>
  <c r="Y269"/>
  <c r="Y270"/>
  <c r="Y250"/>
  <c r="Y271"/>
  <c r="Z251"/>
  <c r="AA251"/>
  <c r="Z269"/>
  <c r="AA269"/>
  <c r="Z270"/>
  <c r="AA270"/>
  <c r="Z250"/>
  <c r="AA250"/>
  <c r="Z271"/>
  <c r="AA271"/>
  <c r="Y249"/>
  <c r="Y266"/>
  <c r="Z266"/>
  <c r="Z249"/>
  <c r="AA249"/>
  <c r="AA266"/>
  <c r="Y220"/>
  <c r="Y224"/>
  <c r="Y233"/>
  <c r="Y218"/>
  <c r="Y219"/>
  <c r="Y222"/>
  <c r="Y236"/>
  <c r="Z220"/>
  <c r="AA220"/>
  <c r="Z224"/>
  <c r="AA224"/>
  <c r="Z233"/>
  <c r="AA233"/>
  <c r="Z218"/>
  <c r="AA218"/>
  <c r="Z219"/>
  <c r="AA219"/>
  <c r="Z222"/>
  <c r="AA222"/>
  <c r="Z236"/>
  <c r="AA236"/>
  <c r="Y161"/>
  <c r="Y168"/>
  <c r="Y173"/>
  <c r="Y160"/>
  <c r="Y169"/>
  <c r="Z161"/>
  <c r="AA161"/>
  <c r="Z168"/>
  <c r="AA168"/>
  <c r="Z173"/>
  <c r="AA173"/>
  <c r="Z160"/>
  <c r="AA160"/>
  <c r="Z169"/>
  <c r="AA169"/>
  <c r="AF712"/>
  <c r="AF713"/>
  <c r="AF727"/>
  <c r="AF724"/>
  <c r="AF722"/>
  <c r="AF719"/>
  <c r="AF717"/>
  <c r="AF716"/>
  <c r="AF710"/>
  <c r="AF725"/>
  <c r="AF723"/>
  <c r="AF721"/>
  <c r="AF720"/>
  <c r="AF718"/>
  <c r="AF715"/>
  <c r="AF714"/>
  <c r="AF711"/>
  <c r="W661"/>
  <c r="U704"/>
  <c r="W704"/>
  <c r="V705"/>
  <c r="U705"/>
  <c r="U660"/>
  <c r="W660"/>
  <c r="V660"/>
  <c r="V661"/>
  <c r="U661"/>
  <c r="V704"/>
  <c r="W705"/>
  <c r="AH499"/>
  <c r="A499"/>
  <c r="AH267"/>
  <c r="A267"/>
  <c r="AH272"/>
  <c r="A272"/>
  <c r="AH258"/>
  <c r="A258"/>
  <c r="AH260"/>
  <c r="A260"/>
  <c r="AH262"/>
  <c r="A262"/>
  <c r="AH264"/>
  <c r="A264"/>
  <c r="AH276"/>
  <c r="A276"/>
  <c r="AH278"/>
  <c r="A278"/>
  <c r="AH280"/>
  <c r="A280"/>
  <c r="AH284"/>
  <c r="A284"/>
  <c r="AH308"/>
  <c r="A308"/>
  <c r="AH314"/>
  <c r="A314"/>
  <c r="AH333"/>
  <c r="A333"/>
  <c r="AH310"/>
  <c r="A310"/>
  <c r="AH334"/>
  <c r="A334"/>
  <c r="AH325"/>
  <c r="A325"/>
  <c r="AH368"/>
  <c r="A368"/>
  <c r="AH366"/>
  <c r="A366"/>
  <c r="AH362"/>
  <c r="A362"/>
  <c r="AH340"/>
  <c r="A340"/>
  <c r="AH359"/>
  <c r="A359"/>
  <c r="AH328"/>
  <c r="A328"/>
  <c r="AH428"/>
  <c r="A428"/>
  <c r="AH430"/>
  <c r="A430"/>
  <c r="AH275"/>
  <c r="A275"/>
  <c r="AH313"/>
  <c r="A313"/>
  <c r="AH330"/>
  <c r="A330"/>
  <c r="AH361"/>
  <c r="A361"/>
  <c r="AH288"/>
  <c r="A288"/>
  <c r="AH315"/>
  <c r="A315"/>
  <c r="AH321"/>
  <c r="A321"/>
  <c r="AH337"/>
  <c r="A337"/>
  <c r="AH342"/>
  <c r="A342"/>
  <c r="AH363"/>
  <c r="A363"/>
  <c r="AH290"/>
  <c r="A290"/>
  <c r="AH292"/>
  <c r="A292"/>
  <c r="AH294"/>
  <c r="A294"/>
  <c r="AH296"/>
  <c r="A296"/>
  <c r="AH298"/>
  <c r="A298"/>
  <c r="AH300"/>
  <c r="A300"/>
  <c r="AH302"/>
  <c r="A302"/>
  <c r="AH304"/>
  <c r="A304"/>
  <c r="AH306"/>
  <c r="A306"/>
  <c r="AH316"/>
  <c r="A316"/>
  <c r="AH318"/>
  <c r="A318"/>
  <c r="AH323"/>
  <c r="A323"/>
  <c r="AH338"/>
  <c r="A338"/>
  <c r="AH345"/>
  <c r="A345"/>
  <c r="AH347"/>
  <c r="A347"/>
  <c r="AH349"/>
  <c r="A349"/>
  <c r="AH351"/>
  <c r="A351"/>
  <c r="AH353"/>
  <c r="A353"/>
  <c r="AH355"/>
  <c r="A355"/>
  <c r="AH365"/>
  <c r="A365"/>
  <c r="AH372"/>
  <c r="A372"/>
  <c r="AH381"/>
  <c r="A381"/>
  <c r="AH383"/>
  <c r="A383"/>
  <c r="AH319"/>
  <c r="A319"/>
  <c r="AH387"/>
  <c r="A387"/>
  <c r="AH385"/>
  <c r="A385"/>
  <c r="AH389"/>
  <c r="A389"/>
  <c r="AH391"/>
  <c r="A391"/>
  <c r="AH393"/>
  <c r="A393"/>
  <c r="AH395"/>
  <c r="A395"/>
  <c r="AH397"/>
  <c r="A397"/>
  <c r="AH399"/>
  <c r="A399"/>
  <c r="AH402"/>
  <c r="A402"/>
  <c r="AH404"/>
  <c r="A404"/>
  <c r="AH406"/>
  <c r="A406"/>
  <c r="AH408"/>
  <c r="A408"/>
  <c r="AH357"/>
  <c r="A357"/>
  <c r="AH380"/>
  <c r="A380"/>
  <c r="AH375"/>
  <c r="A375"/>
  <c r="AH377"/>
  <c r="A377"/>
  <c r="AH416"/>
  <c r="A416"/>
  <c r="AH414"/>
  <c r="A414"/>
  <c r="AH423"/>
  <c r="A423"/>
  <c r="AH415"/>
  <c r="A415"/>
  <c r="AH419"/>
  <c r="A419"/>
  <c r="AH421"/>
  <c r="A421"/>
  <c r="AH425"/>
  <c r="A425"/>
  <c r="AH435"/>
  <c r="A435"/>
  <c r="AH437"/>
  <c r="A437"/>
  <c r="AH439"/>
  <c r="A439"/>
  <c r="AH441"/>
  <c r="A441"/>
  <c r="AH443"/>
  <c r="A443"/>
  <c r="AH445"/>
  <c r="A445"/>
  <c r="AH447"/>
  <c r="A447"/>
  <c r="AH449"/>
  <c r="A449"/>
  <c r="AH451"/>
  <c r="A451"/>
  <c r="AH453"/>
  <c r="A453"/>
  <c r="AH455"/>
  <c r="A455"/>
  <c r="AH457"/>
  <c r="A457"/>
  <c r="AH459"/>
  <c r="A459"/>
  <c r="AH461"/>
  <c r="A461"/>
  <c r="AH463"/>
  <c r="A463"/>
  <c r="AH465"/>
  <c r="A465"/>
  <c r="AH467"/>
  <c r="A467"/>
  <c r="AH469"/>
  <c r="A469"/>
  <c r="AH471"/>
  <c r="A471"/>
  <c r="AH473"/>
  <c r="A473"/>
  <c r="AH475"/>
  <c r="A475"/>
  <c r="AH477"/>
  <c r="A477"/>
  <c r="AH479"/>
  <c r="A479"/>
  <c r="AH481"/>
  <c r="A481"/>
  <c r="AH483"/>
  <c r="A483"/>
  <c r="AH485"/>
  <c r="A485"/>
  <c r="AH487"/>
  <c r="A487"/>
  <c r="AH489"/>
  <c r="A489"/>
  <c r="AH491"/>
  <c r="A491"/>
  <c r="AH493"/>
  <c r="A493"/>
  <c r="AH495"/>
  <c r="A495"/>
  <c r="AH497"/>
  <c r="A497"/>
  <c r="AH501"/>
  <c r="A501"/>
  <c r="AH503"/>
  <c r="A503"/>
  <c r="AH510"/>
  <c r="A510"/>
  <c r="AH516"/>
  <c r="A516"/>
  <c r="AH520"/>
  <c r="A520"/>
  <c r="AH524"/>
  <c r="A524"/>
  <c r="AH528"/>
  <c r="A528"/>
  <c r="AH532"/>
  <c r="A532"/>
  <c r="AH536"/>
  <c r="A536"/>
  <c r="AH540"/>
  <c r="A540"/>
  <c r="AH544"/>
  <c r="A544"/>
  <c r="AH548"/>
  <c r="A548"/>
  <c r="AH552"/>
  <c r="A552"/>
  <c r="AH556"/>
  <c r="A556"/>
  <c r="AH557"/>
  <c r="A557"/>
  <c r="AH564"/>
  <c r="A564"/>
  <c r="AH568"/>
  <c r="A568"/>
  <c r="AH572"/>
  <c r="A572"/>
  <c r="AH576"/>
  <c r="A576"/>
  <c r="AH578"/>
  <c r="A578"/>
  <c r="AH582"/>
  <c r="A582"/>
  <c r="AH608"/>
  <c r="A608"/>
  <c r="AH587"/>
  <c r="A587"/>
  <c r="AH593"/>
  <c r="A593"/>
  <c r="AH595"/>
  <c r="A595"/>
  <c r="AH599"/>
  <c r="A599"/>
  <c r="AH603"/>
  <c r="A603"/>
  <c r="AH610"/>
  <c r="A610"/>
  <c r="AH614"/>
  <c r="A614"/>
  <c r="AH618"/>
  <c r="A618"/>
  <c r="AH622"/>
  <c r="A622"/>
  <c r="AH626"/>
  <c r="A626"/>
  <c r="AH630"/>
  <c r="A630"/>
  <c r="AH634"/>
  <c r="A634"/>
  <c r="AH638"/>
  <c r="A638"/>
  <c r="AH642"/>
  <c r="A642"/>
  <c r="AH650"/>
  <c r="A650"/>
  <c r="AH654"/>
  <c r="A654"/>
  <c r="AH658"/>
  <c r="A658"/>
  <c r="AH662"/>
  <c r="A662"/>
  <c r="AH666"/>
  <c r="A666"/>
  <c r="AH732"/>
  <c r="A732"/>
  <c r="AH734"/>
  <c r="A734"/>
  <c r="AH736"/>
  <c r="A736"/>
  <c r="AH738"/>
  <c r="A738"/>
  <c r="AH740"/>
  <c r="A740"/>
  <c r="AH742"/>
  <c r="A742"/>
  <c r="AH744"/>
  <c r="A744"/>
  <c r="AH746"/>
  <c r="A746"/>
  <c r="AH748"/>
  <c r="A748"/>
  <c r="AH750"/>
  <c r="A750"/>
  <c r="AH752"/>
  <c r="A752"/>
  <c r="AH754"/>
  <c r="A754"/>
  <c r="AH756"/>
  <c r="A756"/>
  <c r="AH505"/>
  <c r="A505"/>
  <c r="AH507"/>
  <c r="A507"/>
  <c r="AH514"/>
  <c r="A514"/>
  <c r="AH518"/>
  <c r="A518"/>
  <c r="AH522"/>
  <c r="A522"/>
  <c r="AH526"/>
  <c r="A526"/>
  <c r="AH530"/>
  <c r="A530"/>
  <c r="AH534"/>
  <c r="A534"/>
  <c r="AH538"/>
  <c r="A538"/>
  <c r="AH542"/>
  <c r="A542"/>
  <c r="AH546"/>
  <c r="A546"/>
  <c r="AH550"/>
  <c r="A550"/>
  <c r="AH554"/>
  <c r="A554"/>
  <c r="AH561"/>
  <c r="A561"/>
  <c r="AH559"/>
  <c r="A559"/>
  <c r="AH566"/>
  <c r="A566"/>
  <c r="AH570"/>
  <c r="A570"/>
  <c r="AH574"/>
  <c r="A574"/>
  <c r="AH580"/>
  <c r="A580"/>
  <c r="AH606"/>
  <c r="A606"/>
  <c r="AH585"/>
  <c r="A585"/>
  <c r="AH589"/>
  <c r="A589"/>
  <c r="AH591"/>
  <c r="A591"/>
  <c r="AH597"/>
  <c r="A597"/>
  <c r="AH601"/>
  <c r="A601"/>
  <c r="AH605"/>
  <c r="A605"/>
  <c r="AH612"/>
  <c r="A612"/>
  <c r="AH616"/>
  <c r="A616"/>
  <c r="AH620"/>
  <c r="A620"/>
  <c r="AH624"/>
  <c r="A624"/>
  <c r="AH628"/>
  <c r="A628"/>
  <c r="AH632"/>
  <c r="A632"/>
  <c r="AH636"/>
  <c r="A636"/>
  <c r="AH640"/>
  <c r="A640"/>
  <c r="AH644"/>
  <c r="A644"/>
  <c r="AH652"/>
  <c r="A652"/>
  <c r="AH656"/>
  <c r="A656"/>
  <c r="AH664"/>
  <c r="A664"/>
  <c r="AH268"/>
  <c r="A268"/>
  <c r="AH273"/>
  <c r="A273"/>
  <c r="AH253"/>
  <c r="A253"/>
  <c r="AH259"/>
  <c r="A259"/>
  <c r="AH261"/>
  <c r="A261"/>
  <c r="AH263"/>
  <c r="A263"/>
  <c r="AH265"/>
  <c r="A265"/>
  <c r="AH277"/>
  <c r="A277"/>
  <c r="AH279"/>
  <c r="A279"/>
  <c r="AH281"/>
  <c r="A281"/>
  <c r="AH285"/>
  <c r="A285"/>
  <c r="AH311"/>
  <c r="A311"/>
  <c r="AH332"/>
  <c r="A332"/>
  <c r="AH309"/>
  <c r="A309"/>
  <c r="AH331"/>
  <c r="A331"/>
  <c r="AH335"/>
  <c r="A335"/>
  <c r="AH326"/>
  <c r="A326"/>
  <c r="AH369"/>
  <c r="A369"/>
  <c r="AH367"/>
  <c r="A367"/>
  <c r="AH339"/>
  <c r="A339"/>
  <c r="AH358"/>
  <c r="A358"/>
  <c r="AH327"/>
  <c r="A327"/>
  <c r="AH427"/>
  <c r="A427"/>
  <c r="AH429"/>
  <c r="A429"/>
  <c r="AH274"/>
  <c r="A274"/>
  <c r="AH312"/>
  <c r="A312"/>
  <c r="AH329"/>
  <c r="A329"/>
  <c r="AH360"/>
  <c r="A360"/>
  <c r="AH286"/>
  <c r="A286"/>
  <c r="AH289"/>
  <c r="A289"/>
  <c r="AH320"/>
  <c r="A320"/>
  <c r="AH336"/>
  <c r="A336"/>
  <c r="AH341"/>
  <c r="A341"/>
  <c r="AH343"/>
  <c r="A343"/>
  <c r="AH370"/>
  <c r="A370"/>
  <c r="AH291"/>
  <c r="A291"/>
  <c r="AH293"/>
  <c r="A293"/>
  <c r="AH295"/>
  <c r="A295"/>
  <c r="AH297"/>
  <c r="A297"/>
  <c r="AH299"/>
  <c r="A299"/>
  <c r="AH301"/>
  <c r="A301"/>
  <c r="AH303"/>
  <c r="A303"/>
  <c r="AH305"/>
  <c r="A305"/>
  <c r="AH307"/>
  <c r="A307"/>
  <c r="AH317"/>
  <c r="A317"/>
  <c r="AH322"/>
  <c r="A322"/>
  <c r="AH324"/>
  <c r="A324"/>
  <c r="AH344"/>
  <c r="A344"/>
  <c r="AH346"/>
  <c r="A346"/>
  <c r="AH348"/>
  <c r="A348"/>
  <c r="AH350"/>
  <c r="A350"/>
  <c r="AH352"/>
  <c r="A352"/>
  <c r="AH354"/>
  <c r="A354"/>
  <c r="AH364"/>
  <c r="A364"/>
  <c r="AH371"/>
  <c r="A371"/>
  <c r="AH373"/>
  <c r="A373"/>
  <c r="AH382"/>
  <c r="A382"/>
  <c r="AH384"/>
  <c r="A384"/>
  <c r="AH386"/>
  <c r="A386"/>
  <c r="AH401"/>
  <c r="A401"/>
  <c r="AH388"/>
  <c r="A388"/>
  <c r="AH390"/>
  <c r="A390"/>
  <c r="AH392"/>
  <c r="A392"/>
  <c r="AH394"/>
  <c r="A394"/>
  <c r="AH396"/>
  <c r="A396"/>
  <c r="AH398"/>
  <c r="A398"/>
  <c r="AH400"/>
  <c r="A400"/>
  <c r="AH403"/>
  <c r="A403"/>
  <c r="AH405"/>
  <c r="A405"/>
  <c r="AH407"/>
  <c r="A407"/>
  <c r="AH356"/>
  <c r="A356"/>
  <c r="AH379"/>
  <c r="A379"/>
  <c r="AH374"/>
  <c r="A374"/>
  <c r="AH376"/>
  <c r="A376"/>
  <c r="AH378"/>
  <c r="A378"/>
  <c r="AH417"/>
  <c r="A417"/>
  <c r="AH422"/>
  <c r="A422"/>
  <c r="AH434"/>
  <c r="A434"/>
  <c r="AH418"/>
  <c r="A418"/>
  <c r="AH420"/>
  <c r="A420"/>
  <c r="AH424"/>
  <c r="A424"/>
  <c r="AH426"/>
  <c r="A426"/>
  <c r="AH436"/>
  <c r="A436"/>
  <c r="AH438"/>
  <c r="A438"/>
  <c r="AH440"/>
  <c r="A440"/>
  <c r="AH442"/>
  <c r="A442"/>
  <c r="AH444"/>
  <c r="A444"/>
  <c r="AH446"/>
  <c r="A446"/>
  <c r="AH448"/>
  <c r="A448"/>
  <c r="AH450"/>
  <c r="A450"/>
  <c r="AH452"/>
  <c r="A452"/>
  <c r="AH454"/>
  <c r="A454"/>
  <c r="AH456"/>
  <c r="A456"/>
  <c r="AH458"/>
  <c r="A458"/>
  <c r="AH460"/>
  <c r="A460"/>
  <c r="AH462"/>
  <c r="A462"/>
  <c r="AH464"/>
  <c r="A464"/>
  <c r="AH466"/>
  <c r="A466"/>
  <c r="AH468"/>
  <c r="A468"/>
  <c r="AH470"/>
  <c r="A470"/>
  <c r="AH472"/>
  <c r="A472"/>
  <c r="AH474"/>
  <c r="A474"/>
  <c r="AH476"/>
  <c r="A476"/>
  <c r="AH478"/>
  <c r="A478"/>
  <c r="AH480"/>
  <c r="A480"/>
  <c r="AH482"/>
  <c r="A482"/>
  <c r="AH484"/>
  <c r="A484"/>
  <c r="AH486"/>
  <c r="A486"/>
  <c r="AH488"/>
  <c r="A488"/>
  <c r="AH490"/>
  <c r="A490"/>
  <c r="AH492"/>
  <c r="A492"/>
  <c r="AH494"/>
  <c r="A494"/>
  <c r="AH496"/>
  <c r="A496"/>
  <c r="AH498"/>
  <c r="A498"/>
  <c r="AH500"/>
  <c r="A500"/>
  <c r="AH502"/>
  <c r="A502"/>
  <c r="AH504"/>
  <c r="A504"/>
  <c r="AH506"/>
  <c r="A506"/>
  <c r="AH509"/>
  <c r="A509"/>
  <c r="AH511"/>
  <c r="A511"/>
  <c r="AH515"/>
  <c r="A515"/>
  <c r="AH517"/>
  <c r="A517"/>
  <c r="AH519"/>
  <c r="A519"/>
  <c r="AH521"/>
  <c r="A521"/>
  <c r="AH523"/>
  <c r="A523"/>
  <c r="AH525"/>
  <c r="A525"/>
  <c r="AH527"/>
  <c r="A527"/>
  <c r="AH529"/>
  <c r="A529"/>
  <c r="AH531"/>
  <c r="A531"/>
  <c r="AH533"/>
  <c r="A533"/>
  <c r="AH535"/>
  <c r="A535"/>
  <c r="AH537"/>
  <c r="A537"/>
  <c r="AH539"/>
  <c r="A539"/>
  <c r="AH541"/>
  <c r="A541"/>
  <c r="AH543"/>
  <c r="A543"/>
  <c r="AH545"/>
  <c r="A545"/>
  <c r="AH547"/>
  <c r="A547"/>
  <c r="AH549"/>
  <c r="A549"/>
  <c r="AH551"/>
  <c r="A551"/>
  <c r="AH553"/>
  <c r="A553"/>
  <c r="AH555"/>
  <c r="A555"/>
  <c r="AH560"/>
  <c r="A560"/>
  <c r="AH562"/>
  <c r="A562"/>
  <c r="AH558"/>
  <c r="A558"/>
  <c r="AH563"/>
  <c r="A563"/>
  <c r="AH565"/>
  <c r="A565"/>
  <c r="AH567"/>
  <c r="A567"/>
  <c r="AH569"/>
  <c r="A569"/>
  <c r="AH571"/>
  <c r="A571"/>
  <c r="AH573"/>
  <c r="A573"/>
  <c r="AH575"/>
  <c r="A575"/>
  <c r="AH577"/>
  <c r="A577"/>
  <c r="AH579"/>
  <c r="A579"/>
  <c r="AH581"/>
  <c r="A581"/>
  <c r="AH583"/>
  <c r="A583"/>
  <c r="AH607"/>
  <c r="A607"/>
  <c r="AH584"/>
  <c r="A584"/>
  <c r="AH586"/>
  <c r="A586"/>
  <c r="AH588"/>
  <c r="A588"/>
  <c r="AH590"/>
  <c r="A590"/>
  <c r="AH592"/>
  <c r="A592"/>
  <c r="AH594"/>
  <c r="A594"/>
  <c r="AH596"/>
  <c r="A596"/>
  <c r="AH598"/>
  <c r="A598"/>
  <c r="AH600"/>
  <c r="A600"/>
  <c r="AH602"/>
  <c r="A602"/>
  <c r="AH604"/>
  <c r="A604"/>
  <c r="AH609"/>
  <c r="A609"/>
  <c r="AH611"/>
  <c r="A611"/>
  <c r="AH613"/>
  <c r="A613"/>
  <c r="AH615"/>
  <c r="A615"/>
  <c r="AH617"/>
  <c r="A617"/>
  <c r="AH619"/>
  <c r="A619"/>
  <c r="AH621"/>
  <c r="A621"/>
  <c r="AH623"/>
  <c r="A623"/>
  <c r="AH625"/>
  <c r="A625"/>
  <c r="AH627"/>
  <c r="A627"/>
  <c r="AH629"/>
  <c r="A629"/>
  <c r="AH631"/>
  <c r="A631"/>
  <c r="AH633"/>
  <c r="A633"/>
  <c r="AH635"/>
  <c r="A635"/>
  <c r="AH637"/>
  <c r="A637"/>
  <c r="AH639"/>
  <c r="A639"/>
  <c r="AH641"/>
  <c r="A641"/>
  <c r="AH643"/>
  <c r="A643"/>
  <c r="AH646"/>
  <c r="A646"/>
  <c r="AH651"/>
  <c r="A651"/>
  <c r="AH653"/>
  <c r="A653"/>
  <c r="AH655"/>
  <c r="A655"/>
  <c r="AH657"/>
  <c r="A657"/>
  <c r="AH659"/>
  <c r="A659"/>
  <c r="AH663"/>
  <c r="A663"/>
  <c r="AH665"/>
  <c r="A665"/>
  <c r="AH707"/>
  <c r="A707"/>
  <c r="AH731"/>
  <c r="A731"/>
  <c r="AH733"/>
  <c r="A733"/>
  <c r="AH735"/>
  <c r="A735"/>
  <c r="AH737"/>
  <c r="A737"/>
  <c r="AH739"/>
  <c r="A739"/>
  <c r="AH741"/>
  <c r="A741"/>
  <c r="AH743"/>
  <c r="A743"/>
  <c r="AH745"/>
  <c r="A745"/>
  <c r="AH747"/>
  <c r="A747"/>
  <c r="AH749"/>
  <c r="A749"/>
  <c r="AH751"/>
  <c r="A751"/>
  <c r="AH753"/>
  <c r="A753"/>
  <c r="AH755"/>
  <c r="A755"/>
  <c r="AH757"/>
  <c r="A757"/>
  <c r="S660"/>
  <c r="T660"/>
  <c r="T661"/>
  <c r="R704"/>
  <c r="T705"/>
  <c r="R660"/>
  <c r="R661"/>
  <c r="S661"/>
  <c r="S704"/>
  <c r="T704"/>
  <c r="R705"/>
  <c r="S705"/>
  <c r="AF661"/>
  <c r="AF660"/>
  <c r="AF705"/>
  <c r="AF704"/>
  <c r="T703"/>
  <c r="S703"/>
  <c r="R709"/>
  <c r="S691"/>
  <c r="S695"/>
  <c r="S694"/>
  <c r="S697"/>
  <c r="T701"/>
  <c r="S701"/>
  <c r="R691"/>
  <c r="R694"/>
  <c r="R695"/>
  <c r="R697"/>
  <c r="R699"/>
  <c r="S678"/>
  <c r="S680"/>
  <c r="S688"/>
  <c r="T687"/>
  <c r="T688"/>
  <c r="T689"/>
  <c r="R690"/>
  <c r="R686"/>
  <c r="T683"/>
  <c r="T682"/>
  <c r="T685"/>
  <c r="T684"/>
  <c r="T677"/>
  <c r="T678"/>
  <c r="T679"/>
  <c r="T680"/>
  <c r="R681"/>
  <c r="T669"/>
  <c r="S670"/>
  <c r="R671"/>
  <c r="T673"/>
  <c r="S674"/>
  <c r="R675"/>
  <c r="T700"/>
  <c r="S692"/>
  <c r="R693"/>
  <c r="T698"/>
  <c r="T668"/>
  <c r="R670"/>
  <c r="S671"/>
  <c r="T672"/>
  <c r="R674"/>
  <c r="S675"/>
  <c r="T676"/>
  <c r="R692"/>
  <c r="S693"/>
  <c r="S698"/>
  <c r="R667"/>
  <c r="S667"/>
  <c r="T18"/>
  <c r="S19"/>
  <c r="R20"/>
  <c r="T22"/>
  <c r="S23"/>
  <c r="R24"/>
  <c r="R19"/>
  <c r="S20"/>
  <c r="T21"/>
  <c r="R23"/>
  <c r="S24"/>
  <c r="R703"/>
  <c r="T709"/>
  <c r="S709"/>
  <c r="R701"/>
  <c r="T691"/>
  <c r="T694"/>
  <c r="T695"/>
  <c r="T697"/>
  <c r="T699"/>
  <c r="S699"/>
  <c r="S677"/>
  <c r="S679"/>
  <c r="S689"/>
  <c r="S687"/>
  <c r="R687"/>
  <c r="R688"/>
  <c r="R689"/>
  <c r="T690"/>
  <c r="S690"/>
  <c r="T686"/>
  <c r="S686"/>
  <c r="S682"/>
  <c r="R683"/>
  <c r="R682"/>
  <c r="S683"/>
  <c r="S684"/>
  <c r="R685"/>
  <c r="R684"/>
  <c r="S685"/>
  <c r="R677"/>
  <c r="R678"/>
  <c r="R679"/>
  <c r="R680"/>
  <c r="T681"/>
  <c r="S681"/>
  <c r="S668"/>
  <c r="R669"/>
  <c r="T671"/>
  <c r="S672"/>
  <c r="R673"/>
  <c r="T675"/>
  <c r="S676"/>
  <c r="R700"/>
  <c r="T693"/>
  <c r="R698"/>
  <c r="R668"/>
  <c r="S669"/>
  <c r="T670"/>
  <c r="R672"/>
  <c r="S673"/>
  <c r="T674"/>
  <c r="R676"/>
  <c r="S700"/>
  <c r="T692"/>
  <c r="T667"/>
  <c r="R18"/>
  <c r="T20"/>
  <c r="S21"/>
  <c r="R22"/>
  <c r="T24"/>
  <c r="S18"/>
  <c r="T19"/>
  <c r="R21"/>
  <c r="S22"/>
  <c r="T23"/>
  <c r="T708"/>
  <c r="R696"/>
  <c r="S696"/>
  <c r="R708"/>
  <c r="S708"/>
  <c r="T696"/>
  <c r="T411"/>
  <c r="R409"/>
  <c r="S409"/>
  <c r="T413"/>
  <c r="R412"/>
  <c r="S412"/>
  <c r="T410"/>
  <c r="R512"/>
  <c r="S512"/>
  <c r="R411"/>
  <c r="S411"/>
  <c r="T409"/>
  <c r="R413"/>
  <c r="S413"/>
  <c r="T412"/>
  <c r="R410"/>
  <c r="S410"/>
  <c r="T512"/>
  <c r="R287"/>
  <c r="S287"/>
  <c r="T287"/>
  <c r="T431"/>
  <c r="S254"/>
  <c r="T254"/>
  <c r="R256"/>
  <c r="R432"/>
  <c r="S432"/>
  <c r="R255"/>
  <c r="S257"/>
  <c r="T257"/>
  <c r="R431"/>
  <c r="S431"/>
  <c r="R254"/>
  <c r="S256"/>
  <c r="T256"/>
  <c r="T432"/>
  <c r="S255"/>
  <c r="T255"/>
  <c r="R257"/>
  <c r="R283"/>
  <c r="S282"/>
  <c r="T282"/>
  <c r="S283"/>
  <c r="T283"/>
  <c r="R282"/>
  <c r="R251"/>
  <c r="S269"/>
  <c r="T269"/>
  <c r="R270"/>
  <c r="S250"/>
  <c r="T250"/>
  <c r="R271"/>
  <c r="S251"/>
  <c r="T251"/>
  <c r="R269"/>
  <c r="S270"/>
  <c r="T270"/>
  <c r="R250"/>
  <c r="S271"/>
  <c r="T271"/>
  <c r="R249"/>
  <c r="S266"/>
  <c r="T266"/>
  <c r="S249"/>
  <c r="T249"/>
  <c r="R266"/>
  <c r="R220"/>
  <c r="S224"/>
  <c r="T224"/>
  <c r="R233"/>
  <c r="S218"/>
  <c r="T218"/>
  <c r="R219"/>
  <c r="S222"/>
  <c r="T222"/>
  <c r="R236"/>
  <c r="S220"/>
  <c r="T220"/>
  <c r="R224"/>
  <c r="S233"/>
  <c r="T233"/>
  <c r="R218"/>
  <c r="S219"/>
  <c r="T219"/>
  <c r="R222"/>
  <c r="S236"/>
  <c r="T236"/>
  <c r="R161"/>
  <c r="S168"/>
  <c r="T168"/>
  <c r="R173"/>
  <c r="S160"/>
  <c r="T160"/>
  <c r="R169"/>
  <c r="S161"/>
  <c r="T161"/>
  <c r="R168"/>
  <c r="S173"/>
  <c r="T173"/>
  <c r="R160"/>
  <c r="S169"/>
  <c r="T169"/>
  <c r="U703"/>
  <c r="V703"/>
  <c r="W703"/>
  <c r="AF701"/>
  <c r="AF703"/>
  <c r="AF709"/>
  <c r="AF708"/>
  <c r="U694"/>
  <c r="U680"/>
  <c r="U697"/>
  <c r="U678"/>
  <c r="U709"/>
  <c r="W691"/>
  <c r="U691"/>
  <c r="U695"/>
  <c r="V701"/>
  <c r="W701"/>
  <c r="V691"/>
  <c r="V695"/>
  <c r="V699"/>
  <c r="W699"/>
  <c r="W679"/>
  <c r="U687"/>
  <c r="U688"/>
  <c r="U677"/>
  <c r="U679"/>
  <c r="U689"/>
  <c r="W687"/>
  <c r="V687"/>
  <c r="V689"/>
  <c r="V690"/>
  <c r="W690"/>
  <c r="U686"/>
  <c r="U682"/>
  <c r="V682"/>
  <c r="U683"/>
  <c r="U684"/>
  <c r="V684"/>
  <c r="U685"/>
  <c r="V678"/>
  <c r="V680"/>
  <c r="V681"/>
  <c r="W681"/>
  <c r="W668"/>
  <c r="V669"/>
  <c r="W670"/>
  <c r="V671"/>
  <c r="W672"/>
  <c r="V673"/>
  <c r="W674"/>
  <c r="V675"/>
  <c r="W676"/>
  <c r="V700"/>
  <c r="W692"/>
  <c r="V693"/>
  <c r="V698"/>
  <c r="W669"/>
  <c r="W671"/>
  <c r="W673"/>
  <c r="W675"/>
  <c r="W700"/>
  <c r="W693"/>
  <c r="W698"/>
  <c r="V667"/>
  <c r="U667"/>
  <c r="V709"/>
  <c r="W709"/>
  <c r="W695"/>
  <c r="W694"/>
  <c r="W697"/>
  <c r="U701"/>
  <c r="V694"/>
  <c r="V697"/>
  <c r="U699"/>
  <c r="W677"/>
  <c r="W678"/>
  <c r="W680"/>
  <c r="W689"/>
  <c r="W688"/>
  <c r="V688"/>
  <c r="U690"/>
  <c r="V686"/>
  <c r="W686"/>
  <c r="W682"/>
  <c r="V683"/>
  <c r="W683"/>
  <c r="W684"/>
  <c r="V685"/>
  <c r="W685"/>
  <c r="V677"/>
  <c r="V679"/>
  <c r="U681"/>
  <c r="U668"/>
  <c r="U670"/>
  <c r="U672"/>
  <c r="U674"/>
  <c r="U676"/>
  <c r="U692"/>
  <c r="V668"/>
  <c r="U669"/>
  <c r="V670"/>
  <c r="U671"/>
  <c r="V672"/>
  <c r="U673"/>
  <c r="V674"/>
  <c r="U675"/>
  <c r="V676"/>
  <c r="U700"/>
  <c r="V692"/>
  <c r="U693"/>
  <c r="U698"/>
  <c r="W667"/>
  <c r="V708"/>
  <c r="W708"/>
  <c r="V696"/>
  <c r="W696"/>
  <c r="U708"/>
  <c r="U696"/>
  <c r="AF699"/>
  <c r="AF697"/>
  <c r="AF695"/>
  <c r="AF694"/>
  <c r="AF691"/>
  <c r="AF686"/>
  <c r="AF690"/>
  <c r="AF689"/>
  <c r="AF688"/>
  <c r="AF687"/>
  <c r="AF682"/>
  <c r="AF683"/>
  <c r="AF684"/>
  <c r="AF685"/>
  <c r="AF681"/>
  <c r="AF680"/>
  <c r="AF679"/>
  <c r="AF678"/>
  <c r="AF677"/>
  <c r="AF696"/>
  <c r="AF692"/>
  <c r="AF676"/>
  <c r="AF674"/>
  <c r="AF672"/>
  <c r="AF670"/>
  <c r="AF668"/>
  <c r="AF667"/>
  <c r="AF698"/>
  <c r="AF693"/>
  <c r="AF700"/>
  <c r="AF675"/>
  <c r="AF673"/>
  <c r="AF671"/>
  <c r="AF669"/>
  <c r="V18"/>
  <c r="W19"/>
  <c r="V20"/>
  <c r="W21"/>
  <c r="V22"/>
  <c r="W23"/>
  <c r="V24"/>
  <c r="W18"/>
  <c r="W22"/>
  <c r="U19"/>
  <c r="U21"/>
  <c r="U23"/>
  <c r="U18"/>
  <c r="V19"/>
  <c r="U20"/>
  <c r="V21"/>
  <c r="U22"/>
  <c r="V23"/>
  <c r="U24"/>
  <c r="W20"/>
  <c r="W24"/>
  <c r="W411"/>
  <c r="W409"/>
  <c r="W413"/>
  <c r="W412"/>
  <c r="W410"/>
  <c r="W512"/>
  <c r="V411"/>
  <c r="U411"/>
  <c r="V409"/>
  <c r="U409"/>
  <c r="V413"/>
  <c r="U413"/>
  <c r="V412"/>
  <c r="U412"/>
  <c r="V410"/>
  <c r="U410"/>
  <c r="V512"/>
  <c r="U512"/>
  <c r="U287"/>
  <c r="V287"/>
  <c r="W287"/>
  <c r="W431"/>
  <c r="U254"/>
  <c r="V254"/>
  <c r="U256"/>
  <c r="V256"/>
  <c r="W432"/>
  <c r="U255"/>
  <c r="V255"/>
  <c r="U257"/>
  <c r="V257"/>
  <c r="V431"/>
  <c r="U431"/>
  <c r="W254"/>
  <c r="W256"/>
  <c r="V432"/>
  <c r="U432"/>
  <c r="W255"/>
  <c r="W257"/>
  <c r="U283"/>
  <c r="V283"/>
  <c r="U282"/>
  <c r="V282"/>
  <c r="W283"/>
  <c r="W282"/>
  <c r="U251"/>
  <c r="V251"/>
  <c r="U269"/>
  <c r="V269"/>
  <c r="U270"/>
  <c r="V270"/>
  <c r="U250"/>
  <c r="V250"/>
  <c r="U271"/>
  <c r="V271"/>
  <c r="W251"/>
  <c r="W269"/>
  <c r="W270"/>
  <c r="W250"/>
  <c r="W271"/>
  <c r="U249"/>
  <c r="V249"/>
  <c r="U266"/>
  <c r="V266"/>
  <c r="W249"/>
  <c r="W266"/>
  <c r="U220"/>
  <c r="V220"/>
  <c r="U224"/>
  <c r="V224"/>
  <c r="U233"/>
  <c r="V233"/>
  <c r="U218"/>
  <c r="V218"/>
  <c r="U219"/>
  <c r="V219"/>
  <c r="U222"/>
  <c r="V222"/>
  <c r="U236"/>
  <c r="V236"/>
  <c r="W220"/>
  <c r="W224"/>
  <c r="W233"/>
  <c r="W218"/>
  <c r="W219"/>
  <c r="W222"/>
  <c r="W236"/>
  <c r="U161"/>
  <c r="V161"/>
  <c r="U168"/>
  <c r="V168"/>
  <c r="U173"/>
  <c r="V173"/>
  <c r="U160"/>
  <c r="V160"/>
  <c r="U169"/>
  <c r="V169"/>
  <c r="W161"/>
  <c r="W168"/>
  <c r="W173"/>
  <c r="W160"/>
  <c r="W169"/>
  <c r="AH11"/>
  <c r="AH12"/>
  <c r="AH14"/>
  <c r="AF23"/>
  <c r="AF21"/>
  <c r="AF19"/>
  <c r="AF24"/>
  <c r="AF22"/>
  <c r="AF20"/>
  <c r="AF18"/>
  <c r="AF12"/>
  <c r="AF15"/>
  <c r="AF17"/>
  <c r="AF26"/>
  <c r="AF28"/>
  <c r="AF30"/>
  <c r="AF32"/>
  <c r="AF34"/>
  <c r="AF36"/>
  <c r="AF38"/>
  <c r="AF40"/>
  <c r="AF42"/>
  <c r="AF44"/>
  <c r="AF46"/>
  <c r="AF48"/>
  <c r="AF50"/>
  <c r="AF52"/>
  <c r="AF54"/>
  <c r="AF56"/>
  <c r="AF58"/>
  <c r="AF60"/>
  <c r="AF62"/>
  <c r="AF64"/>
  <c r="AF66"/>
  <c r="AF68"/>
  <c r="AF70"/>
  <c r="AF72"/>
  <c r="AF74"/>
  <c r="AF76"/>
  <c r="AF78"/>
  <c r="AF80"/>
  <c r="AF82"/>
  <c r="AF84"/>
  <c r="AF86"/>
  <c r="AF88"/>
  <c r="AF90"/>
  <c r="AF92"/>
  <c r="AF94"/>
  <c r="AF96"/>
  <c r="AF98"/>
  <c r="AF100"/>
  <c r="AF102"/>
  <c r="AF104"/>
  <c r="AF106"/>
  <c r="AF108"/>
  <c r="AF110"/>
  <c r="AF112"/>
  <c r="AF114"/>
  <c r="AF116"/>
  <c r="AF118"/>
  <c r="AF120"/>
  <c r="AF122"/>
  <c r="AF124"/>
  <c r="AF126"/>
  <c r="AF128"/>
  <c r="AF130"/>
  <c r="AF132"/>
  <c r="AF134"/>
  <c r="AF136"/>
  <c r="AF138"/>
  <c r="AF140"/>
  <c r="AF142"/>
  <c r="AF144"/>
  <c r="AF146"/>
  <c r="AF148"/>
  <c r="AF150"/>
  <c r="AF152"/>
  <c r="AF154"/>
  <c r="AF156"/>
  <c r="AF158"/>
  <c r="AF160"/>
  <c r="AF162"/>
  <c r="AF164"/>
  <c r="AF166"/>
  <c r="AF168"/>
  <c r="AF170"/>
  <c r="AF172"/>
  <c r="AF174"/>
  <c r="AF176"/>
  <c r="AF178"/>
  <c r="AF180"/>
  <c r="AF182"/>
  <c r="AF184"/>
  <c r="AF186"/>
  <c r="AF188"/>
  <c r="AF190"/>
  <c r="AF192"/>
  <c r="AF194"/>
  <c r="AF196"/>
  <c r="AF198"/>
  <c r="AF200"/>
  <c r="AF202"/>
  <c r="AF204"/>
  <c r="AF206"/>
  <c r="AF208"/>
  <c r="AF210"/>
  <c r="AF212"/>
  <c r="AF214"/>
  <c r="AF216"/>
  <c r="AF218"/>
  <c r="AF220"/>
  <c r="AF222"/>
  <c r="AF224"/>
  <c r="AF226"/>
  <c r="AF228"/>
  <c r="AF230"/>
  <c r="AF232"/>
  <c r="AF234"/>
  <c r="AF236"/>
  <c r="AF238"/>
  <c r="AF240"/>
  <c r="AF242"/>
  <c r="AF244"/>
  <c r="AF246"/>
  <c r="AF248"/>
  <c r="AF250"/>
  <c r="AF252"/>
  <c r="AF254"/>
  <c r="AF256"/>
  <c r="AF258"/>
  <c r="AF260"/>
  <c r="AF262"/>
  <c r="AF264"/>
  <c r="AF266"/>
  <c r="AF268"/>
  <c r="AF270"/>
  <c r="AF272"/>
  <c r="AF274"/>
  <c r="AF276"/>
  <c r="AF278"/>
  <c r="AF280"/>
  <c r="AF281"/>
  <c r="AF282"/>
  <c r="AF283"/>
  <c r="AF284"/>
  <c r="AF285"/>
  <c r="AF286"/>
  <c r="AF287"/>
  <c r="AF288"/>
  <c r="AF289"/>
  <c r="AF290"/>
  <c r="AF291"/>
  <c r="AF292"/>
  <c r="AF293"/>
  <c r="AF294"/>
  <c r="AF295"/>
  <c r="AF296"/>
  <c r="AF297"/>
  <c r="AF298"/>
  <c r="AF299"/>
  <c r="AF300"/>
  <c r="AF301"/>
  <c r="AF302"/>
  <c r="AF303"/>
  <c r="AF304"/>
  <c r="AF305"/>
  <c r="AF306"/>
  <c r="AF307"/>
  <c r="AF308"/>
  <c r="AF309"/>
  <c r="AF310"/>
  <c r="AF312"/>
  <c r="AF314"/>
  <c r="AF315"/>
  <c r="AF316"/>
  <c r="AF317"/>
  <c r="AF318"/>
  <c r="AF319"/>
  <c r="AF320"/>
  <c r="AF321"/>
  <c r="AF322"/>
  <c r="AF323"/>
  <c r="AF324"/>
  <c r="AF325"/>
  <c r="AF326"/>
  <c r="AF327"/>
  <c r="AF328"/>
  <c r="AF329"/>
  <c r="AF330"/>
  <c r="AF331"/>
  <c r="AF332"/>
  <c r="AF333"/>
  <c r="AF334"/>
  <c r="AF335"/>
  <c r="AF336"/>
  <c r="AF337"/>
  <c r="AF338"/>
  <c r="AF339"/>
  <c r="AF340"/>
  <c r="AF341"/>
  <c r="AF342"/>
  <c r="AF343"/>
  <c r="AF344"/>
  <c r="AF345"/>
  <c r="AF346"/>
  <c r="AF347"/>
  <c r="AF348"/>
  <c r="AF349"/>
  <c r="AF350"/>
  <c r="AF351"/>
  <c r="AF352"/>
  <c r="AF353"/>
  <c r="AF354"/>
  <c r="AF355"/>
  <c r="AF356"/>
  <c r="AF358"/>
  <c r="AF360"/>
  <c r="AF362"/>
  <c r="AF363"/>
  <c r="AF364"/>
  <c r="AF365"/>
  <c r="AF366"/>
  <c r="AF367"/>
  <c r="AF368"/>
  <c r="AF369"/>
  <c r="AF370"/>
  <c r="AF371"/>
  <c r="AF372"/>
  <c r="AF373"/>
  <c r="AF374"/>
  <c r="AF375"/>
  <c r="AF376"/>
  <c r="AF377"/>
  <c r="AF378"/>
  <c r="AF379"/>
  <c r="AF380"/>
  <c r="AF381"/>
  <c r="AF382"/>
  <c r="AF383"/>
  <c r="AF384"/>
  <c r="AF385"/>
  <c r="AF386"/>
  <c r="AF387"/>
  <c r="AF388"/>
  <c r="AF389"/>
  <c r="AF390"/>
  <c r="AF391"/>
  <c r="AF392"/>
  <c r="AF393"/>
  <c r="AF394"/>
  <c r="AF395"/>
  <c r="AF396"/>
  <c r="AF397"/>
  <c r="AF398"/>
  <c r="AF399"/>
  <c r="AF400"/>
  <c r="AF401"/>
  <c r="AF402"/>
  <c r="AF403"/>
  <c r="AF404"/>
  <c r="AF405"/>
  <c r="AF408"/>
  <c r="AF428"/>
  <c r="AF430"/>
  <c r="AF432"/>
  <c r="AF513"/>
  <c r="AF14"/>
  <c r="AF16"/>
  <c r="AF25"/>
  <c r="AF27"/>
  <c r="AF29"/>
  <c r="AF31"/>
  <c r="AF33"/>
  <c r="AF35"/>
  <c r="AF37"/>
  <c r="AF39"/>
  <c r="AF41"/>
  <c r="AF43"/>
  <c r="AF45"/>
  <c r="AF47"/>
  <c r="AF49"/>
  <c r="AF51"/>
  <c r="AF53"/>
  <c r="AF55"/>
  <c r="AF57"/>
  <c r="AF59"/>
  <c r="AF61"/>
  <c r="AF63"/>
  <c r="AF65"/>
  <c r="AF67"/>
  <c r="AF69"/>
  <c r="AF71"/>
  <c r="AF73"/>
  <c r="AF75"/>
  <c r="AF77"/>
  <c r="AF79"/>
  <c r="AF81"/>
  <c r="AF83"/>
  <c r="AF85"/>
  <c r="AF87"/>
  <c r="AF89"/>
  <c r="AF91"/>
  <c r="AF93"/>
  <c r="AF95"/>
  <c r="AF97"/>
  <c r="AF99"/>
  <c r="AF101"/>
  <c r="AF103"/>
  <c r="AF105"/>
  <c r="AF107"/>
  <c r="AF109"/>
  <c r="AF111"/>
  <c r="AF113"/>
  <c r="AF115"/>
  <c r="AF117"/>
  <c r="AF119"/>
  <c r="AF121"/>
  <c r="AF123"/>
  <c r="AF125"/>
  <c r="AF127"/>
  <c r="AF129"/>
  <c r="AF131"/>
  <c r="AF133"/>
  <c r="AF135"/>
  <c r="AF137"/>
  <c r="AF139"/>
  <c r="AF141"/>
  <c r="AF143"/>
  <c r="AF145"/>
  <c r="AF147"/>
  <c r="AF149"/>
  <c r="AF151"/>
  <c r="AF153"/>
  <c r="AF155"/>
  <c r="AF157"/>
  <c r="AF159"/>
  <c r="AF161"/>
  <c r="AF163"/>
  <c r="AF165"/>
  <c r="AF167"/>
  <c r="AF169"/>
  <c r="AF171"/>
  <c r="AF173"/>
  <c r="AF175"/>
  <c r="AF177"/>
  <c r="AF179"/>
  <c r="AF181"/>
  <c r="AF183"/>
  <c r="AF185"/>
  <c r="AF187"/>
  <c r="AF189"/>
  <c r="AF191"/>
  <c r="AF193"/>
  <c r="AF195"/>
  <c r="AF197"/>
  <c r="AF199"/>
  <c r="AF201"/>
  <c r="AF203"/>
  <c r="AF205"/>
  <c r="AF207"/>
  <c r="AF209"/>
  <c r="AF211"/>
  <c r="AF213"/>
  <c r="AF215"/>
  <c r="AF217"/>
  <c r="AF219"/>
  <c r="AF221"/>
  <c r="AF223"/>
  <c r="AF225"/>
  <c r="AF227"/>
  <c r="AF229"/>
  <c r="AF231"/>
  <c r="AF233"/>
  <c r="AF235"/>
  <c r="AF237"/>
  <c r="AF239"/>
  <c r="AF241"/>
  <c r="AF243"/>
  <c r="AF245"/>
  <c r="AF247"/>
  <c r="AF249"/>
  <c r="AF251"/>
  <c r="AF253"/>
  <c r="AF255"/>
  <c r="AF257"/>
  <c r="AF259"/>
  <c r="AF261"/>
  <c r="AF263"/>
  <c r="AF265"/>
  <c r="AF267"/>
  <c r="AF269"/>
  <c r="AF271"/>
  <c r="AF273"/>
  <c r="AF275"/>
  <c r="AF277"/>
  <c r="AF279"/>
  <c r="AF311"/>
  <c r="AF313"/>
  <c r="AF357"/>
  <c r="AF359"/>
  <c r="AF361"/>
  <c r="AF409"/>
  <c r="AF410"/>
  <c r="AF411"/>
  <c r="AF412"/>
  <c r="AF413"/>
  <c r="AF414"/>
  <c r="AF415"/>
  <c r="AF416"/>
  <c r="AF417"/>
  <c r="AF418"/>
  <c r="AF419"/>
  <c r="AF420"/>
  <c r="AF421"/>
  <c r="AF422"/>
  <c r="AF423"/>
  <c r="AF424"/>
  <c r="AF425"/>
  <c r="AF426"/>
  <c r="AF427"/>
  <c r="AF431"/>
  <c r="AF433"/>
  <c r="AF435"/>
  <c r="AF437"/>
  <c r="AF439"/>
  <c r="AF440"/>
  <c r="AF441"/>
  <c r="AF442"/>
  <c r="AF443"/>
  <c r="AF444"/>
  <c r="AF445"/>
  <c r="AF446"/>
  <c r="AF447"/>
  <c r="AF448"/>
  <c r="AF449"/>
  <c r="AF450"/>
  <c r="AF451"/>
  <c r="AF452"/>
  <c r="AF454"/>
  <c r="AF456"/>
  <c r="AF458"/>
  <c r="AF460"/>
  <c r="AF462"/>
  <c r="AF464"/>
  <c r="AF466"/>
  <c r="AF468"/>
  <c r="AF470"/>
  <c r="AF472"/>
  <c r="AF474"/>
  <c r="AF476"/>
  <c r="AF478"/>
  <c r="AF480"/>
  <c r="AF482"/>
  <c r="AF484"/>
  <c r="AF486"/>
  <c r="AF488"/>
  <c r="AF490"/>
  <c r="AF492"/>
  <c r="AF494"/>
  <c r="AF496"/>
  <c r="AF498"/>
  <c r="AF500"/>
  <c r="AF502"/>
  <c r="AF504"/>
  <c r="AF506"/>
  <c r="AF509"/>
  <c r="AF511"/>
  <c r="AF515"/>
  <c r="AF517"/>
  <c r="AF519"/>
  <c r="AF521"/>
  <c r="AF523"/>
  <c r="AF525"/>
  <c r="AF527"/>
  <c r="AF529"/>
  <c r="AF531"/>
  <c r="AF533"/>
  <c r="AF535"/>
  <c r="AF537"/>
  <c r="AF539"/>
  <c r="AF541"/>
  <c r="AF543"/>
  <c r="AF545"/>
  <c r="AF547"/>
  <c r="AF549"/>
  <c r="AF551"/>
  <c r="AF553"/>
  <c r="AF555"/>
  <c r="AF560"/>
  <c r="AF562"/>
  <c r="AF558"/>
  <c r="AF563"/>
  <c r="AF565"/>
  <c r="AF567"/>
  <c r="AF569"/>
  <c r="AF571"/>
  <c r="AF573"/>
  <c r="AF575"/>
  <c r="AF577"/>
  <c r="AF579"/>
  <c r="AF581"/>
  <c r="AF583"/>
  <c r="AF607"/>
  <c r="AF584"/>
  <c r="AF586"/>
  <c r="AF588"/>
  <c r="AF590"/>
  <c r="AF592"/>
  <c r="AF594"/>
  <c r="AF596"/>
  <c r="AF598"/>
  <c r="AF600"/>
  <c r="AF602"/>
  <c r="AF604"/>
  <c r="AF609"/>
  <c r="AF611"/>
  <c r="AF613"/>
  <c r="AF615"/>
  <c r="AF617"/>
  <c r="AF619"/>
  <c r="AF621"/>
  <c r="AF623"/>
  <c r="AF625"/>
  <c r="AF627"/>
  <c r="AF629"/>
  <c r="AF631"/>
  <c r="AF633"/>
  <c r="AF635"/>
  <c r="AF637"/>
  <c r="AF639"/>
  <c r="AF641"/>
  <c r="AF643"/>
  <c r="AF646"/>
  <c r="AF651"/>
  <c r="AF653"/>
  <c r="AF655"/>
  <c r="AF657"/>
  <c r="AF659"/>
  <c r="AF663"/>
  <c r="AF666"/>
  <c r="AF707"/>
  <c r="AF731"/>
  <c r="AF733"/>
  <c r="AF735"/>
  <c r="AF737"/>
  <c r="AF739"/>
  <c r="AF741"/>
  <c r="AF743"/>
  <c r="AF745"/>
  <c r="AF747"/>
  <c r="AF749"/>
  <c r="AF751"/>
  <c r="AF753"/>
  <c r="AF746"/>
  <c r="AF748"/>
  <c r="AF752"/>
  <c r="AF406"/>
  <c r="AF407"/>
  <c r="AF429"/>
  <c r="AF512"/>
  <c r="AF434"/>
  <c r="AF436"/>
  <c r="AF438"/>
  <c r="AF453"/>
  <c r="AF455"/>
  <c r="AF457"/>
  <c r="AF459"/>
  <c r="AF461"/>
  <c r="AF463"/>
  <c r="AF465"/>
  <c r="AF467"/>
  <c r="AF469"/>
  <c r="AF471"/>
  <c r="AF473"/>
  <c r="AF475"/>
  <c r="AF477"/>
  <c r="AF479"/>
  <c r="AF481"/>
  <c r="AF483"/>
  <c r="AF485"/>
  <c r="AF487"/>
  <c r="AF489"/>
  <c r="AF491"/>
  <c r="AF493"/>
  <c r="AF495"/>
  <c r="AF497"/>
  <c r="AF499"/>
  <c r="AF501"/>
  <c r="AF503"/>
  <c r="AF505"/>
  <c r="AF507"/>
  <c r="AF510"/>
  <c r="AF514"/>
  <c r="AF516"/>
  <c r="AF518"/>
  <c r="AF520"/>
  <c r="AF522"/>
  <c r="AF524"/>
  <c r="AF526"/>
  <c r="AF528"/>
  <c r="AF530"/>
  <c r="AF532"/>
  <c r="AF534"/>
  <c r="AF536"/>
  <c r="AF538"/>
  <c r="AF540"/>
  <c r="AF542"/>
  <c r="AF544"/>
  <c r="AF546"/>
  <c r="AF548"/>
  <c r="AF550"/>
  <c r="AF552"/>
  <c r="AF554"/>
  <c r="AF556"/>
  <c r="AF561"/>
  <c r="AF557"/>
  <c r="AF559"/>
  <c r="AF564"/>
  <c r="AF566"/>
  <c r="AF568"/>
  <c r="AF570"/>
  <c r="AF572"/>
  <c r="AF574"/>
  <c r="AF576"/>
  <c r="AF578"/>
  <c r="AF580"/>
  <c r="AF582"/>
  <c r="AF606"/>
  <c r="AF608"/>
  <c r="AF585"/>
  <c r="AF587"/>
  <c r="AF589"/>
  <c r="AF591"/>
  <c r="AF593"/>
  <c r="AF595"/>
  <c r="AF597"/>
  <c r="AF599"/>
  <c r="AF601"/>
  <c r="AF603"/>
  <c r="AF605"/>
  <c r="AF610"/>
  <c r="AF612"/>
  <c r="AF614"/>
  <c r="AF616"/>
  <c r="AF618"/>
  <c r="AF620"/>
  <c r="AF622"/>
  <c r="AF624"/>
  <c r="AF626"/>
  <c r="AF628"/>
  <c r="AF630"/>
  <c r="AF632"/>
  <c r="AF634"/>
  <c r="AF636"/>
  <c r="AF638"/>
  <c r="AF640"/>
  <c r="AF642"/>
  <c r="AF644"/>
  <c r="AF650"/>
  <c r="AF652"/>
  <c r="AF654"/>
  <c r="AF656"/>
  <c r="AF658"/>
  <c r="AF662"/>
  <c r="AF664"/>
  <c r="AF665"/>
  <c r="AF732"/>
  <c r="AF734"/>
  <c r="AF736"/>
  <c r="AF738"/>
  <c r="AF740"/>
  <c r="AF742"/>
  <c r="AF744"/>
  <c r="AF750"/>
  <c r="AF754"/>
  <c r="AF11"/>
  <c r="AF756"/>
  <c r="AF758"/>
  <c r="AF760"/>
  <c r="AF755"/>
  <c r="AF757"/>
  <c r="AF759"/>
  <c r="Z25"/>
  <c r="AB25"/>
  <c r="AD25"/>
  <c r="Y25"/>
  <c r="AA25"/>
  <c r="AC25"/>
  <c r="S25"/>
  <c r="U25"/>
  <c r="W25"/>
  <c r="R25"/>
  <c r="T25"/>
  <c r="V25"/>
  <c r="Z29"/>
  <c r="AB29"/>
  <c r="AD29"/>
  <c r="Y29"/>
  <c r="AA29"/>
  <c r="AC29"/>
  <c r="S29"/>
  <c r="U29"/>
  <c r="W29"/>
  <c r="R29"/>
  <c r="T29"/>
  <c r="V29"/>
  <c r="Z33"/>
  <c r="AB33"/>
  <c r="AD33"/>
  <c r="Y33"/>
  <c r="AA33"/>
  <c r="AC33"/>
  <c r="S33"/>
  <c r="U33"/>
  <c r="W33"/>
  <c r="R33"/>
  <c r="T33"/>
  <c r="V33"/>
  <c r="Z37"/>
  <c r="AB37"/>
  <c r="AD37"/>
  <c r="Y37"/>
  <c r="AA37"/>
  <c r="AC37"/>
  <c r="S37"/>
  <c r="U37"/>
  <c r="W37"/>
  <c r="R37"/>
  <c r="T37"/>
  <c r="V37"/>
  <c r="Z41"/>
  <c r="AB41"/>
  <c r="AD41"/>
  <c r="Y41"/>
  <c r="AA41"/>
  <c r="AC41"/>
  <c r="S41"/>
  <c r="U41"/>
  <c r="W41"/>
  <c r="R41"/>
  <c r="T41"/>
  <c r="V41"/>
  <c r="Z45"/>
  <c r="AB45"/>
  <c r="AD45"/>
  <c r="Y45"/>
  <c r="AA45"/>
  <c r="AC45"/>
  <c r="S45"/>
  <c r="U45"/>
  <c r="W45"/>
  <c r="R45"/>
  <c r="T45"/>
  <c r="V45"/>
  <c r="Z49"/>
  <c r="AB49"/>
  <c r="AD49"/>
  <c r="Y49"/>
  <c r="AA49"/>
  <c r="AC49"/>
  <c r="S49"/>
  <c r="U49"/>
  <c r="W49"/>
  <c r="R49"/>
  <c r="T49"/>
  <c r="V49"/>
  <c r="Z53"/>
  <c r="AB53"/>
  <c r="AD53"/>
  <c r="Y53"/>
  <c r="AA53"/>
  <c r="AC53"/>
  <c r="S53"/>
  <c r="U53"/>
  <c r="W53"/>
  <c r="R53"/>
  <c r="T53"/>
  <c r="V53"/>
  <c r="Z57"/>
  <c r="AB57"/>
  <c r="AD57"/>
  <c r="Y57"/>
  <c r="AA57"/>
  <c r="AC57"/>
  <c r="S57"/>
  <c r="U57"/>
  <c r="W57"/>
  <c r="R57"/>
  <c r="T57"/>
  <c r="V57"/>
  <c r="Z63"/>
  <c r="AB63"/>
  <c r="AD63"/>
  <c r="Y63"/>
  <c r="AA63"/>
  <c r="AC63"/>
  <c r="S63"/>
  <c r="U63"/>
  <c r="W63"/>
  <c r="R63"/>
  <c r="T63"/>
  <c r="V63"/>
  <c r="Z67"/>
  <c r="AB67"/>
  <c r="AD67"/>
  <c r="Y67"/>
  <c r="AA67"/>
  <c r="AC67"/>
  <c r="S67"/>
  <c r="U67"/>
  <c r="W67"/>
  <c r="R67"/>
  <c r="T67"/>
  <c r="V67"/>
  <c r="Z71"/>
  <c r="AB71"/>
  <c r="AD71"/>
  <c r="Y71"/>
  <c r="AA71"/>
  <c r="AC71"/>
  <c r="S71"/>
  <c r="U71"/>
  <c r="W71"/>
  <c r="R71"/>
  <c r="T71"/>
  <c r="V71"/>
  <c r="Z75"/>
  <c r="AB75"/>
  <c r="AD75"/>
  <c r="Y75"/>
  <c r="AA75"/>
  <c r="AC75"/>
  <c r="S75"/>
  <c r="U75"/>
  <c r="W75"/>
  <c r="R75"/>
  <c r="T75"/>
  <c r="V75"/>
  <c r="Z77"/>
  <c r="AB77"/>
  <c r="AD77"/>
  <c r="Y77"/>
  <c r="AA77"/>
  <c r="AC77"/>
  <c r="S77"/>
  <c r="U77"/>
  <c r="W77"/>
  <c r="R77"/>
  <c r="T77"/>
  <c r="V77"/>
  <c r="Z81"/>
  <c r="AB81"/>
  <c r="AD81"/>
  <c r="Y81"/>
  <c r="AA81"/>
  <c r="AC81"/>
  <c r="S81"/>
  <c r="U81"/>
  <c r="W81"/>
  <c r="R81"/>
  <c r="T81"/>
  <c r="V81"/>
  <c r="Z85"/>
  <c r="AB85"/>
  <c r="AD85"/>
  <c r="Y85"/>
  <c r="AA85"/>
  <c r="AC85"/>
  <c r="S85"/>
  <c r="U85"/>
  <c r="W85"/>
  <c r="R85"/>
  <c r="T85"/>
  <c r="V85"/>
  <c r="Z89"/>
  <c r="AB89"/>
  <c r="AD89"/>
  <c r="Y89"/>
  <c r="AC89"/>
  <c r="AA89"/>
  <c r="S89"/>
  <c r="U89"/>
  <c r="W89"/>
  <c r="R89"/>
  <c r="T89"/>
  <c r="V89"/>
  <c r="Z93"/>
  <c r="AB93"/>
  <c r="AD93"/>
  <c r="Y93"/>
  <c r="AC93"/>
  <c r="AA93"/>
  <c r="S93"/>
  <c r="U93"/>
  <c r="W93"/>
  <c r="R93"/>
  <c r="T93"/>
  <c r="V93"/>
  <c r="Z97"/>
  <c r="AB97"/>
  <c r="AD97"/>
  <c r="Y97"/>
  <c r="AC97"/>
  <c r="AA97"/>
  <c r="S97"/>
  <c r="U97"/>
  <c r="W97"/>
  <c r="R97"/>
  <c r="T97"/>
  <c r="V97"/>
  <c r="Z101"/>
  <c r="AB101"/>
  <c r="AD101"/>
  <c r="Y101"/>
  <c r="AC101"/>
  <c r="AA101"/>
  <c r="S101"/>
  <c r="U101"/>
  <c r="W101"/>
  <c r="R101"/>
  <c r="T101"/>
  <c r="V101"/>
  <c r="Z105"/>
  <c r="Y105"/>
  <c r="AB105"/>
  <c r="AD105"/>
  <c r="AA105"/>
  <c r="AC105"/>
  <c r="S105"/>
  <c r="U105"/>
  <c r="W105"/>
  <c r="R105"/>
  <c r="T105"/>
  <c r="V105"/>
  <c r="Z109"/>
  <c r="AB109"/>
  <c r="AD109"/>
  <c r="Y109"/>
  <c r="AA109"/>
  <c r="AC109"/>
  <c r="S109"/>
  <c r="U109"/>
  <c r="W109"/>
  <c r="R109"/>
  <c r="T109"/>
  <c r="V109"/>
  <c r="Z115"/>
  <c r="AB115"/>
  <c r="AD115"/>
  <c r="Y115"/>
  <c r="AA115"/>
  <c r="AC115"/>
  <c r="S115"/>
  <c r="U115"/>
  <c r="W115"/>
  <c r="R115"/>
  <c r="T115"/>
  <c r="V115"/>
  <c r="Z117"/>
  <c r="AB117"/>
  <c r="AD117"/>
  <c r="Y117"/>
  <c r="AA117"/>
  <c r="AC117"/>
  <c r="S117"/>
  <c r="U117"/>
  <c r="W117"/>
  <c r="R117"/>
  <c r="T117"/>
  <c r="V117"/>
  <c r="Z121"/>
  <c r="AB121"/>
  <c r="AD121"/>
  <c r="Y121"/>
  <c r="AA121"/>
  <c r="AC121"/>
  <c r="S121"/>
  <c r="U121"/>
  <c r="W121"/>
  <c r="R121"/>
  <c r="T121"/>
  <c r="V121"/>
  <c r="Z125"/>
  <c r="AB125"/>
  <c r="AD125"/>
  <c r="Y125"/>
  <c r="AA125"/>
  <c r="AC125"/>
  <c r="S125"/>
  <c r="U125"/>
  <c r="W125"/>
  <c r="R125"/>
  <c r="T125"/>
  <c r="V125"/>
  <c r="Z131"/>
  <c r="AB131"/>
  <c r="AD131"/>
  <c r="Y131"/>
  <c r="AA131"/>
  <c r="AC131"/>
  <c r="S131"/>
  <c r="U131"/>
  <c r="W131"/>
  <c r="R131"/>
  <c r="T131"/>
  <c r="V131"/>
  <c r="Z135"/>
  <c r="AB135"/>
  <c r="AD135"/>
  <c r="Y135"/>
  <c r="AA135"/>
  <c r="AC135"/>
  <c r="S135"/>
  <c r="U135"/>
  <c r="W135"/>
  <c r="R135"/>
  <c r="T135"/>
  <c r="V135"/>
  <c r="Z137"/>
  <c r="AB137"/>
  <c r="AD137"/>
  <c r="Y137"/>
  <c r="AA137"/>
  <c r="AC137"/>
  <c r="S137"/>
  <c r="U137"/>
  <c r="W137"/>
  <c r="R137"/>
  <c r="T137"/>
  <c r="V137"/>
  <c r="Z141"/>
  <c r="AB141"/>
  <c r="AD141"/>
  <c r="Y141"/>
  <c r="AA141"/>
  <c r="AC141"/>
  <c r="S141"/>
  <c r="U141"/>
  <c r="W141"/>
  <c r="R141"/>
  <c r="T141"/>
  <c r="V141"/>
  <c r="Z147"/>
  <c r="AB147"/>
  <c r="AD147"/>
  <c r="Y147"/>
  <c r="AA147"/>
  <c r="AC147"/>
  <c r="S147"/>
  <c r="U147"/>
  <c r="W147"/>
  <c r="R147"/>
  <c r="T147"/>
  <c r="V147"/>
  <c r="Z151"/>
  <c r="AB151"/>
  <c r="AD151"/>
  <c r="Y151"/>
  <c r="AA151"/>
  <c r="AC151"/>
  <c r="S151"/>
  <c r="U151"/>
  <c r="W151"/>
  <c r="R151"/>
  <c r="T151"/>
  <c r="V151"/>
  <c r="Z153"/>
  <c r="AB153"/>
  <c r="AD153"/>
  <c r="Y153"/>
  <c r="AA153"/>
  <c r="AC153"/>
  <c r="S153"/>
  <c r="U153"/>
  <c r="W153"/>
  <c r="R153"/>
  <c r="T153"/>
  <c r="V153"/>
  <c r="Z157"/>
  <c r="AB157"/>
  <c r="AD157"/>
  <c r="Y157"/>
  <c r="AA157"/>
  <c r="AC157"/>
  <c r="S157"/>
  <c r="U157"/>
  <c r="W157"/>
  <c r="R157"/>
  <c r="T157"/>
  <c r="V157"/>
  <c r="Z165"/>
  <c r="AB165"/>
  <c r="AD165"/>
  <c r="Y165"/>
  <c r="AA165"/>
  <c r="AC165"/>
  <c r="S165"/>
  <c r="U165"/>
  <c r="W165"/>
  <c r="R165"/>
  <c r="T165"/>
  <c r="V165"/>
  <c r="Z174"/>
  <c r="AB174"/>
  <c r="AD174"/>
  <c r="Y174"/>
  <c r="AA174"/>
  <c r="AC174"/>
  <c r="S174"/>
  <c r="U174"/>
  <c r="W174"/>
  <c r="R174"/>
  <c r="T174"/>
  <c r="V174"/>
  <c r="Z176"/>
  <c r="AB176"/>
  <c r="AD176"/>
  <c r="Y176"/>
  <c r="AA176"/>
  <c r="AC176"/>
  <c r="S176"/>
  <c r="U176"/>
  <c r="W176"/>
  <c r="R176"/>
  <c r="T176"/>
  <c r="V176"/>
  <c r="Z178"/>
  <c r="AB178"/>
  <c r="AD178"/>
  <c r="Y178"/>
  <c r="AA178"/>
  <c r="AC178"/>
  <c r="S178"/>
  <c r="U178"/>
  <c r="W178"/>
  <c r="R178"/>
  <c r="T178"/>
  <c r="V178"/>
  <c r="Z182"/>
  <c r="AB182"/>
  <c r="AD182"/>
  <c r="AA182"/>
  <c r="Y182"/>
  <c r="AC182"/>
  <c r="S182"/>
  <c r="U182"/>
  <c r="W182"/>
  <c r="R182"/>
  <c r="T182"/>
  <c r="V182"/>
  <c r="Z186"/>
  <c r="AB186"/>
  <c r="AD186"/>
  <c r="AA186"/>
  <c r="Y186"/>
  <c r="AC186"/>
  <c r="S186"/>
  <c r="U186"/>
  <c r="W186"/>
  <c r="R186"/>
  <c r="T186"/>
  <c r="V186"/>
  <c r="Z190"/>
  <c r="AB190"/>
  <c r="AD190"/>
  <c r="AA190"/>
  <c r="Y190"/>
  <c r="AC190"/>
  <c r="S190"/>
  <c r="U190"/>
  <c r="W190"/>
  <c r="R190"/>
  <c r="T190"/>
  <c r="V190"/>
  <c r="Z194"/>
  <c r="AB194"/>
  <c r="AD194"/>
  <c r="AA194"/>
  <c r="Y194"/>
  <c r="AC194"/>
  <c r="S194"/>
  <c r="U194"/>
  <c r="W194"/>
  <c r="R194"/>
  <c r="T194"/>
  <c r="V194"/>
  <c r="Z200"/>
  <c r="AB200"/>
  <c r="AD200"/>
  <c r="Y200"/>
  <c r="AA200"/>
  <c r="AC200"/>
  <c r="S200"/>
  <c r="U200"/>
  <c r="W200"/>
  <c r="R200"/>
  <c r="T200"/>
  <c r="V200"/>
  <c r="Z204"/>
  <c r="AB204"/>
  <c r="AD204"/>
  <c r="Y204"/>
  <c r="AA204"/>
  <c r="AC204"/>
  <c r="S204"/>
  <c r="U204"/>
  <c r="W204"/>
  <c r="R204"/>
  <c r="T204"/>
  <c r="V204"/>
  <c r="Z208"/>
  <c r="AB208"/>
  <c r="AD208"/>
  <c r="Y208"/>
  <c r="AA208"/>
  <c r="AC208"/>
  <c r="S208"/>
  <c r="U208"/>
  <c r="W208"/>
  <c r="R208"/>
  <c r="T208"/>
  <c r="V208"/>
  <c r="Z212"/>
  <c r="AB212"/>
  <c r="AD212"/>
  <c r="Y212"/>
  <c r="AA212"/>
  <c r="AC212"/>
  <c r="S212"/>
  <c r="U212"/>
  <c r="W212"/>
  <c r="R212"/>
  <c r="T212"/>
  <c r="V212"/>
  <c r="Z216"/>
  <c r="AB216"/>
  <c r="AD216"/>
  <c r="Y216"/>
  <c r="AA216"/>
  <c r="AC216"/>
  <c r="S216"/>
  <c r="U216"/>
  <c r="W216"/>
  <c r="R216"/>
  <c r="T216"/>
  <c r="V216"/>
  <c r="Z225"/>
  <c r="AB225"/>
  <c r="AD225"/>
  <c r="Y225"/>
  <c r="AA225"/>
  <c r="AC225"/>
  <c r="S225"/>
  <c r="U225"/>
  <c r="W225"/>
  <c r="R225"/>
  <c r="T225"/>
  <c r="V225"/>
  <c r="Z229"/>
  <c r="AB229"/>
  <c r="AD229"/>
  <c r="Y229"/>
  <c r="AA229"/>
  <c r="AC229"/>
  <c r="S229"/>
  <c r="U229"/>
  <c r="W229"/>
  <c r="R229"/>
  <c r="T229"/>
  <c r="V229"/>
  <c r="Z234"/>
  <c r="AB234"/>
  <c r="AD234"/>
  <c r="Y234"/>
  <c r="AA234"/>
  <c r="AC234"/>
  <c r="S234"/>
  <c r="U234"/>
  <c r="W234"/>
  <c r="R234"/>
  <c r="T234"/>
  <c r="V234"/>
  <c r="Z239"/>
  <c r="AB239"/>
  <c r="AD239"/>
  <c r="Y239"/>
  <c r="AA239"/>
  <c r="AC239"/>
  <c r="S239"/>
  <c r="U239"/>
  <c r="W239"/>
  <c r="R239"/>
  <c r="T239"/>
  <c r="V239"/>
  <c r="Z243"/>
  <c r="AB243"/>
  <c r="AD243"/>
  <c r="Y243"/>
  <c r="AA243"/>
  <c r="AC243"/>
  <c r="S243"/>
  <c r="U243"/>
  <c r="W243"/>
  <c r="R243"/>
  <c r="T243"/>
  <c r="V243"/>
  <c r="Z247"/>
  <c r="AB247"/>
  <c r="AD247"/>
  <c r="Y247"/>
  <c r="AA247"/>
  <c r="AC247"/>
  <c r="S247"/>
  <c r="U247"/>
  <c r="W247"/>
  <c r="R247"/>
  <c r="T247"/>
  <c r="V247"/>
  <c r="Z272"/>
  <c r="AB272"/>
  <c r="AD272"/>
  <c r="Y272"/>
  <c r="AA272"/>
  <c r="AC272"/>
  <c r="S272"/>
  <c r="U272"/>
  <c r="W272"/>
  <c r="R272"/>
  <c r="T272"/>
  <c r="V272"/>
  <c r="Z260"/>
  <c r="AB260"/>
  <c r="AD260"/>
  <c r="Y260"/>
  <c r="AA260"/>
  <c r="AC260"/>
  <c r="S260"/>
  <c r="U260"/>
  <c r="W260"/>
  <c r="R260"/>
  <c r="T260"/>
  <c r="V260"/>
  <c r="Z264"/>
  <c r="AB264"/>
  <c r="AD264"/>
  <c r="Y264"/>
  <c r="AA264"/>
  <c r="AC264"/>
  <c r="S264"/>
  <c r="U264"/>
  <c r="W264"/>
  <c r="R264"/>
  <c r="T264"/>
  <c r="V264"/>
  <c r="Z278"/>
  <c r="AB278"/>
  <c r="AD278"/>
  <c r="Y278"/>
  <c r="AA278"/>
  <c r="AC278"/>
  <c r="S278"/>
  <c r="U278"/>
  <c r="W278"/>
  <c r="R278"/>
  <c r="T278"/>
  <c r="V278"/>
  <c r="Z284"/>
  <c r="AB284"/>
  <c r="AD284"/>
  <c r="Y284"/>
  <c r="AA284"/>
  <c r="AC284"/>
  <c r="S284"/>
  <c r="U284"/>
  <c r="W284"/>
  <c r="R284"/>
  <c r="T284"/>
  <c r="V284"/>
  <c r="Z314"/>
  <c r="AB314"/>
  <c r="AD314"/>
  <c r="Y314"/>
  <c r="AA314"/>
  <c r="AC314"/>
  <c r="R314"/>
  <c r="T314"/>
  <c r="V314"/>
  <c r="S314"/>
  <c r="U314"/>
  <c r="W314"/>
  <c r="Z310"/>
  <c r="AB310"/>
  <c r="AD310"/>
  <c r="Y310"/>
  <c r="AA310"/>
  <c r="AC310"/>
  <c r="R310"/>
  <c r="T310"/>
  <c r="V310"/>
  <c r="S310"/>
  <c r="U310"/>
  <c r="W310"/>
  <c r="Z325"/>
  <c r="AB325"/>
  <c r="AD325"/>
  <c r="Y325"/>
  <c r="AC325"/>
  <c r="AA325"/>
  <c r="R325"/>
  <c r="T325"/>
  <c r="V325"/>
  <c r="S325"/>
  <c r="U325"/>
  <c r="W325"/>
  <c r="Y362"/>
  <c r="AA362"/>
  <c r="AC362"/>
  <c r="Z362"/>
  <c r="AB362"/>
  <c r="AD362"/>
  <c r="R362"/>
  <c r="T362"/>
  <c r="V362"/>
  <c r="S362"/>
  <c r="U362"/>
  <c r="W362"/>
  <c r="Y359"/>
  <c r="AA359"/>
  <c r="AC359"/>
  <c r="Z359"/>
  <c r="AB359"/>
  <c r="AD359"/>
  <c r="R359"/>
  <c r="T359"/>
  <c r="V359"/>
  <c r="S359"/>
  <c r="U359"/>
  <c r="W359"/>
  <c r="Y428"/>
  <c r="AA428"/>
  <c r="AC428"/>
  <c r="Z428"/>
  <c r="AB428"/>
  <c r="AD428"/>
  <c r="R428"/>
  <c r="T428"/>
  <c r="V428"/>
  <c r="S428"/>
  <c r="U428"/>
  <c r="W428"/>
  <c r="Z275"/>
  <c r="AB275"/>
  <c r="AD275"/>
  <c r="Y275"/>
  <c r="AA275"/>
  <c r="AC275"/>
  <c r="S275"/>
  <c r="U275"/>
  <c r="W275"/>
  <c r="R275"/>
  <c r="T275"/>
  <c r="V275"/>
  <c r="Z330"/>
  <c r="AB330"/>
  <c r="AD330"/>
  <c r="Y330"/>
  <c r="AC330"/>
  <c r="AA330"/>
  <c r="R330"/>
  <c r="T330"/>
  <c r="V330"/>
  <c r="S330"/>
  <c r="U330"/>
  <c r="W330"/>
  <c r="Z288"/>
  <c r="AB288"/>
  <c r="AD288"/>
  <c r="Y288"/>
  <c r="AA288"/>
  <c r="AC288"/>
  <c r="S288"/>
  <c r="U288"/>
  <c r="W288"/>
  <c r="R288"/>
  <c r="T288"/>
  <c r="V288"/>
  <c r="Z321"/>
  <c r="AB321"/>
  <c r="AD321"/>
  <c r="Y321"/>
  <c r="AC321"/>
  <c r="AA321"/>
  <c r="R321"/>
  <c r="T321"/>
  <c r="V321"/>
  <c r="S321"/>
  <c r="U321"/>
  <c r="W321"/>
  <c r="Y342"/>
  <c r="AA342"/>
  <c r="AC342"/>
  <c r="Z342"/>
  <c r="AB342"/>
  <c r="AD342"/>
  <c r="R342"/>
  <c r="T342"/>
  <c r="V342"/>
  <c r="S342"/>
  <c r="U342"/>
  <c r="W342"/>
  <c r="Z290"/>
  <c r="AB290"/>
  <c r="AD290"/>
  <c r="Y290"/>
  <c r="AA290"/>
  <c r="AC290"/>
  <c r="S290"/>
  <c r="U290"/>
  <c r="W290"/>
  <c r="R290"/>
  <c r="T290"/>
  <c r="V290"/>
  <c r="Z296"/>
  <c r="AB296"/>
  <c r="AD296"/>
  <c r="Y296"/>
  <c r="AA296"/>
  <c r="AC296"/>
  <c r="S296"/>
  <c r="U296"/>
  <c r="W296"/>
  <c r="R296"/>
  <c r="T296"/>
  <c r="V296"/>
  <c r="Z300"/>
  <c r="AB300"/>
  <c r="AD300"/>
  <c r="Y300"/>
  <c r="AA300"/>
  <c r="AC300"/>
  <c r="S300"/>
  <c r="U300"/>
  <c r="W300"/>
  <c r="R300"/>
  <c r="T300"/>
  <c r="V300"/>
  <c r="Z304"/>
  <c r="AB304"/>
  <c r="AD304"/>
  <c r="Y304"/>
  <c r="AA304"/>
  <c r="AC304"/>
  <c r="S304"/>
  <c r="U304"/>
  <c r="R304"/>
  <c r="T304"/>
  <c r="V304"/>
  <c r="W304"/>
  <c r="Z316"/>
  <c r="AB316"/>
  <c r="AD316"/>
  <c r="Y316"/>
  <c r="AA316"/>
  <c r="AC316"/>
  <c r="R316"/>
  <c r="T316"/>
  <c r="V316"/>
  <c r="S316"/>
  <c r="U316"/>
  <c r="W316"/>
  <c r="Z323"/>
  <c r="AB323"/>
  <c r="AD323"/>
  <c r="Y323"/>
  <c r="AC323"/>
  <c r="AA323"/>
  <c r="R323"/>
  <c r="T323"/>
  <c r="V323"/>
  <c r="S323"/>
  <c r="U323"/>
  <c r="W323"/>
  <c r="Y345"/>
  <c r="AA345"/>
  <c r="AC345"/>
  <c r="Z345"/>
  <c r="AB345"/>
  <c r="AD345"/>
  <c r="R345"/>
  <c r="T345"/>
  <c r="V345"/>
  <c r="S345"/>
  <c r="U345"/>
  <c r="W345"/>
  <c r="Y349"/>
  <c r="AA349"/>
  <c r="AC349"/>
  <c r="Z349"/>
  <c r="AB349"/>
  <c r="AD349"/>
  <c r="R349"/>
  <c r="T349"/>
  <c r="V349"/>
  <c r="S349"/>
  <c r="U349"/>
  <c r="W349"/>
  <c r="Y353"/>
  <c r="AA353"/>
  <c r="AC353"/>
  <c r="Z353"/>
  <c r="AB353"/>
  <c r="AD353"/>
  <c r="R353"/>
  <c r="T353"/>
  <c r="V353"/>
  <c r="S353"/>
  <c r="U353"/>
  <c r="W353"/>
  <c r="Y365"/>
  <c r="AA365"/>
  <c r="AC365"/>
  <c r="Z365"/>
  <c r="AB365"/>
  <c r="AD365"/>
  <c r="R365"/>
  <c r="T365"/>
  <c r="V365"/>
  <c r="S365"/>
  <c r="U365"/>
  <c r="W365"/>
  <c r="Y381"/>
  <c r="AA381"/>
  <c r="AC381"/>
  <c r="Z381"/>
  <c r="AB381"/>
  <c r="AD381"/>
  <c r="R381"/>
  <c r="T381"/>
  <c r="V381"/>
  <c r="S381"/>
  <c r="U381"/>
  <c r="W381"/>
  <c r="Y383"/>
  <c r="AA383"/>
  <c r="AC383"/>
  <c r="Z383"/>
  <c r="AB383"/>
  <c r="AD383"/>
  <c r="R383"/>
  <c r="T383"/>
  <c r="V383"/>
  <c r="S383"/>
  <c r="U383"/>
  <c r="W383"/>
  <c r="Y387"/>
  <c r="AA387"/>
  <c r="AC387"/>
  <c r="Z387"/>
  <c r="AB387"/>
  <c r="AD387"/>
  <c r="R387"/>
  <c r="T387"/>
  <c r="V387"/>
  <c r="S387"/>
  <c r="U387"/>
  <c r="W387"/>
  <c r="Y389"/>
  <c r="AA389"/>
  <c r="AC389"/>
  <c r="Z389"/>
  <c r="AB389"/>
  <c r="AD389"/>
  <c r="R389"/>
  <c r="T389"/>
  <c r="V389"/>
  <c r="S389"/>
  <c r="U389"/>
  <c r="W389"/>
  <c r="Y393"/>
  <c r="AA393"/>
  <c r="AC393"/>
  <c r="Z393"/>
  <c r="AB393"/>
  <c r="AD393"/>
  <c r="R393"/>
  <c r="T393"/>
  <c r="V393"/>
  <c r="S393"/>
  <c r="U393"/>
  <c r="W393"/>
  <c r="Y397"/>
  <c r="AA397"/>
  <c r="AC397"/>
  <c r="Z397"/>
  <c r="AB397"/>
  <c r="AD397"/>
  <c r="R397"/>
  <c r="T397"/>
  <c r="V397"/>
  <c r="S397"/>
  <c r="U397"/>
  <c r="W397"/>
  <c r="Y402"/>
  <c r="AA402"/>
  <c r="AC402"/>
  <c r="Z402"/>
  <c r="AB402"/>
  <c r="AD402"/>
  <c r="R402"/>
  <c r="T402"/>
  <c r="V402"/>
  <c r="S402"/>
  <c r="U402"/>
  <c r="W402"/>
  <c r="Y406"/>
  <c r="AA406"/>
  <c r="AC406"/>
  <c r="Z406"/>
  <c r="AB406"/>
  <c r="AD406"/>
  <c r="R406"/>
  <c r="T406"/>
  <c r="V406"/>
  <c r="S406"/>
  <c r="U406"/>
  <c r="W406"/>
  <c r="Y357"/>
  <c r="AA357"/>
  <c r="AC357"/>
  <c r="Z357"/>
  <c r="AB357"/>
  <c r="AD357"/>
  <c r="R357"/>
  <c r="T357"/>
  <c r="V357"/>
  <c r="S357"/>
  <c r="U357"/>
  <c r="W357"/>
  <c r="Y375"/>
  <c r="AA375"/>
  <c r="AC375"/>
  <c r="Z375"/>
  <c r="AB375"/>
  <c r="AD375"/>
  <c r="R375"/>
  <c r="T375"/>
  <c r="V375"/>
  <c r="S375"/>
  <c r="U375"/>
  <c r="W375"/>
  <c r="Y416"/>
  <c r="AA416"/>
  <c r="AC416"/>
  <c r="Z416"/>
  <c r="AB416"/>
  <c r="AD416"/>
  <c r="R416"/>
  <c r="T416"/>
  <c r="V416"/>
  <c r="S416"/>
  <c r="U416"/>
  <c r="W416"/>
  <c r="Y423"/>
  <c r="AA423"/>
  <c r="AC423"/>
  <c r="Z423"/>
  <c r="AB423"/>
  <c r="AD423"/>
  <c r="R423"/>
  <c r="T423"/>
  <c r="V423"/>
  <c r="S423"/>
  <c r="U423"/>
  <c r="W423"/>
  <c r="Y419"/>
  <c r="AA419"/>
  <c r="AC419"/>
  <c r="Z419"/>
  <c r="AB419"/>
  <c r="AD419"/>
  <c r="R419"/>
  <c r="T419"/>
  <c r="V419"/>
  <c r="S419"/>
  <c r="U419"/>
  <c r="W419"/>
  <c r="Y425"/>
  <c r="AA425"/>
  <c r="AC425"/>
  <c r="Z425"/>
  <c r="AB425"/>
  <c r="AD425"/>
  <c r="R425"/>
  <c r="T425"/>
  <c r="V425"/>
  <c r="S425"/>
  <c r="U425"/>
  <c r="W425"/>
  <c r="Y437"/>
  <c r="AA437"/>
  <c r="AC437"/>
  <c r="Z437"/>
  <c r="AB437"/>
  <c r="AD437"/>
  <c r="R437"/>
  <c r="T437"/>
  <c r="V437"/>
  <c r="S437"/>
  <c r="U437"/>
  <c r="W437"/>
  <c r="Y441"/>
  <c r="AA441"/>
  <c r="AC441"/>
  <c r="Z441"/>
  <c r="AB441"/>
  <c r="AD441"/>
  <c r="R441"/>
  <c r="T441"/>
  <c r="V441"/>
  <c r="S441"/>
  <c r="U441"/>
  <c r="W441"/>
  <c r="Y445"/>
  <c r="AA445"/>
  <c r="AC445"/>
  <c r="Z445"/>
  <c r="AB445"/>
  <c r="AD445"/>
  <c r="R445"/>
  <c r="T445"/>
  <c r="V445"/>
  <c r="S445"/>
  <c r="U445"/>
  <c r="W445"/>
  <c r="Y449"/>
  <c r="AA449"/>
  <c r="AC449"/>
  <c r="Z449"/>
  <c r="AB449"/>
  <c r="AD449"/>
  <c r="R449"/>
  <c r="T449"/>
  <c r="V449"/>
  <c r="S449"/>
  <c r="U449"/>
  <c r="W449"/>
  <c r="Y453"/>
  <c r="AA453"/>
  <c r="AC453"/>
  <c r="Z453"/>
  <c r="AB453"/>
  <c r="AD453"/>
  <c r="R453"/>
  <c r="T453"/>
  <c r="V453"/>
  <c r="S453"/>
  <c r="U453"/>
  <c r="W453"/>
  <c r="Y457"/>
  <c r="AA457"/>
  <c r="AC457"/>
  <c r="Z457"/>
  <c r="AB457"/>
  <c r="AD457"/>
  <c r="R457"/>
  <c r="T457"/>
  <c r="V457"/>
  <c r="S457"/>
  <c r="U457"/>
  <c r="W457"/>
  <c r="Y461"/>
  <c r="AA461"/>
  <c r="AC461"/>
  <c r="Z461"/>
  <c r="AB461"/>
  <c r="AD461"/>
  <c r="R461"/>
  <c r="T461"/>
  <c r="V461"/>
  <c r="S461"/>
  <c r="U461"/>
  <c r="W461"/>
  <c r="Y465"/>
  <c r="AA465"/>
  <c r="AC465"/>
  <c r="Z465"/>
  <c r="AB465"/>
  <c r="AD465"/>
  <c r="R465"/>
  <c r="T465"/>
  <c r="V465"/>
  <c r="S465"/>
  <c r="U465"/>
  <c r="W465"/>
  <c r="Y469"/>
  <c r="AA469"/>
  <c r="AC469"/>
  <c r="Z469"/>
  <c r="AB469"/>
  <c r="AD469"/>
  <c r="R469"/>
  <c r="T469"/>
  <c r="V469"/>
  <c r="S469"/>
  <c r="U469"/>
  <c r="W469"/>
  <c r="Y473"/>
  <c r="AA473"/>
  <c r="AC473"/>
  <c r="Z473"/>
  <c r="AD473"/>
  <c r="AB473"/>
  <c r="R473"/>
  <c r="T473"/>
  <c r="V473"/>
  <c r="S473"/>
  <c r="U473"/>
  <c r="W473"/>
  <c r="Y477"/>
  <c r="AA477"/>
  <c r="AC477"/>
  <c r="Z477"/>
  <c r="AD477"/>
  <c r="AB477"/>
  <c r="R477"/>
  <c r="T477"/>
  <c r="V477"/>
  <c r="S477"/>
  <c r="U477"/>
  <c r="W477"/>
  <c r="Y481"/>
  <c r="AA481"/>
  <c r="AC481"/>
  <c r="Z481"/>
  <c r="AD481"/>
  <c r="AB481"/>
  <c r="R481"/>
  <c r="T481"/>
  <c r="V481"/>
  <c r="S481"/>
  <c r="U481"/>
  <c r="W481"/>
  <c r="Y485"/>
  <c r="AA485"/>
  <c r="AC485"/>
  <c r="Z485"/>
  <c r="AD485"/>
  <c r="AB485"/>
  <c r="R485"/>
  <c r="T485"/>
  <c r="V485"/>
  <c r="S485"/>
  <c r="U485"/>
  <c r="W485"/>
  <c r="Y489"/>
  <c r="AA489"/>
  <c r="AC489"/>
  <c r="Z489"/>
  <c r="AD489"/>
  <c r="AB489"/>
  <c r="R489"/>
  <c r="T489"/>
  <c r="V489"/>
  <c r="S489"/>
  <c r="U489"/>
  <c r="W489"/>
  <c r="Y493"/>
  <c r="AA493"/>
  <c r="AC493"/>
  <c r="Z493"/>
  <c r="AD493"/>
  <c r="AB493"/>
  <c r="R493"/>
  <c r="T493"/>
  <c r="V493"/>
  <c r="S493"/>
  <c r="U493"/>
  <c r="W493"/>
  <c r="Y497"/>
  <c r="AA497"/>
  <c r="AC497"/>
  <c r="Z497"/>
  <c r="AD497"/>
  <c r="AB497"/>
  <c r="R497"/>
  <c r="T497"/>
  <c r="V497"/>
  <c r="S497"/>
  <c r="U497"/>
  <c r="W497"/>
  <c r="Y501"/>
  <c r="AA501"/>
  <c r="AC501"/>
  <c r="Z501"/>
  <c r="AD501"/>
  <c r="AB501"/>
  <c r="R501"/>
  <c r="T501"/>
  <c r="V501"/>
  <c r="S501"/>
  <c r="U501"/>
  <c r="W501"/>
  <c r="Y503"/>
  <c r="AA503"/>
  <c r="AC503"/>
  <c r="Z503"/>
  <c r="AD503"/>
  <c r="AB503"/>
  <c r="R503"/>
  <c r="T503"/>
  <c r="V503"/>
  <c r="S503"/>
  <c r="U503"/>
  <c r="W503"/>
  <c r="Y507"/>
  <c r="AA507"/>
  <c r="AC507"/>
  <c r="Z507"/>
  <c r="AD507"/>
  <c r="AB507"/>
  <c r="R507"/>
  <c r="T507"/>
  <c r="V507"/>
  <c r="S507"/>
  <c r="U507"/>
  <c r="W507"/>
  <c r="Y514"/>
  <c r="AA514"/>
  <c r="AC514"/>
  <c r="Z514"/>
  <c r="AD514"/>
  <c r="AB514"/>
  <c r="R514"/>
  <c r="T514"/>
  <c r="V514"/>
  <c r="S514"/>
  <c r="U514"/>
  <c r="W514"/>
  <c r="Y520"/>
  <c r="AA520"/>
  <c r="AC520"/>
  <c r="Z520"/>
  <c r="AD520"/>
  <c r="AB520"/>
  <c r="R520"/>
  <c r="T520"/>
  <c r="V520"/>
  <c r="S520"/>
  <c r="U520"/>
  <c r="W520"/>
  <c r="Y522"/>
  <c r="AA522"/>
  <c r="AC522"/>
  <c r="Z522"/>
  <c r="AD522"/>
  <c r="AB522"/>
  <c r="R522"/>
  <c r="T522"/>
  <c r="V522"/>
  <c r="S522"/>
  <c r="U522"/>
  <c r="W522"/>
  <c r="Y526"/>
  <c r="AA526"/>
  <c r="AC526"/>
  <c r="Z526"/>
  <c r="AD526"/>
  <c r="AB526"/>
  <c r="R526"/>
  <c r="T526"/>
  <c r="V526"/>
  <c r="S526"/>
  <c r="U526"/>
  <c r="W526"/>
  <c r="Y530"/>
  <c r="AA530"/>
  <c r="AC530"/>
  <c r="Z530"/>
  <c r="AD530"/>
  <c r="AB530"/>
  <c r="R530"/>
  <c r="T530"/>
  <c r="V530"/>
  <c r="S530"/>
  <c r="U530"/>
  <c r="W530"/>
  <c r="Y534"/>
  <c r="AA534"/>
  <c r="AC534"/>
  <c r="Z534"/>
  <c r="AD534"/>
  <c r="AB534"/>
  <c r="R534"/>
  <c r="T534"/>
  <c r="V534"/>
  <c r="S534"/>
  <c r="U534"/>
  <c r="W534"/>
  <c r="Y540"/>
  <c r="AA540"/>
  <c r="AC540"/>
  <c r="Z540"/>
  <c r="AD540"/>
  <c r="AB540"/>
  <c r="R540"/>
  <c r="T540"/>
  <c r="V540"/>
  <c r="S540"/>
  <c r="U540"/>
  <c r="W540"/>
  <c r="Y544"/>
  <c r="AA544"/>
  <c r="AC544"/>
  <c r="Z544"/>
  <c r="AD544"/>
  <c r="AB544"/>
  <c r="R544"/>
  <c r="T544"/>
  <c r="V544"/>
  <c r="S544"/>
  <c r="U544"/>
  <c r="W544"/>
  <c r="Y548"/>
  <c r="AA548"/>
  <c r="AC548"/>
  <c r="Z548"/>
  <c r="AD548"/>
  <c r="AB548"/>
  <c r="R548"/>
  <c r="T548"/>
  <c r="V548"/>
  <c r="S548"/>
  <c r="U548"/>
  <c r="W548"/>
  <c r="Y552"/>
  <c r="AA552"/>
  <c r="AC552"/>
  <c r="Z552"/>
  <c r="AD552"/>
  <c r="AB552"/>
  <c r="R552"/>
  <c r="T552"/>
  <c r="V552"/>
  <c r="S552"/>
  <c r="U552"/>
  <c r="W552"/>
  <c r="Y556"/>
  <c r="AA556"/>
  <c r="AC556"/>
  <c r="Z556"/>
  <c r="AD556"/>
  <c r="AB556"/>
  <c r="R556"/>
  <c r="T556"/>
  <c r="V556"/>
  <c r="S556"/>
  <c r="U556"/>
  <c r="W556"/>
  <c r="Y557"/>
  <c r="AA557"/>
  <c r="AC557"/>
  <c r="Z557"/>
  <c r="AD557"/>
  <c r="AB557"/>
  <c r="R557"/>
  <c r="T557"/>
  <c r="V557"/>
  <c r="S557"/>
  <c r="U557"/>
  <c r="W557"/>
  <c r="Y564"/>
  <c r="AA564"/>
  <c r="AC564"/>
  <c r="Z564"/>
  <c r="AB564"/>
  <c r="AD564"/>
  <c r="R564"/>
  <c r="T564"/>
  <c r="V564"/>
  <c r="S564"/>
  <c r="U564"/>
  <c r="W564"/>
  <c r="Y568"/>
  <c r="AA568"/>
  <c r="AC568"/>
  <c r="Z568"/>
  <c r="AB568"/>
  <c r="AD568"/>
  <c r="R568"/>
  <c r="T568"/>
  <c r="V568"/>
  <c r="S568"/>
  <c r="U568"/>
  <c r="W568"/>
  <c r="Y572"/>
  <c r="AA572"/>
  <c r="AC572"/>
  <c r="Z572"/>
  <c r="AB572"/>
  <c r="AD572"/>
  <c r="R572"/>
  <c r="T572"/>
  <c r="V572"/>
  <c r="S572"/>
  <c r="U572"/>
  <c r="W572"/>
  <c r="R576"/>
  <c r="T576"/>
  <c r="V576"/>
  <c r="Z576"/>
  <c r="AB576"/>
  <c r="AD576"/>
  <c r="S576"/>
  <c r="U576"/>
  <c r="W576"/>
  <c r="Y576"/>
  <c r="AA576"/>
  <c r="AC576"/>
  <c r="R580"/>
  <c r="T580"/>
  <c r="V580"/>
  <c r="Z580"/>
  <c r="AB580"/>
  <c r="AD580"/>
  <c r="S580"/>
  <c r="U580"/>
  <c r="W580"/>
  <c r="Y580"/>
  <c r="AA580"/>
  <c r="AC580"/>
  <c r="R606"/>
  <c r="T606"/>
  <c r="V606"/>
  <c r="Z606"/>
  <c r="AB606"/>
  <c r="AD606"/>
  <c r="S606"/>
  <c r="U606"/>
  <c r="W606"/>
  <c r="Y606"/>
  <c r="AA606"/>
  <c r="AC606"/>
  <c r="R585"/>
  <c r="T585"/>
  <c r="V585"/>
  <c r="Z585"/>
  <c r="AB585"/>
  <c r="AD585"/>
  <c r="S585"/>
  <c r="U585"/>
  <c r="W585"/>
  <c r="Y585"/>
  <c r="AA585"/>
  <c r="AC585"/>
  <c r="R589"/>
  <c r="T589"/>
  <c r="V589"/>
  <c r="Z589"/>
  <c r="AB589"/>
  <c r="AD589"/>
  <c r="S589"/>
  <c r="U589"/>
  <c r="W589"/>
  <c r="Y589"/>
  <c r="AA589"/>
  <c r="AC589"/>
  <c r="R593"/>
  <c r="T593"/>
  <c r="V593"/>
  <c r="Z593"/>
  <c r="AB593"/>
  <c r="AD593"/>
  <c r="S593"/>
  <c r="U593"/>
  <c r="W593"/>
  <c r="Y593"/>
  <c r="AA593"/>
  <c r="AC593"/>
  <c r="R597"/>
  <c r="T597"/>
  <c r="V597"/>
  <c r="Z597"/>
  <c r="AB597"/>
  <c r="AD597"/>
  <c r="S597"/>
  <c r="U597"/>
  <c r="W597"/>
  <c r="Y597"/>
  <c r="AA597"/>
  <c r="AC597"/>
  <c r="R601"/>
  <c r="T601"/>
  <c r="V601"/>
  <c r="Z601"/>
  <c r="AB601"/>
  <c r="AD601"/>
  <c r="S601"/>
  <c r="W601"/>
  <c r="Y601"/>
  <c r="AC601"/>
  <c r="U601"/>
  <c r="AA601"/>
  <c r="R605"/>
  <c r="T605"/>
  <c r="V605"/>
  <c r="Z605"/>
  <c r="AB605"/>
  <c r="AD605"/>
  <c r="S605"/>
  <c r="W605"/>
  <c r="Y605"/>
  <c r="AC605"/>
  <c r="U605"/>
  <c r="AA605"/>
  <c r="R612"/>
  <c r="T612"/>
  <c r="V612"/>
  <c r="Z612"/>
  <c r="AB612"/>
  <c r="AD612"/>
  <c r="S612"/>
  <c r="U612"/>
  <c r="W612"/>
  <c r="Y612"/>
  <c r="AA612"/>
  <c r="AC612"/>
  <c r="R616"/>
  <c r="T616"/>
  <c r="V616"/>
  <c r="Z616"/>
  <c r="AB616"/>
  <c r="AD616"/>
  <c r="S616"/>
  <c r="U616"/>
  <c r="W616"/>
  <c r="Y616"/>
  <c r="AA616"/>
  <c r="AC616"/>
  <c r="R620"/>
  <c r="T620"/>
  <c r="V620"/>
  <c r="Z620"/>
  <c r="AB620"/>
  <c r="AD620"/>
  <c r="S620"/>
  <c r="U620"/>
  <c r="W620"/>
  <c r="Y620"/>
  <c r="AA620"/>
  <c r="AC620"/>
  <c r="R624"/>
  <c r="T624"/>
  <c r="V624"/>
  <c r="Z624"/>
  <c r="AB624"/>
  <c r="AD624"/>
  <c r="S624"/>
  <c r="U624"/>
  <c r="W624"/>
  <c r="Y624"/>
  <c r="AA624"/>
  <c r="AC624"/>
  <c r="R628"/>
  <c r="T628"/>
  <c r="V628"/>
  <c r="Z628"/>
  <c r="AB628"/>
  <c r="AD628"/>
  <c r="S628"/>
  <c r="U628"/>
  <c r="W628"/>
  <c r="Y628"/>
  <c r="AA628"/>
  <c r="AC628"/>
  <c r="R632"/>
  <c r="T632"/>
  <c r="V632"/>
  <c r="Z632"/>
  <c r="AB632"/>
  <c r="AD632"/>
  <c r="S632"/>
  <c r="U632"/>
  <c r="W632"/>
  <c r="Y632"/>
  <c r="AA632"/>
  <c r="AC632"/>
  <c r="R636"/>
  <c r="T636"/>
  <c r="V636"/>
  <c r="Z636"/>
  <c r="AB636"/>
  <c r="AD636"/>
  <c r="S636"/>
  <c r="U636"/>
  <c r="W636"/>
  <c r="Y636"/>
  <c r="AA636"/>
  <c r="AC636"/>
  <c r="R640"/>
  <c r="T640"/>
  <c r="V640"/>
  <c r="Z640"/>
  <c r="AB640"/>
  <c r="AD640"/>
  <c r="S640"/>
  <c r="U640"/>
  <c r="W640"/>
  <c r="Y640"/>
  <c r="AA640"/>
  <c r="AC640"/>
  <c r="R644"/>
  <c r="T644"/>
  <c r="V644"/>
  <c r="Z644"/>
  <c r="AB644"/>
  <c r="AD644"/>
  <c r="S644"/>
  <c r="U644"/>
  <c r="W644"/>
  <c r="Y644"/>
  <c r="AA644"/>
  <c r="AC644"/>
  <c r="R652"/>
  <c r="T652"/>
  <c r="V652"/>
  <c r="Z652"/>
  <c r="AB652"/>
  <c r="AD652"/>
  <c r="S652"/>
  <c r="U652"/>
  <c r="W652"/>
  <c r="Y652"/>
  <c r="AA652"/>
  <c r="AC652"/>
  <c r="R654"/>
  <c r="T654"/>
  <c r="V654"/>
  <c r="Z654"/>
  <c r="AB654"/>
  <c r="AD654"/>
  <c r="S654"/>
  <c r="U654"/>
  <c r="W654"/>
  <c r="Y654"/>
  <c r="AA654"/>
  <c r="AC654"/>
  <c r="R658"/>
  <c r="T658"/>
  <c r="V658"/>
  <c r="Z658"/>
  <c r="AB658"/>
  <c r="AD658"/>
  <c r="S658"/>
  <c r="U658"/>
  <c r="W658"/>
  <c r="Y658"/>
  <c r="AA658"/>
  <c r="AC658"/>
  <c r="R664"/>
  <c r="T664"/>
  <c r="V664"/>
  <c r="Z664"/>
  <c r="AB664"/>
  <c r="AD664"/>
  <c r="S664"/>
  <c r="U664"/>
  <c r="W664"/>
  <c r="Y664"/>
  <c r="AA664"/>
  <c r="AC664"/>
  <c r="R665"/>
  <c r="T665"/>
  <c r="V665"/>
  <c r="Z665"/>
  <c r="AB665"/>
  <c r="AD665"/>
  <c r="S665"/>
  <c r="U665"/>
  <c r="W665"/>
  <c r="Y665"/>
  <c r="AA665"/>
  <c r="AC665"/>
  <c r="R732"/>
  <c r="T732"/>
  <c r="V732"/>
  <c r="Z732"/>
  <c r="AB732"/>
  <c r="AD732"/>
  <c r="S732"/>
  <c r="U732"/>
  <c r="W732"/>
  <c r="Y732"/>
  <c r="AA732"/>
  <c r="AC732"/>
  <c r="R736"/>
  <c r="T736"/>
  <c r="V736"/>
  <c r="Z736"/>
  <c r="AB736"/>
  <c r="AD736"/>
  <c r="S736"/>
  <c r="U736"/>
  <c r="W736"/>
  <c r="Y736"/>
  <c r="AA736"/>
  <c r="AC736"/>
  <c r="R740"/>
  <c r="T740"/>
  <c r="V740"/>
  <c r="Z740"/>
  <c r="AB740"/>
  <c r="AD740"/>
  <c r="S740"/>
  <c r="U740"/>
  <c r="W740"/>
  <c r="Y740"/>
  <c r="AA740"/>
  <c r="AC740"/>
  <c r="R744"/>
  <c r="T744"/>
  <c r="V744"/>
  <c r="Z744"/>
  <c r="AB744"/>
  <c r="AD744"/>
  <c r="S744"/>
  <c r="U744"/>
  <c r="W744"/>
  <c r="Y744"/>
  <c r="AA744"/>
  <c r="AC744"/>
  <c r="R748"/>
  <c r="T748"/>
  <c r="V748"/>
  <c r="Z748"/>
  <c r="AB748"/>
  <c r="AD748"/>
  <c r="S748"/>
  <c r="U748"/>
  <c r="W748"/>
  <c r="Y748"/>
  <c r="AA748"/>
  <c r="AC748"/>
  <c r="R752"/>
  <c r="T752"/>
  <c r="V752"/>
  <c r="Z752"/>
  <c r="AB752"/>
  <c r="AD752"/>
  <c r="S752"/>
  <c r="U752"/>
  <c r="W752"/>
  <c r="Y752"/>
  <c r="AA752"/>
  <c r="AC752"/>
  <c r="Z27"/>
  <c r="AB27"/>
  <c r="AD27"/>
  <c r="Y27"/>
  <c r="AA27"/>
  <c r="AC27"/>
  <c r="S27"/>
  <c r="U27"/>
  <c r="W27"/>
  <c r="R27"/>
  <c r="T27"/>
  <c r="V27"/>
  <c r="Z31"/>
  <c r="AB31"/>
  <c r="AD31"/>
  <c r="Y31"/>
  <c r="AA31"/>
  <c r="AC31"/>
  <c r="S31"/>
  <c r="U31"/>
  <c r="W31"/>
  <c r="R31"/>
  <c r="T31"/>
  <c r="V31"/>
  <c r="Z35"/>
  <c r="AB35"/>
  <c r="AD35"/>
  <c r="Y35"/>
  <c r="AA35"/>
  <c r="AC35"/>
  <c r="S35"/>
  <c r="U35"/>
  <c r="W35"/>
  <c r="R35"/>
  <c r="T35"/>
  <c r="V35"/>
  <c r="Z39"/>
  <c r="AB39"/>
  <c r="AD39"/>
  <c r="Y39"/>
  <c r="AA39"/>
  <c r="AC39"/>
  <c r="S39"/>
  <c r="U39"/>
  <c r="W39"/>
  <c r="R39"/>
  <c r="T39"/>
  <c r="V39"/>
  <c r="Z43"/>
  <c r="AB43"/>
  <c r="AD43"/>
  <c r="Y43"/>
  <c r="AA43"/>
  <c r="AC43"/>
  <c r="S43"/>
  <c r="U43"/>
  <c r="W43"/>
  <c r="R43"/>
  <c r="T43"/>
  <c r="V43"/>
  <c r="Z47"/>
  <c r="AB47"/>
  <c r="AD47"/>
  <c r="Y47"/>
  <c r="AA47"/>
  <c r="AC47"/>
  <c r="S47"/>
  <c r="U47"/>
  <c r="W47"/>
  <c r="R47"/>
  <c r="T47"/>
  <c r="V47"/>
  <c r="Z51"/>
  <c r="AB51"/>
  <c r="AD51"/>
  <c r="Y51"/>
  <c r="AA51"/>
  <c r="AC51"/>
  <c r="S51"/>
  <c r="U51"/>
  <c r="W51"/>
  <c r="R51"/>
  <c r="T51"/>
  <c r="V51"/>
  <c r="Z55"/>
  <c r="AB55"/>
  <c r="AD55"/>
  <c r="Y55"/>
  <c r="AA55"/>
  <c r="AC55"/>
  <c r="S55"/>
  <c r="U55"/>
  <c r="W55"/>
  <c r="R55"/>
  <c r="T55"/>
  <c r="V55"/>
  <c r="Z59"/>
  <c r="AB59"/>
  <c r="AD59"/>
  <c r="Y59"/>
  <c r="AA59"/>
  <c r="AC59"/>
  <c r="S59"/>
  <c r="U59"/>
  <c r="W59"/>
  <c r="R59"/>
  <c r="T59"/>
  <c r="V59"/>
  <c r="Z61"/>
  <c r="AB61"/>
  <c r="AD61"/>
  <c r="Y61"/>
  <c r="AA61"/>
  <c r="AC61"/>
  <c r="S61"/>
  <c r="U61"/>
  <c r="W61"/>
  <c r="R61"/>
  <c r="T61"/>
  <c r="V61"/>
  <c r="Z65"/>
  <c r="AB65"/>
  <c r="AD65"/>
  <c r="Y65"/>
  <c r="AA65"/>
  <c r="AC65"/>
  <c r="S65"/>
  <c r="U65"/>
  <c r="W65"/>
  <c r="R65"/>
  <c r="T65"/>
  <c r="V65"/>
  <c r="Z69"/>
  <c r="AB69"/>
  <c r="AD69"/>
  <c r="Y69"/>
  <c r="AA69"/>
  <c r="AC69"/>
  <c r="S69"/>
  <c r="U69"/>
  <c r="W69"/>
  <c r="R69"/>
  <c r="T69"/>
  <c r="V69"/>
  <c r="Z73"/>
  <c r="AB73"/>
  <c r="AD73"/>
  <c r="Y73"/>
  <c r="AA73"/>
  <c r="AC73"/>
  <c r="S73"/>
  <c r="U73"/>
  <c r="W73"/>
  <c r="R73"/>
  <c r="T73"/>
  <c r="V73"/>
  <c r="Z79"/>
  <c r="AB79"/>
  <c r="AD79"/>
  <c r="Y79"/>
  <c r="AA79"/>
  <c r="AC79"/>
  <c r="S79"/>
  <c r="U79"/>
  <c r="W79"/>
  <c r="R79"/>
  <c r="T79"/>
  <c r="V79"/>
  <c r="Z83"/>
  <c r="AB83"/>
  <c r="AD83"/>
  <c r="Y83"/>
  <c r="AA83"/>
  <c r="AC83"/>
  <c r="S83"/>
  <c r="U83"/>
  <c r="W83"/>
  <c r="R83"/>
  <c r="T83"/>
  <c r="V83"/>
  <c r="Z87"/>
  <c r="AB87"/>
  <c r="AD87"/>
  <c r="Y87"/>
  <c r="AA87"/>
  <c r="AC87"/>
  <c r="S87"/>
  <c r="U87"/>
  <c r="W87"/>
  <c r="R87"/>
  <c r="T87"/>
  <c r="V87"/>
  <c r="Z91"/>
  <c r="AB91"/>
  <c r="AD91"/>
  <c r="Y91"/>
  <c r="AC91"/>
  <c r="AA91"/>
  <c r="S91"/>
  <c r="U91"/>
  <c r="W91"/>
  <c r="R91"/>
  <c r="T91"/>
  <c r="V91"/>
  <c r="Z95"/>
  <c r="AB95"/>
  <c r="AD95"/>
  <c r="Y95"/>
  <c r="AC95"/>
  <c r="AA95"/>
  <c r="S95"/>
  <c r="U95"/>
  <c r="W95"/>
  <c r="R95"/>
  <c r="T95"/>
  <c r="V95"/>
  <c r="Z99"/>
  <c r="AB99"/>
  <c r="AD99"/>
  <c r="Y99"/>
  <c r="AC99"/>
  <c r="AA99"/>
  <c r="S99"/>
  <c r="U99"/>
  <c r="W99"/>
  <c r="R99"/>
  <c r="T99"/>
  <c r="V99"/>
  <c r="Z103"/>
  <c r="AB103"/>
  <c r="AD103"/>
  <c r="Y103"/>
  <c r="AC103"/>
  <c r="AA103"/>
  <c r="S103"/>
  <c r="U103"/>
  <c r="W103"/>
  <c r="R103"/>
  <c r="T103"/>
  <c r="V103"/>
  <c r="Z107"/>
  <c r="AB107"/>
  <c r="AD107"/>
  <c r="Y107"/>
  <c r="AA107"/>
  <c r="AC107"/>
  <c r="S107"/>
  <c r="U107"/>
  <c r="W107"/>
  <c r="R107"/>
  <c r="T107"/>
  <c r="V107"/>
  <c r="Z111"/>
  <c r="AB111"/>
  <c r="AD111"/>
  <c r="Y111"/>
  <c r="AA111"/>
  <c r="AC111"/>
  <c r="S111"/>
  <c r="U111"/>
  <c r="W111"/>
  <c r="R111"/>
  <c r="T111"/>
  <c r="V111"/>
  <c r="Z113"/>
  <c r="AB113"/>
  <c r="AD113"/>
  <c r="Y113"/>
  <c r="AA113"/>
  <c r="AC113"/>
  <c r="S113"/>
  <c r="U113"/>
  <c r="W113"/>
  <c r="R113"/>
  <c r="T113"/>
  <c r="V113"/>
  <c r="Z119"/>
  <c r="AB119"/>
  <c r="AD119"/>
  <c r="Y119"/>
  <c r="AA119"/>
  <c r="AC119"/>
  <c r="S119"/>
  <c r="U119"/>
  <c r="W119"/>
  <c r="R119"/>
  <c r="T119"/>
  <c r="V119"/>
  <c r="Z123"/>
  <c r="AB123"/>
  <c r="AD123"/>
  <c r="Y123"/>
  <c r="AA123"/>
  <c r="AC123"/>
  <c r="S123"/>
  <c r="U123"/>
  <c r="W123"/>
  <c r="R123"/>
  <c r="T123"/>
  <c r="V123"/>
  <c r="Z127"/>
  <c r="AB127"/>
  <c r="AD127"/>
  <c r="Y127"/>
  <c r="AA127"/>
  <c r="AC127"/>
  <c r="S127"/>
  <c r="U127"/>
  <c r="W127"/>
  <c r="R127"/>
  <c r="T127"/>
  <c r="V127"/>
  <c r="Z129"/>
  <c r="AB129"/>
  <c r="AD129"/>
  <c r="Y129"/>
  <c r="AA129"/>
  <c r="AC129"/>
  <c r="S129"/>
  <c r="U129"/>
  <c r="W129"/>
  <c r="R129"/>
  <c r="T129"/>
  <c r="V129"/>
  <c r="Z133"/>
  <c r="AB133"/>
  <c r="AD133"/>
  <c r="Y133"/>
  <c r="AA133"/>
  <c r="AC133"/>
  <c r="S133"/>
  <c r="U133"/>
  <c r="W133"/>
  <c r="R133"/>
  <c r="T133"/>
  <c r="V133"/>
  <c r="Z139"/>
  <c r="AB139"/>
  <c r="AD139"/>
  <c r="Y139"/>
  <c r="AA139"/>
  <c r="AC139"/>
  <c r="S139"/>
  <c r="U139"/>
  <c r="W139"/>
  <c r="R139"/>
  <c r="T139"/>
  <c r="V139"/>
  <c r="Z143"/>
  <c r="AB143"/>
  <c r="AD143"/>
  <c r="Y143"/>
  <c r="AA143"/>
  <c r="AC143"/>
  <c r="S143"/>
  <c r="U143"/>
  <c r="W143"/>
  <c r="R143"/>
  <c r="T143"/>
  <c r="V143"/>
  <c r="Z145"/>
  <c r="AB145"/>
  <c r="AD145"/>
  <c r="Y145"/>
  <c r="AA145"/>
  <c r="AC145"/>
  <c r="S145"/>
  <c r="U145"/>
  <c r="W145"/>
  <c r="R145"/>
  <c r="T145"/>
  <c r="V145"/>
  <c r="Z149"/>
  <c r="AB149"/>
  <c r="AD149"/>
  <c r="Y149"/>
  <c r="AA149"/>
  <c r="AC149"/>
  <c r="S149"/>
  <c r="U149"/>
  <c r="W149"/>
  <c r="R149"/>
  <c r="T149"/>
  <c r="V149"/>
  <c r="Z155"/>
  <c r="AB155"/>
  <c r="AD155"/>
  <c r="Y155"/>
  <c r="AA155"/>
  <c r="AC155"/>
  <c r="S155"/>
  <c r="U155"/>
  <c r="W155"/>
  <c r="R155"/>
  <c r="T155"/>
  <c r="V155"/>
  <c r="Z159"/>
  <c r="AB159"/>
  <c r="AD159"/>
  <c r="Y159"/>
  <c r="AA159"/>
  <c r="AC159"/>
  <c r="S159"/>
  <c r="U159"/>
  <c r="W159"/>
  <c r="R159"/>
  <c r="T159"/>
  <c r="V159"/>
  <c r="Z163"/>
  <c r="AB163"/>
  <c r="AD163"/>
  <c r="Y163"/>
  <c r="AA163"/>
  <c r="AC163"/>
  <c r="S163"/>
  <c r="U163"/>
  <c r="W163"/>
  <c r="R163"/>
  <c r="T163"/>
  <c r="V163"/>
  <c r="Z171"/>
  <c r="AB171"/>
  <c r="AD171"/>
  <c r="Y171"/>
  <c r="AA171"/>
  <c r="AC171"/>
  <c r="S171"/>
  <c r="U171"/>
  <c r="W171"/>
  <c r="R171"/>
  <c r="T171"/>
  <c r="V171"/>
  <c r="Z166"/>
  <c r="AB166"/>
  <c r="AD166"/>
  <c r="Y166"/>
  <c r="AA166"/>
  <c r="AC166"/>
  <c r="S166"/>
  <c r="U166"/>
  <c r="W166"/>
  <c r="R166"/>
  <c r="T166"/>
  <c r="V166"/>
  <c r="Z180"/>
  <c r="AB180"/>
  <c r="AD180"/>
  <c r="Y180"/>
  <c r="AA180"/>
  <c r="AC180"/>
  <c r="S180"/>
  <c r="U180"/>
  <c r="W180"/>
  <c r="R180"/>
  <c r="T180"/>
  <c r="V180"/>
  <c r="Z184"/>
  <c r="AB184"/>
  <c r="AD184"/>
  <c r="AA184"/>
  <c r="Y184"/>
  <c r="AC184"/>
  <c r="S184"/>
  <c r="U184"/>
  <c r="W184"/>
  <c r="R184"/>
  <c r="T184"/>
  <c r="V184"/>
  <c r="Z188"/>
  <c r="AB188"/>
  <c r="AD188"/>
  <c r="AA188"/>
  <c r="Y188"/>
  <c r="AC188"/>
  <c r="S188"/>
  <c r="U188"/>
  <c r="W188"/>
  <c r="R188"/>
  <c r="T188"/>
  <c r="V188"/>
  <c r="Z192"/>
  <c r="AB192"/>
  <c r="AD192"/>
  <c r="AA192"/>
  <c r="Y192"/>
  <c r="AC192"/>
  <c r="S192"/>
  <c r="U192"/>
  <c r="W192"/>
  <c r="R192"/>
  <c r="T192"/>
  <c r="V192"/>
  <c r="Z196"/>
  <c r="AB196"/>
  <c r="AD196"/>
  <c r="AA196"/>
  <c r="Y196"/>
  <c r="AC196"/>
  <c r="S196"/>
  <c r="U196"/>
  <c r="W196"/>
  <c r="R196"/>
  <c r="T196"/>
  <c r="V196"/>
  <c r="Z198"/>
  <c r="AB198"/>
  <c r="AD198"/>
  <c r="AA198"/>
  <c r="Y198"/>
  <c r="AC198"/>
  <c r="S198"/>
  <c r="U198"/>
  <c r="W198"/>
  <c r="R198"/>
  <c r="T198"/>
  <c r="V198"/>
  <c r="Z202"/>
  <c r="AB202"/>
  <c r="AD202"/>
  <c r="Y202"/>
  <c r="AA202"/>
  <c r="AC202"/>
  <c r="S202"/>
  <c r="U202"/>
  <c r="W202"/>
  <c r="R202"/>
  <c r="T202"/>
  <c r="V202"/>
  <c r="Z206"/>
  <c r="AB206"/>
  <c r="AD206"/>
  <c r="Y206"/>
  <c r="AA206"/>
  <c r="AC206"/>
  <c r="S206"/>
  <c r="U206"/>
  <c r="W206"/>
  <c r="R206"/>
  <c r="T206"/>
  <c r="V206"/>
  <c r="Z210"/>
  <c r="AB210"/>
  <c r="AD210"/>
  <c r="Y210"/>
  <c r="AA210"/>
  <c r="AC210"/>
  <c r="S210"/>
  <c r="U210"/>
  <c r="W210"/>
  <c r="R210"/>
  <c r="T210"/>
  <c r="V210"/>
  <c r="Z214"/>
  <c r="AB214"/>
  <c r="AD214"/>
  <c r="Y214"/>
  <c r="AA214"/>
  <c r="AC214"/>
  <c r="S214"/>
  <c r="U214"/>
  <c r="W214"/>
  <c r="R214"/>
  <c r="T214"/>
  <c r="V214"/>
  <c r="Z221"/>
  <c r="AB221"/>
  <c r="AD221"/>
  <c r="Y221"/>
  <c r="AA221"/>
  <c r="AC221"/>
  <c r="S221"/>
  <c r="U221"/>
  <c r="W221"/>
  <c r="R221"/>
  <c r="T221"/>
  <c r="V221"/>
  <c r="Z227"/>
  <c r="AB227"/>
  <c r="AD227"/>
  <c r="Y227"/>
  <c r="AA227"/>
  <c r="AC227"/>
  <c r="S227"/>
  <c r="U227"/>
  <c r="W227"/>
  <c r="R227"/>
  <c r="T227"/>
  <c r="V227"/>
  <c r="Z231"/>
  <c r="AB231"/>
  <c r="AD231"/>
  <c r="Y231"/>
  <c r="AA231"/>
  <c r="AC231"/>
  <c r="S231"/>
  <c r="U231"/>
  <c r="W231"/>
  <c r="R231"/>
  <c r="T231"/>
  <c r="V231"/>
  <c r="Z237"/>
  <c r="AB237"/>
  <c r="AD237"/>
  <c r="Y237"/>
  <c r="AA237"/>
  <c r="AC237"/>
  <c r="S237"/>
  <c r="U237"/>
  <c r="W237"/>
  <c r="R237"/>
  <c r="T237"/>
  <c r="V237"/>
  <c r="Z241"/>
  <c r="AB241"/>
  <c r="AD241"/>
  <c r="Y241"/>
  <c r="AA241"/>
  <c r="AC241"/>
  <c r="S241"/>
  <c r="U241"/>
  <c r="W241"/>
  <c r="R241"/>
  <c r="T241"/>
  <c r="V241"/>
  <c r="Z245"/>
  <c r="AB245"/>
  <c r="AD245"/>
  <c r="Y245"/>
  <c r="AA245"/>
  <c r="AC245"/>
  <c r="S245"/>
  <c r="U245"/>
  <c r="W245"/>
  <c r="R245"/>
  <c r="T245"/>
  <c r="V245"/>
  <c r="Z267"/>
  <c r="AB267"/>
  <c r="AD267"/>
  <c r="Y267"/>
  <c r="AA267"/>
  <c r="AC267"/>
  <c r="S267"/>
  <c r="U267"/>
  <c r="W267"/>
  <c r="R267"/>
  <c r="T267"/>
  <c r="V267"/>
  <c r="Z252"/>
  <c r="AB252"/>
  <c r="AD252"/>
  <c r="Y252"/>
  <c r="AA252"/>
  <c r="AC252"/>
  <c r="S252"/>
  <c r="U252"/>
  <c r="W252"/>
  <c r="R252"/>
  <c r="T252"/>
  <c r="V252"/>
  <c r="Z258"/>
  <c r="AB258"/>
  <c r="AD258"/>
  <c r="Y258"/>
  <c r="AA258"/>
  <c r="AC258"/>
  <c r="S258"/>
  <c r="U258"/>
  <c r="W258"/>
  <c r="R258"/>
  <c r="T258"/>
  <c r="V258"/>
  <c r="Z262"/>
  <c r="AB262"/>
  <c r="AD262"/>
  <c r="Y262"/>
  <c r="AA262"/>
  <c r="AC262"/>
  <c r="S262"/>
  <c r="U262"/>
  <c r="W262"/>
  <c r="R262"/>
  <c r="T262"/>
  <c r="V262"/>
  <c r="Z276"/>
  <c r="AB276"/>
  <c r="AD276"/>
  <c r="Y276"/>
  <c r="AA276"/>
  <c r="AC276"/>
  <c r="S276"/>
  <c r="U276"/>
  <c r="W276"/>
  <c r="R276"/>
  <c r="T276"/>
  <c r="V276"/>
  <c r="Z280"/>
  <c r="AB280"/>
  <c r="AD280"/>
  <c r="Y280"/>
  <c r="AA280"/>
  <c r="AC280"/>
  <c r="S280"/>
  <c r="U280"/>
  <c r="W280"/>
  <c r="R280"/>
  <c r="T280"/>
  <c r="V280"/>
  <c r="Z308"/>
  <c r="AB308"/>
  <c r="AD308"/>
  <c r="Y308"/>
  <c r="AA308"/>
  <c r="AC308"/>
  <c r="R308"/>
  <c r="T308"/>
  <c r="V308"/>
  <c r="S308"/>
  <c r="U308"/>
  <c r="W308"/>
  <c r="Z333"/>
  <c r="AB333"/>
  <c r="AD333"/>
  <c r="Y333"/>
  <c r="AC333"/>
  <c r="AA333"/>
  <c r="R333"/>
  <c r="T333"/>
  <c r="V333"/>
  <c r="S333"/>
  <c r="U333"/>
  <c r="W333"/>
  <c r="Z334"/>
  <c r="AB334"/>
  <c r="AD334"/>
  <c r="Y334"/>
  <c r="AC334"/>
  <c r="AA334"/>
  <c r="R334"/>
  <c r="T334"/>
  <c r="V334"/>
  <c r="S334"/>
  <c r="U334"/>
  <c r="W334"/>
  <c r="Y368"/>
  <c r="AA368"/>
  <c r="AC368"/>
  <c r="Z368"/>
  <c r="AB368"/>
  <c r="AD368"/>
  <c r="R368"/>
  <c r="T368"/>
  <c r="V368"/>
  <c r="S368"/>
  <c r="U368"/>
  <c r="W368"/>
  <c r="Y366"/>
  <c r="AA366"/>
  <c r="AC366"/>
  <c r="Z366"/>
  <c r="AB366"/>
  <c r="AD366"/>
  <c r="R366"/>
  <c r="T366"/>
  <c r="V366"/>
  <c r="S366"/>
  <c r="U366"/>
  <c r="W366"/>
  <c r="Y340"/>
  <c r="AA340"/>
  <c r="AC340"/>
  <c r="Z340"/>
  <c r="AB340"/>
  <c r="AD340"/>
  <c r="R340"/>
  <c r="T340"/>
  <c r="V340"/>
  <c r="S340"/>
  <c r="U340"/>
  <c r="W340"/>
  <c r="Z328"/>
  <c r="AB328"/>
  <c r="AD328"/>
  <c r="Y328"/>
  <c r="AC328"/>
  <c r="AA328"/>
  <c r="R328"/>
  <c r="T328"/>
  <c r="V328"/>
  <c r="S328"/>
  <c r="U328"/>
  <c r="W328"/>
  <c r="Y430"/>
  <c r="AA430"/>
  <c r="AC430"/>
  <c r="Z430"/>
  <c r="AB430"/>
  <c r="AD430"/>
  <c r="R430"/>
  <c r="T430"/>
  <c r="V430"/>
  <c r="S430"/>
  <c r="U430"/>
  <c r="W430"/>
  <c r="Z313"/>
  <c r="AB313"/>
  <c r="AD313"/>
  <c r="Y313"/>
  <c r="AA313"/>
  <c r="AC313"/>
  <c r="R313"/>
  <c r="T313"/>
  <c r="V313"/>
  <c r="S313"/>
  <c r="U313"/>
  <c r="W313"/>
  <c r="Y361"/>
  <c r="AA361"/>
  <c r="AC361"/>
  <c r="Z361"/>
  <c r="AB361"/>
  <c r="AD361"/>
  <c r="R361"/>
  <c r="T361"/>
  <c r="V361"/>
  <c r="S361"/>
  <c r="U361"/>
  <c r="W361"/>
  <c r="Z315"/>
  <c r="AB315"/>
  <c r="AD315"/>
  <c r="Y315"/>
  <c r="AA315"/>
  <c r="AC315"/>
  <c r="R315"/>
  <c r="T315"/>
  <c r="V315"/>
  <c r="S315"/>
  <c r="U315"/>
  <c r="W315"/>
  <c r="Z337"/>
  <c r="AB337"/>
  <c r="AD337"/>
  <c r="Y337"/>
  <c r="AC337"/>
  <c r="AA337"/>
  <c r="R337"/>
  <c r="T337"/>
  <c r="V337"/>
  <c r="S337"/>
  <c r="U337"/>
  <c r="W337"/>
  <c r="Y363"/>
  <c r="AA363"/>
  <c r="AC363"/>
  <c r="Z363"/>
  <c r="AB363"/>
  <c r="AD363"/>
  <c r="R363"/>
  <c r="T363"/>
  <c r="V363"/>
  <c r="S363"/>
  <c r="U363"/>
  <c r="W363"/>
  <c r="Z292"/>
  <c r="AB292"/>
  <c r="AD292"/>
  <c r="Y292"/>
  <c r="AA292"/>
  <c r="AC292"/>
  <c r="S292"/>
  <c r="U292"/>
  <c r="W292"/>
  <c r="R292"/>
  <c r="T292"/>
  <c r="V292"/>
  <c r="Z294"/>
  <c r="AB294"/>
  <c r="AD294"/>
  <c r="Y294"/>
  <c r="AA294"/>
  <c r="AC294"/>
  <c r="S294"/>
  <c r="U294"/>
  <c r="W294"/>
  <c r="R294"/>
  <c r="T294"/>
  <c r="V294"/>
  <c r="Z298"/>
  <c r="AB298"/>
  <c r="AD298"/>
  <c r="Y298"/>
  <c r="AA298"/>
  <c r="AC298"/>
  <c r="S298"/>
  <c r="U298"/>
  <c r="W298"/>
  <c r="R298"/>
  <c r="T298"/>
  <c r="V298"/>
  <c r="Z302"/>
  <c r="AB302"/>
  <c r="AD302"/>
  <c r="Y302"/>
  <c r="AA302"/>
  <c r="AC302"/>
  <c r="S302"/>
  <c r="U302"/>
  <c r="W302"/>
  <c r="R302"/>
  <c r="T302"/>
  <c r="V302"/>
  <c r="Z306"/>
  <c r="AB306"/>
  <c r="AD306"/>
  <c r="Y306"/>
  <c r="AA306"/>
  <c r="AC306"/>
  <c r="R306"/>
  <c r="T306"/>
  <c r="V306"/>
  <c r="S306"/>
  <c r="U306"/>
  <c r="W306"/>
  <c r="Z318"/>
  <c r="AB318"/>
  <c r="AD318"/>
  <c r="Y318"/>
  <c r="AC318"/>
  <c r="AA318"/>
  <c r="R318"/>
  <c r="T318"/>
  <c r="V318"/>
  <c r="S318"/>
  <c r="U318"/>
  <c r="W318"/>
  <c r="Z338"/>
  <c r="AB338"/>
  <c r="AD338"/>
  <c r="Y338"/>
  <c r="AC338"/>
  <c r="AA338"/>
  <c r="R338"/>
  <c r="T338"/>
  <c r="V338"/>
  <c r="S338"/>
  <c r="U338"/>
  <c r="W338"/>
  <c r="Y347"/>
  <c r="AA347"/>
  <c r="AC347"/>
  <c r="Z347"/>
  <c r="AB347"/>
  <c r="AD347"/>
  <c r="R347"/>
  <c r="T347"/>
  <c r="V347"/>
  <c r="S347"/>
  <c r="U347"/>
  <c r="W347"/>
  <c r="Y351"/>
  <c r="AA351"/>
  <c r="AC351"/>
  <c r="Z351"/>
  <c r="AB351"/>
  <c r="AD351"/>
  <c r="R351"/>
  <c r="T351"/>
  <c r="V351"/>
  <c r="S351"/>
  <c r="U351"/>
  <c r="W351"/>
  <c r="Y355"/>
  <c r="AA355"/>
  <c r="AC355"/>
  <c r="Z355"/>
  <c r="AB355"/>
  <c r="AD355"/>
  <c r="R355"/>
  <c r="T355"/>
  <c r="V355"/>
  <c r="S355"/>
  <c r="U355"/>
  <c r="W355"/>
  <c r="Y372"/>
  <c r="AA372"/>
  <c r="AC372"/>
  <c r="Z372"/>
  <c r="AB372"/>
  <c r="AD372"/>
  <c r="R372"/>
  <c r="T372"/>
  <c r="V372"/>
  <c r="S372"/>
  <c r="U372"/>
  <c r="W372"/>
  <c r="Z319"/>
  <c r="AB319"/>
  <c r="AD319"/>
  <c r="Y319"/>
  <c r="AC319"/>
  <c r="AA319"/>
  <c r="R319"/>
  <c r="T319"/>
  <c r="V319"/>
  <c r="S319"/>
  <c r="U319"/>
  <c r="W319"/>
  <c r="Y385"/>
  <c r="AA385"/>
  <c r="AC385"/>
  <c r="Z385"/>
  <c r="AB385"/>
  <c r="AD385"/>
  <c r="R385"/>
  <c r="T385"/>
  <c r="V385"/>
  <c r="S385"/>
  <c r="U385"/>
  <c r="W385"/>
  <c r="Y391"/>
  <c r="AA391"/>
  <c r="AC391"/>
  <c r="Z391"/>
  <c r="AB391"/>
  <c r="AD391"/>
  <c r="R391"/>
  <c r="T391"/>
  <c r="V391"/>
  <c r="S391"/>
  <c r="U391"/>
  <c r="W391"/>
  <c r="Y395"/>
  <c r="AA395"/>
  <c r="AC395"/>
  <c r="Z395"/>
  <c r="AB395"/>
  <c r="AD395"/>
  <c r="R395"/>
  <c r="T395"/>
  <c r="V395"/>
  <c r="S395"/>
  <c r="U395"/>
  <c r="W395"/>
  <c r="Y399"/>
  <c r="AA399"/>
  <c r="AC399"/>
  <c r="Z399"/>
  <c r="AB399"/>
  <c r="AD399"/>
  <c r="R399"/>
  <c r="T399"/>
  <c r="V399"/>
  <c r="S399"/>
  <c r="U399"/>
  <c r="W399"/>
  <c r="Y404"/>
  <c r="AA404"/>
  <c r="AC404"/>
  <c r="Z404"/>
  <c r="AB404"/>
  <c r="AD404"/>
  <c r="R404"/>
  <c r="T404"/>
  <c r="V404"/>
  <c r="S404"/>
  <c r="U404"/>
  <c r="W404"/>
  <c r="Y408"/>
  <c r="AA408"/>
  <c r="AC408"/>
  <c r="Z408"/>
  <c r="AB408"/>
  <c r="AD408"/>
  <c r="R408"/>
  <c r="T408"/>
  <c r="V408"/>
  <c r="S408"/>
  <c r="U408"/>
  <c r="W408"/>
  <c r="Y380"/>
  <c r="AA380"/>
  <c r="AC380"/>
  <c r="Z380"/>
  <c r="AB380"/>
  <c r="AD380"/>
  <c r="R380"/>
  <c r="T380"/>
  <c r="V380"/>
  <c r="S380"/>
  <c r="U380"/>
  <c r="W380"/>
  <c r="Y377"/>
  <c r="AA377"/>
  <c r="AC377"/>
  <c r="Z377"/>
  <c r="AB377"/>
  <c r="AD377"/>
  <c r="R377"/>
  <c r="T377"/>
  <c r="V377"/>
  <c r="S377"/>
  <c r="U377"/>
  <c r="W377"/>
  <c r="Y414"/>
  <c r="AA414"/>
  <c r="AC414"/>
  <c r="Z414"/>
  <c r="AB414"/>
  <c r="AD414"/>
  <c r="R414"/>
  <c r="T414"/>
  <c r="V414"/>
  <c r="S414"/>
  <c r="U414"/>
  <c r="W414"/>
  <c r="Y415"/>
  <c r="AA415"/>
  <c r="AC415"/>
  <c r="Z415"/>
  <c r="AB415"/>
  <c r="AD415"/>
  <c r="R415"/>
  <c r="T415"/>
  <c r="V415"/>
  <c r="S415"/>
  <c r="U415"/>
  <c r="W415"/>
  <c r="Y421"/>
  <c r="AA421"/>
  <c r="AC421"/>
  <c r="Z421"/>
  <c r="AB421"/>
  <c r="AD421"/>
  <c r="R421"/>
  <c r="T421"/>
  <c r="V421"/>
  <c r="S421"/>
  <c r="U421"/>
  <c r="W421"/>
  <c r="Y435"/>
  <c r="AA435"/>
  <c r="AC435"/>
  <c r="Z435"/>
  <c r="AB435"/>
  <c r="AD435"/>
  <c r="R435"/>
  <c r="T435"/>
  <c r="V435"/>
  <c r="S435"/>
  <c r="U435"/>
  <c r="W435"/>
  <c r="Y439"/>
  <c r="AA439"/>
  <c r="AC439"/>
  <c r="Z439"/>
  <c r="AB439"/>
  <c r="AD439"/>
  <c r="R439"/>
  <c r="T439"/>
  <c r="V439"/>
  <c r="S439"/>
  <c r="U439"/>
  <c r="W439"/>
  <c r="Y443"/>
  <c r="AA443"/>
  <c r="AC443"/>
  <c r="Z443"/>
  <c r="AB443"/>
  <c r="AD443"/>
  <c r="R443"/>
  <c r="T443"/>
  <c r="V443"/>
  <c r="S443"/>
  <c r="U443"/>
  <c r="W443"/>
  <c r="Y447"/>
  <c r="AA447"/>
  <c r="AC447"/>
  <c r="Z447"/>
  <c r="AB447"/>
  <c r="AD447"/>
  <c r="R447"/>
  <c r="T447"/>
  <c r="V447"/>
  <c r="S447"/>
  <c r="U447"/>
  <c r="W447"/>
  <c r="Y451"/>
  <c r="AA451"/>
  <c r="AC451"/>
  <c r="Z451"/>
  <c r="AB451"/>
  <c r="AD451"/>
  <c r="R451"/>
  <c r="T451"/>
  <c r="V451"/>
  <c r="S451"/>
  <c r="U451"/>
  <c r="W451"/>
  <c r="Y455"/>
  <c r="AA455"/>
  <c r="AC455"/>
  <c r="Z455"/>
  <c r="AB455"/>
  <c r="AD455"/>
  <c r="R455"/>
  <c r="T455"/>
  <c r="V455"/>
  <c r="S455"/>
  <c r="U455"/>
  <c r="W455"/>
  <c r="Y459"/>
  <c r="AA459"/>
  <c r="AC459"/>
  <c r="Z459"/>
  <c r="AB459"/>
  <c r="AD459"/>
  <c r="R459"/>
  <c r="T459"/>
  <c r="V459"/>
  <c r="S459"/>
  <c r="U459"/>
  <c r="W459"/>
  <c r="Y463"/>
  <c r="AA463"/>
  <c r="AC463"/>
  <c r="Z463"/>
  <c r="AB463"/>
  <c r="AD463"/>
  <c r="R463"/>
  <c r="T463"/>
  <c r="V463"/>
  <c r="S463"/>
  <c r="U463"/>
  <c r="W463"/>
  <c r="Y467"/>
  <c r="AA467"/>
  <c r="AC467"/>
  <c r="Z467"/>
  <c r="AB467"/>
  <c r="AD467"/>
  <c r="R467"/>
  <c r="T467"/>
  <c r="V467"/>
  <c r="S467"/>
  <c r="U467"/>
  <c r="W467"/>
  <c r="Y471"/>
  <c r="AA471"/>
  <c r="AC471"/>
  <c r="Z471"/>
  <c r="AD471"/>
  <c r="AB471"/>
  <c r="R471"/>
  <c r="T471"/>
  <c r="V471"/>
  <c r="S471"/>
  <c r="U471"/>
  <c r="W471"/>
  <c r="Y475"/>
  <c r="AA475"/>
  <c r="AC475"/>
  <c r="Z475"/>
  <c r="AD475"/>
  <c r="AB475"/>
  <c r="R475"/>
  <c r="T475"/>
  <c r="V475"/>
  <c r="S475"/>
  <c r="U475"/>
  <c r="W475"/>
  <c r="Y479"/>
  <c r="AA479"/>
  <c r="AC479"/>
  <c r="Z479"/>
  <c r="AD479"/>
  <c r="AB479"/>
  <c r="R479"/>
  <c r="T479"/>
  <c r="V479"/>
  <c r="S479"/>
  <c r="U479"/>
  <c r="W479"/>
  <c r="Y483"/>
  <c r="AA483"/>
  <c r="AC483"/>
  <c r="Z483"/>
  <c r="AD483"/>
  <c r="AB483"/>
  <c r="R483"/>
  <c r="T483"/>
  <c r="V483"/>
  <c r="S483"/>
  <c r="U483"/>
  <c r="W483"/>
  <c r="Y487"/>
  <c r="AA487"/>
  <c r="AC487"/>
  <c r="Z487"/>
  <c r="AD487"/>
  <c r="AB487"/>
  <c r="R487"/>
  <c r="T487"/>
  <c r="V487"/>
  <c r="S487"/>
  <c r="U487"/>
  <c r="W487"/>
  <c r="Y491"/>
  <c r="AA491"/>
  <c r="AC491"/>
  <c r="Z491"/>
  <c r="AD491"/>
  <c r="AB491"/>
  <c r="R491"/>
  <c r="T491"/>
  <c r="V491"/>
  <c r="S491"/>
  <c r="U491"/>
  <c r="W491"/>
  <c r="Y495"/>
  <c r="AA495"/>
  <c r="AC495"/>
  <c r="Z495"/>
  <c r="AD495"/>
  <c r="AB495"/>
  <c r="R495"/>
  <c r="T495"/>
  <c r="V495"/>
  <c r="S495"/>
  <c r="U495"/>
  <c r="W495"/>
  <c r="Y499"/>
  <c r="AA499"/>
  <c r="AC499"/>
  <c r="Z499"/>
  <c r="AD499"/>
  <c r="AB499"/>
  <c r="R499"/>
  <c r="T499"/>
  <c r="V499"/>
  <c r="S499"/>
  <c r="U499"/>
  <c r="W499"/>
  <c r="Y505"/>
  <c r="AA505"/>
  <c r="AC505"/>
  <c r="Z505"/>
  <c r="AD505"/>
  <c r="AB505"/>
  <c r="R505"/>
  <c r="T505"/>
  <c r="V505"/>
  <c r="S505"/>
  <c r="U505"/>
  <c r="W505"/>
  <c r="Y510"/>
  <c r="AA510"/>
  <c r="AC510"/>
  <c r="Z510"/>
  <c r="AD510"/>
  <c r="AB510"/>
  <c r="R510"/>
  <c r="T510"/>
  <c r="V510"/>
  <c r="S510"/>
  <c r="U510"/>
  <c r="W510"/>
  <c r="Y516"/>
  <c r="AA516"/>
  <c r="AC516"/>
  <c r="Z516"/>
  <c r="AD516"/>
  <c r="AB516"/>
  <c r="R516"/>
  <c r="T516"/>
  <c r="V516"/>
  <c r="S516"/>
  <c r="U516"/>
  <c r="W516"/>
  <c r="Y518"/>
  <c r="AA518"/>
  <c r="AC518"/>
  <c r="Z518"/>
  <c r="AD518"/>
  <c r="AB518"/>
  <c r="R518"/>
  <c r="T518"/>
  <c r="V518"/>
  <c r="S518"/>
  <c r="U518"/>
  <c r="W518"/>
  <c r="Y524"/>
  <c r="AA524"/>
  <c r="AC524"/>
  <c r="Z524"/>
  <c r="AD524"/>
  <c r="AB524"/>
  <c r="R524"/>
  <c r="T524"/>
  <c r="V524"/>
  <c r="S524"/>
  <c r="U524"/>
  <c r="W524"/>
  <c r="Y528"/>
  <c r="AA528"/>
  <c r="AC528"/>
  <c r="Z528"/>
  <c r="AD528"/>
  <c r="AB528"/>
  <c r="R528"/>
  <c r="T528"/>
  <c r="V528"/>
  <c r="S528"/>
  <c r="U528"/>
  <c r="W528"/>
  <c r="Y532"/>
  <c r="AA532"/>
  <c r="AC532"/>
  <c r="Z532"/>
  <c r="AD532"/>
  <c r="AB532"/>
  <c r="R532"/>
  <c r="T532"/>
  <c r="V532"/>
  <c r="S532"/>
  <c r="U532"/>
  <c r="W532"/>
  <c r="Y536"/>
  <c r="AA536"/>
  <c r="AC536"/>
  <c r="Z536"/>
  <c r="AD536"/>
  <c r="AB536"/>
  <c r="R536"/>
  <c r="T536"/>
  <c r="V536"/>
  <c r="S536"/>
  <c r="U536"/>
  <c r="W536"/>
  <c r="Y538"/>
  <c r="AA538"/>
  <c r="AC538"/>
  <c r="Z538"/>
  <c r="AD538"/>
  <c r="AB538"/>
  <c r="R538"/>
  <c r="T538"/>
  <c r="V538"/>
  <c r="S538"/>
  <c r="U538"/>
  <c r="W538"/>
  <c r="Y542"/>
  <c r="AA542"/>
  <c r="AC542"/>
  <c r="Z542"/>
  <c r="AD542"/>
  <c r="AB542"/>
  <c r="R542"/>
  <c r="T542"/>
  <c r="V542"/>
  <c r="S542"/>
  <c r="U542"/>
  <c r="W542"/>
  <c r="Y546"/>
  <c r="AA546"/>
  <c r="AC546"/>
  <c r="Z546"/>
  <c r="AD546"/>
  <c r="AB546"/>
  <c r="R546"/>
  <c r="T546"/>
  <c r="V546"/>
  <c r="S546"/>
  <c r="U546"/>
  <c r="W546"/>
  <c r="Y550"/>
  <c r="AA550"/>
  <c r="AC550"/>
  <c r="Z550"/>
  <c r="AD550"/>
  <c r="AB550"/>
  <c r="R550"/>
  <c r="T550"/>
  <c r="V550"/>
  <c r="S550"/>
  <c r="U550"/>
  <c r="W550"/>
  <c r="Y554"/>
  <c r="AA554"/>
  <c r="AC554"/>
  <c r="Z554"/>
  <c r="AD554"/>
  <c r="AB554"/>
  <c r="R554"/>
  <c r="T554"/>
  <c r="V554"/>
  <c r="S554"/>
  <c r="U554"/>
  <c r="W554"/>
  <c r="Y561"/>
  <c r="AA561"/>
  <c r="AC561"/>
  <c r="Z561"/>
  <c r="AD561"/>
  <c r="AB561"/>
  <c r="R561"/>
  <c r="T561"/>
  <c r="V561"/>
  <c r="S561"/>
  <c r="U561"/>
  <c r="W561"/>
  <c r="Y559"/>
  <c r="AA559"/>
  <c r="AC559"/>
  <c r="Z559"/>
  <c r="AD559"/>
  <c r="AB559"/>
  <c r="R559"/>
  <c r="T559"/>
  <c r="V559"/>
  <c r="S559"/>
  <c r="U559"/>
  <c r="W559"/>
  <c r="Y566"/>
  <c r="AA566"/>
  <c r="AC566"/>
  <c r="Z566"/>
  <c r="AB566"/>
  <c r="AD566"/>
  <c r="R566"/>
  <c r="T566"/>
  <c r="V566"/>
  <c r="S566"/>
  <c r="U566"/>
  <c r="W566"/>
  <c r="Y570"/>
  <c r="AA570"/>
  <c r="AC570"/>
  <c r="Z570"/>
  <c r="AB570"/>
  <c r="AD570"/>
  <c r="R570"/>
  <c r="T570"/>
  <c r="V570"/>
  <c r="S570"/>
  <c r="U570"/>
  <c r="W570"/>
  <c r="Y574"/>
  <c r="AA574"/>
  <c r="AC574"/>
  <c r="Z574"/>
  <c r="AB574"/>
  <c r="AD574"/>
  <c r="R574"/>
  <c r="T574"/>
  <c r="V574"/>
  <c r="S574"/>
  <c r="U574"/>
  <c r="W574"/>
  <c r="R578"/>
  <c r="T578"/>
  <c r="V578"/>
  <c r="Z578"/>
  <c r="AB578"/>
  <c r="AD578"/>
  <c r="S578"/>
  <c r="U578"/>
  <c r="W578"/>
  <c r="Y578"/>
  <c r="AA578"/>
  <c r="AC578"/>
  <c r="R582"/>
  <c r="T582"/>
  <c r="V582"/>
  <c r="Z582"/>
  <c r="AB582"/>
  <c r="AD582"/>
  <c r="S582"/>
  <c r="U582"/>
  <c r="W582"/>
  <c r="Y582"/>
  <c r="AA582"/>
  <c r="AC582"/>
  <c r="R608"/>
  <c r="T608"/>
  <c r="V608"/>
  <c r="Z608"/>
  <c r="AB608"/>
  <c r="AD608"/>
  <c r="S608"/>
  <c r="U608"/>
  <c r="W608"/>
  <c r="Y608"/>
  <c r="AA608"/>
  <c r="AC608"/>
  <c r="R587"/>
  <c r="T587"/>
  <c r="V587"/>
  <c r="Z587"/>
  <c r="AB587"/>
  <c r="AD587"/>
  <c r="S587"/>
  <c r="U587"/>
  <c r="W587"/>
  <c r="Y587"/>
  <c r="AA587"/>
  <c r="AC587"/>
  <c r="R591"/>
  <c r="T591"/>
  <c r="V591"/>
  <c r="Z591"/>
  <c r="AB591"/>
  <c r="AD591"/>
  <c r="S591"/>
  <c r="U591"/>
  <c r="W591"/>
  <c r="Y591"/>
  <c r="AA591"/>
  <c r="AC591"/>
  <c r="R595"/>
  <c r="T595"/>
  <c r="V595"/>
  <c r="Z595"/>
  <c r="AB595"/>
  <c r="AD595"/>
  <c r="S595"/>
  <c r="U595"/>
  <c r="W595"/>
  <c r="Y595"/>
  <c r="AA595"/>
  <c r="AC595"/>
  <c r="R599"/>
  <c r="T599"/>
  <c r="V599"/>
  <c r="Z599"/>
  <c r="AB599"/>
  <c r="AD599"/>
  <c r="S599"/>
  <c r="W599"/>
  <c r="Y599"/>
  <c r="AC599"/>
  <c r="U599"/>
  <c r="AA599"/>
  <c r="R603"/>
  <c r="T603"/>
  <c r="V603"/>
  <c r="Z603"/>
  <c r="AB603"/>
  <c r="AD603"/>
  <c r="S603"/>
  <c r="W603"/>
  <c r="Y603"/>
  <c r="AC603"/>
  <c r="U603"/>
  <c r="AA603"/>
  <c r="R610"/>
  <c r="T610"/>
  <c r="V610"/>
  <c r="Z610"/>
  <c r="AB610"/>
  <c r="AD610"/>
  <c r="S610"/>
  <c r="W610"/>
  <c r="Y610"/>
  <c r="AC610"/>
  <c r="U610"/>
  <c r="AA610"/>
  <c r="R614"/>
  <c r="T614"/>
  <c r="V614"/>
  <c r="Z614"/>
  <c r="AB614"/>
  <c r="AD614"/>
  <c r="S614"/>
  <c r="U614"/>
  <c r="W614"/>
  <c r="Y614"/>
  <c r="AA614"/>
  <c r="AC614"/>
  <c r="R618"/>
  <c r="T618"/>
  <c r="V618"/>
  <c r="Z618"/>
  <c r="AB618"/>
  <c r="AD618"/>
  <c r="S618"/>
  <c r="U618"/>
  <c r="W618"/>
  <c r="Y618"/>
  <c r="AA618"/>
  <c r="AC618"/>
  <c r="R622"/>
  <c r="T622"/>
  <c r="V622"/>
  <c r="Z622"/>
  <c r="AB622"/>
  <c r="AD622"/>
  <c r="S622"/>
  <c r="U622"/>
  <c r="W622"/>
  <c r="Y622"/>
  <c r="AA622"/>
  <c r="AC622"/>
  <c r="R626"/>
  <c r="T626"/>
  <c r="V626"/>
  <c r="Z626"/>
  <c r="AB626"/>
  <c r="AD626"/>
  <c r="S626"/>
  <c r="U626"/>
  <c r="W626"/>
  <c r="Y626"/>
  <c r="AA626"/>
  <c r="AC626"/>
  <c r="R630"/>
  <c r="T630"/>
  <c r="V630"/>
  <c r="Z630"/>
  <c r="AB630"/>
  <c r="AD630"/>
  <c r="S630"/>
  <c r="U630"/>
  <c r="W630"/>
  <c r="Y630"/>
  <c r="AA630"/>
  <c r="AC630"/>
  <c r="R634"/>
  <c r="T634"/>
  <c r="V634"/>
  <c r="Z634"/>
  <c r="AB634"/>
  <c r="AD634"/>
  <c r="S634"/>
  <c r="U634"/>
  <c r="W634"/>
  <c r="Y634"/>
  <c r="AA634"/>
  <c r="AC634"/>
  <c r="R638"/>
  <c r="T638"/>
  <c r="V638"/>
  <c r="Z638"/>
  <c r="AB638"/>
  <c r="AD638"/>
  <c r="S638"/>
  <c r="U638"/>
  <c r="W638"/>
  <c r="Y638"/>
  <c r="AA638"/>
  <c r="AC638"/>
  <c r="R642"/>
  <c r="T642"/>
  <c r="V642"/>
  <c r="Z642"/>
  <c r="AB642"/>
  <c r="AD642"/>
  <c r="S642"/>
  <c r="U642"/>
  <c r="W642"/>
  <c r="Y642"/>
  <c r="AA642"/>
  <c r="AC642"/>
  <c r="R650"/>
  <c r="T650"/>
  <c r="V650"/>
  <c r="Z650"/>
  <c r="AB650"/>
  <c r="AD650"/>
  <c r="S650"/>
  <c r="U650"/>
  <c r="W650"/>
  <c r="Y650"/>
  <c r="AA650"/>
  <c r="AC650"/>
  <c r="R656"/>
  <c r="T656"/>
  <c r="V656"/>
  <c r="Z656"/>
  <c r="AB656"/>
  <c r="AD656"/>
  <c r="S656"/>
  <c r="U656"/>
  <c r="W656"/>
  <c r="Y656"/>
  <c r="AA656"/>
  <c r="AC656"/>
  <c r="R662"/>
  <c r="T662"/>
  <c r="V662"/>
  <c r="Z662"/>
  <c r="AB662"/>
  <c r="AD662"/>
  <c r="S662"/>
  <c r="U662"/>
  <c r="W662"/>
  <c r="Y662"/>
  <c r="AA662"/>
  <c r="AC662"/>
  <c r="R734"/>
  <c r="T734"/>
  <c r="V734"/>
  <c r="Z734"/>
  <c r="AB734"/>
  <c r="AD734"/>
  <c r="S734"/>
  <c r="U734"/>
  <c r="W734"/>
  <c r="Y734"/>
  <c r="AA734"/>
  <c r="AC734"/>
  <c r="R738"/>
  <c r="T738"/>
  <c r="V738"/>
  <c r="Z738"/>
  <c r="AB738"/>
  <c r="AD738"/>
  <c r="S738"/>
  <c r="U738"/>
  <c r="W738"/>
  <c r="Y738"/>
  <c r="AA738"/>
  <c r="AC738"/>
  <c r="R742"/>
  <c r="T742"/>
  <c r="V742"/>
  <c r="Z742"/>
  <c r="AB742"/>
  <c r="AD742"/>
  <c r="S742"/>
  <c r="U742"/>
  <c r="W742"/>
  <c r="Y742"/>
  <c r="AA742"/>
  <c r="AC742"/>
  <c r="R746"/>
  <c r="T746"/>
  <c r="V746"/>
  <c r="Z746"/>
  <c r="AB746"/>
  <c r="AD746"/>
  <c r="S746"/>
  <c r="U746"/>
  <c r="W746"/>
  <c r="Y746"/>
  <c r="AA746"/>
  <c r="AC746"/>
  <c r="R750"/>
  <c r="T750"/>
  <c r="V750"/>
  <c r="Z750"/>
  <c r="AB750"/>
  <c r="AD750"/>
  <c r="S750"/>
  <c r="U750"/>
  <c r="W750"/>
  <c r="Y750"/>
  <c r="AA750"/>
  <c r="AC750"/>
  <c r="R754"/>
  <c r="T754"/>
  <c r="V754"/>
  <c r="Z754"/>
  <c r="AB754"/>
  <c r="AD754"/>
  <c r="S754"/>
  <c r="U754"/>
  <c r="W754"/>
  <c r="Y754"/>
  <c r="AA754"/>
  <c r="AC754"/>
  <c r="Y12"/>
  <c r="AA12"/>
  <c r="AC12"/>
  <c r="Z12"/>
  <c r="AB12"/>
  <c r="AD12"/>
  <c r="S12"/>
  <c r="U12"/>
  <c r="W12"/>
  <c r="R12"/>
  <c r="T12"/>
  <c r="V12"/>
  <c r="Z14"/>
  <c r="AB14"/>
  <c r="AD14"/>
  <c r="Y14"/>
  <c r="AA14"/>
  <c r="AC14"/>
  <c r="S14"/>
  <c r="U14"/>
  <c r="W14"/>
  <c r="R14"/>
  <c r="T14"/>
  <c r="V14"/>
  <c r="Z15"/>
  <c r="AB15"/>
  <c r="AD15"/>
  <c r="Y15"/>
  <c r="AA15"/>
  <c r="AC15"/>
  <c r="S15"/>
  <c r="U15"/>
  <c r="W15"/>
  <c r="R15"/>
  <c r="T15"/>
  <c r="V15"/>
  <c r="Z16"/>
  <c r="AB16"/>
  <c r="AD16"/>
  <c r="Y16"/>
  <c r="AA16"/>
  <c r="AC16"/>
  <c r="S16"/>
  <c r="U16"/>
  <c r="W16"/>
  <c r="R16"/>
  <c r="T16"/>
  <c r="V16"/>
  <c r="Z17"/>
  <c r="AB17"/>
  <c r="AD17"/>
  <c r="Y17"/>
  <c r="AA17"/>
  <c r="AC17"/>
  <c r="S17"/>
  <c r="U17"/>
  <c r="W17"/>
  <c r="R17"/>
  <c r="T17"/>
  <c r="V17"/>
  <c r="Z26"/>
  <c r="AB26"/>
  <c r="AD26"/>
  <c r="Y26"/>
  <c r="AA26"/>
  <c r="AC26"/>
  <c r="S26"/>
  <c r="U26"/>
  <c r="W26"/>
  <c r="R26"/>
  <c r="T26"/>
  <c r="V26"/>
  <c r="Z28"/>
  <c r="AB28"/>
  <c r="AD28"/>
  <c r="Y28"/>
  <c r="AA28"/>
  <c r="AC28"/>
  <c r="S28"/>
  <c r="U28"/>
  <c r="W28"/>
  <c r="R28"/>
  <c r="T28"/>
  <c r="V28"/>
  <c r="Z30"/>
  <c r="AB30"/>
  <c r="AD30"/>
  <c r="Y30"/>
  <c r="AA30"/>
  <c r="AC30"/>
  <c r="S30"/>
  <c r="U30"/>
  <c r="W30"/>
  <c r="R30"/>
  <c r="T30"/>
  <c r="V30"/>
  <c r="Z32"/>
  <c r="AB32"/>
  <c r="AD32"/>
  <c r="Y32"/>
  <c r="AA32"/>
  <c r="AC32"/>
  <c r="S32"/>
  <c r="U32"/>
  <c r="W32"/>
  <c r="R32"/>
  <c r="T32"/>
  <c r="V32"/>
  <c r="Z34"/>
  <c r="AB34"/>
  <c r="AD34"/>
  <c r="Y34"/>
  <c r="AA34"/>
  <c r="AC34"/>
  <c r="S34"/>
  <c r="U34"/>
  <c r="W34"/>
  <c r="R34"/>
  <c r="T34"/>
  <c r="V34"/>
  <c r="Z36"/>
  <c r="AB36"/>
  <c r="AD36"/>
  <c r="Y36"/>
  <c r="AA36"/>
  <c r="AC36"/>
  <c r="S36"/>
  <c r="U36"/>
  <c r="W36"/>
  <c r="R36"/>
  <c r="T36"/>
  <c r="V36"/>
  <c r="Z38"/>
  <c r="AB38"/>
  <c r="AD38"/>
  <c r="Y38"/>
  <c r="AA38"/>
  <c r="AC38"/>
  <c r="S38"/>
  <c r="U38"/>
  <c r="W38"/>
  <c r="R38"/>
  <c r="T38"/>
  <c r="V38"/>
  <c r="Z40"/>
  <c r="AB40"/>
  <c r="AD40"/>
  <c r="Y40"/>
  <c r="AA40"/>
  <c r="AC40"/>
  <c r="S40"/>
  <c r="U40"/>
  <c r="W40"/>
  <c r="R40"/>
  <c r="T40"/>
  <c r="V40"/>
  <c r="Z42"/>
  <c r="AB42"/>
  <c r="AD42"/>
  <c r="Y42"/>
  <c r="AA42"/>
  <c r="AC42"/>
  <c r="S42"/>
  <c r="U42"/>
  <c r="W42"/>
  <c r="R42"/>
  <c r="T42"/>
  <c r="V42"/>
  <c r="Z44"/>
  <c r="AB44"/>
  <c r="AD44"/>
  <c r="Y44"/>
  <c r="AA44"/>
  <c r="AC44"/>
  <c r="S44"/>
  <c r="U44"/>
  <c r="W44"/>
  <c r="R44"/>
  <c r="T44"/>
  <c r="V44"/>
  <c r="Z46"/>
  <c r="AB46"/>
  <c r="AD46"/>
  <c r="Y46"/>
  <c r="AA46"/>
  <c r="AC46"/>
  <c r="S46"/>
  <c r="U46"/>
  <c r="W46"/>
  <c r="R46"/>
  <c r="T46"/>
  <c r="V46"/>
  <c r="Z48"/>
  <c r="AB48"/>
  <c r="AD48"/>
  <c r="Y48"/>
  <c r="AA48"/>
  <c r="AC48"/>
  <c r="S48"/>
  <c r="U48"/>
  <c r="W48"/>
  <c r="R48"/>
  <c r="T48"/>
  <c r="V48"/>
  <c r="Z50"/>
  <c r="AB50"/>
  <c r="AD50"/>
  <c r="Y50"/>
  <c r="AA50"/>
  <c r="AC50"/>
  <c r="S50"/>
  <c r="U50"/>
  <c r="W50"/>
  <c r="R50"/>
  <c r="T50"/>
  <c r="V50"/>
  <c r="Z52"/>
  <c r="AB52"/>
  <c r="AD52"/>
  <c r="Y52"/>
  <c r="AA52"/>
  <c r="AC52"/>
  <c r="S52"/>
  <c r="U52"/>
  <c r="W52"/>
  <c r="R52"/>
  <c r="T52"/>
  <c r="V52"/>
  <c r="Z54"/>
  <c r="AB54"/>
  <c r="AD54"/>
  <c r="Y54"/>
  <c r="AA54"/>
  <c r="AC54"/>
  <c r="S54"/>
  <c r="U54"/>
  <c r="W54"/>
  <c r="R54"/>
  <c r="T54"/>
  <c r="V54"/>
  <c r="Z56"/>
  <c r="AB56"/>
  <c r="AD56"/>
  <c r="Y56"/>
  <c r="AA56"/>
  <c r="AC56"/>
  <c r="S56"/>
  <c r="U56"/>
  <c r="W56"/>
  <c r="R56"/>
  <c r="T56"/>
  <c r="V56"/>
  <c r="Z58"/>
  <c r="AB58"/>
  <c r="AD58"/>
  <c r="Y58"/>
  <c r="AA58"/>
  <c r="AC58"/>
  <c r="S58"/>
  <c r="U58"/>
  <c r="W58"/>
  <c r="R58"/>
  <c r="T58"/>
  <c r="V58"/>
  <c r="Z60"/>
  <c r="AB60"/>
  <c r="AD60"/>
  <c r="Y60"/>
  <c r="AA60"/>
  <c r="AC60"/>
  <c r="S60"/>
  <c r="U60"/>
  <c r="W60"/>
  <c r="R60"/>
  <c r="T60"/>
  <c r="V60"/>
  <c r="Z62"/>
  <c r="AB62"/>
  <c r="AD62"/>
  <c r="Y62"/>
  <c r="AA62"/>
  <c r="AC62"/>
  <c r="S62"/>
  <c r="U62"/>
  <c r="W62"/>
  <c r="R62"/>
  <c r="T62"/>
  <c r="V62"/>
  <c r="Z64"/>
  <c r="AB64"/>
  <c r="AD64"/>
  <c r="Y64"/>
  <c r="AA64"/>
  <c r="AC64"/>
  <c r="S64"/>
  <c r="U64"/>
  <c r="W64"/>
  <c r="R64"/>
  <c r="T64"/>
  <c r="V64"/>
  <c r="Z66"/>
  <c r="AB66"/>
  <c r="AD66"/>
  <c r="Y66"/>
  <c r="AA66"/>
  <c r="AC66"/>
  <c r="S66"/>
  <c r="U66"/>
  <c r="W66"/>
  <c r="R66"/>
  <c r="T66"/>
  <c r="V66"/>
  <c r="Z68"/>
  <c r="AB68"/>
  <c r="AD68"/>
  <c r="Y68"/>
  <c r="AA68"/>
  <c r="AC68"/>
  <c r="S68"/>
  <c r="U68"/>
  <c r="W68"/>
  <c r="R68"/>
  <c r="T68"/>
  <c r="V68"/>
  <c r="Z70"/>
  <c r="AB70"/>
  <c r="AD70"/>
  <c r="Y70"/>
  <c r="AA70"/>
  <c r="AC70"/>
  <c r="S70"/>
  <c r="U70"/>
  <c r="W70"/>
  <c r="R70"/>
  <c r="T70"/>
  <c r="V70"/>
  <c r="Z72"/>
  <c r="AB72"/>
  <c r="AD72"/>
  <c r="Y72"/>
  <c r="AA72"/>
  <c r="AC72"/>
  <c r="S72"/>
  <c r="U72"/>
  <c r="W72"/>
  <c r="R72"/>
  <c r="T72"/>
  <c r="V72"/>
  <c r="Z74"/>
  <c r="AB74"/>
  <c r="AD74"/>
  <c r="Y74"/>
  <c r="AA74"/>
  <c r="AC74"/>
  <c r="S74"/>
  <c r="U74"/>
  <c r="W74"/>
  <c r="R74"/>
  <c r="T74"/>
  <c r="V74"/>
  <c r="Z76"/>
  <c r="AB76"/>
  <c r="AD76"/>
  <c r="Y76"/>
  <c r="AA76"/>
  <c r="AC76"/>
  <c r="S76"/>
  <c r="U76"/>
  <c r="W76"/>
  <c r="R76"/>
  <c r="T76"/>
  <c r="V76"/>
  <c r="Z78"/>
  <c r="AB78"/>
  <c r="AD78"/>
  <c r="Y78"/>
  <c r="AA78"/>
  <c r="AC78"/>
  <c r="S78"/>
  <c r="U78"/>
  <c r="W78"/>
  <c r="R78"/>
  <c r="T78"/>
  <c r="V78"/>
  <c r="Z80"/>
  <c r="AB80"/>
  <c r="AD80"/>
  <c r="Y80"/>
  <c r="AA80"/>
  <c r="AC80"/>
  <c r="S80"/>
  <c r="U80"/>
  <c r="W80"/>
  <c r="R80"/>
  <c r="T80"/>
  <c r="V80"/>
  <c r="Z82"/>
  <c r="AB82"/>
  <c r="AD82"/>
  <c r="Y82"/>
  <c r="AA82"/>
  <c r="AC82"/>
  <c r="S82"/>
  <c r="U82"/>
  <c r="W82"/>
  <c r="R82"/>
  <c r="T82"/>
  <c r="V82"/>
  <c r="Z84"/>
  <c r="AB84"/>
  <c r="AD84"/>
  <c r="Y84"/>
  <c r="AA84"/>
  <c r="AC84"/>
  <c r="S84"/>
  <c r="U84"/>
  <c r="W84"/>
  <c r="R84"/>
  <c r="T84"/>
  <c r="V84"/>
  <c r="Z86"/>
  <c r="AB86"/>
  <c r="AD86"/>
  <c r="Y86"/>
  <c r="AA86"/>
  <c r="AC86"/>
  <c r="S86"/>
  <c r="U86"/>
  <c r="W86"/>
  <c r="R86"/>
  <c r="T86"/>
  <c r="V86"/>
  <c r="Z88"/>
  <c r="AB88"/>
  <c r="AD88"/>
  <c r="AA88"/>
  <c r="Y88"/>
  <c r="AC88"/>
  <c r="S88"/>
  <c r="U88"/>
  <c r="W88"/>
  <c r="R88"/>
  <c r="T88"/>
  <c r="V88"/>
  <c r="Z90"/>
  <c r="AB90"/>
  <c r="AD90"/>
  <c r="AA90"/>
  <c r="Y90"/>
  <c r="AC90"/>
  <c r="S90"/>
  <c r="U90"/>
  <c r="W90"/>
  <c r="R90"/>
  <c r="T90"/>
  <c r="V90"/>
  <c r="Z92"/>
  <c r="AB92"/>
  <c r="AD92"/>
  <c r="AA92"/>
  <c r="Y92"/>
  <c r="AC92"/>
  <c r="S92"/>
  <c r="U92"/>
  <c r="W92"/>
  <c r="R92"/>
  <c r="T92"/>
  <c r="V92"/>
  <c r="Z94"/>
  <c r="AB94"/>
  <c r="AD94"/>
  <c r="AA94"/>
  <c r="Y94"/>
  <c r="AC94"/>
  <c r="S94"/>
  <c r="U94"/>
  <c r="W94"/>
  <c r="R94"/>
  <c r="T94"/>
  <c r="V94"/>
  <c r="Z96"/>
  <c r="AB96"/>
  <c r="AD96"/>
  <c r="AA96"/>
  <c r="Y96"/>
  <c r="AC96"/>
  <c r="S96"/>
  <c r="U96"/>
  <c r="W96"/>
  <c r="R96"/>
  <c r="T96"/>
  <c r="V96"/>
  <c r="Z98"/>
  <c r="AB98"/>
  <c r="AD98"/>
  <c r="AA98"/>
  <c r="Y98"/>
  <c r="AC98"/>
  <c r="S98"/>
  <c r="U98"/>
  <c r="W98"/>
  <c r="R98"/>
  <c r="T98"/>
  <c r="V98"/>
  <c r="Z100"/>
  <c r="AB100"/>
  <c r="AD100"/>
  <c r="AA100"/>
  <c r="Y100"/>
  <c r="AC100"/>
  <c r="S100"/>
  <c r="U100"/>
  <c r="W100"/>
  <c r="R100"/>
  <c r="T100"/>
  <c r="V100"/>
  <c r="Z102"/>
  <c r="AB102"/>
  <c r="AD102"/>
  <c r="AA102"/>
  <c r="Y102"/>
  <c r="AC102"/>
  <c r="S102"/>
  <c r="U102"/>
  <c r="W102"/>
  <c r="R102"/>
  <c r="T102"/>
  <c r="V102"/>
  <c r="Z104"/>
  <c r="AB104"/>
  <c r="AD104"/>
  <c r="AA104"/>
  <c r="Y104"/>
  <c r="AC104"/>
  <c r="S104"/>
  <c r="U104"/>
  <c r="W104"/>
  <c r="R104"/>
  <c r="T104"/>
  <c r="V104"/>
  <c r="Z106"/>
  <c r="AB106"/>
  <c r="AD106"/>
  <c r="Y106"/>
  <c r="AA106"/>
  <c r="AC106"/>
  <c r="S106"/>
  <c r="U106"/>
  <c r="W106"/>
  <c r="R106"/>
  <c r="T106"/>
  <c r="V106"/>
  <c r="Z108"/>
  <c r="AB108"/>
  <c r="AD108"/>
  <c r="Y108"/>
  <c r="AA108"/>
  <c r="AC108"/>
  <c r="S108"/>
  <c r="U108"/>
  <c r="W108"/>
  <c r="R108"/>
  <c r="T108"/>
  <c r="V108"/>
  <c r="Z110"/>
  <c r="AB110"/>
  <c r="AD110"/>
  <c r="Y110"/>
  <c r="AA110"/>
  <c r="AC110"/>
  <c r="S110"/>
  <c r="U110"/>
  <c r="W110"/>
  <c r="R110"/>
  <c r="T110"/>
  <c r="V110"/>
  <c r="Z112"/>
  <c r="AB112"/>
  <c r="AD112"/>
  <c r="Y112"/>
  <c r="AA112"/>
  <c r="AC112"/>
  <c r="S112"/>
  <c r="U112"/>
  <c r="W112"/>
  <c r="R112"/>
  <c r="T112"/>
  <c r="V112"/>
  <c r="Z114"/>
  <c r="AB114"/>
  <c r="AD114"/>
  <c r="Y114"/>
  <c r="AA114"/>
  <c r="AC114"/>
  <c r="S114"/>
  <c r="U114"/>
  <c r="W114"/>
  <c r="R114"/>
  <c r="T114"/>
  <c r="V114"/>
  <c r="Z116"/>
  <c r="AB116"/>
  <c r="AD116"/>
  <c r="Y116"/>
  <c r="AA116"/>
  <c r="AC116"/>
  <c r="S116"/>
  <c r="U116"/>
  <c r="W116"/>
  <c r="R116"/>
  <c r="T116"/>
  <c r="V116"/>
  <c r="Z118"/>
  <c r="AB118"/>
  <c r="AD118"/>
  <c r="Y118"/>
  <c r="AA118"/>
  <c r="AC118"/>
  <c r="S118"/>
  <c r="U118"/>
  <c r="W118"/>
  <c r="R118"/>
  <c r="T118"/>
  <c r="V118"/>
  <c r="Z120"/>
  <c r="AB120"/>
  <c r="AD120"/>
  <c r="Y120"/>
  <c r="AA120"/>
  <c r="AC120"/>
  <c r="S120"/>
  <c r="U120"/>
  <c r="W120"/>
  <c r="R120"/>
  <c r="T120"/>
  <c r="V120"/>
  <c r="Z122"/>
  <c r="AB122"/>
  <c r="AD122"/>
  <c r="Y122"/>
  <c r="AA122"/>
  <c r="AC122"/>
  <c r="S122"/>
  <c r="U122"/>
  <c r="W122"/>
  <c r="R122"/>
  <c r="T122"/>
  <c r="V122"/>
  <c r="Z124"/>
  <c r="AB124"/>
  <c r="AD124"/>
  <c r="Y124"/>
  <c r="AA124"/>
  <c r="AC124"/>
  <c r="S124"/>
  <c r="U124"/>
  <c r="W124"/>
  <c r="R124"/>
  <c r="T124"/>
  <c r="V124"/>
  <c r="Z126"/>
  <c r="AB126"/>
  <c r="AD126"/>
  <c r="Y126"/>
  <c r="AA126"/>
  <c r="AC126"/>
  <c r="S126"/>
  <c r="U126"/>
  <c r="W126"/>
  <c r="R126"/>
  <c r="T126"/>
  <c r="V126"/>
  <c r="Z128"/>
  <c r="AB128"/>
  <c r="AD128"/>
  <c r="Y128"/>
  <c r="AA128"/>
  <c r="AC128"/>
  <c r="S128"/>
  <c r="U128"/>
  <c r="W128"/>
  <c r="R128"/>
  <c r="T128"/>
  <c r="V128"/>
  <c r="Z130"/>
  <c r="AB130"/>
  <c r="AD130"/>
  <c r="Y130"/>
  <c r="AA130"/>
  <c r="AC130"/>
  <c r="S130"/>
  <c r="U130"/>
  <c r="W130"/>
  <c r="R130"/>
  <c r="T130"/>
  <c r="V130"/>
  <c r="Z132"/>
  <c r="AB132"/>
  <c r="AD132"/>
  <c r="Y132"/>
  <c r="AA132"/>
  <c r="AC132"/>
  <c r="S132"/>
  <c r="U132"/>
  <c r="W132"/>
  <c r="R132"/>
  <c r="T132"/>
  <c r="V132"/>
  <c r="Z134"/>
  <c r="AB134"/>
  <c r="AD134"/>
  <c r="Y134"/>
  <c r="AA134"/>
  <c r="AC134"/>
  <c r="S134"/>
  <c r="U134"/>
  <c r="W134"/>
  <c r="R134"/>
  <c r="T134"/>
  <c r="V134"/>
  <c r="Z136"/>
  <c r="AB136"/>
  <c r="AD136"/>
  <c r="Y136"/>
  <c r="AA136"/>
  <c r="AC136"/>
  <c r="S136"/>
  <c r="U136"/>
  <c r="W136"/>
  <c r="R136"/>
  <c r="T136"/>
  <c r="V136"/>
  <c r="Z138"/>
  <c r="AB138"/>
  <c r="AD138"/>
  <c r="Y138"/>
  <c r="AA138"/>
  <c r="AC138"/>
  <c r="S138"/>
  <c r="U138"/>
  <c r="W138"/>
  <c r="R138"/>
  <c r="T138"/>
  <c r="V138"/>
  <c r="Z140"/>
  <c r="AB140"/>
  <c r="AD140"/>
  <c r="Y140"/>
  <c r="AA140"/>
  <c r="AC140"/>
  <c r="S140"/>
  <c r="U140"/>
  <c r="W140"/>
  <c r="R140"/>
  <c r="T140"/>
  <c r="V140"/>
  <c r="Z142"/>
  <c r="AB142"/>
  <c r="AD142"/>
  <c r="Y142"/>
  <c r="AA142"/>
  <c r="AC142"/>
  <c r="S142"/>
  <c r="U142"/>
  <c r="W142"/>
  <c r="R142"/>
  <c r="T142"/>
  <c r="V142"/>
  <c r="Z144"/>
  <c r="AB144"/>
  <c r="AD144"/>
  <c r="Y144"/>
  <c r="AA144"/>
  <c r="AC144"/>
  <c r="S144"/>
  <c r="U144"/>
  <c r="W144"/>
  <c r="R144"/>
  <c r="T144"/>
  <c r="V144"/>
  <c r="Z146"/>
  <c r="AB146"/>
  <c r="AD146"/>
  <c r="Y146"/>
  <c r="AA146"/>
  <c r="AC146"/>
  <c r="S146"/>
  <c r="U146"/>
  <c r="W146"/>
  <c r="R146"/>
  <c r="T146"/>
  <c r="V146"/>
  <c r="Z148"/>
  <c r="AB148"/>
  <c r="AD148"/>
  <c r="Y148"/>
  <c r="AA148"/>
  <c r="AC148"/>
  <c r="S148"/>
  <c r="U148"/>
  <c r="W148"/>
  <c r="R148"/>
  <c r="T148"/>
  <c r="V148"/>
  <c r="Z150"/>
  <c r="AB150"/>
  <c r="AD150"/>
  <c r="Y150"/>
  <c r="AA150"/>
  <c r="AC150"/>
  <c r="S150"/>
  <c r="U150"/>
  <c r="W150"/>
  <c r="R150"/>
  <c r="T150"/>
  <c r="V150"/>
  <c r="Z152"/>
  <c r="AB152"/>
  <c r="AD152"/>
  <c r="Y152"/>
  <c r="AA152"/>
  <c r="AC152"/>
  <c r="S152"/>
  <c r="U152"/>
  <c r="W152"/>
  <c r="R152"/>
  <c r="T152"/>
  <c r="V152"/>
  <c r="Z154"/>
  <c r="AB154"/>
  <c r="AD154"/>
  <c r="Y154"/>
  <c r="AA154"/>
  <c r="AC154"/>
  <c r="S154"/>
  <c r="U154"/>
  <c r="W154"/>
  <c r="R154"/>
  <c r="T154"/>
  <c r="V154"/>
  <c r="Z156"/>
  <c r="AB156"/>
  <c r="AD156"/>
  <c r="Y156"/>
  <c r="AA156"/>
  <c r="AC156"/>
  <c r="S156"/>
  <c r="U156"/>
  <c r="W156"/>
  <c r="R156"/>
  <c r="T156"/>
  <c r="V156"/>
  <c r="Z158"/>
  <c r="AB158"/>
  <c r="AD158"/>
  <c r="Y158"/>
  <c r="AA158"/>
  <c r="AC158"/>
  <c r="S158"/>
  <c r="U158"/>
  <c r="W158"/>
  <c r="R158"/>
  <c r="T158"/>
  <c r="V158"/>
  <c r="Z162"/>
  <c r="AB162"/>
  <c r="AD162"/>
  <c r="Y162"/>
  <c r="AA162"/>
  <c r="AC162"/>
  <c r="S162"/>
  <c r="U162"/>
  <c r="W162"/>
  <c r="R162"/>
  <c r="T162"/>
  <c r="V162"/>
  <c r="Z164"/>
  <c r="AB164"/>
  <c r="AD164"/>
  <c r="Y164"/>
  <c r="AA164"/>
  <c r="AC164"/>
  <c r="S164"/>
  <c r="U164"/>
  <c r="W164"/>
  <c r="R164"/>
  <c r="T164"/>
  <c r="V164"/>
  <c r="Z170"/>
  <c r="AB170"/>
  <c r="AD170"/>
  <c r="Y170"/>
  <c r="AA170"/>
  <c r="AC170"/>
  <c r="S170"/>
  <c r="U170"/>
  <c r="W170"/>
  <c r="R170"/>
  <c r="T170"/>
  <c r="V170"/>
  <c r="Z172"/>
  <c r="AB172"/>
  <c r="AD172"/>
  <c r="Y172"/>
  <c r="AA172"/>
  <c r="AC172"/>
  <c r="S172"/>
  <c r="U172"/>
  <c r="W172"/>
  <c r="R172"/>
  <c r="T172"/>
  <c r="V172"/>
  <c r="Z175"/>
  <c r="AB175"/>
  <c r="AD175"/>
  <c r="Y175"/>
  <c r="AA175"/>
  <c r="AC175"/>
  <c r="S175"/>
  <c r="U175"/>
  <c r="W175"/>
  <c r="R175"/>
  <c r="T175"/>
  <c r="V175"/>
  <c r="Z177"/>
  <c r="AB177"/>
  <c r="AD177"/>
  <c r="Y177"/>
  <c r="AA177"/>
  <c r="AC177"/>
  <c r="S177"/>
  <c r="U177"/>
  <c r="W177"/>
  <c r="R177"/>
  <c r="T177"/>
  <c r="V177"/>
  <c r="Z167"/>
  <c r="AB167"/>
  <c r="AD167"/>
  <c r="Y167"/>
  <c r="AA167"/>
  <c r="AC167"/>
  <c r="S167"/>
  <c r="U167"/>
  <c r="W167"/>
  <c r="R167"/>
  <c r="T167"/>
  <c r="V167"/>
  <c r="Z179"/>
  <c r="AB179"/>
  <c r="AD179"/>
  <c r="Y179"/>
  <c r="AA179"/>
  <c r="AC179"/>
  <c r="S179"/>
  <c r="U179"/>
  <c r="W179"/>
  <c r="R179"/>
  <c r="T179"/>
  <c r="V179"/>
  <c r="Z181"/>
  <c r="AB181"/>
  <c r="AD181"/>
  <c r="Y181"/>
  <c r="AC181"/>
  <c r="AA181"/>
  <c r="S181"/>
  <c r="U181"/>
  <c r="W181"/>
  <c r="R181"/>
  <c r="T181"/>
  <c r="V181"/>
  <c r="Z183"/>
  <c r="AB183"/>
  <c r="AD183"/>
  <c r="Y183"/>
  <c r="AC183"/>
  <c r="AA183"/>
  <c r="S183"/>
  <c r="U183"/>
  <c r="W183"/>
  <c r="R183"/>
  <c r="T183"/>
  <c r="V183"/>
  <c r="Z185"/>
  <c r="AB185"/>
  <c r="AD185"/>
  <c r="Y185"/>
  <c r="AC185"/>
  <c r="AA185"/>
  <c r="S185"/>
  <c r="U185"/>
  <c r="W185"/>
  <c r="R185"/>
  <c r="T185"/>
  <c r="V185"/>
  <c r="Z187"/>
  <c r="AB187"/>
  <c r="AD187"/>
  <c r="Y187"/>
  <c r="AC187"/>
  <c r="AA187"/>
  <c r="S187"/>
  <c r="U187"/>
  <c r="W187"/>
  <c r="R187"/>
  <c r="T187"/>
  <c r="V187"/>
  <c r="Z189"/>
  <c r="AB189"/>
  <c r="AD189"/>
  <c r="Y189"/>
  <c r="AC189"/>
  <c r="AA189"/>
  <c r="S189"/>
  <c r="U189"/>
  <c r="W189"/>
  <c r="R189"/>
  <c r="T189"/>
  <c r="V189"/>
  <c r="Z191"/>
  <c r="AB191"/>
  <c r="AD191"/>
  <c r="Y191"/>
  <c r="AC191"/>
  <c r="AA191"/>
  <c r="S191"/>
  <c r="U191"/>
  <c r="W191"/>
  <c r="R191"/>
  <c r="T191"/>
  <c r="V191"/>
  <c r="Z193"/>
  <c r="AB193"/>
  <c r="AD193"/>
  <c r="Y193"/>
  <c r="AC193"/>
  <c r="AA193"/>
  <c r="S193"/>
  <c r="U193"/>
  <c r="W193"/>
  <c r="R193"/>
  <c r="T193"/>
  <c r="V193"/>
  <c r="Z195"/>
  <c r="AB195"/>
  <c r="AD195"/>
  <c r="Y195"/>
  <c r="AC195"/>
  <c r="AA195"/>
  <c r="S195"/>
  <c r="U195"/>
  <c r="W195"/>
  <c r="R195"/>
  <c r="T195"/>
  <c r="V195"/>
  <c r="Z197"/>
  <c r="AB197"/>
  <c r="AD197"/>
  <c r="Y197"/>
  <c r="AC197"/>
  <c r="AA197"/>
  <c r="S197"/>
  <c r="U197"/>
  <c r="W197"/>
  <c r="R197"/>
  <c r="T197"/>
  <c r="V197"/>
  <c r="Z199"/>
  <c r="Y199"/>
  <c r="AB199"/>
  <c r="AD199"/>
  <c r="AA199"/>
  <c r="AC199"/>
  <c r="S199"/>
  <c r="U199"/>
  <c r="W199"/>
  <c r="R199"/>
  <c r="T199"/>
  <c r="V199"/>
  <c r="Z201"/>
  <c r="AB201"/>
  <c r="AD201"/>
  <c r="Y201"/>
  <c r="AA201"/>
  <c r="AC201"/>
  <c r="S201"/>
  <c r="U201"/>
  <c r="W201"/>
  <c r="R201"/>
  <c r="T201"/>
  <c r="V201"/>
  <c r="Z203"/>
  <c r="AB203"/>
  <c r="AD203"/>
  <c r="Y203"/>
  <c r="AA203"/>
  <c r="AC203"/>
  <c r="S203"/>
  <c r="U203"/>
  <c r="W203"/>
  <c r="R203"/>
  <c r="T203"/>
  <c r="V203"/>
  <c r="Z205"/>
  <c r="AB205"/>
  <c r="AD205"/>
  <c r="Y205"/>
  <c r="AA205"/>
  <c r="AC205"/>
  <c r="S205"/>
  <c r="U205"/>
  <c r="W205"/>
  <c r="R205"/>
  <c r="T205"/>
  <c r="V205"/>
  <c r="Z207"/>
  <c r="AB207"/>
  <c r="AD207"/>
  <c r="Y207"/>
  <c r="AA207"/>
  <c r="AC207"/>
  <c r="S207"/>
  <c r="U207"/>
  <c r="W207"/>
  <c r="R207"/>
  <c r="T207"/>
  <c r="V207"/>
  <c r="Z209"/>
  <c r="AB209"/>
  <c r="AD209"/>
  <c r="Y209"/>
  <c r="AA209"/>
  <c r="AC209"/>
  <c r="S209"/>
  <c r="U209"/>
  <c r="W209"/>
  <c r="R209"/>
  <c r="T209"/>
  <c r="V209"/>
  <c r="Z211"/>
  <c r="AB211"/>
  <c r="AD211"/>
  <c r="Y211"/>
  <c r="AA211"/>
  <c r="AC211"/>
  <c r="S211"/>
  <c r="U211"/>
  <c r="W211"/>
  <c r="R211"/>
  <c r="T211"/>
  <c r="V211"/>
  <c r="Z213"/>
  <c r="AB213"/>
  <c r="AD213"/>
  <c r="Y213"/>
  <c r="AA213"/>
  <c r="AC213"/>
  <c r="S213"/>
  <c r="U213"/>
  <c r="W213"/>
  <c r="R213"/>
  <c r="T213"/>
  <c r="V213"/>
  <c r="Z215"/>
  <c r="AB215"/>
  <c r="AD215"/>
  <c r="Y215"/>
  <c r="AA215"/>
  <c r="AC215"/>
  <c r="S215"/>
  <c r="U215"/>
  <c r="W215"/>
  <c r="R215"/>
  <c r="T215"/>
  <c r="V215"/>
  <c r="Z217"/>
  <c r="AB217"/>
  <c r="AD217"/>
  <c r="Y217"/>
  <c r="AA217"/>
  <c r="AC217"/>
  <c r="S217"/>
  <c r="U217"/>
  <c r="W217"/>
  <c r="R217"/>
  <c r="T217"/>
  <c r="V217"/>
  <c r="Z223"/>
  <c r="AB223"/>
  <c r="AD223"/>
  <c r="Y223"/>
  <c r="AA223"/>
  <c r="AC223"/>
  <c r="S223"/>
  <c r="U223"/>
  <c r="W223"/>
  <c r="R223"/>
  <c r="T223"/>
  <c r="V223"/>
  <c r="Z226"/>
  <c r="AB226"/>
  <c r="AD226"/>
  <c r="Y226"/>
  <c r="AA226"/>
  <c r="AC226"/>
  <c r="S226"/>
  <c r="U226"/>
  <c r="W226"/>
  <c r="R226"/>
  <c r="T226"/>
  <c r="V226"/>
  <c r="Z228"/>
  <c r="AB228"/>
  <c r="AD228"/>
  <c r="Y228"/>
  <c r="AA228"/>
  <c r="AC228"/>
  <c r="S228"/>
  <c r="U228"/>
  <c r="W228"/>
  <c r="R228"/>
  <c r="T228"/>
  <c r="V228"/>
  <c r="Z230"/>
  <c r="AB230"/>
  <c r="AD230"/>
  <c r="Y230"/>
  <c r="AA230"/>
  <c r="AC230"/>
  <c r="S230"/>
  <c r="U230"/>
  <c r="W230"/>
  <c r="R230"/>
  <c r="T230"/>
  <c r="V230"/>
  <c r="Z232"/>
  <c r="AB232"/>
  <c r="AD232"/>
  <c r="Y232"/>
  <c r="AA232"/>
  <c r="AC232"/>
  <c r="S232"/>
  <c r="U232"/>
  <c r="W232"/>
  <c r="R232"/>
  <c r="T232"/>
  <c r="V232"/>
  <c r="Z235"/>
  <c r="AB235"/>
  <c r="AD235"/>
  <c r="Y235"/>
  <c r="AA235"/>
  <c r="AC235"/>
  <c r="S235"/>
  <c r="U235"/>
  <c r="W235"/>
  <c r="R235"/>
  <c r="T235"/>
  <c r="V235"/>
  <c r="Z238"/>
  <c r="AB238"/>
  <c r="AD238"/>
  <c r="Y238"/>
  <c r="AA238"/>
  <c r="AC238"/>
  <c r="S238"/>
  <c r="U238"/>
  <c r="W238"/>
  <c r="R238"/>
  <c r="T238"/>
  <c r="V238"/>
  <c r="Z240"/>
  <c r="AB240"/>
  <c r="AD240"/>
  <c r="Y240"/>
  <c r="AA240"/>
  <c r="AC240"/>
  <c r="S240"/>
  <c r="U240"/>
  <c r="W240"/>
  <c r="R240"/>
  <c r="T240"/>
  <c r="V240"/>
  <c r="Z242"/>
  <c r="AB242"/>
  <c r="AD242"/>
  <c r="Y242"/>
  <c r="AA242"/>
  <c r="AC242"/>
  <c r="S242"/>
  <c r="U242"/>
  <c r="W242"/>
  <c r="R242"/>
  <c r="T242"/>
  <c r="V242"/>
  <c r="Z244"/>
  <c r="AB244"/>
  <c r="AD244"/>
  <c r="Y244"/>
  <c r="AA244"/>
  <c r="AC244"/>
  <c r="S244"/>
  <c r="U244"/>
  <c r="W244"/>
  <c r="R244"/>
  <c r="T244"/>
  <c r="V244"/>
  <c r="Z246"/>
  <c r="AB246"/>
  <c r="AD246"/>
  <c r="Y246"/>
  <c r="AA246"/>
  <c r="AC246"/>
  <c r="S246"/>
  <c r="U246"/>
  <c r="W246"/>
  <c r="R246"/>
  <c r="T246"/>
  <c r="V246"/>
  <c r="Z248"/>
  <c r="AB248"/>
  <c r="AD248"/>
  <c r="Y248"/>
  <c r="AA248"/>
  <c r="AC248"/>
  <c r="S248"/>
  <c r="U248"/>
  <c r="W248"/>
  <c r="R248"/>
  <c r="T248"/>
  <c r="V248"/>
  <c r="Z268"/>
  <c r="AB268"/>
  <c r="AD268"/>
  <c r="Y268"/>
  <c r="AA268"/>
  <c r="AC268"/>
  <c r="S268"/>
  <c r="U268"/>
  <c r="W268"/>
  <c r="R268"/>
  <c r="T268"/>
  <c r="V268"/>
  <c r="Z273"/>
  <c r="AB273"/>
  <c r="AD273"/>
  <c r="Y273"/>
  <c r="AA273"/>
  <c r="AC273"/>
  <c r="S273"/>
  <c r="U273"/>
  <c r="W273"/>
  <c r="R273"/>
  <c r="T273"/>
  <c r="V273"/>
  <c r="Z253"/>
  <c r="AB253"/>
  <c r="AD253"/>
  <c r="Y253"/>
  <c r="AA253"/>
  <c r="AC253"/>
  <c r="S253"/>
  <c r="U253"/>
  <c r="W253"/>
  <c r="R253"/>
  <c r="T253"/>
  <c r="V253"/>
  <c r="Z259"/>
  <c r="AB259"/>
  <c r="AD259"/>
  <c r="Y259"/>
  <c r="AA259"/>
  <c r="AC259"/>
  <c r="S259"/>
  <c r="U259"/>
  <c r="W259"/>
  <c r="R259"/>
  <c r="T259"/>
  <c r="V259"/>
  <c r="Z261"/>
  <c r="AB261"/>
  <c r="AD261"/>
  <c r="Y261"/>
  <c r="AA261"/>
  <c r="AC261"/>
  <c r="S261"/>
  <c r="U261"/>
  <c r="W261"/>
  <c r="R261"/>
  <c r="T261"/>
  <c r="V261"/>
  <c r="Z263"/>
  <c r="AB263"/>
  <c r="AD263"/>
  <c r="Y263"/>
  <c r="AA263"/>
  <c r="AC263"/>
  <c r="S263"/>
  <c r="U263"/>
  <c r="W263"/>
  <c r="R263"/>
  <c r="T263"/>
  <c r="V263"/>
  <c r="Z265"/>
  <c r="AB265"/>
  <c r="AD265"/>
  <c r="Y265"/>
  <c r="AA265"/>
  <c r="AC265"/>
  <c r="S265"/>
  <c r="U265"/>
  <c r="W265"/>
  <c r="R265"/>
  <c r="T265"/>
  <c r="V265"/>
  <c r="Z277"/>
  <c r="AB277"/>
  <c r="AD277"/>
  <c r="Y277"/>
  <c r="AA277"/>
  <c r="AC277"/>
  <c r="S277"/>
  <c r="U277"/>
  <c r="W277"/>
  <c r="R277"/>
  <c r="T277"/>
  <c r="V277"/>
  <c r="Z279"/>
  <c r="AB279"/>
  <c r="AD279"/>
  <c r="Y279"/>
  <c r="AA279"/>
  <c r="AC279"/>
  <c r="S279"/>
  <c r="U279"/>
  <c r="W279"/>
  <c r="R279"/>
  <c r="T279"/>
  <c r="V279"/>
  <c r="Z281"/>
  <c r="AB281"/>
  <c r="AD281"/>
  <c r="Y281"/>
  <c r="AA281"/>
  <c r="AC281"/>
  <c r="S281"/>
  <c r="U281"/>
  <c r="W281"/>
  <c r="R281"/>
  <c r="T281"/>
  <c r="V281"/>
  <c r="Z285"/>
  <c r="AB285"/>
  <c r="AD285"/>
  <c r="Y285"/>
  <c r="AA285"/>
  <c r="AC285"/>
  <c r="S285"/>
  <c r="U285"/>
  <c r="W285"/>
  <c r="R285"/>
  <c r="T285"/>
  <c r="V285"/>
  <c r="Z311"/>
  <c r="AB311"/>
  <c r="AD311"/>
  <c r="Y311"/>
  <c r="AA311"/>
  <c r="AC311"/>
  <c r="R311"/>
  <c r="T311"/>
  <c r="V311"/>
  <c r="S311"/>
  <c r="U311"/>
  <c r="W311"/>
  <c r="Z332"/>
  <c r="AB332"/>
  <c r="AD332"/>
  <c r="Y332"/>
  <c r="AC332"/>
  <c r="AA332"/>
  <c r="R332"/>
  <c r="T332"/>
  <c r="V332"/>
  <c r="S332"/>
  <c r="U332"/>
  <c r="W332"/>
  <c r="Z309"/>
  <c r="AB309"/>
  <c r="AD309"/>
  <c r="Y309"/>
  <c r="AA309"/>
  <c r="AC309"/>
  <c r="R309"/>
  <c r="T309"/>
  <c r="V309"/>
  <c r="S309"/>
  <c r="U309"/>
  <c r="W309"/>
  <c r="Z331"/>
  <c r="AB331"/>
  <c r="AD331"/>
  <c r="Y331"/>
  <c r="AC331"/>
  <c r="AA331"/>
  <c r="R331"/>
  <c r="T331"/>
  <c r="V331"/>
  <c r="S331"/>
  <c r="U331"/>
  <c r="W331"/>
  <c r="Z335"/>
  <c r="AB335"/>
  <c r="AD335"/>
  <c r="Y335"/>
  <c r="AC335"/>
  <c r="AA335"/>
  <c r="R335"/>
  <c r="T335"/>
  <c r="V335"/>
  <c r="S335"/>
  <c r="U335"/>
  <c r="W335"/>
  <c r="Z326"/>
  <c r="AB326"/>
  <c r="AD326"/>
  <c r="Y326"/>
  <c r="AC326"/>
  <c r="AA326"/>
  <c r="R326"/>
  <c r="T326"/>
  <c r="V326"/>
  <c r="S326"/>
  <c r="U326"/>
  <c r="W326"/>
  <c r="Y369"/>
  <c r="AA369"/>
  <c r="AC369"/>
  <c r="Z369"/>
  <c r="AB369"/>
  <c r="AD369"/>
  <c r="R369"/>
  <c r="T369"/>
  <c r="V369"/>
  <c r="S369"/>
  <c r="U369"/>
  <c r="W369"/>
  <c r="Y367"/>
  <c r="AA367"/>
  <c r="AC367"/>
  <c r="Z367"/>
  <c r="AB367"/>
  <c r="AD367"/>
  <c r="R367"/>
  <c r="T367"/>
  <c r="V367"/>
  <c r="S367"/>
  <c r="U367"/>
  <c r="W367"/>
  <c r="Z339"/>
  <c r="AB339"/>
  <c r="Y339"/>
  <c r="AC339"/>
  <c r="AA339"/>
  <c r="AD339"/>
  <c r="R339"/>
  <c r="T339"/>
  <c r="V339"/>
  <c r="S339"/>
  <c r="U339"/>
  <c r="W339"/>
  <c r="Y358"/>
  <c r="AA358"/>
  <c r="AC358"/>
  <c r="Z358"/>
  <c r="AB358"/>
  <c r="AD358"/>
  <c r="R358"/>
  <c r="T358"/>
  <c r="V358"/>
  <c r="S358"/>
  <c r="U358"/>
  <c r="W358"/>
  <c r="Z327"/>
  <c r="AB327"/>
  <c r="AD327"/>
  <c r="Y327"/>
  <c r="AC327"/>
  <c r="AA327"/>
  <c r="R327"/>
  <c r="T327"/>
  <c r="V327"/>
  <c r="S327"/>
  <c r="U327"/>
  <c r="W327"/>
  <c r="Y427"/>
  <c r="AA427"/>
  <c r="AC427"/>
  <c r="Z427"/>
  <c r="AB427"/>
  <c r="AD427"/>
  <c r="R427"/>
  <c r="T427"/>
  <c r="V427"/>
  <c r="S427"/>
  <c r="U427"/>
  <c r="W427"/>
  <c r="Y429"/>
  <c r="AA429"/>
  <c r="AC429"/>
  <c r="Z429"/>
  <c r="AB429"/>
  <c r="AD429"/>
  <c r="R429"/>
  <c r="T429"/>
  <c r="V429"/>
  <c r="S429"/>
  <c r="U429"/>
  <c r="W429"/>
  <c r="Z274"/>
  <c r="AB274"/>
  <c r="AD274"/>
  <c r="Y274"/>
  <c r="AA274"/>
  <c r="AC274"/>
  <c r="S274"/>
  <c r="U274"/>
  <c r="W274"/>
  <c r="R274"/>
  <c r="T274"/>
  <c r="V274"/>
  <c r="Z312"/>
  <c r="AB312"/>
  <c r="AD312"/>
  <c r="Y312"/>
  <c r="AA312"/>
  <c r="AC312"/>
  <c r="R312"/>
  <c r="T312"/>
  <c r="V312"/>
  <c r="S312"/>
  <c r="U312"/>
  <c r="W312"/>
  <c r="Z329"/>
  <c r="AB329"/>
  <c r="AD329"/>
  <c r="Y329"/>
  <c r="AC329"/>
  <c r="AA329"/>
  <c r="R329"/>
  <c r="T329"/>
  <c r="V329"/>
  <c r="S329"/>
  <c r="U329"/>
  <c r="W329"/>
  <c r="Y360"/>
  <c r="AA360"/>
  <c r="AC360"/>
  <c r="Z360"/>
  <c r="AB360"/>
  <c r="AD360"/>
  <c r="R360"/>
  <c r="T360"/>
  <c r="V360"/>
  <c r="S360"/>
  <c r="U360"/>
  <c r="W360"/>
  <c r="Z286"/>
  <c r="AB286"/>
  <c r="AD286"/>
  <c r="Y286"/>
  <c r="AA286"/>
  <c r="AC286"/>
  <c r="S286"/>
  <c r="U286"/>
  <c r="W286"/>
  <c r="R286"/>
  <c r="T286"/>
  <c r="V286"/>
  <c r="Z289"/>
  <c r="AB289"/>
  <c r="AD289"/>
  <c r="Y289"/>
  <c r="AA289"/>
  <c r="AC289"/>
  <c r="S289"/>
  <c r="U289"/>
  <c r="W289"/>
  <c r="R289"/>
  <c r="T289"/>
  <c r="V289"/>
  <c r="Z320"/>
  <c r="AB320"/>
  <c r="AD320"/>
  <c r="Y320"/>
  <c r="AC320"/>
  <c r="AA320"/>
  <c r="R320"/>
  <c r="T320"/>
  <c r="V320"/>
  <c r="S320"/>
  <c r="U320"/>
  <c r="W320"/>
  <c r="Z336"/>
  <c r="AB336"/>
  <c r="AD336"/>
  <c r="Y336"/>
  <c r="AC336"/>
  <c r="AA336"/>
  <c r="R336"/>
  <c r="T336"/>
  <c r="V336"/>
  <c r="S336"/>
  <c r="U336"/>
  <c r="W336"/>
  <c r="Y341"/>
  <c r="AA341"/>
  <c r="AC341"/>
  <c r="Z341"/>
  <c r="AB341"/>
  <c r="AD341"/>
  <c r="R341"/>
  <c r="T341"/>
  <c r="V341"/>
  <c r="S341"/>
  <c r="U341"/>
  <c r="W341"/>
  <c r="Y343"/>
  <c r="AA343"/>
  <c r="AC343"/>
  <c r="Z343"/>
  <c r="AB343"/>
  <c r="AD343"/>
  <c r="R343"/>
  <c r="T343"/>
  <c r="V343"/>
  <c r="S343"/>
  <c r="U343"/>
  <c r="W343"/>
  <c r="Y370"/>
  <c r="AA370"/>
  <c r="AC370"/>
  <c r="Z370"/>
  <c r="AB370"/>
  <c r="AD370"/>
  <c r="R370"/>
  <c r="T370"/>
  <c r="V370"/>
  <c r="S370"/>
  <c r="U370"/>
  <c r="W370"/>
  <c r="Z291"/>
  <c r="AB291"/>
  <c r="AD291"/>
  <c r="Y291"/>
  <c r="AA291"/>
  <c r="AC291"/>
  <c r="S291"/>
  <c r="U291"/>
  <c r="W291"/>
  <c r="R291"/>
  <c r="T291"/>
  <c r="V291"/>
  <c r="Z293"/>
  <c r="AB293"/>
  <c r="AD293"/>
  <c r="Y293"/>
  <c r="AA293"/>
  <c r="AC293"/>
  <c r="S293"/>
  <c r="U293"/>
  <c r="W293"/>
  <c r="R293"/>
  <c r="T293"/>
  <c r="V293"/>
  <c r="Z295"/>
  <c r="AB295"/>
  <c r="AD295"/>
  <c r="Y295"/>
  <c r="AA295"/>
  <c r="AC295"/>
  <c r="S295"/>
  <c r="U295"/>
  <c r="W295"/>
  <c r="R295"/>
  <c r="T295"/>
  <c r="V295"/>
  <c r="Z297"/>
  <c r="AB297"/>
  <c r="AD297"/>
  <c r="Y297"/>
  <c r="AA297"/>
  <c r="AC297"/>
  <c r="S297"/>
  <c r="U297"/>
  <c r="W297"/>
  <c r="R297"/>
  <c r="T297"/>
  <c r="V297"/>
  <c r="Z299"/>
  <c r="AB299"/>
  <c r="AD299"/>
  <c r="Y299"/>
  <c r="AA299"/>
  <c r="AC299"/>
  <c r="S299"/>
  <c r="U299"/>
  <c r="W299"/>
  <c r="R299"/>
  <c r="T299"/>
  <c r="V299"/>
  <c r="Z301"/>
  <c r="AB301"/>
  <c r="AD301"/>
  <c r="Y301"/>
  <c r="AA301"/>
  <c r="AC301"/>
  <c r="S301"/>
  <c r="U301"/>
  <c r="W301"/>
  <c r="R301"/>
  <c r="T301"/>
  <c r="V301"/>
  <c r="Z303"/>
  <c r="AB303"/>
  <c r="AD303"/>
  <c r="Y303"/>
  <c r="AA303"/>
  <c r="AC303"/>
  <c r="S303"/>
  <c r="U303"/>
  <c r="W303"/>
  <c r="R303"/>
  <c r="T303"/>
  <c r="V303"/>
  <c r="Z305"/>
  <c r="AB305"/>
  <c r="AD305"/>
  <c r="Y305"/>
  <c r="AA305"/>
  <c r="AC305"/>
  <c r="R305"/>
  <c r="T305"/>
  <c r="V305"/>
  <c r="S305"/>
  <c r="U305"/>
  <c r="W305"/>
  <c r="Z307"/>
  <c r="AB307"/>
  <c r="AD307"/>
  <c r="Y307"/>
  <c r="AA307"/>
  <c r="AC307"/>
  <c r="R307"/>
  <c r="T307"/>
  <c r="V307"/>
  <c r="S307"/>
  <c r="U307"/>
  <c r="W307"/>
  <c r="Z317"/>
  <c r="AB317"/>
  <c r="AD317"/>
  <c r="Y317"/>
  <c r="AC317"/>
  <c r="AA317"/>
  <c r="R317"/>
  <c r="T317"/>
  <c r="V317"/>
  <c r="S317"/>
  <c r="U317"/>
  <c r="W317"/>
  <c r="Z322"/>
  <c r="AB322"/>
  <c r="AD322"/>
  <c r="Y322"/>
  <c r="AC322"/>
  <c r="AA322"/>
  <c r="R322"/>
  <c r="T322"/>
  <c r="V322"/>
  <c r="S322"/>
  <c r="U322"/>
  <c r="W322"/>
  <c r="Z324"/>
  <c r="AB324"/>
  <c r="AD324"/>
  <c r="Y324"/>
  <c r="AC324"/>
  <c r="AA324"/>
  <c r="R324"/>
  <c r="T324"/>
  <c r="V324"/>
  <c r="S324"/>
  <c r="U324"/>
  <c r="W324"/>
  <c r="Y344"/>
  <c r="AA344"/>
  <c r="AC344"/>
  <c r="Z344"/>
  <c r="AB344"/>
  <c r="AD344"/>
  <c r="R344"/>
  <c r="T344"/>
  <c r="V344"/>
  <c r="S344"/>
  <c r="U344"/>
  <c r="W344"/>
  <c r="Y346"/>
  <c r="AA346"/>
  <c r="AC346"/>
  <c r="Z346"/>
  <c r="AB346"/>
  <c r="AD346"/>
  <c r="R346"/>
  <c r="T346"/>
  <c r="V346"/>
  <c r="S346"/>
  <c r="U346"/>
  <c r="W346"/>
  <c r="Y348"/>
  <c r="AA348"/>
  <c r="AC348"/>
  <c r="Z348"/>
  <c r="AB348"/>
  <c r="AD348"/>
  <c r="R348"/>
  <c r="T348"/>
  <c r="V348"/>
  <c r="S348"/>
  <c r="U348"/>
  <c r="W348"/>
  <c r="Y350"/>
  <c r="AA350"/>
  <c r="AC350"/>
  <c r="Z350"/>
  <c r="AB350"/>
  <c r="AD350"/>
  <c r="R350"/>
  <c r="T350"/>
  <c r="V350"/>
  <c r="S350"/>
  <c r="U350"/>
  <c r="W350"/>
  <c r="Y352"/>
  <c r="AA352"/>
  <c r="AC352"/>
  <c r="Z352"/>
  <c r="AB352"/>
  <c r="AD352"/>
  <c r="R352"/>
  <c r="T352"/>
  <c r="V352"/>
  <c r="S352"/>
  <c r="U352"/>
  <c r="W352"/>
  <c r="Y354"/>
  <c r="AA354"/>
  <c r="AC354"/>
  <c r="Z354"/>
  <c r="AB354"/>
  <c r="AD354"/>
  <c r="R354"/>
  <c r="T354"/>
  <c r="V354"/>
  <c r="S354"/>
  <c r="U354"/>
  <c r="W354"/>
  <c r="Y364"/>
  <c r="AA364"/>
  <c r="AC364"/>
  <c r="Z364"/>
  <c r="AB364"/>
  <c r="AD364"/>
  <c r="R364"/>
  <c r="T364"/>
  <c r="V364"/>
  <c r="S364"/>
  <c r="U364"/>
  <c r="W364"/>
  <c r="Y371"/>
  <c r="AA371"/>
  <c r="AC371"/>
  <c r="Z371"/>
  <c r="AB371"/>
  <c r="AD371"/>
  <c r="R371"/>
  <c r="T371"/>
  <c r="V371"/>
  <c r="S371"/>
  <c r="U371"/>
  <c r="W371"/>
  <c r="Y373"/>
  <c r="AA373"/>
  <c r="AC373"/>
  <c r="Z373"/>
  <c r="AB373"/>
  <c r="AD373"/>
  <c r="R373"/>
  <c r="T373"/>
  <c r="V373"/>
  <c r="S373"/>
  <c r="U373"/>
  <c r="W373"/>
  <c r="Y382"/>
  <c r="AA382"/>
  <c r="AC382"/>
  <c r="Z382"/>
  <c r="AB382"/>
  <c r="AD382"/>
  <c r="R382"/>
  <c r="T382"/>
  <c r="V382"/>
  <c r="S382"/>
  <c r="U382"/>
  <c r="W382"/>
  <c r="Y384"/>
  <c r="AA384"/>
  <c r="AC384"/>
  <c r="Z384"/>
  <c r="AB384"/>
  <c r="AD384"/>
  <c r="R384"/>
  <c r="T384"/>
  <c r="V384"/>
  <c r="S384"/>
  <c r="U384"/>
  <c r="W384"/>
  <c r="Y386"/>
  <c r="AA386"/>
  <c r="AC386"/>
  <c r="Z386"/>
  <c r="AB386"/>
  <c r="AD386"/>
  <c r="R386"/>
  <c r="T386"/>
  <c r="V386"/>
  <c r="S386"/>
  <c r="U386"/>
  <c r="W386"/>
  <c r="Y401"/>
  <c r="AA401"/>
  <c r="AC401"/>
  <c r="Z401"/>
  <c r="AB401"/>
  <c r="AD401"/>
  <c r="R401"/>
  <c r="T401"/>
  <c r="V401"/>
  <c r="S401"/>
  <c r="U401"/>
  <c r="W401"/>
  <c r="Y388"/>
  <c r="AA388"/>
  <c r="AC388"/>
  <c r="Z388"/>
  <c r="AB388"/>
  <c r="AD388"/>
  <c r="R388"/>
  <c r="T388"/>
  <c r="V388"/>
  <c r="S388"/>
  <c r="U388"/>
  <c r="W388"/>
  <c r="Y390"/>
  <c r="AA390"/>
  <c r="AC390"/>
  <c r="Z390"/>
  <c r="AB390"/>
  <c r="AD390"/>
  <c r="R390"/>
  <c r="T390"/>
  <c r="V390"/>
  <c r="S390"/>
  <c r="U390"/>
  <c r="W390"/>
  <c r="Y392"/>
  <c r="AA392"/>
  <c r="AC392"/>
  <c r="Z392"/>
  <c r="AB392"/>
  <c r="AD392"/>
  <c r="R392"/>
  <c r="T392"/>
  <c r="V392"/>
  <c r="S392"/>
  <c r="U392"/>
  <c r="W392"/>
  <c r="Y394"/>
  <c r="AA394"/>
  <c r="AC394"/>
  <c r="Z394"/>
  <c r="AB394"/>
  <c r="AD394"/>
  <c r="R394"/>
  <c r="T394"/>
  <c r="V394"/>
  <c r="S394"/>
  <c r="U394"/>
  <c r="W394"/>
  <c r="Y396"/>
  <c r="AA396"/>
  <c r="AC396"/>
  <c r="Z396"/>
  <c r="AB396"/>
  <c r="AD396"/>
  <c r="R396"/>
  <c r="T396"/>
  <c r="V396"/>
  <c r="S396"/>
  <c r="U396"/>
  <c r="W396"/>
  <c r="Y398"/>
  <c r="AA398"/>
  <c r="AC398"/>
  <c r="Z398"/>
  <c r="AB398"/>
  <c r="AD398"/>
  <c r="R398"/>
  <c r="T398"/>
  <c r="V398"/>
  <c r="S398"/>
  <c r="U398"/>
  <c r="W398"/>
  <c r="Y400"/>
  <c r="AA400"/>
  <c r="AC400"/>
  <c r="Z400"/>
  <c r="AB400"/>
  <c r="AD400"/>
  <c r="R400"/>
  <c r="T400"/>
  <c r="V400"/>
  <c r="S400"/>
  <c r="U400"/>
  <c r="W400"/>
  <c r="Y403"/>
  <c r="AA403"/>
  <c r="AC403"/>
  <c r="Z403"/>
  <c r="AB403"/>
  <c r="AD403"/>
  <c r="R403"/>
  <c r="T403"/>
  <c r="V403"/>
  <c r="S403"/>
  <c r="U403"/>
  <c r="W403"/>
  <c r="Y405"/>
  <c r="AA405"/>
  <c r="AC405"/>
  <c r="Z405"/>
  <c r="AB405"/>
  <c r="AD405"/>
  <c r="R405"/>
  <c r="T405"/>
  <c r="V405"/>
  <c r="S405"/>
  <c r="U405"/>
  <c r="W405"/>
  <c r="Y407"/>
  <c r="AA407"/>
  <c r="AC407"/>
  <c r="Z407"/>
  <c r="AB407"/>
  <c r="AD407"/>
  <c r="R407"/>
  <c r="T407"/>
  <c r="V407"/>
  <c r="S407"/>
  <c r="U407"/>
  <c r="W407"/>
  <c r="Y356"/>
  <c r="AA356"/>
  <c r="AC356"/>
  <c r="Z356"/>
  <c r="AB356"/>
  <c r="AD356"/>
  <c r="R356"/>
  <c r="T356"/>
  <c r="V356"/>
  <c r="S356"/>
  <c r="U356"/>
  <c r="W356"/>
  <c r="Y379"/>
  <c r="AA379"/>
  <c r="AC379"/>
  <c r="Z379"/>
  <c r="AB379"/>
  <c r="AD379"/>
  <c r="R379"/>
  <c r="T379"/>
  <c r="V379"/>
  <c r="S379"/>
  <c r="U379"/>
  <c r="W379"/>
  <c r="Y374"/>
  <c r="AA374"/>
  <c r="AC374"/>
  <c r="Z374"/>
  <c r="AB374"/>
  <c r="AD374"/>
  <c r="R374"/>
  <c r="T374"/>
  <c r="V374"/>
  <c r="S374"/>
  <c r="U374"/>
  <c r="W374"/>
  <c r="Y376"/>
  <c r="AA376"/>
  <c r="AC376"/>
  <c r="Z376"/>
  <c r="AB376"/>
  <c r="AD376"/>
  <c r="R376"/>
  <c r="T376"/>
  <c r="V376"/>
  <c r="S376"/>
  <c r="U376"/>
  <c r="W376"/>
  <c r="Y378"/>
  <c r="AA378"/>
  <c r="AC378"/>
  <c r="Z378"/>
  <c r="AB378"/>
  <c r="AD378"/>
  <c r="R378"/>
  <c r="T378"/>
  <c r="V378"/>
  <c r="S378"/>
  <c r="U378"/>
  <c r="W378"/>
  <c r="Y417"/>
  <c r="AA417"/>
  <c r="AC417"/>
  <c r="Z417"/>
  <c r="AB417"/>
  <c r="AD417"/>
  <c r="R417"/>
  <c r="T417"/>
  <c r="V417"/>
  <c r="S417"/>
  <c r="U417"/>
  <c r="W417"/>
  <c r="Y422"/>
  <c r="AA422"/>
  <c r="AC422"/>
  <c r="Z422"/>
  <c r="AB422"/>
  <c r="AD422"/>
  <c r="R422"/>
  <c r="T422"/>
  <c r="V422"/>
  <c r="S422"/>
  <c r="U422"/>
  <c r="W422"/>
  <c r="Y434"/>
  <c r="AA434"/>
  <c r="AC434"/>
  <c r="Z434"/>
  <c r="AB434"/>
  <c r="AD434"/>
  <c r="R434"/>
  <c r="T434"/>
  <c r="V434"/>
  <c r="S434"/>
  <c r="U434"/>
  <c r="W434"/>
  <c r="Y418"/>
  <c r="AA418"/>
  <c r="AC418"/>
  <c r="Z418"/>
  <c r="AB418"/>
  <c r="AD418"/>
  <c r="R418"/>
  <c r="T418"/>
  <c r="V418"/>
  <c r="S418"/>
  <c r="U418"/>
  <c r="W418"/>
  <c r="Y420"/>
  <c r="AA420"/>
  <c r="AC420"/>
  <c r="Z420"/>
  <c r="AB420"/>
  <c r="AD420"/>
  <c r="R420"/>
  <c r="T420"/>
  <c r="V420"/>
  <c r="S420"/>
  <c r="U420"/>
  <c r="W420"/>
  <c r="Y424"/>
  <c r="AA424"/>
  <c r="AC424"/>
  <c r="Z424"/>
  <c r="AB424"/>
  <c r="AD424"/>
  <c r="R424"/>
  <c r="T424"/>
  <c r="V424"/>
  <c r="S424"/>
  <c r="U424"/>
  <c r="W424"/>
  <c r="Y426"/>
  <c r="AA426"/>
  <c r="AC426"/>
  <c r="Z426"/>
  <c r="AB426"/>
  <c r="AD426"/>
  <c r="R426"/>
  <c r="T426"/>
  <c r="V426"/>
  <c r="S426"/>
  <c r="U426"/>
  <c r="W426"/>
  <c r="Y436"/>
  <c r="AA436"/>
  <c r="AC436"/>
  <c r="Z436"/>
  <c r="AB436"/>
  <c r="AD436"/>
  <c r="R436"/>
  <c r="T436"/>
  <c r="V436"/>
  <c r="S436"/>
  <c r="U436"/>
  <c r="W436"/>
  <c r="Y438"/>
  <c r="AA438"/>
  <c r="AC438"/>
  <c r="Z438"/>
  <c r="AB438"/>
  <c r="AD438"/>
  <c r="R438"/>
  <c r="T438"/>
  <c r="V438"/>
  <c r="S438"/>
  <c r="U438"/>
  <c r="W438"/>
  <c r="Y440"/>
  <c r="AA440"/>
  <c r="AC440"/>
  <c r="Z440"/>
  <c r="AB440"/>
  <c r="AD440"/>
  <c r="R440"/>
  <c r="T440"/>
  <c r="V440"/>
  <c r="S440"/>
  <c r="U440"/>
  <c r="W440"/>
  <c r="Y442"/>
  <c r="AA442"/>
  <c r="AC442"/>
  <c r="Z442"/>
  <c r="AB442"/>
  <c r="AD442"/>
  <c r="R442"/>
  <c r="T442"/>
  <c r="V442"/>
  <c r="S442"/>
  <c r="U442"/>
  <c r="W442"/>
  <c r="Y444"/>
  <c r="AA444"/>
  <c r="AC444"/>
  <c r="Z444"/>
  <c r="AB444"/>
  <c r="AD444"/>
  <c r="R444"/>
  <c r="T444"/>
  <c r="V444"/>
  <c r="S444"/>
  <c r="U444"/>
  <c r="W444"/>
  <c r="Y446"/>
  <c r="AA446"/>
  <c r="AC446"/>
  <c r="Z446"/>
  <c r="AB446"/>
  <c r="AD446"/>
  <c r="R446"/>
  <c r="T446"/>
  <c r="V446"/>
  <c r="S446"/>
  <c r="U446"/>
  <c r="W446"/>
  <c r="Y448"/>
  <c r="AA448"/>
  <c r="AC448"/>
  <c r="Z448"/>
  <c r="AB448"/>
  <c r="AD448"/>
  <c r="R448"/>
  <c r="T448"/>
  <c r="V448"/>
  <c r="S448"/>
  <c r="U448"/>
  <c r="W448"/>
  <c r="Y450"/>
  <c r="AA450"/>
  <c r="AC450"/>
  <c r="Z450"/>
  <c r="AB450"/>
  <c r="AD450"/>
  <c r="R450"/>
  <c r="T450"/>
  <c r="V450"/>
  <c r="S450"/>
  <c r="U450"/>
  <c r="W450"/>
  <c r="Y452"/>
  <c r="AA452"/>
  <c r="AC452"/>
  <c r="Z452"/>
  <c r="AB452"/>
  <c r="AD452"/>
  <c r="R452"/>
  <c r="T452"/>
  <c r="V452"/>
  <c r="S452"/>
  <c r="U452"/>
  <c r="W452"/>
  <c r="Y454"/>
  <c r="AA454"/>
  <c r="AC454"/>
  <c r="Z454"/>
  <c r="AB454"/>
  <c r="AD454"/>
  <c r="R454"/>
  <c r="T454"/>
  <c r="V454"/>
  <c r="S454"/>
  <c r="U454"/>
  <c r="W454"/>
  <c r="Y456"/>
  <c r="AA456"/>
  <c r="AC456"/>
  <c r="Z456"/>
  <c r="AB456"/>
  <c r="AD456"/>
  <c r="R456"/>
  <c r="T456"/>
  <c r="V456"/>
  <c r="S456"/>
  <c r="U456"/>
  <c r="W456"/>
  <c r="Y458"/>
  <c r="AA458"/>
  <c r="AC458"/>
  <c r="Z458"/>
  <c r="AB458"/>
  <c r="AD458"/>
  <c r="R458"/>
  <c r="T458"/>
  <c r="V458"/>
  <c r="S458"/>
  <c r="U458"/>
  <c r="W458"/>
  <c r="Y460"/>
  <c r="AA460"/>
  <c r="AC460"/>
  <c r="Z460"/>
  <c r="AB460"/>
  <c r="AD460"/>
  <c r="R460"/>
  <c r="T460"/>
  <c r="V460"/>
  <c r="S460"/>
  <c r="U460"/>
  <c r="W460"/>
  <c r="Y462"/>
  <c r="AA462"/>
  <c r="AC462"/>
  <c r="Z462"/>
  <c r="AB462"/>
  <c r="AD462"/>
  <c r="R462"/>
  <c r="T462"/>
  <c r="V462"/>
  <c r="S462"/>
  <c r="U462"/>
  <c r="W462"/>
  <c r="Y464"/>
  <c r="AA464"/>
  <c r="AC464"/>
  <c r="Z464"/>
  <c r="AB464"/>
  <c r="AD464"/>
  <c r="R464"/>
  <c r="T464"/>
  <c r="V464"/>
  <c r="S464"/>
  <c r="U464"/>
  <c r="W464"/>
  <c r="Y466"/>
  <c r="AA466"/>
  <c r="AC466"/>
  <c r="Z466"/>
  <c r="AB466"/>
  <c r="AD466"/>
  <c r="R466"/>
  <c r="T466"/>
  <c r="V466"/>
  <c r="S466"/>
  <c r="U466"/>
  <c r="W466"/>
  <c r="Y468"/>
  <c r="AA468"/>
  <c r="AC468"/>
  <c r="Z468"/>
  <c r="AB468"/>
  <c r="AD468"/>
  <c r="R468"/>
  <c r="T468"/>
  <c r="V468"/>
  <c r="S468"/>
  <c r="U468"/>
  <c r="W468"/>
  <c r="Y470"/>
  <c r="AA470"/>
  <c r="AC470"/>
  <c r="AB470"/>
  <c r="Z470"/>
  <c r="AD470"/>
  <c r="R470"/>
  <c r="T470"/>
  <c r="V470"/>
  <c r="S470"/>
  <c r="U470"/>
  <c r="W470"/>
  <c r="Y472"/>
  <c r="AA472"/>
  <c r="AC472"/>
  <c r="AB472"/>
  <c r="Z472"/>
  <c r="AD472"/>
  <c r="R472"/>
  <c r="T472"/>
  <c r="V472"/>
  <c r="S472"/>
  <c r="U472"/>
  <c r="W472"/>
  <c r="Y474"/>
  <c r="AA474"/>
  <c r="AC474"/>
  <c r="AB474"/>
  <c r="Z474"/>
  <c r="AD474"/>
  <c r="R474"/>
  <c r="T474"/>
  <c r="V474"/>
  <c r="S474"/>
  <c r="U474"/>
  <c r="W474"/>
  <c r="Y476"/>
  <c r="AA476"/>
  <c r="AC476"/>
  <c r="AB476"/>
  <c r="Z476"/>
  <c r="AD476"/>
  <c r="R476"/>
  <c r="T476"/>
  <c r="V476"/>
  <c r="S476"/>
  <c r="U476"/>
  <c r="W476"/>
  <c r="Y478"/>
  <c r="AA478"/>
  <c r="AC478"/>
  <c r="AB478"/>
  <c r="Z478"/>
  <c r="AD478"/>
  <c r="R478"/>
  <c r="T478"/>
  <c r="V478"/>
  <c r="S478"/>
  <c r="U478"/>
  <c r="W478"/>
  <c r="Y480"/>
  <c r="AA480"/>
  <c r="AC480"/>
  <c r="AB480"/>
  <c r="Z480"/>
  <c r="AD480"/>
  <c r="R480"/>
  <c r="T480"/>
  <c r="V480"/>
  <c r="S480"/>
  <c r="U480"/>
  <c r="W480"/>
  <c r="Y482"/>
  <c r="AA482"/>
  <c r="AC482"/>
  <c r="AB482"/>
  <c r="Z482"/>
  <c r="AD482"/>
  <c r="R482"/>
  <c r="T482"/>
  <c r="V482"/>
  <c r="S482"/>
  <c r="U482"/>
  <c r="W482"/>
  <c r="Y484"/>
  <c r="AA484"/>
  <c r="AC484"/>
  <c r="AB484"/>
  <c r="Z484"/>
  <c r="AD484"/>
  <c r="R484"/>
  <c r="T484"/>
  <c r="V484"/>
  <c r="S484"/>
  <c r="U484"/>
  <c r="W484"/>
  <c r="Y486"/>
  <c r="AA486"/>
  <c r="AC486"/>
  <c r="AB486"/>
  <c r="Z486"/>
  <c r="AD486"/>
  <c r="R486"/>
  <c r="T486"/>
  <c r="V486"/>
  <c r="S486"/>
  <c r="U486"/>
  <c r="W486"/>
  <c r="Y488"/>
  <c r="AA488"/>
  <c r="AC488"/>
  <c r="AB488"/>
  <c r="Z488"/>
  <c r="AD488"/>
  <c r="R488"/>
  <c r="T488"/>
  <c r="V488"/>
  <c r="S488"/>
  <c r="U488"/>
  <c r="W488"/>
  <c r="Y490"/>
  <c r="AA490"/>
  <c r="AC490"/>
  <c r="AB490"/>
  <c r="Z490"/>
  <c r="AD490"/>
  <c r="R490"/>
  <c r="T490"/>
  <c r="V490"/>
  <c r="S490"/>
  <c r="U490"/>
  <c r="W490"/>
  <c r="Y492"/>
  <c r="AA492"/>
  <c r="AC492"/>
  <c r="AB492"/>
  <c r="Z492"/>
  <c r="AD492"/>
  <c r="R492"/>
  <c r="T492"/>
  <c r="V492"/>
  <c r="S492"/>
  <c r="U492"/>
  <c r="W492"/>
  <c r="Y494"/>
  <c r="AA494"/>
  <c r="AC494"/>
  <c r="AB494"/>
  <c r="Z494"/>
  <c r="AD494"/>
  <c r="R494"/>
  <c r="T494"/>
  <c r="V494"/>
  <c r="S494"/>
  <c r="U494"/>
  <c r="W494"/>
  <c r="Y496"/>
  <c r="AA496"/>
  <c r="AC496"/>
  <c r="AB496"/>
  <c r="Z496"/>
  <c r="AD496"/>
  <c r="R496"/>
  <c r="T496"/>
  <c r="V496"/>
  <c r="S496"/>
  <c r="U496"/>
  <c r="W496"/>
  <c r="Y498"/>
  <c r="AA498"/>
  <c r="AC498"/>
  <c r="AB498"/>
  <c r="Z498"/>
  <c r="AD498"/>
  <c r="R498"/>
  <c r="T498"/>
  <c r="V498"/>
  <c r="S498"/>
  <c r="U498"/>
  <c r="W498"/>
  <c r="Y500"/>
  <c r="AA500"/>
  <c r="AC500"/>
  <c r="AB500"/>
  <c r="Z500"/>
  <c r="AD500"/>
  <c r="R500"/>
  <c r="T500"/>
  <c r="V500"/>
  <c r="S500"/>
  <c r="U500"/>
  <c r="W500"/>
  <c r="Y502"/>
  <c r="AA502"/>
  <c r="AC502"/>
  <c r="AB502"/>
  <c r="Z502"/>
  <c r="AD502"/>
  <c r="R502"/>
  <c r="T502"/>
  <c r="V502"/>
  <c r="S502"/>
  <c r="U502"/>
  <c r="W502"/>
  <c r="Y504"/>
  <c r="AA504"/>
  <c r="AC504"/>
  <c r="AB504"/>
  <c r="Z504"/>
  <c r="AD504"/>
  <c r="R504"/>
  <c r="T504"/>
  <c r="V504"/>
  <c r="S504"/>
  <c r="U504"/>
  <c r="W504"/>
  <c r="Y506"/>
  <c r="AA506"/>
  <c r="AC506"/>
  <c r="AB506"/>
  <c r="Z506"/>
  <c r="AD506"/>
  <c r="R506"/>
  <c r="T506"/>
  <c r="V506"/>
  <c r="S506"/>
  <c r="U506"/>
  <c r="W506"/>
  <c r="Y509"/>
  <c r="AA509"/>
  <c r="AC509"/>
  <c r="AB509"/>
  <c r="Z509"/>
  <c r="AD509"/>
  <c r="R509"/>
  <c r="T509"/>
  <c r="V509"/>
  <c r="S509"/>
  <c r="U509"/>
  <c r="W509"/>
  <c r="Y511"/>
  <c r="AA511"/>
  <c r="AC511"/>
  <c r="AB511"/>
  <c r="Z511"/>
  <c r="AD511"/>
  <c r="R511"/>
  <c r="T511"/>
  <c r="V511"/>
  <c r="S511"/>
  <c r="U511"/>
  <c r="W511"/>
  <c r="Y515"/>
  <c r="AA515"/>
  <c r="AC515"/>
  <c r="AB515"/>
  <c r="Z515"/>
  <c r="AD515"/>
  <c r="R515"/>
  <c r="T515"/>
  <c r="V515"/>
  <c r="S515"/>
  <c r="U515"/>
  <c r="W515"/>
  <c r="Y517"/>
  <c r="AA517"/>
  <c r="AC517"/>
  <c r="AB517"/>
  <c r="Z517"/>
  <c r="AD517"/>
  <c r="R517"/>
  <c r="T517"/>
  <c r="V517"/>
  <c r="S517"/>
  <c r="U517"/>
  <c r="W517"/>
  <c r="Y519"/>
  <c r="AA519"/>
  <c r="AC519"/>
  <c r="AB519"/>
  <c r="Z519"/>
  <c r="AD519"/>
  <c r="R519"/>
  <c r="T519"/>
  <c r="V519"/>
  <c r="S519"/>
  <c r="U519"/>
  <c r="W519"/>
  <c r="Y521"/>
  <c r="AA521"/>
  <c r="AC521"/>
  <c r="AB521"/>
  <c r="Z521"/>
  <c r="AD521"/>
  <c r="R521"/>
  <c r="T521"/>
  <c r="V521"/>
  <c r="S521"/>
  <c r="U521"/>
  <c r="W521"/>
  <c r="Y523"/>
  <c r="AA523"/>
  <c r="AC523"/>
  <c r="AB523"/>
  <c r="Z523"/>
  <c r="AD523"/>
  <c r="R523"/>
  <c r="T523"/>
  <c r="V523"/>
  <c r="S523"/>
  <c r="U523"/>
  <c r="W523"/>
  <c r="Y525"/>
  <c r="AA525"/>
  <c r="AC525"/>
  <c r="AB525"/>
  <c r="Z525"/>
  <c r="AD525"/>
  <c r="R525"/>
  <c r="T525"/>
  <c r="V525"/>
  <c r="S525"/>
  <c r="U525"/>
  <c r="W525"/>
  <c r="Y527"/>
  <c r="AA527"/>
  <c r="AC527"/>
  <c r="AB527"/>
  <c r="Z527"/>
  <c r="AD527"/>
  <c r="R527"/>
  <c r="T527"/>
  <c r="V527"/>
  <c r="S527"/>
  <c r="U527"/>
  <c r="W527"/>
  <c r="Y529"/>
  <c r="AA529"/>
  <c r="AC529"/>
  <c r="AB529"/>
  <c r="Z529"/>
  <c r="AD529"/>
  <c r="R529"/>
  <c r="T529"/>
  <c r="V529"/>
  <c r="S529"/>
  <c r="U529"/>
  <c r="W529"/>
  <c r="Y531"/>
  <c r="AA531"/>
  <c r="AC531"/>
  <c r="AB531"/>
  <c r="Z531"/>
  <c r="AD531"/>
  <c r="R531"/>
  <c r="T531"/>
  <c r="V531"/>
  <c r="S531"/>
  <c r="U531"/>
  <c r="W531"/>
  <c r="Y533"/>
  <c r="AA533"/>
  <c r="AC533"/>
  <c r="AB533"/>
  <c r="Z533"/>
  <c r="AD533"/>
  <c r="R533"/>
  <c r="T533"/>
  <c r="V533"/>
  <c r="S533"/>
  <c r="U533"/>
  <c r="W533"/>
  <c r="Y535"/>
  <c r="AA535"/>
  <c r="AC535"/>
  <c r="AB535"/>
  <c r="Z535"/>
  <c r="AD535"/>
  <c r="R535"/>
  <c r="T535"/>
  <c r="V535"/>
  <c r="S535"/>
  <c r="U535"/>
  <c r="W535"/>
  <c r="Y537"/>
  <c r="AA537"/>
  <c r="AC537"/>
  <c r="AB537"/>
  <c r="Z537"/>
  <c r="AD537"/>
  <c r="R537"/>
  <c r="T537"/>
  <c r="V537"/>
  <c r="S537"/>
  <c r="U537"/>
  <c r="W537"/>
  <c r="Y539"/>
  <c r="AA539"/>
  <c r="AC539"/>
  <c r="AB539"/>
  <c r="Z539"/>
  <c r="AD539"/>
  <c r="R539"/>
  <c r="T539"/>
  <c r="V539"/>
  <c r="S539"/>
  <c r="U539"/>
  <c r="W539"/>
  <c r="Y541"/>
  <c r="AA541"/>
  <c r="AC541"/>
  <c r="AB541"/>
  <c r="Z541"/>
  <c r="AD541"/>
  <c r="R541"/>
  <c r="T541"/>
  <c r="V541"/>
  <c r="S541"/>
  <c r="U541"/>
  <c r="W541"/>
  <c r="Y543"/>
  <c r="AA543"/>
  <c r="AC543"/>
  <c r="AB543"/>
  <c r="Z543"/>
  <c r="AD543"/>
  <c r="R543"/>
  <c r="T543"/>
  <c r="V543"/>
  <c r="S543"/>
  <c r="U543"/>
  <c r="W543"/>
  <c r="Y545"/>
  <c r="AA545"/>
  <c r="AC545"/>
  <c r="AB545"/>
  <c r="Z545"/>
  <c r="AD545"/>
  <c r="R545"/>
  <c r="T545"/>
  <c r="V545"/>
  <c r="S545"/>
  <c r="U545"/>
  <c r="W545"/>
  <c r="Y547"/>
  <c r="AA547"/>
  <c r="AC547"/>
  <c r="AB547"/>
  <c r="Z547"/>
  <c r="AD547"/>
  <c r="R547"/>
  <c r="T547"/>
  <c r="V547"/>
  <c r="S547"/>
  <c r="U547"/>
  <c r="W547"/>
  <c r="Y549"/>
  <c r="AA549"/>
  <c r="AC549"/>
  <c r="AB549"/>
  <c r="Z549"/>
  <c r="AD549"/>
  <c r="R549"/>
  <c r="T549"/>
  <c r="V549"/>
  <c r="S549"/>
  <c r="U549"/>
  <c r="W549"/>
  <c r="Y551"/>
  <c r="AA551"/>
  <c r="AC551"/>
  <c r="AB551"/>
  <c r="Z551"/>
  <c r="AD551"/>
  <c r="R551"/>
  <c r="T551"/>
  <c r="V551"/>
  <c r="S551"/>
  <c r="U551"/>
  <c r="W551"/>
  <c r="Y553"/>
  <c r="AA553"/>
  <c r="AC553"/>
  <c r="AB553"/>
  <c r="Z553"/>
  <c r="AD553"/>
  <c r="R553"/>
  <c r="T553"/>
  <c r="V553"/>
  <c r="S553"/>
  <c r="U553"/>
  <c r="W553"/>
  <c r="Y555"/>
  <c r="AA555"/>
  <c r="AC555"/>
  <c r="AB555"/>
  <c r="Z555"/>
  <c r="AD555"/>
  <c r="R555"/>
  <c r="T555"/>
  <c r="V555"/>
  <c r="S555"/>
  <c r="U555"/>
  <c r="W555"/>
  <c r="Y560"/>
  <c r="AA560"/>
  <c r="AC560"/>
  <c r="AB560"/>
  <c r="Z560"/>
  <c r="AD560"/>
  <c r="R560"/>
  <c r="T560"/>
  <c r="V560"/>
  <c r="S560"/>
  <c r="U560"/>
  <c r="W560"/>
  <c r="Y562"/>
  <c r="AA562"/>
  <c r="AC562"/>
  <c r="AB562"/>
  <c r="Z562"/>
  <c r="AD562"/>
  <c r="R562"/>
  <c r="T562"/>
  <c r="V562"/>
  <c r="S562"/>
  <c r="U562"/>
  <c r="W562"/>
  <c r="Y558"/>
  <c r="AA558"/>
  <c r="AC558"/>
  <c r="AB558"/>
  <c r="Z558"/>
  <c r="AD558"/>
  <c r="R558"/>
  <c r="T558"/>
  <c r="V558"/>
  <c r="S558"/>
  <c r="U558"/>
  <c r="W558"/>
  <c r="Y563"/>
  <c r="AA563"/>
  <c r="AC563"/>
  <c r="AB563"/>
  <c r="Z563"/>
  <c r="AD563"/>
  <c r="R563"/>
  <c r="T563"/>
  <c r="V563"/>
  <c r="S563"/>
  <c r="U563"/>
  <c r="W563"/>
  <c r="Y565"/>
  <c r="AA565"/>
  <c r="AC565"/>
  <c r="Z565"/>
  <c r="AB565"/>
  <c r="AD565"/>
  <c r="R565"/>
  <c r="T565"/>
  <c r="V565"/>
  <c r="S565"/>
  <c r="U565"/>
  <c r="W565"/>
  <c r="Y567"/>
  <c r="AA567"/>
  <c r="AC567"/>
  <c r="Z567"/>
  <c r="AB567"/>
  <c r="AD567"/>
  <c r="R567"/>
  <c r="T567"/>
  <c r="V567"/>
  <c r="S567"/>
  <c r="U567"/>
  <c r="W567"/>
  <c r="Y569"/>
  <c r="AA569"/>
  <c r="AC569"/>
  <c r="Z569"/>
  <c r="AB569"/>
  <c r="AD569"/>
  <c r="R569"/>
  <c r="T569"/>
  <c r="V569"/>
  <c r="S569"/>
  <c r="U569"/>
  <c r="W569"/>
  <c r="Y571"/>
  <c r="AA571"/>
  <c r="AC571"/>
  <c r="Z571"/>
  <c r="AB571"/>
  <c r="AD571"/>
  <c r="R571"/>
  <c r="T571"/>
  <c r="V571"/>
  <c r="S571"/>
  <c r="U571"/>
  <c r="W571"/>
  <c r="Y573"/>
  <c r="AA573"/>
  <c r="AC573"/>
  <c r="Z573"/>
  <c r="AB573"/>
  <c r="AD573"/>
  <c r="R573"/>
  <c r="T573"/>
  <c r="V573"/>
  <c r="S573"/>
  <c r="U573"/>
  <c r="W573"/>
  <c r="R575"/>
  <c r="T575"/>
  <c r="V575"/>
  <c r="Z575"/>
  <c r="AB575"/>
  <c r="AD575"/>
  <c r="S575"/>
  <c r="U575"/>
  <c r="W575"/>
  <c r="Y575"/>
  <c r="AA575"/>
  <c r="AC575"/>
  <c r="R577"/>
  <c r="T577"/>
  <c r="V577"/>
  <c r="Z577"/>
  <c r="AB577"/>
  <c r="AD577"/>
  <c r="S577"/>
  <c r="U577"/>
  <c r="W577"/>
  <c r="Y577"/>
  <c r="AA577"/>
  <c r="AC577"/>
  <c r="R579"/>
  <c r="T579"/>
  <c r="V579"/>
  <c r="Z579"/>
  <c r="AB579"/>
  <c r="AD579"/>
  <c r="S579"/>
  <c r="U579"/>
  <c r="W579"/>
  <c r="Y579"/>
  <c r="AA579"/>
  <c r="AC579"/>
  <c r="R581"/>
  <c r="T581"/>
  <c r="V581"/>
  <c r="Z581"/>
  <c r="AB581"/>
  <c r="AD581"/>
  <c r="S581"/>
  <c r="U581"/>
  <c r="W581"/>
  <c r="Y581"/>
  <c r="AA581"/>
  <c r="AC581"/>
  <c r="R583"/>
  <c r="T583"/>
  <c r="V583"/>
  <c r="Z583"/>
  <c r="AB583"/>
  <c r="AD583"/>
  <c r="S583"/>
  <c r="U583"/>
  <c r="W583"/>
  <c r="Y583"/>
  <c r="AA583"/>
  <c r="AC583"/>
  <c r="R607"/>
  <c r="T607"/>
  <c r="V607"/>
  <c r="Z607"/>
  <c r="AB607"/>
  <c r="AD607"/>
  <c r="S607"/>
  <c r="U607"/>
  <c r="W607"/>
  <c r="Y607"/>
  <c r="AA607"/>
  <c r="AC607"/>
  <c r="R584"/>
  <c r="T584"/>
  <c r="V584"/>
  <c r="Z584"/>
  <c r="AB584"/>
  <c r="AD584"/>
  <c r="S584"/>
  <c r="U584"/>
  <c r="W584"/>
  <c r="Y584"/>
  <c r="AA584"/>
  <c r="AC584"/>
  <c r="R586"/>
  <c r="T586"/>
  <c r="V586"/>
  <c r="Z586"/>
  <c r="AB586"/>
  <c r="AD586"/>
  <c r="S586"/>
  <c r="U586"/>
  <c r="W586"/>
  <c r="Y586"/>
  <c r="AA586"/>
  <c r="AC586"/>
  <c r="R588"/>
  <c r="T588"/>
  <c r="V588"/>
  <c r="Z588"/>
  <c r="AB588"/>
  <c r="AD588"/>
  <c r="S588"/>
  <c r="U588"/>
  <c r="W588"/>
  <c r="Y588"/>
  <c r="AA588"/>
  <c r="AC588"/>
  <c r="R590"/>
  <c r="T590"/>
  <c r="V590"/>
  <c r="Z590"/>
  <c r="AB590"/>
  <c r="AD590"/>
  <c r="S590"/>
  <c r="U590"/>
  <c r="W590"/>
  <c r="Y590"/>
  <c r="AA590"/>
  <c r="AC590"/>
  <c r="R592"/>
  <c r="T592"/>
  <c r="V592"/>
  <c r="Z592"/>
  <c r="AB592"/>
  <c r="AD592"/>
  <c r="S592"/>
  <c r="U592"/>
  <c r="W592"/>
  <c r="Y592"/>
  <c r="AA592"/>
  <c r="AC592"/>
  <c r="R594"/>
  <c r="T594"/>
  <c r="V594"/>
  <c r="Z594"/>
  <c r="AB594"/>
  <c r="AD594"/>
  <c r="S594"/>
  <c r="U594"/>
  <c r="W594"/>
  <c r="Y594"/>
  <c r="AA594"/>
  <c r="AC594"/>
  <c r="R596"/>
  <c r="T596"/>
  <c r="V596"/>
  <c r="Z596"/>
  <c r="AB596"/>
  <c r="AD596"/>
  <c r="S596"/>
  <c r="U596"/>
  <c r="W596"/>
  <c r="Y596"/>
  <c r="AA596"/>
  <c r="AC596"/>
  <c r="R598"/>
  <c r="T598"/>
  <c r="V598"/>
  <c r="Z598"/>
  <c r="AB598"/>
  <c r="AD598"/>
  <c r="S598"/>
  <c r="U598"/>
  <c r="W598"/>
  <c r="Y598"/>
  <c r="AA598"/>
  <c r="AC598"/>
  <c r="R600"/>
  <c r="T600"/>
  <c r="V600"/>
  <c r="Z600"/>
  <c r="AB600"/>
  <c r="AD600"/>
  <c r="S600"/>
  <c r="W600"/>
  <c r="Y600"/>
  <c r="AC600"/>
  <c r="U600"/>
  <c r="AA600"/>
  <c r="R602"/>
  <c r="T602"/>
  <c r="V602"/>
  <c r="Z602"/>
  <c r="AB602"/>
  <c r="AD602"/>
  <c r="S602"/>
  <c r="W602"/>
  <c r="Y602"/>
  <c r="AC602"/>
  <c r="U602"/>
  <c r="AA602"/>
  <c r="R604"/>
  <c r="T604"/>
  <c r="V604"/>
  <c r="Z604"/>
  <c r="AB604"/>
  <c r="AD604"/>
  <c r="S604"/>
  <c r="W604"/>
  <c r="Y604"/>
  <c r="AC604"/>
  <c r="U604"/>
  <c r="AA604"/>
  <c r="R609"/>
  <c r="T609"/>
  <c r="V609"/>
  <c r="Z609"/>
  <c r="AB609"/>
  <c r="AD609"/>
  <c r="S609"/>
  <c r="W609"/>
  <c r="Y609"/>
  <c r="AC609"/>
  <c r="U609"/>
  <c r="AA609"/>
  <c r="R611"/>
  <c r="T611"/>
  <c r="V611"/>
  <c r="Z611"/>
  <c r="AB611"/>
  <c r="AD611"/>
  <c r="S611"/>
  <c r="U611"/>
  <c r="W611"/>
  <c r="Y611"/>
  <c r="AA611"/>
  <c r="AC611"/>
  <c r="R613"/>
  <c r="T613"/>
  <c r="V613"/>
  <c r="Z613"/>
  <c r="AB613"/>
  <c r="AD613"/>
  <c r="S613"/>
  <c r="U613"/>
  <c r="W613"/>
  <c r="Y613"/>
  <c r="AA613"/>
  <c r="AC613"/>
  <c r="R615"/>
  <c r="T615"/>
  <c r="V615"/>
  <c r="Z615"/>
  <c r="AB615"/>
  <c r="AD615"/>
  <c r="S615"/>
  <c r="U615"/>
  <c r="W615"/>
  <c r="Y615"/>
  <c r="AA615"/>
  <c r="AC615"/>
  <c r="R617"/>
  <c r="T617"/>
  <c r="V617"/>
  <c r="Z617"/>
  <c r="AB617"/>
  <c r="AD617"/>
  <c r="S617"/>
  <c r="U617"/>
  <c r="W617"/>
  <c r="Y617"/>
  <c r="AA617"/>
  <c r="AC617"/>
  <c r="R619"/>
  <c r="T619"/>
  <c r="V619"/>
  <c r="Z619"/>
  <c r="AB619"/>
  <c r="AD619"/>
  <c r="S619"/>
  <c r="U619"/>
  <c r="W619"/>
  <c r="Y619"/>
  <c r="AA619"/>
  <c r="AC619"/>
  <c r="R621"/>
  <c r="T621"/>
  <c r="V621"/>
  <c r="Z621"/>
  <c r="AB621"/>
  <c r="AD621"/>
  <c r="S621"/>
  <c r="U621"/>
  <c r="W621"/>
  <c r="Y621"/>
  <c r="AA621"/>
  <c r="AC621"/>
  <c r="R623"/>
  <c r="T623"/>
  <c r="V623"/>
  <c r="Z623"/>
  <c r="AB623"/>
  <c r="AD623"/>
  <c r="S623"/>
  <c r="U623"/>
  <c r="W623"/>
  <c r="Y623"/>
  <c r="AA623"/>
  <c r="AC623"/>
  <c r="R625"/>
  <c r="T625"/>
  <c r="V625"/>
  <c r="Z625"/>
  <c r="AB625"/>
  <c r="AD625"/>
  <c r="S625"/>
  <c r="U625"/>
  <c r="W625"/>
  <c r="Y625"/>
  <c r="AA625"/>
  <c r="AC625"/>
  <c r="R627"/>
  <c r="T627"/>
  <c r="V627"/>
  <c r="Z627"/>
  <c r="AB627"/>
  <c r="AD627"/>
  <c r="S627"/>
  <c r="U627"/>
  <c r="W627"/>
  <c r="Y627"/>
  <c r="AA627"/>
  <c r="AC627"/>
  <c r="R629"/>
  <c r="T629"/>
  <c r="V629"/>
  <c r="Z629"/>
  <c r="AB629"/>
  <c r="AD629"/>
  <c r="S629"/>
  <c r="U629"/>
  <c r="W629"/>
  <c r="Y629"/>
  <c r="AA629"/>
  <c r="AC629"/>
  <c r="R631"/>
  <c r="T631"/>
  <c r="V631"/>
  <c r="Z631"/>
  <c r="AB631"/>
  <c r="AD631"/>
  <c r="S631"/>
  <c r="U631"/>
  <c r="W631"/>
  <c r="Y631"/>
  <c r="AA631"/>
  <c r="AC631"/>
  <c r="R633"/>
  <c r="T633"/>
  <c r="V633"/>
  <c r="Z633"/>
  <c r="AB633"/>
  <c r="AD633"/>
  <c r="S633"/>
  <c r="U633"/>
  <c r="W633"/>
  <c r="Y633"/>
  <c r="AA633"/>
  <c r="AC633"/>
  <c r="R635"/>
  <c r="T635"/>
  <c r="V635"/>
  <c r="Z635"/>
  <c r="AB635"/>
  <c r="AD635"/>
  <c r="S635"/>
  <c r="U635"/>
  <c r="W635"/>
  <c r="Y635"/>
  <c r="AA635"/>
  <c r="AC635"/>
  <c r="R637"/>
  <c r="T637"/>
  <c r="V637"/>
  <c r="Z637"/>
  <c r="AB637"/>
  <c r="AD637"/>
  <c r="S637"/>
  <c r="U637"/>
  <c r="W637"/>
  <c r="Y637"/>
  <c r="AA637"/>
  <c r="AC637"/>
  <c r="R639"/>
  <c r="T639"/>
  <c r="V639"/>
  <c r="Z639"/>
  <c r="AB639"/>
  <c r="AD639"/>
  <c r="S639"/>
  <c r="U639"/>
  <c r="W639"/>
  <c r="Y639"/>
  <c r="AA639"/>
  <c r="AC639"/>
  <c r="R641"/>
  <c r="T641"/>
  <c r="V641"/>
  <c r="Z641"/>
  <c r="AB641"/>
  <c r="AD641"/>
  <c r="S641"/>
  <c r="U641"/>
  <c r="W641"/>
  <c r="Y641"/>
  <c r="AA641"/>
  <c r="AC641"/>
  <c r="R643"/>
  <c r="T643"/>
  <c r="V643"/>
  <c r="Z643"/>
  <c r="AB643"/>
  <c r="AD643"/>
  <c r="S643"/>
  <c r="U643"/>
  <c r="W643"/>
  <c r="Y643"/>
  <c r="AA643"/>
  <c r="AC643"/>
  <c r="R646"/>
  <c r="T646"/>
  <c r="V646"/>
  <c r="Z646"/>
  <c r="AB646"/>
  <c r="AD646"/>
  <c r="S646"/>
  <c r="U646"/>
  <c r="W646"/>
  <c r="Y646"/>
  <c r="AA646"/>
  <c r="AC646"/>
  <c r="R651"/>
  <c r="T651"/>
  <c r="V651"/>
  <c r="Z651"/>
  <c r="AB651"/>
  <c r="AD651"/>
  <c r="S651"/>
  <c r="U651"/>
  <c r="W651"/>
  <c r="Y651"/>
  <c r="AA651"/>
  <c r="AC651"/>
  <c r="R653"/>
  <c r="T653"/>
  <c r="V653"/>
  <c r="Z653"/>
  <c r="AB653"/>
  <c r="AD653"/>
  <c r="S653"/>
  <c r="U653"/>
  <c r="W653"/>
  <c r="Y653"/>
  <c r="AA653"/>
  <c r="AC653"/>
  <c r="R655"/>
  <c r="T655"/>
  <c r="V655"/>
  <c r="Z655"/>
  <c r="AB655"/>
  <c r="AD655"/>
  <c r="S655"/>
  <c r="U655"/>
  <c r="W655"/>
  <c r="Y655"/>
  <c r="AA655"/>
  <c r="AC655"/>
  <c r="R657"/>
  <c r="T657"/>
  <c r="V657"/>
  <c r="Z657"/>
  <c r="AB657"/>
  <c r="AD657"/>
  <c r="S657"/>
  <c r="U657"/>
  <c r="W657"/>
  <c r="Y657"/>
  <c r="AA657"/>
  <c r="AC657"/>
  <c r="R659"/>
  <c r="T659"/>
  <c r="V659"/>
  <c r="Z659"/>
  <c r="AB659"/>
  <c r="AD659"/>
  <c r="S659"/>
  <c r="U659"/>
  <c r="W659"/>
  <c r="Y659"/>
  <c r="AA659"/>
  <c r="AC659"/>
  <c r="R663"/>
  <c r="T663"/>
  <c r="V663"/>
  <c r="Z663"/>
  <c r="AB663"/>
  <c r="AD663"/>
  <c r="S663"/>
  <c r="U663"/>
  <c r="W663"/>
  <c r="Y663"/>
  <c r="AA663"/>
  <c r="AC663"/>
  <c r="R666"/>
  <c r="T666"/>
  <c r="V666"/>
  <c r="Z666"/>
  <c r="AB666"/>
  <c r="AD666"/>
  <c r="S666"/>
  <c r="U666"/>
  <c r="W666"/>
  <c r="Y666"/>
  <c r="AA666"/>
  <c r="AC666"/>
  <c r="R707"/>
  <c r="T707"/>
  <c r="V707"/>
  <c r="Z707"/>
  <c r="AB707"/>
  <c r="AD707"/>
  <c r="S707"/>
  <c r="U707"/>
  <c r="W707"/>
  <c r="Y707"/>
  <c r="AA707"/>
  <c r="AC707"/>
  <c r="R731"/>
  <c r="T731"/>
  <c r="V731"/>
  <c r="Z731"/>
  <c r="AB731"/>
  <c r="AD731"/>
  <c r="S731"/>
  <c r="U731"/>
  <c r="W731"/>
  <c r="Y731"/>
  <c r="AA731"/>
  <c r="AC731"/>
  <c r="R733"/>
  <c r="T733"/>
  <c r="V733"/>
  <c r="Z733"/>
  <c r="AB733"/>
  <c r="AD733"/>
  <c r="S733"/>
  <c r="U733"/>
  <c r="W733"/>
  <c r="Y733"/>
  <c r="AA733"/>
  <c r="AC733"/>
  <c r="R735"/>
  <c r="T735"/>
  <c r="V735"/>
  <c r="Z735"/>
  <c r="AB735"/>
  <c r="AD735"/>
  <c r="S735"/>
  <c r="U735"/>
  <c r="W735"/>
  <c r="Y735"/>
  <c r="AA735"/>
  <c r="AC735"/>
  <c r="R737"/>
  <c r="T737"/>
  <c r="V737"/>
  <c r="Z737"/>
  <c r="AB737"/>
  <c r="AD737"/>
  <c r="S737"/>
  <c r="U737"/>
  <c r="W737"/>
  <c r="Y737"/>
  <c r="AA737"/>
  <c r="AC737"/>
  <c r="R739"/>
  <c r="T739"/>
  <c r="V739"/>
  <c r="Z739"/>
  <c r="AB739"/>
  <c r="AD739"/>
  <c r="S739"/>
  <c r="U739"/>
  <c r="W739"/>
  <c r="Y739"/>
  <c r="AA739"/>
  <c r="AC739"/>
  <c r="R741"/>
  <c r="T741"/>
  <c r="V741"/>
  <c r="Z741"/>
  <c r="AB741"/>
  <c r="AD741"/>
  <c r="S741"/>
  <c r="U741"/>
  <c r="W741"/>
  <c r="Y741"/>
  <c r="AA741"/>
  <c r="AC741"/>
  <c r="R743"/>
  <c r="T743"/>
  <c r="V743"/>
  <c r="Z743"/>
  <c r="AB743"/>
  <c r="AD743"/>
  <c r="S743"/>
  <c r="U743"/>
  <c r="W743"/>
  <c r="Y743"/>
  <c r="AA743"/>
  <c r="AC743"/>
  <c r="R745"/>
  <c r="T745"/>
  <c r="V745"/>
  <c r="Z745"/>
  <c r="AB745"/>
  <c r="AD745"/>
  <c r="S745"/>
  <c r="U745"/>
  <c r="W745"/>
  <c r="Y745"/>
  <c r="AA745"/>
  <c r="AC745"/>
  <c r="R747"/>
  <c r="T747"/>
  <c r="V747"/>
  <c r="Z747"/>
  <c r="AB747"/>
  <c r="AD747"/>
  <c r="S747"/>
  <c r="U747"/>
  <c r="W747"/>
  <c r="Y747"/>
  <c r="AA747"/>
  <c r="AC747"/>
  <c r="R749"/>
  <c r="T749"/>
  <c r="V749"/>
  <c r="Z749"/>
  <c r="AB749"/>
  <c r="AD749"/>
  <c r="S749"/>
  <c r="U749"/>
  <c r="W749"/>
  <c r="Y749"/>
  <c r="AA749"/>
  <c r="AC749"/>
  <c r="R751"/>
  <c r="T751"/>
  <c r="V751"/>
  <c r="Z751"/>
  <c r="AB751"/>
  <c r="AD751"/>
  <c r="S751"/>
  <c r="U751"/>
  <c r="W751"/>
  <c r="Y751"/>
  <c r="AA751"/>
  <c r="AC751"/>
  <c r="R753"/>
  <c r="T753"/>
  <c r="V753"/>
  <c r="Z753"/>
  <c r="AB753"/>
  <c r="AD753"/>
  <c r="S753"/>
  <c r="U753"/>
  <c r="W753"/>
  <c r="Y753"/>
  <c r="AA753"/>
  <c r="AC753"/>
  <c r="Y758"/>
  <c r="AA758"/>
  <c r="AC758"/>
  <c r="Z758"/>
  <c r="AB758"/>
  <c r="AD758"/>
  <c r="Y11"/>
  <c r="AA11"/>
  <c r="AC11"/>
  <c r="AB11"/>
  <c r="Z11"/>
  <c r="AD11"/>
  <c r="Y756"/>
  <c r="AA756"/>
  <c r="AC756"/>
  <c r="Z756"/>
  <c r="AB756"/>
  <c r="AD756"/>
  <c r="Y760"/>
  <c r="AA760"/>
  <c r="AC760"/>
  <c r="Z760"/>
  <c r="AB760"/>
  <c r="AD760"/>
  <c r="Z755"/>
  <c r="AB755"/>
  <c r="AD755"/>
  <c r="Y755"/>
  <c r="AA755"/>
  <c r="AC755"/>
  <c r="Z757"/>
  <c r="AB757"/>
  <c r="AD757"/>
  <c r="Y757"/>
  <c r="AA757"/>
  <c r="AC757"/>
  <c r="Z759"/>
  <c r="AB759"/>
  <c r="AD759"/>
  <c r="Y759"/>
  <c r="AA759"/>
  <c r="AC759"/>
  <c r="Y10"/>
  <c r="AB10"/>
  <c r="AD10"/>
  <c r="AC10"/>
  <c r="Z10"/>
  <c r="AA10"/>
  <c r="C66" i="15"/>
  <c r="D66"/>
  <c r="A27" i="34"/>
  <c r="A31"/>
  <c r="A35"/>
  <c r="A39"/>
  <c r="A43"/>
  <c r="A49"/>
  <c r="A53"/>
  <c r="A57"/>
  <c r="A61"/>
  <c r="A63"/>
  <c r="A67"/>
  <c r="A71"/>
  <c r="A73"/>
  <c r="A75"/>
  <c r="A77"/>
  <c r="A79"/>
  <c r="A81"/>
  <c r="A83"/>
  <c r="A85"/>
  <c r="A89"/>
  <c r="A91"/>
  <c r="A93"/>
  <c r="A95"/>
  <c r="A97"/>
  <c r="A99"/>
  <c r="A101"/>
  <c r="A103"/>
  <c r="A105"/>
  <c r="A107"/>
  <c r="A109"/>
  <c r="A111"/>
  <c r="A113"/>
  <c r="A115"/>
  <c r="A117"/>
  <c r="A119"/>
  <c r="A121"/>
  <c r="A123"/>
  <c r="A125"/>
  <c r="A127"/>
  <c r="A129"/>
  <c r="A131"/>
  <c r="A133"/>
  <c r="A135"/>
  <c r="A137"/>
  <c r="A139"/>
  <c r="A141"/>
  <c r="A143"/>
  <c r="A145"/>
  <c r="A147"/>
  <c r="A149"/>
  <c r="A151"/>
  <c r="A153"/>
  <c r="A155"/>
  <c r="A157"/>
  <c r="A159"/>
  <c r="A163"/>
  <c r="A165"/>
  <c r="A171"/>
  <c r="A174"/>
  <c r="A176"/>
  <c r="A166"/>
  <c r="A178"/>
  <c r="A180"/>
  <c r="A182"/>
  <c r="A184"/>
  <c r="A186"/>
  <c r="A188"/>
  <c r="A190"/>
  <c r="A192"/>
  <c r="A194"/>
  <c r="A196"/>
  <c r="A198"/>
  <c r="A200"/>
  <c r="A202"/>
  <c r="A204"/>
  <c r="A206"/>
  <c r="A208"/>
  <c r="A210"/>
  <c r="A212"/>
  <c r="A214"/>
  <c r="A216"/>
  <c r="A221"/>
  <c r="A225"/>
  <c r="A227"/>
  <c r="A229"/>
  <c r="A231"/>
  <c r="A234"/>
  <c r="A237"/>
  <c r="A239"/>
  <c r="A241"/>
  <c r="A243"/>
  <c r="A245"/>
  <c r="A247"/>
  <c r="A252"/>
  <c r="A29"/>
  <c r="A33"/>
  <c r="A37"/>
  <c r="A41"/>
  <c r="A45"/>
  <c r="A47"/>
  <c r="A51"/>
  <c r="A55"/>
  <c r="A59"/>
  <c r="A65"/>
  <c r="A69"/>
  <c r="A87"/>
  <c r="A25"/>
  <c r="A26"/>
  <c r="A28"/>
  <c r="A30"/>
  <c r="A32"/>
  <c r="A34"/>
  <c r="A36"/>
  <c r="A38"/>
  <c r="A40"/>
  <c r="A42"/>
  <c r="A44"/>
  <c r="A46"/>
  <c r="A48"/>
  <c r="A50"/>
  <c r="A52"/>
  <c r="A54"/>
  <c r="A56"/>
  <c r="A58"/>
  <c r="A60"/>
  <c r="A62"/>
  <c r="A64"/>
  <c r="A66"/>
  <c r="A68"/>
  <c r="A70"/>
  <c r="A72"/>
  <c r="A74"/>
  <c r="A76"/>
  <c r="A78"/>
  <c r="A80"/>
  <c r="A82"/>
  <c r="A84"/>
  <c r="A86"/>
  <c r="A88"/>
  <c r="A90"/>
  <c r="A92"/>
  <c r="A94"/>
  <c r="A96"/>
  <c r="A98"/>
  <c r="A100"/>
  <c r="A102"/>
  <c r="A104"/>
  <c r="A106"/>
  <c r="A108"/>
  <c r="A110"/>
  <c r="A112"/>
  <c r="A114"/>
  <c r="A116"/>
  <c r="A118"/>
  <c r="A120"/>
  <c r="A122"/>
  <c r="A124"/>
  <c r="A126"/>
  <c r="A128"/>
  <c r="A130"/>
  <c r="A132"/>
  <c r="A134"/>
  <c r="A136"/>
  <c r="A138"/>
  <c r="A140"/>
  <c r="A142"/>
  <c r="A144"/>
  <c r="A146"/>
  <c r="A148"/>
  <c r="A150"/>
  <c r="A152"/>
  <c r="A154"/>
  <c r="A156"/>
  <c r="A158"/>
  <c r="A162"/>
  <c r="A164"/>
  <c r="A170"/>
  <c r="A172"/>
  <c r="A175"/>
  <c r="A177"/>
  <c r="A167"/>
  <c r="A179"/>
  <c r="A181"/>
  <c r="A183"/>
  <c r="A185"/>
  <c r="A187"/>
  <c r="A189"/>
  <c r="A191"/>
  <c r="A193"/>
  <c r="A195"/>
  <c r="A197"/>
  <c r="A199"/>
  <c r="A201"/>
  <c r="A203"/>
  <c r="A205"/>
  <c r="A207"/>
  <c r="A209"/>
  <c r="A211"/>
  <c r="A213"/>
  <c r="A215"/>
  <c r="A217"/>
  <c r="A223"/>
  <c r="A226"/>
  <c r="A228"/>
  <c r="A230"/>
  <c r="A232"/>
  <c r="A235"/>
  <c r="A238"/>
  <c r="A240"/>
  <c r="A242"/>
  <c r="A244"/>
  <c r="A246"/>
  <c r="A248"/>
  <c r="U756"/>
  <c r="W756"/>
  <c r="V756"/>
  <c r="U758"/>
  <c r="W758"/>
  <c r="V758"/>
  <c r="U760"/>
  <c r="W760"/>
  <c r="V760"/>
  <c r="V755"/>
  <c r="U755"/>
  <c r="W755"/>
  <c r="V757"/>
  <c r="U757"/>
  <c r="W757"/>
  <c r="V759"/>
  <c r="U759"/>
  <c r="W759"/>
  <c r="S755"/>
  <c r="S757"/>
  <c r="S759"/>
  <c r="T755"/>
  <c r="R756"/>
  <c r="S758"/>
  <c r="T760"/>
  <c r="S756"/>
  <c r="T758"/>
  <c r="R759"/>
  <c r="T756"/>
  <c r="R757"/>
  <c r="T759"/>
  <c r="R760"/>
  <c r="R755"/>
  <c r="T757"/>
  <c r="R758"/>
  <c r="S760"/>
  <c r="V172" i="60"/>
  <c r="I165" s="1"/>
  <c r="V79"/>
  <c r="I70" s="1"/>
  <c r="V97"/>
  <c r="I92" s="1"/>
  <c r="D193"/>
  <c r="K187" s="1"/>
  <c r="V276"/>
  <c r="I272" s="1"/>
  <c r="V251"/>
  <c r="I247" s="1"/>
  <c r="A11" i="56"/>
  <c r="A10"/>
  <c r="AH10" i="34"/>
  <c r="F15" i="56"/>
  <c r="H30"/>
  <c r="D114" i="60"/>
  <c r="J109" s="1"/>
  <c r="V258"/>
  <c r="G2" i="56"/>
  <c r="F36"/>
  <c r="L9" i="60"/>
  <c r="V55"/>
  <c r="I50" s="1"/>
  <c r="G110"/>
  <c r="G114" s="1"/>
  <c r="V123"/>
  <c r="I114" s="1"/>
  <c r="V148"/>
  <c r="I141" s="1"/>
  <c r="H188"/>
  <c r="H189"/>
  <c r="V284"/>
  <c r="L274" s="1"/>
  <c r="F29" i="56"/>
  <c r="L247" i="60"/>
  <c r="A12" i="55"/>
  <c r="F30" i="56"/>
  <c r="H187" i="60"/>
  <c r="V225"/>
  <c r="I221" s="1"/>
  <c r="A12" i="34"/>
  <c r="A15"/>
  <c r="A17"/>
  <c r="A11"/>
  <c r="R11"/>
  <c r="A14"/>
  <c r="A16"/>
  <c r="V11"/>
  <c r="A758"/>
  <c r="A759"/>
  <c r="A760"/>
  <c r="T11"/>
  <c r="A10"/>
  <c r="S10"/>
  <c r="U10"/>
  <c r="W10"/>
  <c r="S11"/>
  <c r="U11"/>
  <c r="W11"/>
  <c r="R10"/>
  <c r="T10"/>
  <c r="V10"/>
  <c r="AF10"/>
  <c r="B14" i="55"/>
  <c r="A13"/>
  <c r="G35"/>
  <c r="I35"/>
  <c r="G141" i="60"/>
  <c r="D70"/>
  <c r="G67"/>
  <c r="K111"/>
  <c r="H110"/>
  <c r="H109"/>
  <c r="H111"/>
  <c r="G165"/>
  <c r="G92"/>
  <c r="L7"/>
  <c r="L11" s="1"/>
  <c r="D50"/>
  <c r="H48" s="1"/>
  <c r="D165"/>
  <c r="K188"/>
  <c r="J190"/>
  <c r="D92"/>
  <c r="D221"/>
  <c r="G214"/>
  <c r="G247"/>
  <c r="V17"/>
  <c r="I11" s="1"/>
  <c r="D141"/>
  <c r="K190"/>
  <c r="J189"/>
  <c r="I188"/>
  <c r="I187"/>
  <c r="J191"/>
  <c r="I190"/>
  <c r="I191"/>
  <c r="K189"/>
  <c r="J188"/>
  <c r="J187"/>
  <c r="I189"/>
  <c r="K191"/>
  <c r="V37"/>
  <c r="I31" s="1"/>
  <c r="G187"/>
  <c r="V198"/>
  <c r="I193" s="1"/>
  <c r="D272"/>
  <c r="G265"/>
  <c r="H190"/>
  <c r="D247"/>
  <c r="G31"/>
  <c r="D31"/>
  <c r="D11"/>
  <c r="I7" s="1"/>
  <c r="G8"/>
  <c r="B14" i="58"/>
  <c r="F14" s="1"/>
  <c r="K33" i="55"/>
  <c r="K40"/>
  <c r="K26"/>
  <c r="K30"/>
  <c r="I43"/>
  <c r="I54"/>
  <c r="O6" i="45"/>
  <c r="M10"/>
  <c r="M14"/>
  <c r="O21"/>
  <c r="K15" i="55"/>
  <c r="K18"/>
  <c r="K21"/>
  <c r="K25"/>
  <c r="K29"/>
  <c r="K32"/>
  <c r="K41"/>
  <c r="K49"/>
  <c r="O5" i="45"/>
  <c r="O13"/>
  <c r="K13" i="55"/>
  <c r="K19"/>
  <c r="K22"/>
  <c r="K38"/>
  <c r="K46"/>
  <c r="K50"/>
  <c r="O17" i="45"/>
  <c r="M18"/>
  <c r="M19"/>
  <c r="K16" i="55"/>
  <c r="K23"/>
  <c r="K27"/>
  <c r="K31"/>
  <c r="K39"/>
  <c r="K47"/>
  <c r="K51"/>
  <c r="M11" i="45"/>
  <c r="M15"/>
  <c r="K14" i="55"/>
  <c r="K17"/>
  <c r="K20"/>
  <c r="K24"/>
  <c r="K28"/>
  <c r="K48"/>
  <c r="K52"/>
  <c r="O9" i="45"/>
  <c r="M9"/>
  <c r="G19" i="52"/>
  <c r="B19"/>
  <c r="H18"/>
  <c r="C18"/>
  <c r="I17"/>
  <c r="D17"/>
  <c r="E19"/>
  <c r="J18"/>
  <c r="D18"/>
  <c r="H17"/>
  <c r="B17"/>
  <c r="J19"/>
  <c r="D19"/>
  <c r="I18"/>
  <c r="B18"/>
  <c r="G17"/>
  <c r="A17"/>
  <c r="I19"/>
  <c r="C19"/>
  <c r="M19" s="1"/>
  <c r="G18"/>
  <c r="A18"/>
  <c r="E17"/>
  <c r="H19"/>
  <c r="A19"/>
  <c r="E18"/>
  <c r="J17"/>
  <c r="C17"/>
  <c r="G14" i="57"/>
  <c r="D14"/>
  <c r="I14"/>
  <c r="E30"/>
  <c r="I29"/>
  <c r="D29"/>
  <c r="K29" s="1"/>
  <c r="G28"/>
  <c r="C28"/>
  <c r="F27"/>
  <c r="B27"/>
  <c r="A27" s="1"/>
  <c r="E26"/>
  <c r="I25"/>
  <c r="D25"/>
  <c r="K25" s="1"/>
  <c r="G24"/>
  <c r="C24"/>
  <c r="F23"/>
  <c r="B23"/>
  <c r="A23" s="1"/>
  <c r="I30"/>
  <c r="D30"/>
  <c r="K30" s="1"/>
  <c r="G29"/>
  <c r="C29"/>
  <c r="F28"/>
  <c r="B28"/>
  <c r="A28" s="1"/>
  <c r="E27"/>
  <c r="I26"/>
  <c r="D26"/>
  <c r="K26" s="1"/>
  <c r="G25"/>
  <c r="C25"/>
  <c r="F24"/>
  <c r="G30"/>
  <c r="C30"/>
  <c r="F29"/>
  <c r="B29"/>
  <c r="A29" s="1"/>
  <c r="E28"/>
  <c r="I27"/>
  <c r="D27"/>
  <c r="K27" s="1"/>
  <c r="G26"/>
  <c r="C26"/>
  <c r="F25"/>
  <c r="H25" s="1"/>
  <c r="B25"/>
  <c r="A25" s="1"/>
  <c r="F30"/>
  <c r="B30"/>
  <c r="A30" s="1"/>
  <c r="E29"/>
  <c r="I28"/>
  <c r="D28"/>
  <c r="K28" s="1"/>
  <c r="G27"/>
  <c r="C27"/>
  <c r="F26"/>
  <c r="B26"/>
  <c r="A26" s="1"/>
  <c r="E25"/>
  <c r="I24"/>
  <c r="D24"/>
  <c r="K24" s="1"/>
  <c r="I23"/>
  <c r="C23"/>
  <c r="E22"/>
  <c r="I21"/>
  <c r="D21"/>
  <c r="K21" s="1"/>
  <c r="G20"/>
  <c r="C20"/>
  <c r="F19"/>
  <c r="B19"/>
  <c r="A19" s="1"/>
  <c r="E18"/>
  <c r="I17"/>
  <c r="D17"/>
  <c r="L17" s="1"/>
  <c r="G16"/>
  <c r="C16"/>
  <c r="F15"/>
  <c r="B15"/>
  <c r="B14"/>
  <c r="A14" s="1"/>
  <c r="G23"/>
  <c r="I22"/>
  <c r="D22"/>
  <c r="K22" s="1"/>
  <c r="G21"/>
  <c r="C21"/>
  <c r="F20"/>
  <c r="B20"/>
  <c r="A20" s="1"/>
  <c r="E19"/>
  <c r="I18"/>
  <c r="D18"/>
  <c r="L18" s="1"/>
  <c r="G17"/>
  <c r="C17"/>
  <c r="F16"/>
  <c r="B16"/>
  <c r="E15"/>
  <c r="F14"/>
  <c r="H14" s="1"/>
  <c r="E24"/>
  <c r="E23"/>
  <c r="G22"/>
  <c r="C22"/>
  <c r="F21"/>
  <c r="B21"/>
  <c r="A21" s="1"/>
  <c r="E20"/>
  <c r="I19"/>
  <c r="D19"/>
  <c r="L19" s="1"/>
  <c r="G18"/>
  <c r="C18"/>
  <c r="F17"/>
  <c r="B17"/>
  <c r="A17" s="1"/>
  <c r="E16"/>
  <c r="I15"/>
  <c r="D15"/>
  <c r="E14"/>
  <c r="B24"/>
  <c r="A24" s="1"/>
  <c r="D23"/>
  <c r="K23" s="1"/>
  <c r="F22"/>
  <c r="B22"/>
  <c r="A22" s="1"/>
  <c r="E21"/>
  <c r="I20"/>
  <c r="D20"/>
  <c r="K20" s="1"/>
  <c r="G19"/>
  <c r="C19"/>
  <c r="F18"/>
  <c r="B18"/>
  <c r="A18" s="1"/>
  <c r="E17"/>
  <c r="I16"/>
  <c r="D16"/>
  <c r="G15"/>
  <c r="C15"/>
  <c r="C14"/>
  <c r="B34" s="1"/>
  <c r="E28" i="47"/>
  <c r="H38" i="14"/>
  <c r="C38"/>
  <c r="A38" s="1"/>
  <c r="E37"/>
  <c r="H36"/>
  <c r="C36"/>
  <c r="A36" s="1"/>
  <c r="E35"/>
  <c r="H34"/>
  <c r="C34"/>
  <c r="A34" s="1"/>
  <c r="E33"/>
  <c r="H32"/>
  <c r="C32"/>
  <c r="A32" s="1"/>
  <c r="E31"/>
  <c r="H30"/>
  <c r="C30"/>
  <c r="A30" s="1"/>
  <c r="E29"/>
  <c r="H28"/>
  <c r="C28"/>
  <c r="A28" s="1"/>
  <c r="E27"/>
  <c r="H26"/>
  <c r="C26"/>
  <c r="A26" s="1"/>
  <c r="E25"/>
  <c r="H24"/>
  <c r="C24"/>
  <c r="A24" s="1"/>
  <c r="E23"/>
  <c r="H22"/>
  <c r="C22"/>
  <c r="A22" s="1"/>
  <c r="E21"/>
  <c r="H20"/>
  <c r="C20"/>
  <c r="A20" s="1"/>
  <c r="E19"/>
  <c r="H18"/>
  <c r="B38"/>
  <c r="C37"/>
  <c r="A37" s="1"/>
  <c r="D36"/>
  <c r="D35"/>
  <c r="E34"/>
  <c r="G33"/>
  <c r="G32"/>
  <c r="H31"/>
  <c r="B31"/>
  <c r="B30"/>
  <c r="C29"/>
  <c r="A29" s="1"/>
  <c r="D28"/>
  <c r="D27"/>
  <c r="E26"/>
  <c r="G25"/>
  <c r="G24"/>
  <c r="H23"/>
  <c r="B23"/>
  <c r="B22"/>
  <c r="C21"/>
  <c r="A21" s="1"/>
  <c r="D20"/>
  <c r="D19"/>
  <c r="E18"/>
  <c r="H17"/>
  <c r="C17"/>
  <c r="A17" s="1"/>
  <c r="E16"/>
  <c r="H15"/>
  <c r="C15"/>
  <c r="A15" s="1"/>
  <c r="E14"/>
  <c r="H37"/>
  <c r="G36"/>
  <c r="G35"/>
  <c r="D34"/>
  <c r="C33"/>
  <c r="A33" s="1"/>
  <c r="B32"/>
  <c r="G30"/>
  <c r="G29"/>
  <c r="E28"/>
  <c r="C27"/>
  <c r="A27" s="1"/>
  <c r="B26"/>
  <c r="B25"/>
  <c r="G23"/>
  <c r="E22"/>
  <c r="D21"/>
  <c r="B20"/>
  <c r="B19"/>
  <c r="B18"/>
  <c r="B17"/>
  <c r="C16"/>
  <c r="A16" s="1"/>
  <c r="D15"/>
  <c r="D14"/>
  <c r="G38"/>
  <c r="G37"/>
  <c r="E36"/>
  <c r="C35"/>
  <c r="A35" s="1"/>
  <c r="B34"/>
  <c r="B33"/>
  <c r="G31"/>
  <c r="E30"/>
  <c r="D29"/>
  <c r="B28"/>
  <c r="B27"/>
  <c r="H25"/>
  <c r="E24"/>
  <c r="D23"/>
  <c r="D22"/>
  <c r="B21"/>
  <c r="H19"/>
  <c r="G18"/>
  <c r="G17"/>
  <c r="H16"/>
  <c r="B16"/>
  <c r="B15"/>
  <c r="C14"/>
  <c r="A14" s="1"/>
  <c r="E38"/>
  <c r="D37"/>
  <c r="B36"/>
  <c r="B35"/>
  <c r="H33"/>
  <c r="E32"/>
  <c r="D31"/>
  <c r="D30"/>
  <c r="B29"/>
  <c r="H27"/>
  <c r="G26"/>
  <c r="D25"/>
  <c r="D24"/>
  <c r="C23"/>
  <c r="A23" s="1"/>
  <c r="H21"/>
  <c r="G20"/>
  <c r="G19"/>
  <c r="D18"/>
  <c r="E17"/>
  <c r="G16"/>
  <c r="G15"/>
  <c r="H14"/>
  <c r="B14"/>
  <c r="D38"/>
  <c r="B37"/>
  <c r="H35"/>
  <c r="G34"/>
  <c r="D33"/>
  <c r="D32"/>
  <c r="C31"/>
  <c r="A31" s="1"/>
  <c r="H29"/>
  <c r="G28"/>
  <c r="G27"/>
  <c r="D26"/>
  <c r="C25"/>
  <c r="A25" s="1"/>
  <c r="B24"/>
  <c r="G22"/>
  <c r="G21"/>
  <c r="E20"/>
  <c r="C19"/>
  <c r="A19" s="1"/>
  <c r="C18"/>
  <c r="A18" s="1"/>
  <c r="D17"/>
  <c r="D16"/>
  <c r="E15"/>
  <c r="G14"/>
  <c r="M5" i="45"/>
  <c r="M6"/>
  <c r="O16"/>
  <c r="M16"/>
  <c r="O8"/>
  <c r="M8"/>
  <c r="O12"/>
  <c r="M12"/>
  <c r="M7"/>
  <c r="O7"/>
  <c r="O20"/>
  <c r="M20"/>
  <c r="K12" i="55"/>
  <c r="O10" i="45"/>
  <c r="O14"/>
  <c r="O18"/>
  <c r="O11"/>
  <c r="M13"/>
  <c r="O15"/>
  <c r="M17"/>
  <c r="O19"/>
  <c r="M21"/>
  <c r="K45" i="55"/>
  <c r="G54"/>
  <c r="K37"/>
  <c r="G43"/>
  <c r="B15" i="58"/>
  <c r="F15" s="1"/>
  <c r="B16"/>
  <c r="F16" s="1"/>
  <c r="B17"/>
  <c r="B18"/>
  <c r="F18" s="1"/>
  <c r="B19"/>
  <c r="F19" s="1"/>
  <c r="B20"/>
  <c r="F20" s="1"/>
  <c r="B21"/>
  <c r="B22"/>
  <c r="F22" s="1"/>
  <c r="B23"/>
  <c r="F23" s="1"/>
  <c r="B24"/>
  <c r="F24" s="1"/>
  <c r="B25"/>
  <c r="B26"/>
  <c r="F26" s="1"/>
  <c r="B27"/>
  <c r="F27" s="1"/>
  <c r="B28"/>
  <c r="F28" s="1"/>
  <c r="B29"/>
  <c r="B30"/>
  <c r="F30" s="1"/>
  <c r="H14"/>
  <c r="E14"/>
  <c r="C24"/>
  <c r="C25"/>
  <c r="C26"/>
  <c r="C27"/>
  <c r="C28"/>
  <c r="C29"/>
  <c r="C30"/>
  <c r="C15"/>
  <c r="G15"/>
  <c r="C16"/>
  <c r="G16"/>
  <c r="C17"/>
  <c r="G17"/>
  <c r="C18"/>
  <c r="G18"/>
  <c r="C19"/>
  <c r="G19"/>
  <c r="C20"/>
  <c r="G20"/>
  <c r="C21"/>
  <c r="G21"/>
  <c r="C22"/>
  <c r="G22"/>
  <c r="C23"/>
  <c r="G23"/>
  <c r="G24"/>
  <c r="G25"/>
  <c r="G26"/>
  <c r="G27"/>
  <c r="G28"/>
  <c r="G29"/>
  <c r="G30"/>
  <c r="D15"/>
  <c r="H15"/>
  <c r="D16"/>
  <c r="H16"/>
  <c r="D17"/>
  <c r="H17"/>
  <c r="D18"/>
  <c r="H18"/>
  <c r="D19"/>
  <c r="H19"/>
  <c r="D20"/>
  <c r="H20"/>
  <c r="D21"/>
  <c r="H21"/>
  <c r="D22"/>
  <c r="H22"/>
  <c r="D23"/>
  <c r="H23"/>
  <c r="D24"/>
  <c r="H24"/>
  <c r="D25"/>
  <c r="H25"/>
  <c r="D26"/>
  <c r="H26"/>
  <c r="D27"/>
  <c r="H27"/>
  <c r="D28"/>
  <c r="H28"/>
  <c r="D29"/>
  <c r="H29"/>
  <c r="D30"/>
  <c r="H30"/>
  <c r="G14"/>
  <c r="D14"/>
  <c r="C14"/>
  <c r="E15"/>
  <c r="E16"/>
  <c r="E17"/>
  <c r="I17" s="1"/>
  <c r="E18"/>
  <c r="I18" s="1"/>
  <c r="E19"/>
  <c r="I19" s="1"/>
  <c r="E20"/>
  <c r="I20" s="1"/>
  <c r="E21"/>
  <c r="I21" s="1"/>
  <c r="E22"/>
  <c r="I22" s="1"/>
  <c r="E23"/>
  <c r="I23" s="1"/>
  <c r="E24"/>
  <c r="I24" s="1"/>
  <c r="E25"/>
  <c r="I25" s="1"/>
  <c r="E26"/>
  <c r="I26" s="1"/>
  <c r="E27"/>
  <c r="I27" s="1"/>
  <c r="E28"/>
  <c r="I28" s="1"/>
  <c r="E29"/>
  <c r="I29" s="1"/>
  <c r="E30"/>
  <c r="I30" s="1"/>
  <c r="H13" i="61"/>
  <c r="H14" s="1"/>
  <c r="C13"/>
  <c r="C14" s="1"/>
  <c r="F12"/>
  <c r="D12"/>
  <c r="B13"/>
  <c r="G12"/>
  <c r="E12"/>
  <c r="A15" i="57" l="1"/>
  <c r="I110" i="60"/>
  <c r="I111"/>
  <c r="I109"/>
  <c r="J110"/>
  <c r="F22" i="47"/>
  <c r="G29"/>
  <c r="C43"/>
  <c r="B49"/>
  <c r="G31"/>
  <c r="C41"/>
  <c r="F20"/>
  <c r="A40"/>
  <c r="B17"/>
  <c r="A25"/>
  <c r="B48"/>
  <c r="A39"/>
  <c r="E27"/>
  <c r="B16"/>
  <c r="G46"/>
  <c r="F37"/>
  <c r="C26"/>
  <c r="B50"/>
  <c r="A41"/>
  <c r="E29"/>
  <c r="B18"/>
  <c r="G45"/>
  <c r="F36"/>
  <c r="C25"/>
  <c r="E44"/>
  <c r="B33"/>
  <c r="A24"/>
  <c r="G47"/>
  <c r="F38"/>
  <c r="C27"/>
  <c r="G15"/>
  <c r="E43"/>
  <c r="B32"/>
  <c r="A23"/>
  <c r="C42"/>
  <c r="G30"/>
  <c r="F21"/>
  <c r="E45"/>
  <c r="B34"/>
  <c r="D19"/>
  <c r="D46"/>
  <c r="D30"/>
  <c r="D49"/>
  <c r="D33"/>
  <c r="D17"/>
  <c r="D36"/>
  <c r="D20"/>
  <c r="D47"/>
  <c r="D31"/>
  <c r="D42"/>
  <c r="D26"/>
  <c r="D45"/>
  <c r="D29"/>
  <c r="D48"/>
  <c r="D32"/>
  <c r="D16"/>
  <c r="D43"/>
  <c r="D27"/>
  <c r="D38"/>
  <c r="D22"/>
  <c r="D41"/>
  <c r="D25"/>
  <c r="D44"/>
  <c r="D28"/>
  <c r="D39"/>
  <c r="D23"/>
  <c r="D50"/>
  <c r="D34"/>
  <c r="D18"/>
  <c r="D37"/>
  <c r="D21"/>
  <c r="D40"/>
  <c r="D24"/>
  <c r="D15"/>
  <c r="D35"/>
  <c r="G49"/>
  <c r="E47"/>
  <c r="C45"/>
  <c r="A43"/>
  <c r="F40"/>
  <c r="B36"/>
  <c r="G33"/>
  <c r="E31"/>
  <c r="C29"/>
  <c r="A27"/>
  <c r="F24"/>
  <c r="B20"/>
  <c r="G17"/>
  <c r="E15"/>
  <c r="G50"/>
  <c r="E48"/>
  <c r="C46"/>
  <c r="A44"/>
  <c r="F41"/>
  <c r="B37"/>
  <c r="G34"/>
  <c r="E32"/>
  <c r="C30"/>
  <c r="A28"/>
  <c r="F25"/>
  <c r="B21"/>
  <c r="G18"/>
  <c r="E16"/>
  <c r="E49"/>
  <c r="C47"/>
  <c r="A45"/>
  <c r="F42"/>
  <c r="B38"/>
  <c r="G35"/>
  <c r="E33"/>
  <c r="C31"/>
  <c r="A29"/>
  <c r="F26"/>
  <c r="B22"/>
  <c r="G19"/>
  <c r="E17"/>
  <c r="C15"/>
  <c r="C49"/>
  <c r="A47"/>
  <c r="F44"/>
  <c r="B40"/>
  <c r="G37"/>
  <c r="E35"/>
  <c r="C33"/>
  <c r="A31"/>
  <c r="F28"/>
  <c r="B24"/>
  <c r="G21"/>
  <c r="E19"/>
  <c r="C17"/>
  <c r="A15"/>
  <c r="C50"/>
  <c r="A48"/>
  <c r="F45"/>
  <c r="B41"/>
  <c r="G38"/>
  <c r="E36"/>
  <c r="C34"/>
  <c r="A32"/>
  <c r="F29"/>
  <c r="B25"/>
  <c r="G22"/>
  <c r="E20"/>
  <c r="C18"/>
  <c r="A16"/>
  <c r="A49"/>
  <c r="F46"/>
  <c r="B42"/>
  <c r="G39"/>
  <c r="E37"/>
  <c r="C35"/>
  <c r="A33"/>
  <c r="F30"/>
  <c r="B26"/>
  <c r="G23"/>
  <c r="E21"/>
  <c r="C19"/>
  <c r="A17"/>
  <c r="F48"/>
  <c r="B44"/>
  <c r="G41"/>
  <c r="E39"/>
  <c r="C37"/>
  <c r="A35"/>
  <c r="F32"/>
  <c r="B28"/>
  <c r="G25"/>
  <c r="E23"/>
  <c r="C21"/>
  <c r="A19"/>
  <c r="F16"/>
  <c r="F49"/>
  <c r="B45"/>
  <c r="G42"/>
  <c r="E40"/>
  <c r="C38"/>
  <c r="A36"/>
  <c r="F33"/>
  <c r="B29"/>
  <c r="G26"/>
  <c r="E24"/>
  <c r="C22"/>
  <c r="A20"/>
  <c r="F17"/>
  <c r="F50"/>
  <c r="B46"/>
  <c r="G43"/>
  <c r="E41"/>
  <c r="C39"/>
  <c r="A37"/>
  <c r="F34"/>
  <c r="B30"/>
  <c r="G27"/>
  <c r="E25"/>
  <c r="C23"/>
  <c r="A21"/>
  <c r="F18"/>
  <c r="K112" i="60"/>
  <c r="J111"/>
  <c r="J112"/>
  <c r="H112"/>
  <c r="K109"/>
  <c r="K110"/>
  <c r="I112"/>
  <c r="L23" i="57"/>
  <c r="N17" i="52"/>
  <c r="L27" i="57"/>
  <c r="N19" i="52"/>
  <c r="L25" i="57"/>
  <c r="A14" i="58"/>
  <c r="L28" i="57"/>
  <c r="J21" i="52"/>
  <c r="F31" i="47"/>
  <c r="A50"/>
  <c r="B27"/>
  <c r="E22"/>
  <c r="G40"/>
  <c r="A18"/>
  <c r="C36"/>
  <c r="F15"/>
  <c r="F47"/>
  <c r="B43"/>
  <c r="E38"/>
  <c r="A34"/>
  <c r="G24"/>
  <c r="C20"/>
  <c r="E5" i="58"/>
  <c r="A35"/>
  <c r="L21" i="57"/>
  <c r="J29"/>
  <c r="H29"/>
  <c r="L24"/>
  <c r="L22"/>
  <c r="K17"/>
  <c r="L19" i="52"/>
  <c r="K19"/>
  <c r="B15" i="47"/>
  <c r="G48"/>
  <c r="E46"/>
  <c r="C44"/>
  <c r="A42"/>
  <c r="F39"/>
  <c r="B35"/>
  <c r="G32"/>
  <c r="E30"/>
  <c r="C28"/>
  <c r="A26"/>
  <c r="F23"/>
  <c r="B19"/>
  <c r="G16"/>
  <c r="E50"/>
  <c r="C48"/>
  <c r="A46"/>
  <c r="F43"/>
  <c r="B39"/>
  <c r="G36"/>
  <c r="E34"/>
  <c r="C32"/>
  <c r="A30"/>
  <c r="F27"/>
  <c r="B23"/>
  <c r="G20"/>
  <c r="E18"/>
  <c r="C16"/>
  <c r="B47"/>
  <c r="G44"/>
  <c r="E42"/>
  <c r="C40"/>
  <c r="A38"/>
  <c r="F35"/>
  <c r="B31"/>
  <c r="G28"/>
  <c r="E26"/>
  <c r="C24"/>
  <c r="A22"/>
  <c r="F19"/>
  <c r="J19" i="57"/>
  <c r="J23"/>
  <c r="H17"/>
  <c r="H26"/>
  <c r="K17" i="52"/>
  <c r="M17"/>
  <c r="J26" i="57"/>
  <c r="L17" i="52"/>
  <c r="G21"/>
  <c r="L20" i="57"/>
  <c r="J28"/>
  <c r="K54" i="55"/>
  <c r="K43"/>
  <c r="K35"/>
  <c r="H23" i="57"/>
  <c r="H18"/>
  <c r="H21" i="52"/>
  <c r="J20" i="57"/>
  <c r="J22"/>
  <c r="J15"/>
  <c r="J24"/>
  <c r="J27"/>
  <c r="K18"/>
  <c r="L30"/>
  <c r="A16"/>
  <c r="J25"/>
  <c r="H28"/>
  <c r="J18"/>
  <c r="H20"/>
  <c r="J16"/>
  <c r="H30"/>
  <c r="L29"/>
  <c r="I32"/>
  <c r="J21"/>
  <c r="H15"/>
  <c r="H22"/>
  <c r="J17"/>
  <c r="J14"/>
  <c r="L14" s="1"/>
  <c r="H16"/>
  <c r="H27"/>
  <c r="I21" i="52"/>
  <c r="H21" i="57"/>
  <c r="J30"/>
  <c r="H24"/>
  <c r="K14"/>
  <c r="K15" s="1"/>
  <c r="K16" s="1"/>
  <c r="L26"/>
  <c r="K19"/>
  <c r="K46" i="60"/>
  <c r="J46"/>
  <c r="K47"/>
  <c r="H19" i="57"/>
  <c r="G32"/>
  <c r="H9" i="60"/>
  <c r="N190"/>
  <c r="P190" s="1"/>
  <c r="G40" i="14"/>
  <c r="N112" i="60"/>
  <c r="P112" s="1"/>
  <c r="N189"/>
  <c r="P189" s="1"/>
  <c r="H47"/>
  <c r="I48"/>
  <c r="N109"/>
  <c r="P109" s="1"/>
  <c r="N110"/>
  <c r="P110" s="1"/>
  <c r="M8" i="39"/>
  <c r="J14" i="14"/>
  <c r="H7" i="60"/>
  <c r="K48"/>
  <c r="I47"/>
  <c r="I8"/>
  <c r="I46"/>
  <c r="J48"/>
  <c r="N188"/>
  <c r="P188" s="1"/>
  <c r="N191"/>
  <c r="P191" s="1"/>
  <c r="J7"/>
  <c r="K9"/>
  <c r="N111"/>
  <c r="P111" s="1"/>
  <c r="I14" i="14"/>
  <c r="H40"/>
  <c r="B15" i="55"/>
  <c r="A14"/>
  <c r="H8" i="60"/>
  <c r="J8"/>
  <c r="J47"/>
  <c r="H46"/>
  <c r="I140"/>
  <c r="K139"/>
  <c r="J138"/>
  <c r="J137"/>
  <c r="H139"/>
  <c r="I138"/>
  <c r="K137"/>
  <c r="K140"/>
  <c r="H138"/>
  <c r="I137"/>
  <c r="J140"/>
  <c r="J139"/>
  <c r="H137"/>
  <c r="H140"/>
  <c r="I139"/>
  <c r="K138"/>
  <c r="I219"/>
  <c r="H218"/>
  <c r="K217"/>
  <c r="J216"/>
  <c r="J215"/>
  <c r="I214"/>
  <c r="H219"/>
  <c r="K219"/>
  <c r="J218"/>
  <c r="I217"/>
  <c r="H216"/>
  <c r="H215"/>
  <c r="K214"/>
  <c r="J219"/>
  <c r="I218"/>
  <c r="H217"/>
  <c r="K216"/>
  <c r="K215"/>
  <c r="J214"/>
  <c r="J217"/>
  <c r="I215"/>
  <c r="H214"/>
  <c r="K218"/>
  <c r="I216"/>
  <c r="K245"/>
  <c r="I244"/>
  <c r="I243"/>
  <c r="H242"/>
  <c r="K241"/>
  <c r="K240"/>
  <c r="J245"/>
  <c r="H244"/>
  <c r="H243"/>
  <c r="K242"/>
  <c r="J241"/>
  <c r="J240"/>
  <c r="I245"/>
  <c r="K244"/>
  <c r="K243"/>
  <c r="J242"/>
  <c r="I241"/>
  <c r="I240"/>
  <c r="H245"/>
  <c r="J244"/>
  <c r="J243"/>
  <c r="I242"/>
  <c r="H241"/>
  <c r="H240"/>
  <c r="G272"/>
  <c r="N187"/>
  <c r="G193"/>
  <c r="G70"/>
  <c r="H270"/>
  <c r="K269"/>
  <c r="K268"/>
  <c r="J267"/>
  <c r="I266"/>
  <c r="I265"/>
  <c r="K270"/>
  <c r="J269"/>
  <c r="J268"/>
  <c r="I267"/>
  <c r="H266"/>
  <c r="H265"/>
  <c r="J270"/>
  <c r="I269"/>
  <c r="I268"/>
  <c r="H267"/>
  <c r="K266"/>
  <c r="K265"/>
  <c r="I270"/>
  <c r="H269"/>
  <c r="H268"/>
  <c r="K267"/>
  <c r="J266"/>
  <c r="J265"/>
  <c r="J90"/>
  <c r="J89"/>
  <c r="K90"/>
  <c r="I90"/>
  <c r="K89"/>
  <c r="H90"/>
  <c r="I89"/>
  <c r="H89"/>
  <c r="H163"/>
  <c r="H162"/>
  <c r="K161"/>
  <c r="I163"/>
  <c r="I162"/>
  <c r="H161"/>
  <c r="H160"/>
  <c r="J162"/>
  <c r="I161"/>
  <c r="K160"/>
  <c r="K163"/>
  <c r="J160"/>
  <c r="J163"/>
  <c r="K162"/>
  <c r="J161"/>
  <c r="I160"/>
  <c r="I68"/>
  <c r="I67"/>
  <c r="H68"/>
  <c r="H67"/>
  <c r="K68"/>
  <c r="K67"/>
  <c r="J68"/>
  <c r="J67"/>
  <c r="K7"/>
  <c r="J9"/>
  <c r="G221"/>
  <c r="K29"/>
  <c r="K28"/>
  <c r="J29"/>
  <c r="J28"/>
  <c r="I29"/>
  <c r="I28"/>
  <c r="H29"/>
  <c r="H28"/>
  <c r="K8"/>
  <c r="I9"/>
  <c r="A28" i="58"/>
  <c r="A20"/>
  <c r="E13" i="61"/>
  <c r="E14" s="1"/>
  <c r="B12"/>
  <c r="B14" s="1"/>
  <c r="D13"/>
  <c r="D14" s="1"/>
  <c r="G13"/>
  <c r="G14" s="1"/>
  <c r="F13"/>
  <c r="F14" s="1"/>
  <c r="G11" i="60"/>
  <c r="A24" i="58"/>
  <c r="A22"/>
  <c r="I14"/>
  <c r="I15" s="1"/>
  <c r="I16" s="1"/>
  <c r="O23" i="45"/>
  <c r="G32" i="58"/>
  <c r="A26"/>
  <c r="A23"/>
  <c r="A27"/>
  <c r="A18"/>
  <c r="A19"/>
  <c r="A30"/>
  <c r="A15"/>
  <c r="A16" s="1"/>
  <c r="H32"/>
  <c r="M23" i="45"/>
  <c r="F29" i="58"/>
  <c r="A29"/>
  <c r="F25"/>
  <c r="A25"/>
  <c r="F21"/>
  <c r="A21"/>
  <c r="F17"/>
  <c r="A17"/>
  <c r="L15" i="57" l="1"/>
  <c r="L16" s="1"/>
  <c r="N47" i="60"/>
  <c r="L18" i="52"/>
  <c r="I15" i="47"/>
  <c r="N7" i="60"/>
  <c r="N48"/>
  <c r="L22" i="52"/>
  <c r="H15" i="47"/>
  <c r="N114" i="60"/>
  <c r="N46"/>
  <c r="P46" s="1"/>
  <c r="F51" i="47"/>
  <c r="G51"/>
  <c r="M18" i="52"/>
  <c r="K18"/>
  <c r="K22"/>
  <c r="N18"/>
  <c r="N22"/>
  <c r="K32" i="57"/>
  <c r="M22" i="52"/>
  <c r="J32" i="57"/>
  <c r="H32"/>
  <c r="N268" i="60"/>
  <c r="P268" s="1"/>
  <c r="I41" i="14"/>
  <c r="N8" i="60"/>
  <c r="N28"/>
  <c r="N214"/>
  <c r="P214" s="1"/>
  <c r="N161"/>
  <c r="P161" s="1"/>
  <c r="N90"/>
  <c r="P90" s="1"/>
  <c r="J15" i="14"/>
  <c r="J41"/>
  <c r="N265" i="60"/>
  <c r="P265" s="1"/>
  <c r="N215"/>
  <c r="P215" s="1"/>
  <c r="N9"/>
  <c r="N67"/>
  <c r="P67" s="1"/>
  <c r="N137"/>
  <c r="P137" s="1"/>
  <c r="I15" i="14"/>
  <c r="B16" i="55"/>
  <c r="A15"/>
  <c r="N162" i="60"/>
  <c r="P162" s="1"/>
  <c r="N217"/>
  <c r="P217" s="1"/>
  <c r="N68"/>
  <c r="P68" s="1"/>
  <c r="N163"/>
  <c r="P163" s="1"/>
  <c r="N270"/>
  <c r="P270" s="1"/>
  <c r="P187"/>
  <c r="N193"/>
  <c r="N216"/>
  <c r="P216" s="1"/>
  <c r="N219"/>
  <c r="P219" s="1"/>
  <c r="N29"/>
  <c r="N89"/>
  <c r="N269"/>
  <c r="P269" s="1"/>
  <c r="N267"/>
  <c r="P267" s="1"/>
  <c r="N218"/>
  <c r="P218" s="1"/>
  <c r="N140"/>
  <c r="P140" s="1"/>
  <c r="N160"/>
  <c r="N266"/>
  <c r="P266" s="1"/>
  <c r="N138"/>
  <c r="P138" s="1"/>
  <c r="N139"/>
  <c r="P139" s="1"/>
  <c r="P28"/>
  <c r="I32" i="58"/>
  <c r="H16" i="47" l="1"/>
  <c r="N31" i="60"/>
  <c r="N11"/>
  <c r="I16" i="47"/>
  <c r="I52"/>
  <c r="H52"/>
  <c r="L32" i="57"/>
  <c r="I16" i="14"/>
  <c r="J16"/>
  <c r="B17" i="55"/>
  <c r="A16"/>
  <c r="N165" i="60"/>
  <c r="P160"/>
  <c r="N70"/>
  <c r="P89"/>
  <c r="N92"/>
  <c r="N221"/>
  <c r="N141"/>
  <c r="N272"/>
  <c r="G50"/>
  <c r="H17" i="47" l="1"/>
  <c r="I17"/>
  <c r="J17" i="14"/>
  <c r="I17"/>
  <c r="B18" i="55"/>
  <c r="A17"/>
  <c r="N50" i="60"/>
  <c r="H18" i="47" l="1"/>
  <c r="I18"/>
  <c r="J18" i="14"/>
  <c r="I18"/>
  <c r="B19" i="55"/>
  <c r="A18"/>
  <c r="I19" i="47" l="1"/>
  <c r="H19"/>
  <c r="I19" i="14"/>
  <c r="J19"/>
  <c r="B20" i="55"/>
  <c r="A19"/>
  <c r="H20" i="47" l="1"/>
  <c r="I20"/>
  <c r="J20" i="14"/>
  <c r="I20"/>
  <c r="B21" i="55"/>
  <c r="A20"/>
  <c r="H21" i="47" l="1"/>
  <c r="I21"/>
  <c r="J21" i="14"/>
  <c r="I21"/>
  <c r="B22" i="55"/>
  <c r="A21"/>
  <c r="H22" i="47" l="1"/>
  <c r="I22"/>
  <c r="J22" i="14"/>
  <c r="I22"/>
  <c r="B23" i="55"/>
  <c r="A22"/>
  <c r="I23" i="47" l="1"/>
  <c r="H23"/>
  <c r="I23" i="14"/>
  <c r="J23"/>
  <c r="B24" i="55"/>
  <c r="A23"/>
  <c r="H24" i="47" l="1"/>
  <c r="I24"/>
  <c r="J24" i="14"/>
  <c r="I24"/>
  <c r="B25" i="55"/>
  <c r="A24"/>
  <c r="I25" i="47" l="1"/>
  <c r="H25"/>
  <c r="I25" i="14"/>
  <c r="J25"/>
  <c r="B26" i="55"/>
  <c r="A25"/>
  <c r="H26" i="47" l="1"/>
  <c r="I26"/>
  <c r="J26" i="14"/>
  <c r="I26"/>
  <c r="B27" i="55"/>
  <c r="A26"/>
  <c r="I27" i="47" l="1"/>
  <c r="H27"/>
  <c r="I27" i="14"/>
  <c r="J27"/>
  <c r="B28" i="55"/>
  <c r="A27"/>
  <c r="H28" i="47" l="1"/>
  <c r="I28"/>
  <c r="J28" i="14"/>
  <c r="I28"/>
  <c r="B29" i="55"/>
  <c r="A28"/>
  <c r="I29" i="47" l="1"/>
  <c r="H29"/>
  <c r="I29" i="14"/>
  <c r="J29"/>
  <c r="B30" i="55"/>
  <c r="A29"/>
  <c r="H30" i="47" l="1"/>
  <c r="I30"/>
  <c r="J30" i="14"/>
  <c r="I30"/>
  <c r="B31" i="55"/>
  <c r="A30"/>
  <c r="I31" i="47" l="1"/>
  <c r="H31"/>
  <c r="I31" i="14"/>
  <c r="J31"/>
  <c r="B32" i="55"/>
  <c r="A32" s="1"/>
  <c r="A31"/>
  <c r="H32" i="47" l="1"/>
  <c r="I32"/>
  <c r="B433" i="34"/>
  <c r="J32" i="14"/>
  <c r="I32"/>
  <c r="AH433" i="34" l="1"/>
  <c r="A433"/>
  <c r="Y433"/>
  <c r="AA433"/>
  <c r="AC433"/>
  <c r="Z433"/>
  <c r="AB433"/>
  <c r="AD433"/>
  <c r="R433"/>
  <c r="T433"/>
  <c r="V433"/>
  <c r="S433"/>
  <c r="U433"/>
  <c r="W433"/>
  <c r="I33" i="47"/>
  <c r="H33"/>
  <c r="I33" i="14"/>
  <c r="J33"/>
  <c r="I14" i="59"/>
  <c r="H37"/>
  <c r="A34"/>
  <c r="A33"/>
  <c r="H26"/>
  <c r="A23"/>
  <c r="H24"/>
  <c r="H23"/>
  <c r="H22"/>
  <c r="A19"/>
  <c r="D15"/>
  <c r="H14"/>
  <c r="G38"/>
  <c r="I28"/>
  <c r="I25"/>
  <c r="I26"/>
  <c r="I23"/>
  <c r="G19"/>
  <c r="G16"/>
  <c r="D39"/>
  <c r="D38"/>
  <c r="A32"/>
  <c r="D28"/>
  <c r="A30"/>
  <c r="A29"/>
  <c r="A28"/>
  <c r="D24"/>
  <c r="H20"/>
  <c r="H19"/>
  <c r="A14"/>
  <c r="I36"/>
  <c r="I33"/>
  <c r="I34"/>
  <c r="I31"/>
  <c r="G27"/>
  <c r="G24"/>
  <c r="I22"/>
  <c r="I19"/>
  <c r="D37"/>
  <c r="H33"/>
  <c r="D35"/>
  <c r="D34"/>
  <c r="D33"/>
  <c r="H29"/>
  <c r="A26"/>
  <c r="A25"/>
  <c r="H18"/>
  <c r="A15"/>
  <c r="H16"/>
  <c r="H15"/>
  <c r="I39"/>
  <c r="G35"/>
  <c r="G32"/>
  <c r="I30"/>
  <c r="I27"/>
  <c r="G15"/>
  <c r="A39"/>
  <c r="H40"/>
  <c r="H39"/>
  <c r="H38"/>
  <c r="A35"/>
  <c r="D31"/>
  <c r="D30"/>
  <c r="A24"/>
  <c r="D20"/>
  <c r="A22"/>
  <c r="A21"/>
  <c r="A20"/>
  <c r="D16"/>
  <c r="G40"/>
  <c r="I38"/>
  <c r="I35"/>
  <c r="G23"/>
  <c r="G20"/>
  <c r="G21"/>
  <c r="G18"/>
  <c r="I16"/>
  <c r="D40"/>
  <c r="H36"/>
  <c r="H35"/>
  <c r="D29"/>
  <c r="H25"/>
  <c r="D27"/>
  <c r="D26"/>
  <c r="D25"/>
  <c r="H21"/>
  <c r="A18"/>
  <c r="A17"/>
  <c r="D14"/>
  <c r="G31"/>
  <c r="G28"/>
  <c r="G29"/>
  <c r="G26"/>
  <c r="I24"/>
  <c r="I21"/>
  <c r="G17"/>
  <c r="G14"/>
  <c r="H34"/>
  <c r="A31"/>
  <c r="H32"/>
  <c r="H31"/>
  <c r="H30"/>
  <c r="A27"/>
  <c r="D23"/>
  <c r="D22"/>
  <c r="A16"/>
  <c r="G39"/>
  <c r="G36"/>
  <c r="G37"/>
  <c r="G34"/>
  <c r="I32"/>
  <c r="I29"/>
  <c r="G25"/>
  <c r="G22"/>
  <c r="A40"/>
  <c r="D36"/>
  <c r="A38"/>
  <c r="A37"/>
  <c r="A36"/>
  <c r="D32"/>
  <c r="H28"/>
  <c r="H27"/>
  <c r="D21"/>
  <c r="H17"/>
  <c r="D19"/>
  <c r="D18"/>
  <c r="D17"/>
  <c r="I40"/>
  <c r="I37"/>
  <c r="G33"/>
  <c r="G30"/>
  <c r="I20"/>
  <c r="I17"/>
  <c r="I18"/>
  <c r="I15"/>
  <c r="B34"/>
  <c r="B20"/>
  <c r="B22"/>
  <c r="B24"/>
  <c r="B29"/>
  <c r="B33"/>
  <c r="B15"/>
  <c r="B36"/>
  <c r="B38"/>
  <c r="B16"/>
  <c r="B37"/>
  <c r="B18"/>
  <c r="B30"/>
  <c r="B31"/>
  <c r="B17"/>
  <c r="B19"/>
  <c r="B32"/>
  <c r="B14"/>
  <c r="B23"/>
  <c r="B35"/>
  <c r="B26"/>
  <c r="B39"/>
  <c r="B25"/>
  <c r="B27"/>
  <c r="B21"/>
  <c r="B28"/>
  <c r="B40"/>
  <c r="B513" i="34"/>
  <c r="AH513" l="1"/>
  <c r="A513"/>
  <c r="H34" i="47"/>
  <c r="Y513" i="34"/>
  <c r="AA513"/>
  <c r="AC513"/>
  <c r="Z513"/>
  <c r="AB513"/>
  <c r="B37" i="65" s="1"/>
  <c r="AD513" i="34"/>
  <c r="R513"/>
  <c r="T513"/>
  <c r="V513"/>
  <c r="S513"/>
  <c r="U513"/>
  <c r="W513"/>
  <c r="D33" i="65"/>
  <c r="I34" i="47"/>
  <c r="I35" s="1"/>
  <c r="J34" i="14"/>
  <c r="I34"/>
  <c r="F21" i="59"/>
  <c r="C21"/>
  <c r="J21"/>
  <c r="E21"/>
  <c r="E26"/>
  <c r="F26"/>
  <c r="J26"/>
  <c r="C26"/>
  <c r="E32"/>
  <c r="C32"/>
  <c r="J32"/>
  <c r="F32"/>
  <c r="C30"/>
  <c r="J30"/>
  <c r="F30"/>
  <c r="E30"/>
  <c r="E38"/>
  <c r="F38"/>
  <c r="C38"/>
  <c r="J38"/>
  <c r="E29"/>
  <c r="F29"/>
  <c r="C29"/>
  <c r="J29"/>
  <c r="C34"/>
  <c r="E34"/>
  <c r="F34"/>
  <c r="J34"/>
  <c r="J27"/>
  <c r="F27"/>
  <c r="C27"/>
  <c r="E27"/>
  <c r="C35"/>
  <c r="F35"/>
  <c r="J35"/>
  <c r="E35"/>
  <c r="C19"/>
  <c r="J19"/>
  <c r="F19"/>
  <c r="E19"/>
  <c r="F18"/>
  <c r="J18"/>
  <c r="E18"/>
  <c r="C18"/>
  <c r="C36"/>
  <c r="F36"/>
  <c r="E36"/>
  <c r="J36"/>
  <c r="F24"/>
  <c r="C24"/>
  <c r="J24"/>
  <c r="E24"/>
  <c r="J40"/>
  <c r="E40"/>
  <c r="C40"/>
  <c r="F40"/>
  <c r="J25"/>
  <c r="E25"/>
  <c r="C25"/>
  <c r="F25"/>
  <c r="E23"/>
  <c r="C23"/>
  <c r="J23"/>
  <c r="F23"/>
  <c r="C17"/>
  <c r="J17"/>
  <c r="E17"/>
  <c r="F17"/>
  <c r="F37"/>
  <c r="J37"/>
  <c r="E37"/>
  <c r="C37"/>
  <c r="C15"/>
  <c r="J15"/>
  <c r="E15"/>
  <c r="F15"/>
  <c r="J22"/>
  <c r="F22"/>
  <c r="C22"/>
  <c r="E22"/>
  <c r="J28"/>
  <c r="F28"/>
  <c r="E28"/>
  <c r="C28"/>
  <c r="E39"/>
  <c r="C39"/>
  <c r="F39"/>
  <c r="J39"/>
  <c r="E14"/>
  <c r="F14"/>
  <c r="C14"/>
  <c r="J14"/>
  <c r="J31"/>
  <c r="C31"/>
  <c r="F31"/>
  <c r="E31"/>
  <c r="J16"/>
  <c r="C16"/>
  <c r="E16"/>
  <c r="F16"/>
  <c r="J33"/>
  <c r="F33"/>
  <c r="E33"/>
  <c r="C33"/>
  <c r="J20"/>
  <c r="C20"/>
  <c r="E20"/>
  <c r="F20"/>
  <c r="D13" i="65" l="1"/>
  <c r="G16" i="43"/>
  <c r="G138"/>
  <c r="C31" i="65"/>
  <c r="B31"/>
  <c r="B38"/>
  <c r="D36"/>
  <c r="C33"/>
  <c r="D39"/>
  <c r="B34"/>
  <c r="C37"/>
  <c r="D32"/>
  <c r="D35"/>
  <c r="G129" i="43"/>
  <c r="G132"/>
  <c r="G136"/>
  <c r="C10" i="39"/>
  <c r="C15"/>
  <c r="M9"/>
  <c r="H5"/>
  <c r="M16" s="1"/>
  <c r="C12"/>
  <c r="D128" i="43"/>
  <c r="A129"/>
  <c r="E129"/>
  <c r="B130"/>
  <c r="F130"/>
  <c r="C131"/>
  <c r="G131"/>
  <c r="D132"/>
  <c r="A133"/>
  <c r="E133"/>
  <c r="B134"/>
  <c r="F134"/>
  <c r="C135"/>
  <c r="G135"/>
  <c r="D136"/>
  <c r="A137"/>
  <c r="E137"/>
  <c r="B138"/>
  <c r="F138"/>
  <c r="C139"/>
  <c r="G139"/>
  <c r="D140"/>
  <c r="A141"/>
  <c r="E141"/>
  <c r="B142"/>
  <c r="F142"/>
  <c r="C143"/>
  <c r="G143"/>
  <c r="D144"/>
  <c r="A145"/>
  <c r="H145" s="1"/>
  <c r="E145"/>
  <c r="B146"/>
  <c r="F146"/>
  <c r="C147"/>
  <c r="G147"/>
  <c r="D148"/>
  <c r="A149"/>
  <c r="H149" s="1"/>
  <c r="E149"/>
  <c r="B150"/>
  <c r="F150"/>
  <c r="C151"/>
  <c r="G151"/>
  <c r="D152"/>
  <c r="A153"/>
  <c r="H153" s="1"/>
  <c r="E153"/>
  <c r="B154"/>
  <c r="F154"/>
  <c r="C155"/>
  <c r="G155"/>
  <c r="D156"/>
  <c r="A157"/>
  <c r="H157" s="1"/>
  <c r="E157"/>
  <c r="B158"/>
  <c r="F158"/>
  <c r="C159"/>
  <c r="G159"/>
  <c r="D160"/>
  <c r="A161"/>
  <c r="H161" s="1"/>
  <c r="E161"/>
  <c r="B162"/>
  <c r="F162"/>
  <c r="C163"/>
  <c r="G163"/>
  <c r="D164"/>
  <c r="A165"/>
  <c r="H165" s="1"/>
  <c r="E165"/>
  <c r="B166"/>
  <c r="F166"/>
  <c r="C167"/>
  <c r="G167"/>
  <c r="D168"/>
  <c r="A169"/>
  <c r="H169" s="1"/>
  <c r="E169"/>
  <c r="B170"/>
  <c r="F170"/>
  <c r="C171"/>
  <c r="G171"/>
  <c r="D172"/>
  <c r="A173"/>
  <c r="H173" s="1"/>
  <c r="E173"/>
  <c r="B174"/>
  <c r="F174"/>
  <c r="C175"/>
  <c r="G175"/>
  <c r="D176"/>
  <c r="A177"/>
  <c r="H177" s="1"/>
  <c r="E177"/>
  <c r="B178"/>
  <c r="F178"/>
  <c r="C179"/>
  <c r="G179"/>
  <c r="D180"/>
  <c r="A181"/>
  <c r="H181" s="1"/>
  <c r="E181"/>
  <c r="B182"/>
  <c r="F182"/>
  <c r="C183"/>
  <c r="G183"/>
  <c r="D184"/>
  <c r="A185"/>
  <c r="H185" s="1"/>
  <c r="E185"/>
  <c r="B186"/>
  <c r="F186"/>
  <c r="C187"/>
  <c r="G187"/>
  <c r="D188"/>
  <c r="A189"/>
  <c r="H189" s="1"/>
  <c r="E189"/>
  <c r="B190"/>
  <c r="F190"/>
  <c r="C191"/>
  <c r="G191"/>
  <c r="D192"/>
  <c r="A121"/>
  <c r="E121"/>
  <c r="B122"/>
  <c r="F122"/>
  <c r="C123"/>
  <c r="G123"/>
  <c r="D124"/>
  <c r="A125"/>
  <c r="E125"/>
  <c r="B126"/>
  <c r="F126"/>
  <c r="C127"/>
  <c r="G127"/>
  <c r="C128"/>
  <c r="G128"/>
  <c r="D129"/>
  <c r="A130"/>
  <c r="E130"/>
  <c r="B131"/>
  <c r="F131"/>
  <c r="C132"/>
  <c r="D133"/>
  <c r="A134"/>
  <c r="E134"/>
  <c r="B135"/>
  <c r="F135"/>
  <c r="C136"/>
  <c r="D137"/>
  <c r="A138"/>
  <c r="E138"/>
  <c r="B139"/>
  <c r="F139"/>
  <c r="C140"/>
  <c r="G140"/>
  <c r="D141"/>
  <c r="A142"/>
  <c r="E142"/>
  <c r="B143"/>
  <c r="F143"/>
  <c r="C144"/>
  <c r="G144"/>
  <c r="D145"/>
  <c r="A146"/>
  <c r="H146" s="1"/>
  <c r="E146"/>
  <c r="B147"/>
  <c r="F147"/>
  <c r="C148"/>
  <c r="G148"/>
  <c r="D149"/>
  <c r="A150"/>
  <c r="H150" s="1"/>
  <c r="E150"/>
  <c r="B151"/>
  <c r="F151"/>
  <c r="C152"/>
  <c r="G152"/>
  <c r="D153"/>
  <c r="A154"/>
  <c r="H154" s="1"/>
  <c r="E154"/>
  <c r="B155"/>
  <c r="F155"/>
  <c r="C156"/>
  <c r="G156"/>
  <c r="D157"/>
  <c r="A158"/>
  <c r="H158" s="1"/>
  <c r="E158"/>
  <c r="B159"/>
  <c r="F159"/>
  <c r="C160"/>
  <c r="G160"/>
  <c r="D161"/>
  <c r="A162"/>
  <c r="H162" s="1"/>
  <c r="E162"/>
  <c r="B163"/>
  <c r="F163"/>
  <c r="C164"/>
  <c r="G164"/>
  <c r="D165"/>
  <c r="A166"/>
  <c r="H166" s="1"/>
  <c r="E166"/>
  <c r="B167"/>
  <c r="F167"/>
  <c r="C168"/>
  <c r="G168"/>
  <c r="D169"/>
  <c r="A170"/>
  <c r="H170" s="1"/>
  <c r="E170"/>
  <c r="B171"/>
  <c r="F171"/>
  <c r="C172"/>
  <c r="G172"/>
  <c r="D173"/>
  <c r="A174"/>
  <c r="H174" s="1"/>
  <c r="E174"/>
  <c r="B175"/>
  <c r="F175"/>
  <c r="C176"/>
  <c r="G176"/>
  <c r="D177"/>
  <c r="A178"/>
  <c r="H178" s="1"/>
  <c r="E178"/>
  <c r="B179"/>
  <c r="F179"/>
  <c r="C180"/>
  <c r="G180"/>
  <c r="D181"/>
  <c r="A182"/>
  <c r="H182" s="1"/>
  <c r="E182"/>
  <c r="B183"/>
  <c r="F183"/>
  <c r="C184"/>
  <c r="G184"/>
  <c r="D185"/>
  <c r="A186"/>
  <c r="H186" s="1"/>
  <c r="E186"/>
  <c r="B187"/>
  <c r="F187"/>
  <c r="C188"/>
  <c r="G188"/>
  <c r="D189"/>
  <c r="A190"/>
  <c r="H190" s="1"/>
  <c r="E190"/>
  <c r="B191"/>
  <c r="F191"/>
  <c r="C192"/>
  <c r="G192"/>
  <c r="D121"/>
  <c r="A122"/>
  <c r="E122"/>
  <c r="B123"/>
  <c r="F123"/>
  <c r="C124"/>
  <c r="G124"/>
  <c r="D125"/>
  <c r="A126"/>
  <c r="E126"/>
  <c r="B127"/>
  <c r="F127"/>
  <c r="B128"/>
  <c r="F128"/>
  <c r="C129"/>
  <c r="D130"/>
  <c r="A131"/>
  <c r="E131"/>
  <c r="B132"/>
  <c r="F132"/>
  <c r="C133"/>
  <c r="G133"/>
  <c r="D134"/>
  <c r="A135"/>
  <c r="E135"/>
  <c r="B136"/>
  <c r="F136"/>
  <c r="C137"/>
  <c r="G137"/>
  <c r="D138"/>
  <c r="A139"/>
  <c r="E139"/>
  <c r="B140"/>
  <c r="F140"/>
  <c r="C141"/>
  <c r="G141"/>
  <c r="D142"/>
  <c r="A143"/>
  <c r="E143"/>
  <c r="B144"/>
  <c r="F144"/>
  <c r="C145"/>
  <c r="G145"/>
  <c r="D146"/>
  <c r="A147"/>
  <c r="H147" s="1"/>
  <c r="E147"/>
  <c r="B148"/>
  <c r="F148"/>
  <c r="C149"/>
  <c r="G149"/>
  <c r="D150"/>
  <c r="A151"/>
  <c r="H151" s="1"/>
  <c r="E151"/>
  <c r="B152"/>
  <c r="F152"/>
  <c r="C153"/>
  <c r="G153"/>
  <c r="D154"/>
  <c r="A155"/>
  <c r="H155" s="1"/>
  <c r="E155"/>
  <c r="B156"/>
  <c r="F156"/>
  <c r="C157"/>
  <c r="G157"/>
  <c r="D158"/>
  <c r="A159"/>
  <c r="H159" s="1"/>
  <c r="E159"/>
  <c r="B160"/>
  <c r="F160"/>
  <c r="C161"/>
  <c r="G161"/>
  <c r="D162"/>
  <c r="A163"/>
  <c r="H163" s="1"/>
  <c r="E163"/>
  <c r="B164"/>
  <c r="F164"/>
  <c r="C165"/>
  <c r="G165"/>
  <c r="D166"/>
  <c r="A167"/>
  <c r="H167" s="1"/>
  <c r="E167"/>
  <c r="B168"/>
  <c r="F168"/>
  <c r="C169"/>
  <c r="G169"/>
  <c r="D170"/>
  <c r="A171"/>
  <c r="H171" s="1"/>
  <c r="E171"/>
  <c r="B172"/>
  <c r="F172"/>
  <c r="C173"/>
  <c r="G173"/>
  <c r="D174"/>
  <c r="A175"/>
  <c r="H175" s="1"/>
  <c r="E175"/>
  <c r="B176"/>
  <c r="F176"/>
  <c r="C177"/>
  <c r="G177"/>
  <c r="D178"/>
  <c r="A179"/>
  <c r="H179" s="1"/>
  <c r="E179"/>
  <c r="B180"/>
  <c r="F180"/>
  <c r="C181"/>
  <c r="G181"/>
  <c r="D182"/>
  <c r="A183"/>
  <c r="H183" s="1"/>
  <c r="E183"/>
  <c r="B184"/>
  <c r="F184"/>
  <c r="C185"/>
  <c r="G185"/>
  <c r="D186"/>
  <c r="A187"/>
  <c r="H187" s="1"/>
  <c r="E187"/>
  <c r="B188"/>
  <c r="F188"/>
  <c r="C189"/>
  <c r="G189"/>
  <c r="D190"/>
  <c r="A191"/>
  <c r="H191" s="1"/>
  <c r="E191"/>
  <c r="B192"/>
  <c r="F192"/>
  <c r="C121"/>
  <c r="G121"/>
  <c r="D122"/>
  <c r="A123"/>
  <c r="E123"/>
  <c r="B124"/>
  <c r="F124"/>
  <c r="C125"/>
  <c r="G125"/>
  <c r="D126"/>
  <c r="A127"/>
  <c r="E127"/>
  <c r="A128"/>
  <c r="E128"/>
  <c r="B129"/>
  <c r="F129"/>
  <c r="C130"/>
  <c r="G130"/>
  <c r="D131"/>
  <c r="A132"/>
  <c r="E132"/>
  <c r="B133"/>
  <c r="F133"/>
  <c r="C134"/>
  <c r="G134"/>
  <c r="D135"/>
  <c r="A136"/>
  <c r="E136"/>
  <c r="B137"/>
  <c r="F137"/>
  <c r="C138"/>
  <c r="D139"/>
  <c r="A140"/>
  <c r="E140"/>
  <c r="B141"/>
  <c r="F141"/>
  <c r="C142"/>
  <c r="G142"/>
  <c r="D143"/>
  <c r="A144"/>
  <c r="E144"/>
  <c r="B145"/>
  <c r="F145"/>
  <c r="C146"/>
  <c r="G146"/>
  <c r="D147"/>
  <c r="A148"/>
  <c r="H148" s="1"/>
  <c r="E148"/>
  <c r="B149"/>
  <c r="F149"/>
  <c r="C150"/>
  <c r="G150"/>
  <c r="D151"/>
  <c r="A152"/>
  <c r="H152" s="1"/>
  <c r="E152"/>
  <c r="B153"/>
  <c r="F153"/>
  <c r="C154"/>
  <c r="G154"/>
  <c r="D155"/>
  <c r="A156"/>
  <c r="H156" s="1"/>
  <c r="E156"/>
  <c r="B157"/>
  <c r="F157"/>
  <c r="C158"/>
  <c r="G158"/>
  <c r="D159"/>
  <c r="A160"/>
  <c r="H160" s="1"/>
  <c r="E160"/>
  <c r="B161"/>
  <c r="F161"/>
  <c r="C162"/>
  <c r="G162"/>
  <c r="D163"/>
  <c r="A164"/>
  <c r="H164" s="1"/>
  <c r="E164"/>
  <c r="B165"/>
  <c r="F165"/>
  <c r="C166"/>
  <c r="G166"/>
  <c r="D167"/>
  <c r="A168"/>
  <c r="H168" s="1"/>
  <c r="E168"/>
  <c r="B169"/>
  <c r="F169"/>
  <c r="C170"/>
  <c r="G170"/>
  <c r="D171"/>
  <c r="A172"/>
  <c r="H172" s="1"/>
  <c r="E172"/>
  <c r="B173"/>
  <c r="F173"/>
  <c r="C174"/>
  <c r="G174"/>
  <c r="D175"/>
  <c r="A176"/>
  <c r="H176" s="1"/>
  <c r="E176"/>
  <c r="B177"/>
  <c r="F177"/>
  <c r="C178"/>
  <c r="G178"/>
  <c r="D179"/>
  <c r="A180"/>
  <c r="H180" s="1"/>
  <c r="E180"/>
  <c r="B181"/>
  <c r="F181"/>
  <c r="C182"/>
  <c r="G182"/>
  <c r="D183"/>
  <c r="A184"/>
  <c r="H184" s="1"/>
  <c r="E184"/>
  <c r="B185"/>
  <c r="F185"/>
  <c r="C186"/>
  <c r="G186"/>
  <c r="D187"/>
  <c r="A188"/>
  <c r="H188" s="1"/>
  <c r="E188"/>
  <c r="B189"/>
  <c r="F189"/>
  <c r="C190"/>
  <c r="G190"/>
  <c r="D191"/>
  <c r="A192"/>
  <c r="H192" s="1"/>
  <c r="E192"/>
  <c r="B121"/>
  <c r="F121"/>
  <c r="C122"/>
  <c r="G122"/>
  <c r="D123"/>
  <c r="A124"/>
  <c r="E124"/>
  <c r="B125"/>
  <c r="F125"/>
  <c r="C126"/>
  <c r="G126"/>
  <c r="D127"/>
  <c r="D32"/>
  <c r="A33"/>
  <c r="E33"/>
  <c r="B34"/>
  <c r="F34"/>
  <c r="C35"/>
  <c r="G35"/>
  <c r="D36"/>
  <c r="A37"/>
  <c r="E37"/>
  <c r="B38"/>
  <c r="F38"/>
  <c r="C39"/>
  <c r="G39"/>
  <c r="D40"/>
  <c r="A41"/>
  <c r="E41"/>
  <c r="B42"/>
  <c r="F42"/>
  <c r="C43"/>
  <c r="G43"/>
  <c r="D44"/>
  <c r="A45"/>
  <c r="E45"/>
  <c r="B46"/>
  <c r="F46"/>
  <c r="C47"/>
  <c r="G47"/>
  <c r="D48"/>
  <c r="A49"/>
  <c r="E49"/>
  <c r="B50"/>
  <c r="F50"/>
  <c r="C51"/>
  <c r="G51"/>
  <c r="D52"/>
  <c r="A53"/>
  <c r="E53"/>
  <c r="B54"/>
  <c r="F54"/>
  <c r="C55"/>
  <c r="G55"/>
  <c r="D56"/>
  <c r="A57"/>
  <c r="E57"/>
  <c r="B58"/>
  <c r="F58"/>
  <c r="C59"/>
  <c r="G59"/>
  <c r="D60"/>
  <c r="A61"/>
  <c r="E61"/>
  <c r="B62"/>
  <c r="F62"/>
  <c r="C63"/>
  <c r="G63"/>
  <c r="D64"/>
  <c r="A65"/>
  <c r="E65"/>
  <c r="B66"/>
  <c r="F66"/>
  <c r="C67"/>
  <c r="G67"/>
  <c r="D68"/>
  <c r="A69"/>
  <c r="E69"/>
  <c r="B70"/>
  <c r="F70"/>
  <c r="C71"/>
  <c r="G71"/>
  <c r="D72"/>
  <c r="A73"/>
  <c r="E73"/>
  <c r="B74"/>
  <c r="F74"/>
  <c r="C75"/>
  <c r="G75"/>
  <c r="D76"/>
  <c r="A77"/>
  <c r="E77"/>
  <c r="B78"/>
  <c r="F78"/>
  <c r="C79"/>
  <c r="G79"/>
  <c r="D80"/>
  <c r="A81"/>
  <c r="E81"/>
  <c r="B82"/>
  <c r="F82"/>
  <c r="C83"/>
  <c r="G83"/>
  <c r="D84"/>
  <c r="A85"/>
  <c r="E85"/>
  <c r="B86"/>
  <c r="F86"/>
  <c r="C87"/>
  <c r="G87"/>
  <c r="D88"/>
  <c r="A89"/>
  <c r="E89"/>
  <c r="B90"/>
  <c r="F90"/>
  <c r="C91"/>
  <c r="G91"/>
  <c r="D92"/>
  <c r="A93"/>
  <c r="E93"/>
  <c r="B94"/>
  <c r="F94"/>
  <c r="C95"/>
  <c r="G95"/>
  <c r="D96"/>
  <c r="A97"/>
  <c r="E97"/>
  <c r="B98"/>
  <c r="F98"/>
  <c r="C99"/>
  <c r="G99"/>
  <c r="D100"/>
  <c r="A101"/>
  <c r="E101"/>
  <c r="B102"/>
  <c r="F102"/>
  <c r="C103"/>
  <c r="G103"/>
  <c r="D104"/>
  <c r="A105"/>
  <c r="C32"/>
  <c r="G32"/>
  <c r="D33"/>
  <c r="A34"/>
  <c r="E34"/>
  <c r="B35"/>
  <c r="F35"/>
  <c r="C36"/>
  <c r="G36"/>
  <c r="D37"/>
  <c r="A38"/>
  <c r="E38"/>
  <c r="B39"/>
  <c r="F39"/>
  <c r="C40"/>
  <c r="G40"/>
  <c r="D41"/>
  <c r="A42"/>
  <c r="E42"/>
  <c r="B43"/>
  <c r="F43"/>
  <c r="C44"/>
  <c r="G44"/>
  <c r="D45"/>
  <c r="A46"/>
  <c r="E46"/>
  <c r="B47"/>
  <c r="F47"/>
  <c r="C48"/>
  <c r="G48"/>
  <c r="D49"/>
  <c r="A50"/>
  <c r="E50"/>
  <c r="B51"/>
  <c r="F51"/>
  <c r="C52"/>
  <c r="G52"/>
  <c r="D53"/>
  <c r="A54"/>
  <c r="E54"/>
  <c r="B55"/>
  <c r="F55"/>
  <c r="C56"/>
  <c r="G56"/>
  <c r="D57"/>
  <c r="A58"/>
  <c r="E58"/>
  <c r="B59"/>
  <c r="F59"/>
  <c r="C60"/>
  <c r="G60"/>
  <c r="D61"/>
  <c r="A62"/>
  <c r="E62"/>
  <c r="B63"/>
  <c r="F63"/>
  <c r="C64"/>
  <c r="G64"/>
  <c r="D65"/>
  <c r="A66"/>
  <c r="E66"/>
  <c r="B67"/>
  <c r="F67"/>
  <c r="C68"/>
  <c r="G68"/>
  <c r="D69"/>
  <c r="A70"/>
  <c r="E70"/>
  <c r="B71"/>
  <c r="F71"/>
  <c r="C72"/>
  <c r="G72"/>
  <c r="D73"/>
  <c r="A74"/>
  <c r="E74"/>
  <c r="B75"/>
  <c r="F75"/>
  <c r="C76"/>
  <c r="G76"/>
  <c r="D77"/>
  <c r="A78"/>
  <c r="E78"/>
  <c r="B79"/>
  <c r="F79"/>
  <c r="C80"/>
  <c r="G80"/>
  <c r="D81"/>
  <c r="A82"/>
  <c r="E82"/>
  <c r="B83"/>
  <c r="F83"/>
  <c r="C84"/>
  <c r="G84"/>
  <c r="D85"/>
  <c r="A86"/>
  <c r="E86"/>
  <c r="B87"/>
  <c r="F87"/>
  <c r="C88"/>
  <c r="G88"/>
  <c r="D89"/>
  <c r="A90"/>
  <c r="E90"/>
  <c r="B91"/>
  <c r="F91"/>
  <c r="C92"/>
  <c r="G92"/>
  <c r="D93"/>
  <c r="A94"/>
  <c r="E94"/>
  <c r="B95"/>
  <c r="F95"/>
  <c r="C96"/>
  <c r="G96"/>
  <c r="D97"/>
  <c r="A98"/>
  <c r="E98"/>
  <c r="B99"/>
  <c r="F99"/>
  <c r="C100"/>
  <c r="G100"/>
  <c r="D101"/>
  <c r="A102"/>
  <c r="E102"/>
  <c r="B103"/>
  <c r="F103"/>
  <c r="C104"/>
  <c r="G104"/>
  <c r="E105"/>
  <c r="B106"/>
  <c r="F106"/>
  <c r="C107"/>
  <c r="G107"/>
  <c r="D108"/>
  <c r="A109"/>
  <c r="E109"/>
  <c r="B110"/>
  <c r="F110"/>
  <c r="C111"/>
  <c r="G111"/>
  <c r="D112"/>
  <c r="A113"/>
  <c r="E113"/>
  <c r="B114"/>
  <c r="F114"/>
  <c r="C115"/>
  <c r="G115"/>
  <c r="D116"/>
  <c r="A117"/>
  <c r="E117"/>
  <c r="B118"/>
  <c r="F118"/>
  <c r="C119"/>
  <c r="G119"/>
  <c r="D120"/>
  <c r="A13"/>
  <c r="E13"/>
  <c r="B14"/>
  <c r="F14"/>
  <c r="C15"/>
  <c r="G15"/>
  <c r="D16"/>
  <c r="A17"/>
  <c r="E17"/>
  <c r="B18"/>
  <c r="F18"/>
  <c r="C19"/>
  <c r="G19"/>
  <c r="D20"/>
  <c r="A21"/>
  <c r="E21"/>
  <c r="B22"/>
  <c r="F22"/>
  <c r="C23"/>
  <c r="G23"/>
  <c r="D24"/>
  <c r="A25"/>
  <c r="E25"/>
  <c r="B26"/>
  <c r="F26"/>
  <c r="C27"/>
  <c r="G27"/>
  <c r="D28"/>
  <c r="A29"/>
  <c r="E29"/>
  <c r="B30"/>
  <c r="F30"/>
  <c r="C31"/>
  <c r="G31"/>
  <c r="D105"/>
  <c r="A106"/>
  <c r="E106"/>
  <c r="B107"/>
  <c r="F107"/>
  <c r="C108"/>
  <c r="G108"/>
  <c r="D109"/>
  <c r="A110"/>
  <c r="E110"/>
  <c r="B111"/>
  <c r="F111"/>
  <c r="C112"/>
  <c r="G112"/>
  <c r="D113"/>
  <c r="A114"/>
  <c r="E114"/>
  <c r="B115"/>
  <c r="F115"/>
  <c r="C116"/>
  <c r="G116"/>
  <c r="D117"/>
  <c r="A118"/>
  <c r="E118"/>
  <c r="B119"/>
  <c r="F119"/>
  <c r="C120"/>
  <c r="G120"/>
  <c r="D13"/>
  <c r="A14"/>
  <c r="E14"/>
  <c r="B15"/>
  <c r="F15"/>
  <c r="C16"/>
  <c r="D17"/>
  <c r="A18"/>
  <c r="E18"/>
  <c r="B19"/>
  <c r="F19"/>
  <c r="C20"/>
  <c r="G20"/>
  <c r="D21"/>
  <c r="A22"/>
  <c r="E22"/>
  <c r="B23"/>
  <c r="F23"/>
  <c r="C24"/>
  <c r="G24"/>
  <c r="D25"/>
  <c r="A26"/>
  <c r="E26"/>
  <c r="B27"/>
  <c r="F27"/>
  <c r="C28"/>
  <c r="G28"/>
  <c r="D29"/>
  <c r="A30"/>
  <c r="E30"/>
  <c r="B31"/>
  <c r="F31"/>
  <c r="B32"/>
  <c r="F32"/>
  <c r="C33"/>
  <c r="G33"/>
  <c r="D34"/>
  <c r="A35"/>
  <c r="E35"/>
  <c r="B36"/>
  <c r="F36"/>
  <c r="C37"/>
  <c r="G37"/>
  <c r="D38"/>
  <c r="A39"/>
  <c r="E39"/>
  <c r="B40"/>
  <c r="F40"/>
  <c r="C41"/>
  <c r="G41"/>
  <c r="D42"/>
  <c r="A43"/>
  <c r="E43"/>
  <c r="B44"/>
  <c r="F44"/>
  <c r="C45"/>
  <c r="G45"/>
  <c r="D46"/>
  <c r="A47"/>
  <c r="E47"/>
  <c r="B48"/>
  <c r="F48"/>
  <c r="C49"/>
  <c r="G49"/>
  <c r="D50"/>
  <c r="A51"/>
  <c r="E51"/>
  <c r="B52"/>
  <c r="F52"/>
  <c r="C53"/>
  <c r="G53"/>
  <c r="D54"/>
  <c r="A55"/>
  <c r="E55"/>
  <c r="B56"/>
  <c r="F56"/>
  <c r="C57"/>
  <c r="G57"/>
  <c r="D58"/>
  <c r="A59"/>
  <c r="E59"/>
  <c r="B60"/>
  <c r="F60"/>
  <c r="C61"/>
  <c r="G61"/>
  <c r="D62"/>
  <c r="A63"/>
  <c r="E63"/>
  <c r="B64"/>
  <c r="F64"/>
  <c r="C65"/>
  <c r="G65"/>
  <c r="D66"/>
  <c r="A67"/>
  <c r="E67"/>
  <c r="B68"/>
  <c r="F68"/>
  <c r="C69"/>
  <c r="G69"/>
  <c r="D70"/>
  <c r="A71"/>
  <c r="E71"/>
  <c r="B72"/>
  <c r="F72"/>
  <c r="C73"/>
  <c r="G73"/>
  <c r="D74"/>
  <c r="A75"/>
  <c r="E75"/>
  <c r="B76"/>
  <c r="F76"/>
  <c r="C77"/>
  <c r="G77"/>
  <c r="D78"/>
  <c r="A79"/>
  <c r="E79"/>
  <c r="B80"/>
  <c r="F80"/>
  <c r="C81"/>
  <c r="G81"/>
  <c r="D82"/>
  <c r="A83"/>
  <c r="E83"/>
  <c r="B84"/>
  <c r="F84"/>
  <c r="C85"/>
  <c r="G85"/>
  <c r="D86"/>
  <c r="A87"/>
  <c r="E87"/>
  <c r="B88"/>
  <c r="F88"/>
  <c r="C89"/>
  <c r="G89"/>
  <c r="D90"/>
  <c r="A91"/>
  <c r="E91"/>
  <c r="B92"/>
  <c r="F92"/>
  <c r="C93"/>
  <c r="G93"/>
  <c r="D94"/>
  <c r="A95"/>
  <c r="E95"/>
  <c r="B96"/>
  <c r="F96"/>
  <c r="C97"/>
  <c r="G97"/>
  <c r="D98"/>
  <c r="A99"/>
  <c r="E99"/>
  <c r="B100"/>
  <c r="F100"/>
  <c r="C101"/>
  <c r="G101"/>
  <c r="D102"/>
  <c r="A103"/>
  <c r="E103"/>
  <c r="B104"/>
  <c r="F104"/>
  <c r="A32"/>
  <c r="E32"/>
  <c r="B33"/>
  <c r="F33"/>
  <c r="C34"/>
  <c r="G34"/>
  <c r="D35"/>
  <c r="A36"/>
  <c r="E36"/>
  <c r="B37"/>
  <c r="F37"/>
  <c r="C38"/>
  <c r="G38"/>
  <c r="D39"/>
  <c r="A40"/>
  <c r="E40"/>
  <c r="B41"/>
  <c r="F41"/>
  <c r="C42"/>
  <c r="G42"/>
  <c r="D43"/>
  <c r="A44"/>
  <c r="E44"/>
  <c r="B45"/>
  <c r="F45"/>
  <c r="C46"/>
  <c r="G46"/>
  <c r="D47"/>
  <c r="A48"/>
  <c r="E48"/>
  <c r="B49"/>
  <c r="F49"/>
  <c r="C50"/>
  <c r="G50"/>
  <c r="D51"/>
  <c r="A52"/>
  <c r="E52"/>
  <c r="B53"/>
  <c r="F53"/>
  <c r="C54"/>
  <c r="G54"/>
  <c r="D55"/>
  <c r="A56"/>
  <c r="E56"/>
  <c r="B57"/>
  <c r="F57"/>
  <c r="C58"/>
  <c r="G58"/>
  <c r="D59"/>
  <c r="A60"/>
  <c r="E60"/>
  <c r="B61"/>
  <c r="F61"/>
  <c r="C62"/>
  <c r="G62"/>
  <c r="D63"/>
  <c r="A64"/>
  <c r="E64"/>
  <c r="B65"/>
  <c r="F65"/>
  <c r="C66"/>
  <c r="G66"/>
  <c r="D67"/>
  <c r="A68"/>
  <c r="E68"/>
  <c r="B69"/>
  <c r="F69"/>
  <c r="C70"/>
  <c r="G70"/>
  <c r="D71"/>
  <c r="A72"/>
  <c r="E72"/>
  <c r="B73"/>
  <c r="F73"/>
  <c r="C74"/>
  <c r="G74"/>
  <c r="D75"/>
  <c r="A76"/>
  <c r="E76"/>
  <c r="B77"/>
  <c r="F77"/>
  <c r="C78"/>
  <c r="G78"/>
  <c r="D79"/>
  <c r="A80"/>
  <c r="E80"/>
  <c r="B81"/>
  <c r="F81"/>
  <c r="C82"/>
  <c r="G82"/>
  <c r="D83"/>
  <c r="A84"/>
  <c r="E84"/>
  <c r="B85"/>
  <c r="F85"/>
  <c r="C86"/>
  <c r="G86"/>
  <c r="D87"/>
  <c r="A88"/>
  <c r="E88"/>
  <c r="B89"/>
  <c r="F89"/>
  <c r="C90"/>
  <c r="G90"/>
  <c r="D91"/>
  <c r="A92"/>
  <c r="E92"/>
  <c r="B93"/>
  <c r="F93"/>
  <c r="C94"/>
  <c r="G94"/>
  <c r="D95"/>
  <c r="A96"/>
  <c r="E96"/>
  <c r="B97"/>
  <c r="F97"/>
  <c r="C98"/>
  <c r="G98"/>
  <c r="D99"/>
  <c r="A100"/>
  <c r="E100"/>
  <c r="B101"/>
  <c r="F101"/>
  <c r="C102"/>
  <c r="G102"/>
  <c r="D103"/>
  <c r="A104"/>
  <c r="E104"/>
  <c r="C105"/>
  <c r="G105"/>
  <c r="D106"/>
  <c r="A107"/>
  <c r="E107"/>
  <c r="B108"/>
  <c r="F108"/>
  <c r="C109"/>
  <c r="G109"/>
  <c r="D110"/>
  <c r="A111"/>
  <c r="E111"/>
  <c r="B112"/>
  <c r="F112"/>
  <c r="C113"/>
  <c r="G113"/>
  <c r="D114"/>
  <c r="A115"/>
  <c r="E115"/>
  <c r="B116"/>
  <c r="F116"/>
  <c r="C117"/>
  <c r="G117"/>
  <c r="D118"/>
  <c r="A119"/>
  <c r="E119"/>
  <c r="B120"/>
  <c r="F120"/>
  <c r="C13"/>
  <c r="G13"/>
  <c r="D14"/>
  <c r="A15"/>
  <c r="E15"/>
  <c r="B16"/>
  <c r="F16"/>
  <c r="C17"/>
  <c r="G17"/>
  <c r="D18"/>
  <c r="A19"/>
  <c r="E19"/>
  <c r="B20"/>
  <c r="F20"/>
  <c r="C21"/>
  <c r="G21"/>
  <c r="D22"/>
  <c r="A23"/>
  <c r="E23"/>
  <c r="B24"/>
  <c r="F24"/>
  <c r="C25"/>
  <c r="G25"/>
  <c r="D26"/>
  <c r="A27"/>
  <c r="E27"/>
  <c r="B28"/>
  <c r="F28"/>
  <c r="C29"/>
  <c r="G29"/>
  <c r="D30"/>
  <c r="A31"/>
  <c r="E31"/>
  <c r="B105"/>
  <c r="F105"/>
  <c r="C106"/>
  <c r="G106"/>
  <c r="D107"/>
  <c r="A108"/>
  <c r="E108"/>
  <c r="B109"/>
  <c r="F109"/>
  <c r="C110"/>
  <c r="G110"/>
  <c r="D111"/>
  <c r="A112"/>
  <c r="E112"/>
  <c r="B113"/>
  <c r="F113"/>
  <c r="C114"/>
  <c r="G114"/>
  <c r="D115"/>
  <c r="A116"/>
  <c r="E116"/>
  <c r="B117"/>
  <c r="F117"/>
  <c r="C118"/>
  <c r="G118"/>
  <c r="D119"/>
  <c r="A120"/>
  <c r="E120"/>
  <c r="B13"/>
  <c r="F13"/>
  <c r="C14"/>
  <c r="G14"/>
  <c r="D15"/>
  <c r="A16"/>
  <c r="E16"/>
  <c r="B17"/>
  <c r="F17"/>
  <c r="C18"/>
  <c r="G18"/>
  <c r="D19"/>
  <c r="A20"/>
  <c r="E20"/>
  <c r="B21"/>
  <c r="F21"/>
  <c r="C22"/>
  <c r="G22"/>
  <c r="D23"/>
  <c r="A24"/>
  <c r="E24"/>
  <c r="B25"/>
  <c r="F25"/>
  <c r="C26"/>
  <c r="G26"/>
  <c r="D27"/>
  <c r="A28"/>
  <c r="E28"/>
  <c r="B29"/>
  <c r="F29"/>
  <c r="C30"/>
  <c r="G30"/>
  <c r="D31"/>
  <c r="E23" i="65"/>
  <c r="E67" s="1"/>
  <c r="D25"/>
  <c r="A17"/>
  <c r="A21"/>
  <c r="A25"/>
  <c r="A29"/>
  <c r="A33"/>
  <c r="A37"/>
  <c r="A41"/>
  <c r="A45"/>
  <c r="A49"/>
  <c r="A53"/>
  <c r="A57"/>
  <c r="A61"/>
  <c r="A65"/>
  <c r="A14"/>
  <c r="A18"/>
  <c r="A22"/>
  <c r="A26"/>
  <c r="A30"/>
  <c r="A34"/>
  <c r="A38"/>
  <c r="A42"/>
  <c r="A46"/>
  <c r="A50"/>
  <c r="A54"/>
  <c r="A58"/>
  <c r="A62"/>
  <c r="A66"/>
  <c r="A15"/>
  <c r="A19"/>
  <c r="A23"/>
  <c r="A27"/>
  <c r="A31"/>
  <c r="A35"/>
  <c r="A39"/>
  <c r="A43"/>
  <c r="A47"/>
  <c r="A51"/>
  <c r="A55"/>
  <c r="A59"/>
  <c r="A63"/>
  <c r="A13"/>
  <c r="A16"/>
  <c r="A20"/>
  <c r="A24"/>
  <c r="A28"/>
  <c r="A32"/>
  <c r="A36"/>
  <c r="A40"/>
  <c r="A44"/>
  <c r="A48"/>
  <c r="A52"/>
  <c r="A56"/>
  <c r="A60"/>
  <c r="A64"/>
  <c r="C39"/>
  <c r="A16" i="44"/>
  <c r="A20"/>
  <c r="A24"/>
  <c r="A28"/>
  <c r="A32"/>
  <c r="A36"/>
  <c r="A40"/>
  <c r="A44"/>
  <c r="A48"/>
  <c r="A52"/>
  <c r="A56"/>
  <c r="A60"/>
  <c r="A65"/>
  <c r="A15"/>
  <c r="A19"/>
  <c r="A23"/>
  <c r="A27"/>
  <c r="A31"/>
  <c r="A35"/>
  <c r="A39"/>
  <c r="A43"/>
  <c r="A47"/>
  <c r="A51"/>
  <c r="A55"/>
  <c r="A59"/>
  <c r="A64"/>
  <c r="A13"/>
  <c r="A14"/>
  <c r="A18"/>
  <c r="A22"/>
  <c r="A26"/>
  <c r="A30"/>
  <c r="A34"/>
  <c r="A38"/>
  <c r="A42"/>
  <c r="A46"/>
  <c r="A50"/>
  <c r="A54"/>
  <c r="A58"/>
  <c r="A63"/>
  <c r="A67"/>
  <c r="A17"/>
  <c r="A21"/>
  <c r="A25"/>
  <c r="A29"/>
  <c r="A33"/>
  <c r="A37"/>
  <c r="A41"/>
  <c r="A45"/>
  <c r="A49"/>
  <c r="A53"/>
  <c r="A57"/>
  <c r="A62"/>
  <c r="A66"/>
  <c r="B33" i="65"/>
  <c r="D34"/>
  <c r="C35"/>
  <c r="C36"/>
  <c r="B39"/>
  <c r="D31"/>
  <c r="C32"/>
  <c r="B35"/>
  <c r="B36"/>
  <c r="D37"/>
  <c r="C38"/>
  <c r="B32"/>
  <c r="C34"/>
  <c r="D38"/>
  <c r="C26"/>
  <c r="C27"/>
  <c r="C28"/>
  <c r="C29"/>
  <c r="C30"/>
  <c r="D27"/>
  <c r="D29"/>
  <c r="B26"/>
  <c r="B28"/>
  <c r="B30"/>
  <c r="D26"/>
  <c r="D28"/>
  <c r="D30"/>
  <c r="B27"/>
  <c r="B29"/>
  <c r="D24"/>
  <c r="D22"/>
  <c r="C15"/>
  <c r="C17"/>
  <c r="B65"/>
  <c r="B63"/>
  <c r="B61"/>
  <c r="B59"/>
  <c r="B57"/>
  <c r="B55"/>
  <c r="B53"/>
  <c r="B51"/>
  <c r="B49"/>
  <c r="B47"/>
  <c r="B45"/>
  <c r="B43"/>
  <c r="B41"/>
  <c r="B25"/>
  <c r="B23"/>
  <c r="B21"/>
  <c r="B19"/>
  <c r="B15"/>
  <c r="B17"/>
  <c r="C65"/>
  <c r="C63"/>
  <c r="C61"/>
  <c r="C59"/>
  <c r="C57"/>
  <c r="C55"/>
  <c r="C53"/>
  <c r="C51"/>
  <c r="C49"/>
  <c r="C47"/>
  <c r="C45"/>
  <c r="C43"/>
  <c r="C41"/>
  <c r="C25"/>
  <c r="C23"/>
  <c r="C21"/>
  <c r="C18"/>
  <c r="D65"/>
  <c r="D63"/>
  <c r="D61"/>
  <c r="D59"/>
  <c r="D57"/>
  <c r="D55"/>
  <c r="D53"/>
  <c r="D51"/>
  <c r="D49"/>
  <c r="D47"/>
  <c r="D45"/>
  <c r="D43"/>
  <c r="D41"/>
  <c r="D21"/>
  <c r="D19"/>
  <c r="D14"/>
  <c r="D16"/>
  <c r="B18"/>
  <c r="C14"/>
  <c r="C16"/>
  <c r="B66"/>
  <c r="B64"/>
  <c r="B62"/>
  <c r="B60"/>
  <c r="B58"/>
  <c r="B56"/>
  <c r="B54"/>
  <c r="B52"/>
  <c r="B50"/>
  <c r="B48"/>
  <c r="B46"/>
  <c r="B44"/>
  <c r="B42"/>
  <c r="B40"/>
  <c r="B24"/>
  <c r="B22"/>
  <c r="B20"/>
  <c r="B14"/>
  <c r="B16"/>
  <c r="C66"/>
  <c r="C64"/>
  <c r="C62"/>
  <c r="C60"/>
  <c r="C58"/>
  <c r="C56"/>
  <c r="C54"/>
  <c r="C52"/>
  <c r="C50"/>
  <c r="C48"/>
  <c r="C46"/>
  <c r="C44"/>
  <c r="C42"/>
  <c r="C40"/>
  <c r="C24"/>
  <c r="C22"/>
  <c r="C20"/>
  <c r="D66"/>
  <c r="D64"/>
  <c r="D62"/>
  <c r="D60"/>
  <c r="D58"/>
  <c r="D56"/>
  <c r="D54"/>
  <c r="D52"/>
  <c r="D50"/>
  <c r="D48"/>
  <c r="D46"/>
  <c r="D44"/>
  <c r="D42"/>
  <c r="D40"/>
  <c r="D20"/>
  <c r="D18"/>
  <c r="D15"/>
  <c r="D17"/>
  <c r="C19"/>
  <c r="D11" i="44"/>
  <c r="B13" i="65"/>
  <c r="C13"/>
  <c r="B13" i="44"/>
  <c r="D14"/>
  <c r="D13"/>
  <c r="C13"/>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2"/>
  <c r="B63"/>
  <c r="B64"/>
  <c r="B65"/>
  <c r="B66"/>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2"/>
  <c r="C63"/>
  <c r="C64"/>
  <c r="C65"/>
  <c r="C66"/>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2"/>
  <c r="D63"/>
  <c r="D64"/>
  <c r="D65"/>
  <c r="D66"/>
  <c r="H11" i="43"/>
  <c r="E98" i="42"/>
  <c r="H99"/>
  <c r="G100"/>
  <c r="F98"/>
  <c r="E99"/>
  <c r="H100"/>
  <c r="G98"/>
  <c r="F99"/>
  <c r="E100"/>
  <c r="H98"/>
  <c r="G99"/>
  <c r="F100"/>
  <c r="C84"/>
  <c r="D85"/>
  <c r="D86"/>
  <c r="D87"/>
  <c r="D88"/>
  <c r="D89"/>
  <c r="D90"/>
  <c r="D91"/>
  <c r="D92"/>
  <c r="D93"/>
  <c r="D94"/>
  <c r="D95"/>
  <c r="D96"/>
  <c r="D97"/>
  <c r="A83"/>
  <c r="D84"/>
  <c r="E85"/>
  <c r="E86"/>
  <c r="E87"/>
  <c r="E88"/>
  <c r="E89"/>
  <c r="E90"/>
  <c r="E91"/>
  <c r="E92"/>
  <c r="E93"/>
  <c r="E94"/>
  <c r="E95"/>
  <c r="E96"/>
  <c r="E97"/>
  <c r="H83"/>
  <c r="B85"/>
  <c r="B86"/>
  <c r="B87"/>
  <c r="B88"/>
  <c r="B89"/>
  <c r="B90"/>
  <c r="B91"/>
  <c r="B92"/>
  <c r="B93"/>
  <c r="B94"/>
  <c r="B95"/>
  <c r="B96"/>
  <c r="B97"/>
  <c r="D83"/>
  <c r="G84"/>
  <c r="G85"/>
  <c r="G86"/>
  <c r="G87"/>
  <c r="G88"/>
  <c r="G89"/>
  <c r="G90"/>
  <c r="G91"/>
  <c r="G92"/>
  <c r="G93"/>
  <c r="G94"/>
  <c r="G95"/>
  <c r="G96"/>
  <c r="G97"/>
  <c r="B83"/>
  <c r="B84"/>
  <c r="A98"/>
  <c r="D99"/>
  <c r="C100"/>
  <c r="B98"/>
  <c r="A99"/>
  <c r="D100"/>
  <c r="C98"/>
  <c r="B99"/>
  <c r="A100"/>
  <c r="D98"/>
  <c r="C99"/>
  <c r="B100"/>
  <c r="E83"/>
  <c r="H84"/>
  <c r="H85"/>
  <c r="H86"/>
  <c r="H87"/>
  <c r="H88"/>
  <c r="H89"/>
  <c r="H90"/>
  <c r="H91"/>
  <c r="H92"/>
  <c r="H93"/>
  <c r="H94"/>
  <c r="H95"/>
  <c r="H96"/>
  <c r="H97"/>
  <c r="G83"/>
  <c r="A85"/>
  <c r="A86"/>
  <c r="A87"/>
  <c r="A88"/>
  <c r="A89"/>
  <c r="A90"/>
  <c r="A91"/>
  <c r="A92"/>
  <c r="A93"/>
  <c r="A94"/>
  <c r="A95"/>
  <c r="A96"/>
  <c r="A97"/>
  <c r="C83"/>
  <c r="E84"/>
  <c r="F85"/>
  <c r="F86"/>
  <c r="F87"/>
  <c r="F88"/>
  <c r="F89"/>
  <c r="F90"/>
  <c r="F91"/>
  <c r="F92"/>
  <c r="F93"/>
  <c r="F94"/>
  <c r="F95"/>
  <c r="F96"/>
  <c r="F97"/>
  <c r="A84"/>
  <c r="C85"/>
  <c r="C86"/>
  <c r="C87"/>
  <c r="C88"/>
  <c r="C89"/>
  <c r="C90"/>
  <c r="C91"/>
  <c r="C92"/>
  <c r="C93"/>
  <c r="C94"/>
  <c r="C95"/>
  <c r="C96"/>
  <c r="C97"/>
  <c r="F84"/>
  <c r="F83"/>
  <c r="H35" i="47"/>
  <c r="H36" s="1"/>
  <c r="I13" i="42"/>
  <c r="I35" i="14"/>
  <c r="J35"/>
  <c r="J47" i="59"/>
  <c r="E41"/>
  <c r="N41"/>
  <c r="D11" i="51"/>
  <c r="B11"/>
  <c r="F11"/>
  <c r="E11"/>
  <c r="F11" i="49"/>
  <c r="B11"/>
  <c r="F11" i="50"/>
  <c r="D11"/>
  <c r="D11" i="49"/>
  <c r="E11"/>
  <c r="B11" i="50"/>
  <c r="E11"/>
  <c r="C11"/>
  <c r="C11" i="51"/>
  <c r="C11" i="49"/>
  <c r="H11"/>
  <c r="G11" i="51"/>
  <c r="G11" i="49"/>
  <c r="H11" i="51"/>
  <c r="H11" i="50"/>
  <c r="G11"/>
  <c r="D53" i="42"/>
  <c r="H54"/>
  <c r="D58"/>
  <c r="H67"/>
  <c r="G56"/>
  <c r="G24"/>
  <c r="D59"/>
  <c r="H60"/>
  <c r="D64"/>
  <c r="D73"/>
  <c r="D41"/>
  <c r="H74"/>
  <c r="H42"/>
  <c r="D78"/>
  <c r="D46"/>
  <c r="D29"/>
  <c r="G76"/>
  <c r="D79"/>
  <c r="D47"/>
  <c r="H80"/>
  <c r="H48"/>
  <c r="D52"/>
  <c r="H43"/>
  <c r="G82"/>
  <c r="G50"/>
  <c r="G60"/>
  <c r="F52"/>
  <c r="H41"/>
  <c r="C82"/>
  <c r="C50"/>
  <c r="B64"/>
  <c r="H71"/>
  <c r="G57"/>
  <c r="D77"/>
  <c r="D45"/>
  <c r="H78"/>
  <c r="H46"/>
  <c r="D82"/>
  <c r="D50"/>
  <c r="H35"/>
  <c r="G80"/>
  <c r="G48"/>
  <c r="D51"/>
  <c r="H52"/>
  <c r="D56"/>
  <c r="D65"/>
  <c r="D33"/>
  <c r="H66"/>
  <c r="H34"/>
  <c r="D70"/>
  <c r="D38"/>
  <c r="G68"/>
  <c r="D71"/>
  <c r="D39"/>
  <c r="H72"/>
  <c r="H40"/>
  <c r="D76"/>
  <c r="D44"/>
  <c r="D27"/>
  <c r="G74"/>
  <c r="G42"/>
  <c r="G44"/>
  <c r="F76"/>
  <c r="F44"/>
  <c r="H26"/>
  <c r="C74"/>
  <c r="C42"/>
  <c r="B56"/>
  <c r="H39"/>
  <c r="G81"/>
  <c r="D69"/>
  <c r="D37"/>
  <c r="H70"/>
  <c r="H38"/>
  <c r="D74"/>
  <c r="D42"/>
  <c r="D25"/>
  <c r="G72"/>
  <c r="G40"/>
  <c r="D75"/>
  <c r="D43"/>
  <c r="H76"/>
  <c r="H44"/>
  <c r="D80"/>
  <c r="D48"/>
  <c r="D57"/>
  <c r="H58"/>
  <c r="D62"/>
  <c r="D63"/>
  <c r="H64"/>
  <c r="H32"/>
  <c r="D68"/>
  <c r="D36"/>
  <c r="G66"/>
  <c r="H59"/>
  <c r="G30"/>
  <c r="F68"/>
  <c r="F36"/>
  <c r="C66"/>
  <c r="C34"/>
  <c r="B80"/>
  <c r="B48"/>
  <c r="D26"/>
  <c r="G73"/>
  <c r="D61"/>
  <c r="H62"/>
  <c r="D66"/>
  <c r="D34"/>
  <c r="G64"/>
  <c r="G32"/>
  <c r="F78"/>
  <c r="D67"/>
  <c r="D35"/>
  <c r="H68"/>
  <c r="H36"/>
  <c r="D72"/>
  <c r="D40"/>
  <c r="D81"/>
  <c r="D49"/>
  <c r="H82"/>
  <c r="H50"/>
  <c r="D54"/>
  <c r="H51"/>
  <c r="D55"/>
  <c r="H56"/>
  <c r="D60"/>
  <c r="H75"/>
  <c r="G58"/>
  <c r="F60"/>
  <c r="H73"/>
  <c r="C58"/>
  <c r="C26"/>
  <c r="B72"/>
  <c r="B40"/>
  <c r="G65"/>
  <c r="G25"/>
  <c r="F71"/>
  <c r="F39"/>
  <c r="C67"/>
  <c r="C35"/>
  <c r="B81"/>
  <c r="B49"/>
  <c r="A63"/>
  <c r="A31"/>
  <c r="G38"/>
  <c r="F74"/>
  <c r="F42"/>
  <c r="H24"/>
  <c r="C72"/>
  <c r="C40"/>
  <c r="B54"/>
  <c r="D32"/>
  <c r="G79"/>
  <c r="G47"/>
  <c r="F61"/>
  <c r="H69"/>
  <c r="C57"/>
  <c r="C25"/>
  <c r="B71"/>
  <c r="B39"/>
  <c r="G36"/>
  <c r="F72"/>
  <c r="F40"/>
  <c r="H22"/>
  <c r="C70"/>
  <c r="C38"/>
  <c r="B52"/>
  <c r="D30"/>
  <c r="G77"/>
  <c r="G45"/>
  <c r="F59"/>
  <c r="H61"/>
  <c r="C55"/>
  <c r="C23"/>
  <c r="B69"/>
  <c r="B37"/>
  <c r="G62"/>
  <c r="F54"/>
  <c r="H49"/>
  <c r="C52"/>
  <c r="B66"/>
  <c r="H79"/>
  <c r="G59"/>
  <c r="G27"/>
  <c r="F73"/>
  <c r="F41"/>
  <c r="H21"/>
  <c r="C69"/>
  <c r="C37"/>
  <c r="B51"/>
  <c r="A65"/>
  <c r="A77"/>
  <c r="F17"/>
  <c r="B14"/>
  <c r="A66"/>
  <c r="A34"/>
  <c r="B25"/>
  <c r="H18"/>
  <c r="A17"/>
  <c r="A51"/>
  <c r="C18"/>
  <c r="G16"/>
  <c r="G49"/>
  <c r="F63"/>
  <c r="H77"/>
  <c r="C59"/>
  <c r="C27"/>
  <c r="B73"/>
  <c r="B41"/>
  <c r="A55"/>
  <c r="D31"/>
  <c r="G28"/>
  <c r="F66"/>
  <c r="C64"/>
  <c r="C32"/>
  <c r="B78"/>
  <c r="B46"/>
  <c r="D24"/>
  <c r="G71"/>
  <c r="G39"/>
  <c r="F53"/>
  <c r="H37"/>
  <c r="C81"/>
  <c r="C49"/>
  <c r="B63"/>
  <c r="F32"/>
  <c r="D23"/>
  <c r="G26"/>
  <c r="F64"/>
  <c r="C62"/>
  <c r="C30"/>
  <c r="B76"/>
  <c r="B44"/>
  <c r="D22"/>
  <c r="G69"/>
  <c r="G37"/>
  <c r="F51"/>
  <c r="H31"/>
  <c r="C79"/>
  <c r="C47"/>
  <c r="B61"/>
  <c r="F30"/>
  <c r="A75"/>
  <c r="G46"/>
  <c r="F80"/>
  <c r="F46"/>
  <c r="H28"/>
  <c r="C76"/>
  <c r="C44"/>
  <c r="B58"/>
  <c r="H47"/>
  <c r="G51"/>
  <c r="F65"/>
  <c r="C61"/>
  <c r="C29"/>
  <c r="B75"/>
  <c r="B43"/>
  <c r="A57"/>
  <c r="A53"/>
  <c r="C16"/>
  <c r="C22"/>
  <c r="A58"/>
  <c r="A26"/>
  <c r="B17"/>
  <c r="D15"/>
  <c r="B22"/>
  <c r="A35"/>
  <c r="B34"/>
  <c r="B36"/>
  <c r="G41"/>
  <c r="F55"/>
  <c r="H45"/>
  <c r="C51"/>
  <c r="B65"/>
  <c r="F34"/>
  <c r="A79"/>
  <c r="A47"/>
  <c r="G78"/>
  <c r="F58"/>
  <c r="H65"/>
  <c r="C56"/>
  <c r="C24"/>
  <c r="B70"/>
  <c r="G63"/>
  <c r="G31"/>
  <c r="F77"/>
  <c r="F45"/>
  <c r="H25"/>
  <c r="C73"/>
  <c r="C41"/>
  <c r="B55"/>
  <c r="F24"/>
  <c r="G70"/>
  <c r="F56"/>
  <c r="H57"/>
  <c r="C54"/>
  <c r="B68"/>
  <c r="G61"/>
  <c r="G29"/>
  <c r="F75"/>
  <c r="F43"/>
  <c r="H23"/>
  <c r="C71"/>
  <c r="C39"/>
  <c r="B53"/>
  <c r="A67"/>
  <c r="G34"/>
  <c r="F70"/>
  <c r="F38"/>
  <c r="C68"/>
  <c r="C36"/>
  <c r="B82"/>
  <c r="B50"/>
  <c r="D28"/>
  <c r="G75"/>
  <c r="G43"/>
  <c r="F57"/>
  <c r="H53"/>
  <c r="C53"/>
  <c r="B67"/>
  <c r="B35"/>
  <c r="A81"/>
  <c r="A49"/>
  <c r="A37"/>
  <c r="B38"/>
  <c r="B24"/>
  <c r="A82"/>
  <c r="A50"/>
  <c r="F18"/>
  <c r="G21"/>
  <c r="C17"/>
  <c r="A25"/>
  <c r="B26"/>
  <c r="F27"/>
  <c r="G33"/>
  <c r="F79"/>
  <c r="F47"/>
  <c r="H27"/>
  <c r="C75"/>
  <c r="C43"/>
  <c r="B57"/>
  <c r="F26"/>
  <c r="A71"/>
  <c r="A39"/>
  <c r="G54"/>
  <c r="F50"/>
  <c r="H33"/>
  <c r="C80"/>
  <c r="C48"/>
  <c r="B62"/>
  <c r="H63"/>
  <c r="G55"/>
  <c r="G23"/>
  <c r="F69"/>
  <c r="F37"/>
  <c r="C65"/>
  <c r="C33"/>
  <c r="B79"/>
  <c r="B47"/>
  <c r="G52"/>
  <c r="F82"/>
  <c r="F48"/>
  <c r="H30"/>
  <c r="C78"/>
  <c r="C46"/>
  <c r="B60"/>
  <c r="H55"/>
  <c r="G53"/>
  <c r="F67"/>
  <c r="C63"/>
  <c r="C31"/>
  <c r="B77"/>
  <c r="B45"/>
  <c r="F62"/>
  <c r="H81"/>
  <c r="C60"/>
  <c r="C28"/>
  <c r="B74"/>
  <c r="B42"/>
  <c r="G67"/>
  <c r="G35"/>
  <c r="F81"/>
  <c r="F49"/>
  <c r="H29"/>
  <c r="C77"/>
  <c r="C45"/>
  <c r="B59"/>
  <c r="F28"/>
  <c r="A73"/>
  <c r="A41"/>
  <c r="A27"/>
  <c r="B28"/>
  <c r="F29"/>
  <c r="A74"/>
  <c r="A42"/>
  <c r="B33"/>
  <c r="G22"/>
  <c r="H19"/>
  <c r="A69"/>
  <c r="F19"/>
  <c r="B16"/>
  <c r="A80"/>
  <c r="A48"/>
  <c r="F20"/>
  <c r="C15"/>
  <c r="A22"/>
  <c r="A23"/>
  <c r="B18"/>
  <c r="A62"/>
  <c r="A30"/>
  <c r="B21"/>
  <c r="D19"/>
  <c r="A18"/>
  <c r="A29"/>
  <c r="B30"/>
  <c r="A68"/>
  <c r="A36"/>
  <c r="B27"/>
  <c r="H16"/>
  <c r="A15"/>
  <c r="A72"/>
  <c r="A40"/>
  <c r="B31"/>
  <c r="H20"/>
  <c r="A19"/>
  <c r="A61"/>
  <c r="F21"/>
  <c r="G18"/>
  <c r="A54"/>
  <c r="F14"/>
  <c r="D18"/>
  <c r="H15"/>
  <c r="F15"/>
  <c r="B20"/>
  <c r="A60"/>
  <c r="A28"/>
  <c r="B15"/>
  <c r="G19"/>
  <c r="A20"/>
  <c r="A64"/>
  <c r="A32"/>
  <c r="B19"/>
  <c r="D17"/>
  <c r="A16"/>
  <c r="A45"/>
  <c r="C20"/>
  <c r="F33"/>
  <c r="A78"/>
  <c r="A46"/>
  <c r="F23"/>
  <c r="C19"/>
  <c r="B23"/>
  <c r="A59"/>
  <c r="C14"/>
  <c r="G20"/>
  <c r="A52"/>
  <c r="F16"/>
  <c r="G17"/>
  <c r="D21"/>
  <c r="A56"/>
  <c r="A24"/>
  <c r="D16"/>
  <c r="C21"/>
  <c r="A33"/>
  <c r="B32"/>
  <c r="F25"/>
  <c r="A70"/>
  <c r="A38"/>
  <c r="B29"/>
  <c r="G15"/>
  <c r="A21"/>
  <c r="A43"/>
  <c r="F22"/>
  <c r="F31"/>
  <c r="A76"/>
  <c r="A44"/>
  <c r="F35"/>
  <c r="D20"/>
  <c r="H17"/>
  <c r="A14"/>
  <c r="G14"/>
  <c r="H14"/>
  <c r="D14"/>
  <c r="E82"/>
  <c r="E74"/>
  <c r="E66"/>
  <c r="E58"/>
  <c r="E50"/>
  <c r="E80"/>
  <c r="E72"/>
  <c r="E64"/>
  <c r="E56"/>
  <c r="E48"/>
  <c r="E40"/>
  <c r="E32"/>
  <c r="E24"/>
  <c r="E18"/>
  <c r="E78"/>
  <c r="E70"/>
  <c r="E62"/>
  <c r="E54"/>
  <c r="E46"/>
  <c r="E38"/>
  <c r="E30"/>
  <c r="E22"/>
  <c r="E77"/>
  <c r="E69"/>
  <c r="E61"/>
  <c r="E76"/>
  <c r="E68"/>
  <c r="E60"/>
  <c r="E52"/>
  <c r="E44"/>
  <c r="E36"/>
  <c r="E28"/>
  <c r="E21"/>
  <c r="E42"/>
  <c r="E65"/>
  <c r="E45"/>
  <c r="E29"/>
  <c r="E14"/>
  <c r="E75"/>
  <c r="E67"/>
  <c r="E59"/>
  <c r="E51"/>
  <c r="E43"/>
  <c r="E35"/>
  <c r="E27"/>
  <c r="E20"/>
  <c r="E34"/>
  <c r="E57"/>
  <c r="E41"/>
  <c r="E25"/>
  <c r="E26"/>
  <c r="E81"/>
  <c r="E53"/>
  <c r="E37"/>
  <c r="E19"/>
  <c r="E79"/>
  <c r="E71"/>
  <c r="E63"/>
  <c r="E55"/>
  <c r="E47"/>
  <c r="E39"/>
  <c r="E31"/>
  <c r="E23"/>
  <c r="E17"/>
  <c r="E73"/>
  <c r="E49"/>
  <c r="E33"/>
  <c r="E16"/>
  <c r="E15"/>
  <c r="E12" i="43"/>
  <c r="G12"/>
  <c r="A12"/>
  <c r="C12"/>
  <c r="B12"/>
  <c r="F12"/>
  <c r="D12"/>
  <c r="H12" l="1"/>
  <c r="D67" i="65"/>
  <c r="D68" s="1"/>
  <c r="I36" i="47"/>
  <c r="I37" s="1"/>
  <c r="S11" i="48"/>
  <c r="R11"/>
  <c r="J36" i="14"/>
  <c r="I36"/>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D68" i="44"/>
  <c r="D69" s="1"/>
  <c r="E117" i="42"/>
  <c r="H102"/>
  <c r="Z11" i="50"/>
  <c r="Z243" s="1"/>
  <c r="AF11"/>
  <c r="AF243" s="1"/>
  <c r="AH11"/>
  <c r="AH243" s="1"/>
  <c r="AD11"/>
  <c r="AD243" s="1"/>
  <c r="AJ11"/>
  <c r="AJ243" s="1"/>
  <c r="AR11"/>
  <c r="AR243" s="1"/>
  <c r="AN11"/>
  <c r="N11"/>
  <c r="N243" s="1"/>
  <c r="AV11"/>
  <c r="AV243" s="1"/>
  <c r="AZ11"/>
  <c r="R11"/>
  <c r="R243" s="1"/>
  <c r="P11"/>
  <c r="P243" s="1"/>
  <c r="AL11"/>
  <c r="AL243" s="1"/>
  <c r="AB11"/>
  <c r="AB243" s="1"/>
  <c r="X11"/>
  <c r="X243" s="1"/>
  <c r="L11"/>
  <c r="L243" s="1"/>
  <c r="AT11"/>
  <c r="AP11"/>
  <c r="AP243" s="1"/>
  <c r="J11"/>
  <c r="J243" s="1"/>
  <c r="T11"/>
  <c r="V11"/>
  <c r="V243" s="1"/>
  <c r="AX11"/>
  <c r="AX243" s="1"/>
  <c r="AE11" i="48"/>
  <c r="AE451" s="1"/>
  <c r="AQ11"/>
  <c r="AQ451" s="1"/>
  <c r="K11"/>
  <c r="AS11"/>
  <c r="AS451" s="1"/>
  <c r="AC11"/>
  <c r="AG11"/>
  <c r="AG451" s="1"/>
  <c r="Q11"/>
  <c r="AY11"/>
  <c r="AU11"/>
  <c r="AM11"/>
  <c r="AM451" s="1"/>
  <c r="U11"/>
  <c r="U451" s="1"/>
  <c r="BE11"/>
  <c r="BE451" s="1"/>
  <c r="AO11"/>
  <c r="AO451" s="1"/>
  <c r="M11"/>
  <c r="AK11"/>
  <c r="AK451" s="1"/>
  <c r="O11"/>
  <c r="O451" s="1"/>
  <c r="AI11"/>
  <c r="AA11"/>
  <c r="AA451" s="1"/>
  <c r="BC11"/>
  <c r="AW11"/>
  <c r="BA11"/>
  <c r="BA451" s="1"/>
  <c r="BG11"/>
  <c r="A148" i="49" a="1"/>
  <c r="A148" s="1"/>
  <c r="I148" s="1"/>
  <c r="A151" a="1"/>
  <c r="A151" s="1"/>
  <c r="I151" s="1"/>
  <c r="A153" a="1"/>
  <c r="A153" s="1"/>
  <c r="I153" s="1"/>
  <c r="A150" a="1"/>
  <c r="A150" s="1"/>
  <c r="I150" s="1"/>
  <c r="A11" a="1"/>
  <c r="A11" s="1"/>
  <c r="I11" s="1"/>
  <c r="A152" a="1"/>
  <c r="A152" s="1"/>
  <c r="I152" s="1"/>
  <c r="A149" a="1"/>
  <c r="A149" s="1"/>
  <c r="I149" s="1"/>
  <c r="G197" i="43"/>
  <c r="AO11" i="50"/>
  <c r="AO243" s="1"/>
  <c r="AM11"/>
  <c r="AM243" s="1"/>
  <c r="AU11"/>
  <c r="AU243" s="1"/>
  <c r="W11"/>
  <c r="W243" s="1"/>
  <c r="AW11"/>
  <c r="AQ11"/>
  <c r="AG11"/>
  <c r="AG243" s="1"/>
  <c r="Q11"/>
  <c r="Q243" s="1"/>
  <c r="O11"/>
  <c r="O243" s="1"/>
  <c r="M11"/>
  <c r="M243" s="1"/>
  <c r="AE11"/>
  <c r="AE243" s="1"/>
  <c r="U11"/>
  <c r="U243" s="1"/>
  <c r="BA11"/>
  <c r="AS11"/>
  <c r="AC11"/>
  <c r="AC243" s="1"/>
  <c r="Y11"/>
  <c r="Y243" s="1"/>
  <c r="AI11"/>
  <c r="AI243" s="1"/>
  <c r="K11"/>
  <c r="K243" s="1"/>
  <c r="AA11"/>
  <c r="AA243" s="1"/>
  <c r="S11"/>
  <c r="S243" s="1"/>
  <c r="AY11"/>
  <c r="AY243" s="1"/>
  <c r="AK11"/>
  <c r="AK243" s="1"/>
  <c r="V11" i="49"/>
  <c r="V155" s="1"/>
  <c r="AR11"/>
  <c r="AR155" s="1"/>
  <c r="AH11"/>
  <c r="AH155" s="1"/>
  <c r="AL11"/>
  <c r="AL155" s="1"/>
  <c r="AJ11"/>
  <c r="AJ155" s="1"/>
  <c r="X11"/>
  <c r="X155" s="1"/>
  <c r="P11"/>
  <c r="P155" s="1"/>
  <c r="Z11"/>
  <c r="Z155" s="1"/>
  <c r="AF11"/>
  <c r="AF155" s="1"/>
  <c r="J11"/>
  <c r="J155" s="1"/>
  <c r="L11"/>
  <c r="L155" s="1"/>
  <c r="AD11"/>
  <c r="AD155" s="1"/>
  <c r="AB11"/>
  <c r="AB155" s="1"/>
  <c r="R11"/>
  <c r="R155" s="1"/>
  <c r="AP11"/>
  <c r="AP155" s="1"/>
  <c r="AT11"/>
  <c r="T11"/>
  <c r="N11"/>
  <c r="N155" s="1"/>
  <c r="AV11"/>
  <c r="AV155" s="1"/>
  <c r="AX11"/>
  <c r="AX155" s="1"/>
  <c r="AZ11"/>
  <c r="AN11"/>
  <c r="A11" i="48" a="1"/>
  <c r="A11" s="1"/>
  <c r="I11" s="1"/>
  <c r="G102" i="42"/>
  <c r="AL11" i="48"/>
  <c r="AL451" s="1"/>
  <c r="AJ11"/>
  <c r="AJ451" s="1"/>
  <c r="J11"/>
  <c r="J451" s="1"/>
  <c r="T11"/>
  <c r="T451" s="1"/>
  <c r="N11"/>
  <c r="N451" s="1"/>
  <c r="P11"/>
  <c r="AP11"/>
  <c r="AP451" s="1"/>
  <c r="AH11"/>
  <c r="AH451" s="1"/>
  <c r="AR11"/>
  <c r="AR451" s="1"/>
  <c r="BD11"/>
  <c r="BD451" s="1"/>
  <c r="BF11"/>
  <c r="AB11"/>
  <c r="AB451" s="1"/>
  <c r="AV11"/>
  <c r="AZ11"/>
  <c r="AN11"/>
  <c r="AN451" s="1"/>
  <c r="BB11"/>
  <c r="BB451" s="1"/>
  <c r="AX11"/>
  <c r="Z11"/>
  <c r="AF11"/>
  <c r="AF451" s="1"/>
  <c r="L11"/>
  <c r="AD11"/>
  <c r="AD451" s="1"/>
  <c r="AT11"/>
  <c r="AP11" i="51"/>
  <c r="AP356" s="1"/>
  <c r="AV11"/>
  <c r="AV356" s="1"/>
  <c r="AL11"/>
  <c r="AL356" s="1"/>
  <c r="AD11"/>
  <c r="AD356" s="1"/>
  <c r="X11"/>
  <c r="X356" s="1"/>
  <c r="AH11"/>
  <c r="AH356" s="1"/>
  <c r="AZ11"/>
  <c r="Z11"/>
  <c r="Z356" s="1"/>
  <c r="AF11"/>
  <c r="AF356" s="1"/>
  <c r="AB11"/>
  <c r="AB356" s="1"/>
  <c r="P11"/>
  <c r="P356" s="1"/>
  <c r="AJ11"/>
  <c r="AJ356" s="1"/>
  <c r="AX11"/>
  <c r="AX356" s="1"/>
  <c r="R11"/>
  <c r="R356" s="1"/>
  <c r="AN11"/>
  <c r="V11"/>
  <c r="V356" s="1"/>
  <c r="AT11"/>
  <c r="J11"/>
  <c r="J356" s="1"/>
  <c r="T11"/>
  <c r="AR11"/>
  <c r="AR356" s="1"/>
  <c r="L11"/>
  <c r="L356" s="1"/>
  <c r="N11"/>
  <c r="N356" s="1"/>
  <c r="A352" a="1"/>
  <c r="A352" s="1"/>
  <c r="I352" s="1"/>
  <c r="A354" a="1"/>
  <c r="A354" s="1"/>
  <c r="I354" s="1"/>
  <c r="A353" a="1"/>
  <c r="A353" s="1"/>
  <c r="I353" s="1"/>
  <c r="A350" a="1"/>
  <c r="A350" s="1"/>
  <c r="I350" s="1"/>
  <c r="A351" a="1"/>
  <c r="A351" s="1"/>
  <c r="I351" s="1"/>
  <c r="A349" a="1"/>
  <c r="A349" s="1"/>
  <c r="I349" s="1"/>
  <c r="A11" a="1"/>
  <c r="A11" s="1"/>
  <c r="I11" s="1"/>
  <c r="F197" i="43"/>
  <c r="AC11" i="51"/>
  <c r="AC356" s="1"/>
  <c r="K11"/>
  <c r="K356" s="1"/>
  <c r="Q11"/>
  <c r="Q356" s="1"/>
  <c r="AA11"/>
  <c r="AA356" s="1"/>
  <c r="AM11"/>
  <c r="AM356" s="1"/>
  <c r="O11"/>
  <c r="O356" s="1"/>
  <c r="AO11"/>
  <c r="AO356" s="1"/>
  <c r="AG11"/>
  <c r="AG356" s="1"/>
  <c r="M11"/>
  <c r="M356" s="1"/>
  <c r="AQ11"/>
  <c r="AS11"/>
  <c r="BA11"/>
  <c r="AI11"/>
  <c r="AI356" s="1"/>
  <c r="AK11"/>
  <c r="AK356" s="1"/>
  <c r="Y11"/>
  <c r="Y356" s="1"/>
  <c r="S11"/>
  <c r="S356" s="1"/>
  <c r="W11"/>
  <c r="W356" s="1"/>
  <c r="AY11"/>
  <c r="AY356" s="1"/>
  <c r="U11"/>
  <c r="U356" s="1"/>
  <c r="AU11"/>
  <c r="AU356" s="1"/>
  <c r="AW11"/>
  <c r="AE11"/>
  <c r="AE356" s="1"/>
  <c r="AG11" i="49"/>
  <c r="AG155" s="1"/>
  <c r="AK11"/>
  <c r="AK155" s="1"/>
  <c r="AY11"/>
  <c r="AY155" s="1"/>
  <c r="M11"/>
  <c r="M155" s="1"/>
  <c r="W11"/>
  <c r="W155" s="1"/>
  <c r="AC11"/>
  <c r="AC155" s="1"/>
  <c r="K11"/>
  <c r="K155" s="1"/>
  <c r="Q11"/>
  <c r="Q155" s="1"/>
  <c r="AU11"/>
  <c r="AU155" s="1"/>
  <c r="AE11"/>
  <c r="AE155" s="1"/>
  <c r="U11"/>
  <c r="U155" s="1"/>
  <c r="AM11"/>
  <c r="AM155" s="1"/>
  <c r="AI11"/>
  <c r="AI155" s="1"/>
  <c r="AA11"/>
  <c r="AA155" s="1"/>
  <c r="Y11"/>
  <c r="Y155" s="1"/>
  <c r="BA11"/>
  <c r="AQ11"/>
  <c r="AO11"/>
  <c r="AO155" s="1"/>
  <c r="S11"/>
  <c r="S155" s="1"/>
  <c r="O11"/>
  <c r="O155" s="1"/>
  <c r="AW11"/>
  <c r="AS11"/>
  <c r="A239" i="50" a="1"/>
  <c r="A239" s="1"/>
  <c r="I239" s="1"/>
  <c r="A237" a="1"/>
  <c r="A237" s="1"/>
  <c r="I237" s="1"/>
  <c r="A241" a="1"/>
  <c r="A241" s="1"/>
  <c r="I241" s="1"/>
  <c r="A240" a="1"/>
  <c r="A240" s="1"/>
  <c r="I240" s="1"/>
  <c r="A11" a="1"/>
  <c r="A11" s="1"/>
  <c r="I11" s="1"/>
  <c r="A238" a="1"/>
  <c r="A238" s="1"/>
  <c r="I238" s="1"/>
  <c r="A236" a="1"/>
  <c r="A236" s="1"/>
  <c r="I236" s="1"/>
  <c r="H13" i="43" l="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H76" s="1"/>
  <c r="H77" s="1"/>
  <c r="H78" s="1"/>
  <c r="H79" s="1"/>
  <c r="H80" s="1"/>
  <c r="H81" s="1"/>
  <c r="H82" s="1"/>
  <c r="H83" s="1"/>
  <c r="H84" s="1"/>
  <c r="H85" s="1"/>
  <c r="H86" s="1"/>
  <c r="H87" s="1"/>
  <c r="H88" s="1"/>
  <c r="H89" s="1"/>
  <c r="H90" s="1"/>
  <c r="H91" s="1"/>
  <c r="H92" s="1"/>
  <c r="H93" s="1"/>
  <c r="H94" s="1"/>
  <c r="H95" s="1"/>
  <c r="H96" s="1"/>
  <c r="H97" s="1"/>
  <c r="H98" s="1"/>
  <c r="H99" s="1"/>
  <c r="H100" s="1"/>
  <c r="H101" s="1"/>
  <c r="H102" s="1"/>
  <c r="H103" s="1"/>
  <c r="H104" s="1"/>
  <c r="H105" s="1"/>
  <c r="H106" s="1"/>
  <c r="H107" s="1"/>
  <c r="H108" s="1"/>
  <c r="H109" s="1"/>
  <c r="H110" s="1"/>
  <c r="H111" s="1"/>
  <c r="H112" s="1"/>
  <c r="H113" s="1"/>
  <c r="H114" s="1"/>
  <c r="H115" s="1"/>
  <c r="H116" s="1"/>
  <c r="H117" s="1"/>
  <c r="H118" s="1"/>
  <c r="H119" s="1"/>
  <c r="H120" s="1"/>
  <c r="H121" s="1"/>
  <c r="H122" s="1"/>
  <c r="H123" s="1"/>
  <c r="H124" s="1"/>
  <c r="H125" s="1"/>
  <c r="H126" s="1"/>
  <c r="H127" s="1"/>
  <c r="H128" s="1"/>
  <c r="H129" s="1"/>
  <c r="H130" s="1"/>
  <c r="H131" s="1"/>
  <c r="H132" s="1"/>
  <c r="H133" s="1"/>
  <c r="H134" s="1"/>
  <c r="H135" s="1"/>
  <c r="H136" s="1"/>
  <c r="H137" s="1"/>
  <c r="H138" s="1"/>
  <c r="H139" s="1"/>
  <c r="H140" s="1"/>
  <c r="H141" s="1"/>
  <c r="H142" s="1"/>
  <c r="H143" s="1"/>
  <c r="H144" s="1"/>
  <c r="H37" i="47"/>
  <c r="H38" s="1"/>
  <c r="S452" i="48"/>
  <c r="I37" i="14"/>
  <c r="J37"/>
  <c r="J38" s="1"/>
  <c r="I103" i="42"/>
  <c r="H197" i="43"/>
  <c r="H198" s="1"/>
  <c r="F349" i="51"/>
  <c r="AF453" i="48"/>
  <c r="Z157" i="49" s="1"/>
  <c r="Z245" i="50" s="1"/>
  <c r="Z358" i="51" s="1"/>
  <c r="AF452" i="48"/>
  <c r="Z10" i="49" s="1"/>
  <c r="AN453" i="48"/>
  <c r="AH157" i="49" s="1"/>
  <c r="AH245" i="50" s="1"/>
  <c r="AH358" i="51" s="1"/>
  <c r="AN452" i="48"/>
  <c r="AH10" i="49" s="1"/>
  <c r="AP452" i="48"/>
  <c r="AJ10" i="49" s="1"/>
  <c r="AP453" i="48"/>
  <c r="AJ157" i="49" s="1"/>
  <c r="AJ245" i="50" s="1"/>
  <c r="AJ358" i="51" s="1"/>
  <c r="J453" i="48"/>
  <c r="J157" i="49" s="1"/>
  <c r="J245" i="50" s="1"/>
  <c r="J358" i="51" s="1"/>
  <c r="F149" i="49"/>
  <c r="O453" i="48"/>
  <c r="O157" i="49" s="1"/>
  <c r="O245" i="50" s="1"/>
  <c r="O358" i="51" s="1"/>
  <c r="O452" i="48"/>
  <c r="O10" i="49" s="1"/>
  <c r="BE452" i="48"/>
  <c r="AY10" i="49" s="1"/>
  <c r="BE453" i="48"/>
  <c r="AY157" i="49" s="1"/>
  <c r="AY245" i="50" s="1"/>
  <c r="AY358" i="51" s="1"/>
  <c r="AS452" i="48"/>
  <c r="AM10" i="49" s="1"/>
  <c r="AS453" i="48"/>
  <c r="AM157" i="49" s="1"/>
  <c r="AM245" i="50" s="1"/>
  <c r="AM358" i="51" s="1"/>
  <c r="F236" i="50"/>
  <c r="F237"/>
  <c r="F151" i="49"/>
  <c r="F353" i="51"/>
  <c r="F350"/>
  <c r="BD453" i="48"/>
  <c r="AX157" i="49" s="1"/>
  <c r="AX245" i="50" s="1"/>
  <c r="AX358" i="51" s="1"/>
  <c r="BD452" i="48"/>
  <c r="AX10" i="49" s="1"/>
  <c r="AJ453" i="48"/>
  <c r="AD157" i="49" s="1"/>
  <c r="AD245" i="50" s="1"/>
  <c r="AD358" i="51" s="1"/>
  <c r="AJ452" i="48"/>
  <c r="AD10" i="49" s="1"/>
  <c r="F240" i="50"/>
  <c r="AK452" i="48"/>
  <c r="AE10" i="49" s="1"/>
  <c r="AK453" i="48"/>
  <c r="AE157" i="49" s="1"/>
  <c r="AE245" i="50" s="1"/>
  <c r="AE358" i="51" s="1"/>
  <c r="U453" i="48"/>
  <c r="S157" i="49" s="1"/>
  <c r="S245" i="50" s="1"/>
  <c r="S358" i="51" s="1"/>
  <c r="U452" i="48"/>
  <c r="S10" i="49" s="1"/>
  <c r="Q157"/>
  <c r="Q245" i="50" s="1"/>
  <c r="Q358" i="51" s="1"/>
  <c r="F241" i="50"/>
  <c r="F152" i="49"/>
  <c r="F352" i="51"/>
  <c r="AD453" i="48"/>
  <c r="X157" i="49" s="1"/>
  <c r="X245" i="50" s="1"/>
  <c r="X358" i="51" s="1"/>
  <c r="AD452" i="48"/>
  <c r="X10" i="49" s="1"/>
  <c r="AR453" i="48"/>
  <c r="AL157" i="49" s="1"/>
  <c r="AL245" i="50" s="1"/>
  <c r="AL358" i="51" s="1"/>
  <c r="AR452" i="48"/>
  <c r="AL10" i="49" s="1"/>
  <c r="N453" i="48"/>
  <c r="N157" i="49" s="1"/>
  <c r="N245" i="50" s="1"/>
  <c r="N358" i="51" s="1"/>
  <c r="N452" i="48"/>
  <c r="N10" i="49" s="1"/>
  <c r="AL453" i="48"/>
  <c r="AF157" i="49" s="1"/>
  <c r="AF245" i="50" s="1"/>
  <c r="AF358" i="51" s="1"/>
  <c r="AL452" i="48"/>
  <c r="AF10" i="49" s="1"/>
  <c r="AA453" i="48"/>
  <c r="U157" i="49" s="1"/>
  <c r="U245" i="50" s="1"/>
  <c r="U358" i="51" s="1"/>
  <c r="AM453" i="48"/>
  <c r="AG157" i="49" s="1"/>
  <c r="AG245" i="50" s="1"/>
  <c r="AG358" i="51" s="1"/>
  <c r="AM452" i="48"/>
  <c r="AG10" i="49" s="1"/>
  <c r="AG453" i="48"/>
  <c r="AA157" i="49" s="1"/>
  <c r="AA245" i="50" s="1"/>
  <c r="AA358" i="51" s="1"/>
  <c r="AG452" i="48"/>
  <c r="AA10" i="49" s="1"/>
  <c r="AQ453" i="48"/>
  <c r="AK157" i="49" s="1"/>
  <c r="AK245" i="50" s="1"/>
  <c r="AK358" i="51" s="1"/>
  <c r="AQ452" i="48"/>
  <c r="AK10" i="49" s="1"/>
  <c r="F354" i="51"/>
  <c r="BB453" i="48"/>
  <c r="AV157" i="49" s="1"/>
  <c r="AV245" i="50" s="1"/>
  <c r="AV358" i="51" s="1"/>
  <c r="AB453" i="48"/>
  <c r="V157" i="49" s="1"/>
  <c r="V245" i="50" s="1"/>
  <c r="V358" i="51" s="1"/>
  <c r="AH453" i="48"/>
  <c r="AB157" i="49" s="1"/>
  <c r="AB245" i="50" s="1"/>
  <c r="AB358" i="51" s="1"/>
  <c r="T453" i="48"/>
  <c r="R157" i="49" s="1"/>
  <c r="R245" i="50" s="1"/>
  <c r="R358" i="51" s="1"/>
  <c r="T452" i="48"/>
  <c r="R10" i="49" s="1"/>
  <c r="F153"/>
  <c r="F148"/>
  <c r="F239" i="50"/>
  <c r="BA453" i="48"/>
  <c r="AU157" i="49" s="1"/>
  <c r="AU245" i="50" s="1"/>
  <c r="AU358" i="51" s="1"/>
  <c r="AO453" i="48"/>
  <c r="AI157" i="49" s="1"/>
  <c r="AI245" i="50" s="1"/>
  <c r="AI358" i="51" s="1"/>
  <c r="AO452" i="48"/>
  <c r="AI10" i="49" s="1"/>
  <c r="AE453" i="48"/>
  <c r="Y157" i="49" s="1"/>
  <c r="Y245" i="50" s="1"/>
  <c r="Y358" i="51" s="1"/>
  <c r="AE452" i="48"/>
  <c r="Y10" i="49" s="1"/>
  <c r="AV451" i="48" l="1"/>
  <c r="M451"/>
  <c r="M453" s="1"/>
  <c r="M157" i="49" s="1"/>
  <c r="M245" i="50" s="1"/>
  <c r="M358" i="51" s="1"/>
  <c r="AI451" i="48"/>
  <c r="I38" i="47"/>
  <c r="I39" s="1"/>
  <c r="R156" i="49"/>
  <c r="R10" i="50" s="1"/>
  <c r="N156" i="49"/>
  <c r="N10" i="50" s="1"/>
  <c r="I38" i="14"/>
  <c r="AK156" i="49"/>
  <c r="AK10" i="50" s="1"/>
  <c r="AI156" i="49"/>
  <c r="AI10" i="50" s="1"/>
  <c r="AX156" i="49"/>
  <c r="AX10" i="50" s="1"/>
  <c r="AG156" i="49"/>
  <c r="AG10" i="50" s="1"/>
  <c r="Y156" i="49"/>
  <c r="Y10" i="50" s="1"/>
  <c r="AL156" i="49"/>
  <c r="AL10" i="50" s="1"/>
  <c r="AA156" i="49"/>
  <c r="AA10" i="50" s="1"/>
  <c r="AE156" i="49"/>
  <c r="AE10" i="50" s="1"/>
  <c r="BA239"/>
  <c r="AN239"/>
  <c r="AN243" s="1"/>
  <c r="BC451" i="48"/>
  <c r="AW354" i="51"/>
  <c r="AW356" s="1"/>
  <c r="AZ354"/>
  <c r="S156" i="49"/>
  <c r="S10" i="50" s="1"/>
  <c r="AJ156" i="49"/>
  <c r="AJ10" i="50" s="1"/>
  <c r="Z156" i="49"/>
  <c r="Z10" i="50" s="1"/>
  <c r="AW153" i="49"/>
  <c r="AW155" s="1"/>
  <c r="AZ153"/>
  <c r="AZ451" i="48"/>
  <c r="AQ148" i="49"/>
  <c r="AQ155" s="1"/>
  <c r="T148"/>
  <c r="T155" s="1"/>
  <c r="AF156"/>
  <c r="AF10" i="50" s="1"/>
  <c r="X156" i="49"/>
  <c r="X10" i="50" s="1"/>
  <c r="AN352" i="51"/>
  <c r="AN356" s="1"/>
  <c r="BA352"/>
  <c r="AT152" i="49"/>
  <c r="AT155" s="1"/>
  <c r="BA152"/>
  <c r="AD156"/>
  <c r="AD10" i="50" s="1"/>
  <c r="BA353" i="51"/>
  <c r="AT353"/>
  <c r="AT356" s="1"/>
  <c r="AY156" i="49"/>
  <c r="AY10" i="50" s="1"/>
  <c r="AY244" s="1"/>
  <c r="AY10" i="51" s="1"/>
  <c r="BA240" i="50"/>
  <c r="AT240"/>
  <c r="AT243" s="1"/>
  <c r="AS350" i="51"/>
  <c r="AS356" s="1"/>
  <c r="AZ350"/>
  <c r="BA151" i="49"/>
  <c r="AN151"/>
  <c r="AN155" s="1"/>
  <c r="T236" i="50"/>
  <c r="T243" s="1"/>
  <c r="AQ236"/>
  <c r="AQ243" s="1"/>
  <c r="AM156" i="49"/>
  <c r="AM10" i="50" s="1"/>
  <c r="O156" i="49"/>
  <c r="O10" i="50" s="1"/>
  <c r="O244" s="1"/>
  <c r="O10" i="51" s="1"/>
  <c r="AZ149" i="49"/>
  <c r="AS149"/>
  <c r="AS155" s="1"/>
  <c r="AH156"/>
  <c r="AH10" i="50" s="1"/>
  <c r="AH244" s="1"/>
  <c r="AH10" i="51" s="1"/>
  <c r="AZ241" i="50"/>
  <c r="AW241"/>
  <c r="AW243" s="1"/>
  <c r="AS237"/>
  <c r="AS243" s="1"/>
  <c r="AZ237"/>
  <c r="T349" i="51"/>
  <c r="T356" s="1"/>
  <c r="AQ349"/>
  <c r="AQ356" s="1"/>
  <c r="AZ155" i="49" l="1"/>
  <c r="AH452" i="48"/>
  <c r="AB10" i="49" s="1"/>
  <c r="AI453" i="48"/>
  <c r="AC157" i="49" s="1"/>
  <c r="AC245" i="50" s="1"/>
  <c r="AC358" i="51" s="1"/>
  <c r="AI452" i="48"/>
  <c r="AC10" i="49" s="1"/>
  <c r="AC156" s="1"/>
  <c r="AC10" i="50" s="1"/>
  <c r="AV453" i="48"/>
  <c r="AP157" i="49" s="1"/>
  <c r="AP245" i="50" s="1"/>
  <c r="AP358" i="51" s="1"/>
  <c r="H39" i="47"/>
  <c r="H40" s="1"/>
  <c r="S244" i="50"/>
  <c r="S10" i="51" s="1"/>
  <c r="AK244" i="50"/>
  <c r="AK10" i="51" s="1"/>
  <c r="AJ244" i="50"/>
  <c r="AJ10" i="51" s="1"/>
  <c r="X244" i="50"/>
  <c r="X10" i="51" s="1"/>
  <c r="AF244" i="50"/>
  <c r="AF10" i="51" s="1"/>
  <c r="AM244" i="50"/>
  <c r="AM10" i="51" s="1"/>
  <c r="Z244" i="50"/>
  <c r="Z10" i="51" s="1"/>
  <c r="AE244" i="50"/>
  <c r="AE10" i="51" s="1"/>
  <c r="R244" i="50"/>
  <c r="R10" i="51" s="1"/>
  <c r="R357" s="1"/>
  <c r="AX244" i="50"/>
  <c r="AX10" i="51" s="1"/>
  <c r="AX357" s="1"/>
  <c r="AZ243" i="50"/>
  <c r="BA155" i="49"/>
  <c r="AD244" i="50"/>
  <c r="AD10" i="51" s="1"/>
  <c r="AA244" i="50"/>
  <c r="AA10" i="51" s="1"/>
  <c r="BA356"/>
  <c r="AG244" i="50"/>
  <c r="AG10" i="51" s="1"/>
  <c r="AZ356"/>
  <c r="N244" i="50"/>
  <c r="N10" i="51" s="1"/>
  <c r="N357" s="1"/>
  <c r="BC452" i="48"/>
  <c r="AW10" i="49" s="1"/>
  <c r="BC453" i="48"/>
  <c r="AW157" i="49" s="1"/>
  <c r="AW245" i="50" s="1"/>
  <c r="AW358" i="51" s="1"/>
  <c r="BB452" i="48"/>
  <c r="AV10" i="49" s="1"/>
  <c r="AL244" i="50"/>
  <c r="AL10" i="51" s="1"/>
  <c r="AZ453" i="48"/>
  <c r="AT157" i="49" s="1"/>
  <c r="AT245" i="50" s="1"/>
  <c r="AT358" i="51" s="1"/>
  <c r="AZ452" i="48"/>
  <c r="AT10" i="49" s="1"/>
  <c r="BA452" i="48"/>
  <c r="AU10" i="49" s="1"/>
  <c r="BA243" i="50"/>
  <c r="Y244"/>
  <c r="Y10" i="51" s="1"/>
  <c r="AI244" i="50"/>
  <c r="AI10" i="51" s="1"/>
  <c r="AI357" s="1"/>
  <c r="AG357" l="1"/>
  <c r="AA357"/>
  <c r="Z451" i="48"/>
  <c r="AW451"/>
  <c r="AB156" i="49"/>
  <c r="AB10" i="50" s="1"/>
  <c r="AB244" s="1"/>
  <c r="AB10" i="51" s="1"/>
  <c r="I40" i="47"/>
  <c r="I41" s="1"/>
  <c r="AK357" i="51"/>
  <c r="AJ357"/>
  <c r="Y357"/>
  <c r="AL357"/>
  <c r="AY357"/>
  <c r="Z357"/>
  <c r="AF357"/>
  <c r="S357"/>
  <c r="AE357"/>
  <c r="AD357"/>
  <c r="O357"/>
  <c r="AV156" i="49"/>
  <c r="AV10" i="50" s="1"/>
  <c r="AT156" i="49"/>
  <c r="AT10" i="50" s="1"/>
  <c r="AM357" i="51"/>
  <c r="AH357"/>
  <c r="X357"/>
  <c r="AU156" i="49"/>
  <c r="AU10" i="50" s="1"/>
  <c r="AW156" i="49"/>
  <c r="AW10" i="50" s="1"/>
  <c r="AC244" l="1"/>
  <c r="AC10" i="51" s="1"/>
  <c r="AC357" s="1"/>
  <c r="Z452" i="48"/>
  <c r="T10" i="49" s="1"/>
  <c r="Z453" i="48"/>
  <c r="T157" i="49" s="1"/>
  <c r="T245" i="50" s="1"/>
  <c r="T358" i="51" s="1"/>
  <c r="AA452" i="48"/>
  <c r="U10" i="49" s="1"/>
  <c r="AW453" i="48"/>
  <c r="AQ157" i="49" s="1"/>
  <c r="AQ245" i="50" s="1"/>
  <c r="AQ358" i="51" s="1"/>
  <c r="AW452" i="48"/>
  <c r="AQ10" i="49" s="1"/>
  <c r="AV452" i="48"/>
  <c r="AP10" i="49" s="1"/>
  <c r="H41" i="47"/>
  <c r="H42" s="1"/>
  <c r="AW244" i="50"/>
  <c r="AW10" i="51" s="1"/>
  <c r="AU244" i="50"/>
  <c r="AU10" i="51" s="1"/>
  <c r="AV244" i="50"/>
  <c r="AV10" i="51" s="1"/>
  <c r="AT244" i="50"/>
  <c r="AT10" i="51" s="1"/>
  <c r="U156" i="49" l="1"/>
  <c r="U10" i="50" s="1"/>
  <c r="AB357" i="51"/>
  <c r="AP156" i="49"/>
  <c r="AP10" i="50" s="1"/>
  <c r="AQ156" i="49"/>
  <c r="AQ10" i="50" s="1"/>
  <c r="T156" i="49"/>
  <c r="T10" i="50" s="1"/>
  <c r="I42" i="47"/>
  <c r="I43" s="1"/>
  <c r="AV357" i="51"/>
  <c r="AT357"/>
  <c r="AW357"/>
  <c r="AU357"/>
  <c r="AP244" i="50" l="1"/>
  <c r="AP10" i="51" s="1"/>
  <c r="AQ244" i="50"/>
  <c r="AQ10" i="51" s="1"/>
  <c r="T244" i="50"/>
  <c r="T10" i="51" s="1"/>
  <c r="U244" i="50"/>
  <c r="U10" i="51" s="1"/>
  <c r="H43" i="47"/>
  <c r="H44" s="1"/>
  <c r="U357" i="51" l="1"/>
  <c r="AQ357"/>
  <c r="T357"/>
  <c r="AP357"/>
  <c r="I44" i="47"/>
  <c r="I45" s="1"/>
  <c r="H45" l="1"/>
  <c r="H46" s="1"/>
  <c r="L451" i="48"/>
  <c r="L453" s="1"/>
  <c r="L157" i="49" s="1"/>
  <c r="L245" i="50" s="1"/>
  <c r="L358" i="51" s="1"/>
  <c r="AC451" i="48"/>
  <c r="AU451"/>
  <c r="AU453" s="1"/>
  <c r="AO157" i="49" s="1"/>
  <c r="AO245" i="50" s="1"/>
  <c r="AO358" i="51" s="1"/>
  <c r="AX451" i="48"/>
  <c r="I46" i="47" l="1"/>
  <c r="I47" s="1"/>
  <c r="AX453" i="48"/>
  <c r="AR157" i="49" s="1"/>
  <c r="AR245" i="50" s="1"/>
  <c r="AR358" i="51" s="1"/>
  <c r="AC453" i="48"/>
  <c r="W157" i="49" s="1"/>
  <c r="W245" i="50" s="1"/>
  <c r="W358" i="51" s="1"/>
  <c r="AC452" i="48"/>
  <c r="W10" i="49" s="1"/>
  <c r="AB452" i="48"/>
  <c r="V10" i="49" s="1"/>
  <c r="M452" i="48"/>
  <c r="M10" i="49" s="1"/>
  <c r="L452" i="48"/>
  <c r="L10" i="49" s="1"/>
  <c r="H47" i="47" l="1"/>
  <c r="H48" s="1"/>
  <c r="L156" i="49"/>
  <c r="L10" i="50" s="1"/>
  <c r="K451" i="48"/>
  <c r="W156" i="49"/>
  <c r="W10" i="50" s="1"/>
  <c r="BG451" i="48"/>
  <c r="AT451"/>
  <c r="AY451"/>
  <c r="BF451"/>
  <c r="M156" i="49"/>
  <c r="M10" i="50" s="1"/>
  <c r="V156" i="49"/>
  <c r="V10" i="50" s="1"/>
  <c r="I48" i="47" l="1"/>
  <c r="I49" s="1"/>
  <c r="V244" i="50"/>
  <c r="V10" i="51" s="1"/>
  <c r="M244" i="50"/>
  <c r="M10" i="51" s="1"/>
  <c r="P157" i="49"/>
  <c r="P245" i="50" s="1"/>
  <c r="P358" i="51" s="1"/>
  <c r="P452" i="48"/>
  <c r="P10" i="49" s="1"/>
  <c r="Q452" i="48"/>
  <c r="Q10" i="49" s="1"/>
  <c r="Q156" s="1"/>
  <c r="Q10" i="50" s="1"/>
  <c r="J452" i="48"/>
  <c r="J10" i="49" s="1"/>
  <c r="K453" i="48"/>
  <c r="K157" i="49" s="1"/>
  <c r="K245" i="50" s="1"/>
  <c r="K358" i="51" s="1"/>
  <c r="K452" i="48"/>
  <c r="K10" i="49" s="1"/>
  <c r="K156" s="1"/>
  <c r="K10" i="50" s="1"/>
  <c r="BF453" i="48"/>
  <c r="AZ157" i="49" s="1"/>
  <c r="AZ245" i="50" s="1"/>
  <c r="AZ358" i="51" s="1"/>
  <c r="BF452" i="48"/>
  <c r="AZ10" i="49" s="1"/>
  <c r="BG452" i="48"/>
  <c r="BA10" i="49" s="1"/>
  <c r="BG453" i="48"/>
  <c r="BA157" i="49" s="1"/>
  <c r="BA245" i="50" s="1"/>
  <c r="BA358" i="51" s="1"/>
  <c r="W244" i="50"/>
  <c r="W10" i="51" s="1"/>
  <c r="W357" s="1"/>
  <c r="AY453" i="48"/>
  <c r="AS157" i="49" s="1"/>
  <c r="AS245" i="50" s="1"/>
  <c r="AS358" i="51" s="1"/>
  <c r="AY452" i="48"/>
  <c r="AS10" i="49" s="1"/>
  <c r="AX452" i="48"/>
  <c r="AR10" i="49" s="1"/>
  <c r="AT453" i="48"/>
  <c r="AN157" i="49" s="1"/>
  <c r="AN245" i="50" s="1"/>
  <c r="AN358" i="51" s="1"/>
  <c r="AT452" i="48"/>
  <c r="AN10" i="49" s="1"/>
  <c r="AU452" i="48"/>
  <c r="AO10" i="49" s="1"/>
  <c r="AO156" s="1"/>
  <c r="AO10" i="50" s="1"/>
  <c r="L244"/>
  <c r="L10" i="51" s="1"/>
  <c r="H49" i="47" l="1"/>
  <c r="H50" s="1"/>
  <c r="L357" i="51"/>
  <c r="V357"/>
  <c r="AR156" i="49"/>
  <c r="AR10" i="50" s="1"/>
  <c r="AN156" i="49"/>
  <c r="AN10" i="50" s="1"/>
  <c r="AN244" s="1"/>
  <c r="AN10" i="51" s="1"/>
  <c r="J156" i="49"/>
  <c r="J10" i="50" s="1"/>
  <c r="J244" s="1"/>
  <c r="J10" i="51" s="1"/>
  <c r="P156" i="49"/>
  <c r="P10" i="50" s="1"/>
  <c r="P244" s="1"/>
  <c r="P10" i="51" s="1"/>
  <c r="M357"/>
  <c r="BA156" i="49"/>
  <c r="BA10" i="50" s="1"/>
  <c r="AZ156" i="49"/>
  <c r="AZ10" i="50" s="1"/>
  <c r="AS156" i="49"/>
  <c r="AS10" i="50" s="1"/>
  <c r="I50" i="47" l="1"/>
  <c r="AS244" i="50"/>
  <c r="AS10" i="51" s="1"/>
  <c r="AO244" i="50"/>
  <c r="AO10" i="51" s="1"/>
  <c r="AO357" s="1"/>
  <c r="K244" i="50"/>
  <c r="K10" i="51" s="1"/>
  <c r="K357" s="1"/>
  <c r="Q244" i="50"/>
  <c r="Q10" i="51" s="1"/>
  <c r="Q357" s="1"/>
  <c r="AR244" i="50"/>
  <c r="AR10" i="51" s="1"/>
  <c r="AR357" s="1"/>
  <c r="BA244" i="50"/>
  <c r="BA10" i="51" s="1"/>
  <c r="AZ244" i="50"/>
  <c r="AZ10" i="51" s="1"/>
  <c r="AZ357" l="1"/>
  <c r="J357"/>
  <c r="AS357"/>
  <c r="P357"/>
  <c r="AN357"/>
  <c r="BA357"/>
  <c r="AH16" i="34" l="1"/>
  <c r="M10"/>
  <c r="M6" s="1"/>
  <c r="AH15"/>
  <c r="G8" i="56" s="1"/>
  <c r="E52" i="15" l="1" a="1"/>
  <c r="E52" s="1"/>
  <c r="F17" i="56"/>
  <c r="B18"/>
  <c r="B19"/>
  <c r="B23"/>
  <c r="B17"/>
  <c r="B22"/>
  <c r="F20"/>
  <c r="H20" s="1"/>
  <c r="F52" i="15" a="1"/>
  <c r="F52" s="1"/>
  <c r="G20" i="56"/>
  <c r="G23"/>
  <c r="G19"/>
  <c r="G22"/>
  <c r="G17"/>
  <c r="F65" i="15" a="1"/>
  <c r="F65" s="1"/>
  <c r="B21" i="56"/>
  <c r="B20"/>
  <c r="F19"/>
  <c r="F23"/>
  <c r="H23" s="1"/>
  <c r="F18"/>
  <c r="D6"/>
  <c r="F28" s="1"/>
  <c r="F21"/>
  <c r="H21" s="1"/>
  <c r="F22"/>
  <c r="H22" s="1"/>
  <c r="G18"/>
  <c r="G21"/>
  <c r="G7"/>
  <c r="A9"/>
  <c r="E4" i="12" a="1"/>
  <c r="E4" s="1"/>
  <c r="G52" i="15" l="1"/>
  <c r="F46" a="1"/>
  <c r="F46" s="1"/>
  <c r="E46" a="1"/>
  <c r="E46" s="1"/>
  <c r="E10" a="1"/>
  <c r="E10" s="1"/>
  <c r="F28" i="12" a="1"/>
  <c r="F28" s="1"/>
  <c r="E28" a="1"/>
  <c r="E28" s="1"/>
  <c r="E42" i="15" a="1"/>
  <c r="E42" s="1"/>
  <c r="F42" a="1"/>
  <c r="F42" s="1"/>
  <c r="F63" a="1"/>
  <c r="F63" s="1"/>
  <c r="F29" i="12" a="1"/>
  <c r="F29" s="1"/>
  <c r="F40" i="15" a="1"/>
  <c r="F40" s="1"/>
  <c r="F43" a="1"/>
  <c r="F43" s="1"/>
  <c r="E41" a="1"/>
  <c r="E41" s="1"/>
  <c r="F41" a="1"/>
  <c r="F41" s="1"/>
  <c r="E40" a="1"/>
  <c r="E40" s="1"/>
  <c r="E43" a="1"/>
  <c r="E43" s="1"/>
  <c r="G43" s="1"/>
  <c r="E29" i="12" a="1"/>
  <c r="E29" s="1"/>
  <c r="D20" i="56"/>
  <c r="A20"/>
  <c r="A17"/>
  <c r="D17"/>
  <c r="A27"/>
  <c r="A19"/>
  <c r="D19"/>
  <c r="H17"/>
  <c r="A21"/>
  <c r="D21"/>
  <c r="J23" i="55" a="1"/>
  <c r="J23" s="1"/>
  <c r="F61" i="15" a="1"/>
  <c r="F61" s="1"/>
  <c r="F58" a="1"/>
  <c r="F58" s="1"/>
  <c r="J17" i="55" a="1"/>
  <c r="J17" s="1"/>
  <c r="J31" a="1"/>
  <c r="J31" s="1"/>
  <c r="J14" a="1"/>
  <c r="J14" s="1"/>
  <c r="J27" a="1"/>
  <c r="J27" s="1"/>
  <c r="J33" a="1"/>
  <c r="J33" s="1"/>
  <c r="J26" a="1"/>
  <c r="J26" s="1"/>
  <c r="J52" a="1"/>
  <c r="J52" s="1"/>
  <c r="F55" i="15" a="1"/>
  <c r="F55" s="1"/>
  <c r="J47" i="55" a="1"/>
  <c r="J47" s="1"/>
  <c r="F16" i="12" a="1"/>
  <c r="F16" s="1"/>
  <c r="F47" i="15" a="1"/>
  <c r="F47" s="1"/>
  <c r="F23" i="12" a="1"/>
  <c r="F23" s="1"/>
  <c r="F29" i="15" a="1"/>
  <c r="F29" s="1"/>
  <c r="H14" i="62" a="1"/>
  <c r="H14" s="1"/>
  <c r="L7" i="45" a="1"/>
  <c r="L7" s="1"/>
  <c r="E12" i="12" a="1"/>
  <c r="E12" s="1"/>
  <c r="J14" i="45" a="1"/>
  <c r="J14" s="1"/>
  <c r="F13" i="12" a="1"/>
  <c r="F13" s="1"/>
  <c r="E21" i="15" a="1"/>
  <c r="E21" s="1"/>
  <c r="F14" i="12" a="1"/>
  <c r="F14" s="1"/>
  <c r="H17" i="55" a="1"/>
  <c r="H17" s="1"/>
  <c r="L17" s="1"/>
  <c r="F21" i="12" a="1"/>
  <c r="F21" s="1"/>
  <c r="H14" i="55" a="1"/>
  <c r="H14" s="1"/>
  <c r="L14" s="1"/>
  <c r="E26" i="12" a="1"/>
  <c r="E26" s="1"/>
  <c r="H13" i="62" a="1"/>
  <c r="H13" s="1"/>
  <c r="E59" i="15" a="1"/>
  <c r="E59" s="1"/>
  <c r="H11" i="62" a="1"/>
  <c r="H11" s="1"/>
  <c r="E8" i="12" a="1"/>
  <c r="E8" s="1"/>
  <c r="E65" i="15" a="1"/>
  <c r="E65" s="1"/>
  <c r="I65" s="1"/>
  <c r="H22" i="55" a="1"/>
  <c r="H22" s="1"/>
  <c r="E64" i="15" a="1"/>
  <c r="E64" s="1"/>
  <c r="H50" i="55" a="1"/>
  <c r="H50" s="1"/>
  <c r="H15" a="1"/>
  <c r="H15" s="1"/>
  <c r="F7" i="12" a="1"/>
  <c r="F7" s="1"/>
  <c r="E51" i="15" a="1"/>
  <c r="E51" s="1"/>
  <c r="L17" i="45" a="1"/>
  <c r="L17" s="1"/>
  <c r="L9" a="1"/>
  <c r="L9" s="1"/>
  <c r="F13" i="15" a="1"/>
  <c r="F13" s="1"/>
  <c r="J12" i="62" a="1"/>
  <c r="J12" s="1"/>
  <c r="J10" i="45" a="1"/>
  <c r="J10" s="1"/>
  <c r="J13" a="1"/>
  <c r="J13" s="1"/>
  <c r="F26" i="15" a="1"/>
  <c r="F26" s="1"/>
  <c r="L12" i="45" a="1"/>
  <c r="L12" s="1"/>
  <c r="H6" i="62" a="1"/>
  <c r="H6" s="1"/>
  <c r="F27" i="12" a="1"/>
  <c r="F27" s="1"/>
  <c r="F17" a="1"/>
  <c r="F17" s="1"/>
  <c r="H52" i="55" a="1"/>
  <c r="H52" s="1"/>
  <c r="L52" s="1"/>
  <c r="H19" a="1"/>
  <c r="H19" s="1"/>
  <c r="H24" a="1"/>
  <c r="H24" s="1"/>
  <c r="J18" i="45" a="1"/>
  <c r="J18" s="1"/>
  <c r="F27" i="15" a="1"/>
  <c r="F27" s="1"/>
  <c r="J21" i="45" a="1"/>
  <c r="J21" s="1"/>
  <c r="H18" i="55" a="1"/>
  <c r="H18" s="1"/>
  <c r="H30" a="1"/>
  <c r="H30" s="1"/>
  <c r="H32" a="1"/>
  <c r="H32" s="1"/>
  <c r="H38" a="1"/>
  <c r="H38" s="1"/>
  <c r="H21" a="1"/>
  <c r="H21" s="1"/>
  <c r="F15" i="12" a="1"/>
  <c r="F15" s="1"/>
  <c r="H49" i="55" a="1"/>
  <c r="H49" s="1"/>
  <c r="J10" i="62" a="1"/>
  <c r="J10" s="1"/>
  <c r="D13" i="39"/>
  <c r="J8" i="62" a="1"/>
  <c r="J8" s="1"/>
  <c r="J46" i="55" a="1"/>
  <c r="J46" s="1"/>
  <c r="J50" a="1"/>
  <c r="J50" s="1"/>
  <c r="J51" a="1"/>
  <c r="J51" s="1"/>
  <c r="J15" a="1"/>
  <c r="J15" s="1"/>
  <c r="F64" i="15" a="1"/>
  <c r="F64" s="1"/>
  <c r="J40" i="55" a="1"/>
  <c r="J40" s="1"/>
  <c r="J18" a="1"/>
  <c r="J18" s="1"/>
  <c r="J29" a="1"/>
  <c r="J29" s="1"/>
  <c r="J30" a="1"/>
  <c r="J30" s="1"/>
  <c r="J48" a="1"/>
  <c r="J48" s="1"/>
  <c r="J19" a="1"/>
  <c r="J19" s="1"/>
  <c r="J24" a="1"/>
  <c r="J24" s="1"/>
  <c r="J25" a="1"/>
  <c r="J25" s="1"/>
  <c r="J41" a="1"/>
  <c r="J41" s="1"/>
  <c r="J32" a="1"/>
  <c r="J32" s="1"/>
  <c r="F60" i="15" a="1"/>
  <c r="F60" s="1"/>
  <c r="J22" i="55" a="1"/>
  <c r="J22" s="1"/>
  <c r="F59" i="15" a="1"/>
  <c r="F59" s="1"/>
  <c r="J38" i="55" a="1"/>
  <c r="J38" s="1"/>
  <c r="J28" a="1"/>
  <c r="J28" s="1"/>
  <c r="J21" a="1"/>
  <c r="J21" s="1"/>
  <c r="F62" i="15" a="1"/>
  <c r="F62" s="1"/>
  <c r="J13" i="55" a="1"/>
  <c r="J13" s="1"/>
  <c r="J20" a="1"/>
  <c r="J20" s="1"/>
  <c r="J49" a="1"/>
  <c r="J49" s="1"/>
  <c r="J16" a="1"/>
  <c r="J16" s="1"/>
  <c r="J39" a="1"/>
  <c r="J39" s="1"/>
  <c r="J20" i="45" a="1"/>
  <c r="J20" s="1"/>
  <c r="L6" a="1"/>
  <c r="L6" s="1"/>
  <c r="J19" a="1"/>
  <c r="J19" s="1"/>
  <c r="E24" i="12" a="1"/>
  <c r="E24" s="1"/>
  <c r="H15" i="62" a="1"/>
  <c r="H15" s="1"/>
  <c r="E25" i="15" a="1"/>
  <c r="E25" s="1"/>
  <c r="F5" i="12" a="1"/>
  <c r="F5" s="1"/>
  <c r="F10" a="1"/>
  <c r="F10" s="1"/>
  <c r="F6" a="1"/>
  <c r="F6" s="1"/>
  <c r="J7" i="62" a="1"/>
  <c r="J7" s="1"/>
  <c r="E9" i="12" a="1"/>
  <c r="E9" s="1"/>
  <c r="J11" i="45" a="1"/>
  <c r="J11" s="1"/>
  <c r="F54" i="15" a="1"/>
  <c r="F54" s="1"/>
  <c r="F56" s="1"/>
  <c r="F57" s="1"/>
  <c r="H47" i="55" a="1"/>
  <c r="H47" s="1"/>
  <c r="L47" s="1"/>
  <c r="E23" i="15" a="1"/>
  <c r="E23" s="1"/>
  <c r="F18" i="12" a="1"/>
  <c r="F18" s="1"/>
  <c r="L15" i="45" a="1"/>
  <c r="L15" s="1"/>
  <c r="J9" i="62" a="1"/>
  <c r="J9" s="1"/>
  <c r="L16" i="45" a="1"/>
  <c r="L16" s="1"/>
  <c r="F25" i="12" a="1"/>
  <c r="F25" s="1"/>
  <c r="F30" i="15" a="1"/>
  <c r="F30" s="1"/>
  <c r="E20" i="12" a="1"/>
  <c r="E20" s="1"/>
  <c r="F22" a="1"/>
  <c r="F22" s="1"/>
  <c r="E19" a="1"/>
  <c r="E19" s="1"/>
  <c r="E17" i="15" a="1"/>
  <c r="E17" s="1"/>
  <c r="H40" i="55" a="1"/>
  <c r="H40" s="1"/>
  <c r="H29" a="1"/>
  <c r="H29" s="1"/>
  <c r="L29" s="1"/>
  <c r="H48" a="1"/>
  <c r="H48" s="1"/>
  <c r="E60" i="15" a="1"/>
  <c r="E60" s="1"/>
  <c r="H28" i="55" a="1"/>
  <c r="H28" s="1"/>
  <c r="H20" a="1"/>
  <c r="H20" s="1"/>
  <c r="L20" s="1"/>
  <c r="J8" i="45" a="1"/>
  <c r="J8" s="1"/>
  <c r="H16" i="55" a="1"/>
  <c r="H16" s="1"/>
  <c r="L16" s="1"/>
  <c r="H31" a="1"/>
  <c r="H31" s="1"/>
  <c r="E34" i="15" a="1"/>
  <c r="E34" s="1"/>
  <c r="E47" a="1"/>
  <c r="E47" s="1"/>
  <c r="F28" a="1"/>
  <c r="F28" s="1"/>
  <c r="E19" a="1"/>
  <c r="E19" s="1"/>
  <c r="E12" a="1"/>
  <c r="E12" s="1"/>
  <c r="H46" i="55" a="1"/>
  <c r="H46" s="1"/>
  <c r="L46" s="1"/>
  <c r="L21" i="45" a="1"/>
  <c r="L21" s="1"/>
  <c r="P21" s="1"/>
  <c r="E55" i="15" a="1"/>
  <c r="E55" s="1"/>
  <c r="F19" a="1"/>
  <c r="F19" s="1"/>
  <c r="E22" a="1"/>
  <c r="E22" s="1"/>
  <c r="E49" a="1"/>
  <c r="E49" s="1"/>
  <c r="E13" a="1"/>
  <c r="E13" s="1"/>
  <c r="J15" i="45" a="1"/>
  <c r="J15" s="1"/>
  <c r="N15" s="1"/>
  <c r="L20" a="1"/>
  <c r="L20" s="1"/>
  <c r="E25" i="12" a="1"/>
  <c r="E25" s="1"/>
  <c r="F19" a="1"/>
  <c r="F19" s="1"/>
  <c r="H19" s="1"/>
  <c r="E22" a="1"/>
  <c r="E22" s="1"/>
  <c r="G22" s="1"/>
  <c r="F51" i="15" a="1"/>
  <c r="F51" s="1"/>
  <c r="H51" s="1"/>
  <c r="F12" i="12" a="1"/>
  <c r="F12" s="1"/>
  <c r="H12" s="1"/>
  <c r="H12" i="62" a="1"/>
  <c r="H12" s="1"/>
  <c r="L12" s="1"/>
  <c r="H8" a="1"/>
  <c r="H8" s="1"/>
  <c r="L8" s="1"/>
  <c r="J9" i="45" a="1"/>
  <c r="J9" s="1"/>
  <c r="N9" s="1"/>
  <c r="E32" i="15" a="1"/>
  <c r="E32" s="1"/>
  <c r="F34" a="1"/>
  <c r="F34" s="1"/>
  <c r="F44" a="1"/>
  <c r="F44" s="1"/>
  <c r="E44" a="1"/>
  <c r="E44" s="1"/>
  <c r="J15" i="62" a="1"/>
  <c r="J15" s="1"/>
  <c r="N15" s="1"/>
  <c r="E13" i="12" a="1"/>
  <c r="E13" s="1"/>
  <c r="E16" a="1"/>
  <c r="E16" s="1"/>
  <c r="G16" s="1"/>
  <c r="E11" a="1"/>
  <c r="E11" s="1"/>
  <c r="E23" a="1"/>
  <c r="E23" s="1"/>
  <c r="G23" s="1"/>
  <c r="J6" i="62" a="1"/>
  <c r="J6" s="1"/>
  <c r="E14" i="12" a="1"/>
  <c r="E14" s="1"/>
  <c r="G14" s="1"/>
  <c r="E18" a="1"/>
  <c r="E18" s="1"/>
  <c r="G18" s="1"/>
  <c r="E5" a="1"/>
  <c r="E5" s="1"/>
  <c r="G5" s="1"/>
  <c r="J6" i="45" a="1"/>
  <c r="J6" s="1"/>
  <c r="N6" s="1"/>
  <c r="H9" i="62" a="1"/>
  <c r="H9" s="1"/>
  <c r="H5" a="1"/>
  <c r="H5" s="1"/>
  <c r="H37" i="55" a="1"/>
  <c r="H37" s="1"/>
  <c r="F4" i="12" a="1"/>
  <c r="F4" s="1"/>
  <c r="G4" s="1"/>
  <c r="F22" i="15" a="1"/>
  <c r="F22" s="1"/>
  <c r="J13" i="62" a="1"/>
  <c r="J13" s="1"/>
  <c r="N13" s="1"/>
  <c r="F16" i="15" a="1"/>
  <c r="F16" s="1"/>
  <c r="E62" a="1"/>
  <c r="E62" s="1"/>
  <c r="H13" i="55" a="1"/>
  <c r="H13" s="1"/>
  <c r="H26" a="1"/>
  <c r="H26" s="1"/>
  <c r="J12" i="45" a="1"/>
  <c r="J12" s="1"/>
  <c r="H23" i="55" a="1"/>
  <c r="H23" s="1"/>
  <c r="L23" s="1"/>
  <c r="F25" i="15" a="1"/>
  <c r="F25" s="1"/>
  <c r="J16" i="45" a="1"/>
  <c r="J16" s="1"/>
  <c r="J17" a="1"/>
  <c r="J17" s="1"/>
  <c r="N17" s="1"/>
  <c r="E58" i="15" a="1"/>
  <c r="E58" s="1"/>
  <c r="I58" s="1"/>
  <c r="F23" a="1"/>
  <c r="F23" s="1"/>
  <c r="H23" s="1"/>
  <c r="L13" i="45" a="1"/>
  <c r="L13" s="1"/>
  <c r="P13" s="1"/>
  <c r="L19" a="1"/>
  <c r="L19" s="1"/>
  <c r="P19" s="1"/>
  <c r="E54" i="15" a="1"/>
  <c r="E54" s="1"/>
  <c r="F35" a="1"/>
  <c r="F35" s="1"/>
  <c r="F8" i="12" a="1"/>
  <c r="F8" s="1"/>
  <c r="F15" i="15" a="1"/>
  <c r="F15" s="1"/>
  <c r="H45" i="55" a="1"/>
  <c r="H45" s="1"/>
  <c r="J45" a="1"/>
  <c r="J45" s="1"/>
  <c r="E15" i="12" a="1"/>
  <c r="E15" s="1"/>
  <c r="F36" i="15" a="1"/>
  <c r="F36" s="1"/>
  <c r="E15" a="1"/>
  <c r="E15" s="1"/>
  <c r="F49" a="1"/>
  <c r="F49" s="1"/>
  <c r="E36" a="1"/>
  <c r="E36" s="1"/>
  <c r="F12" a="1"/>
  <c r="F12" s="1"/>
  <c r="L18" i="45" a="1"/>
  <c r="L18" s="1"/>
  <c r="H33" i="55" a="1"/>
  <c r="H33" s="1"/>
  <c r="E27" i="15" a="1"/>
  <c r="E27" s="1"/>
  <c r="G27" s="1"/>
  <c r="H27" i="55" a="1"/>
  <c r="H27" s="1"/>
  <c r="L27" s="1"/>
  <c r="J7" i="45" a="1"/>
  <c r="J7" s="1"/>
  <c r="N7" s="1"/>
  <c r="E6" i="12" a="1"/>
  <c r="E6" s="1"/>
  <c r="G6" s="1"/>
  <c r="F20" a="1"/>
  <c r="F20" s="1"/>
  <c r="H20" s="1"/>
  <c r="F24" a="1"/>
  <c r="F24" s="1"/>
  <c r="E26" i="15" a="1"/>
  <c r="E26" s="1"/>
  <c r="J14" i="62" a="1"/>
  <c r="J14" s="1"/>
  <c r="N14" s="1"/>
  <c r="L14" i="45" a="1"/>
  <c r="L14" s="1"/>
  <c r="P14" s="1"/>
  <c r="J11" i="62" a="1"/>
  <c r="J11" s="1"/>
  <c r="E30" i="15" a="1"/>
  <c r="E30" s="1"/>
  <c r="F21" a="1"/>
  <c r="F21" s="1"/>
  <c r="E7" i="12" a="1"/>
  <c r="E7" s="1"/>
  <c r="F11" a="1"/>
  <c r="F11" s="1"/>
  <c r="H7" i="62" a="1"/>
  <c r="H7" s="1"/>
  <c r="L7" s="1"/>
  <c r="J12" i="55" a="1"/>
  <c r="J12" s="1"/>
  <c r="H41" a="1"/>
  <c r="H41" s="1"/>
  <c r="E61" i="15" a="1"/>
  <c r="E61" s="1"/>
  <c r="L8" i="45" a="1"/>
  <c r="L8" s="1"/>
  <c r="P8" s="1"/>
  <c r="L11" a="1"/>
  <c r="L11" s="1"/>
  <c r="H39" i="55" a="1"/>
  <c r="H39" s="1"/>
  <c r="L39" s="1"/>
  <c r="L5" i="45" a="1"/>
  <c r="L5" s="1"/>
  <c r="F26" i="12" a="1"/>
  <c r="F26" s="1"/>
  <c r="E63" i="15" a="1"/>
  <c r="E63" s="1"/>
  <c r="E21" i="12" a="1"/>
  <c r="E21" s="1"/>
  <c r="G21" s="1"/>
  <c r="F32" i="15" a="1"/>
  <c r="F32" s="1"/>
  <c r="J5" i="62" a="1"/>
  <c r="J5" s="1"/>
  <c r="H12" i="55" a="1"/>
  <c r="H12" s="1"/>
  <c r="F10" i="15" a="1"/>
  <c r="F10" s="1"/>
  <c r="G10" s="1"/>
  <c r="G11" s="1"/>
  <c r="J5" i="45" a="1"/>
  <c r="J5" s="1"/>
  <c r="E16" i="15" a="1"/>
  <c r="E16" s="1"/>
  <c r="E35" a="1"/>
  <c r="E35" s="1"/>
  <c r="H51" i="55" a="1"/>
  <c r="H51" s="1"/>
  <c r="L51" s="1"/>
  <c r="H10" i="62" a="1"/>
  <c r="H10" s="1"/>
  <c r="L10" s="1"/>
  <c r="H25" i="55" a="1"/>
  <c r="H25" s="1"/>
  <c r="L25" s="1"/>
  <c r="E17" i="12" a="1"/>
  <c r="E17" s="1"/>
  <c r="G17" s="1"/>
  <c r="E10" a="1"/>
  <c r="E10" s="1"/>
  <c r="G10" s="1"/>
  <c r="F17" i="15" a="1"/>
  <c r="F17" s="1"/>
  <c r="E28" a="1"/>
  <c r="E28" s="1"/>
  <c r="E29" a="1"/>
  <c r="E29" s="1"/>
  <c r="L10" i="45" a="1"/>
  <c r="L10" s="1"/>
  <c r="F9" i="12" a="1"/>
  <c r="F9" s="1"/>
  <c r="J37" i="55" a="1"/>
  <c r="J37" s="1"/>
  <c r="E27" i="12" a="1"/>
  <c r="E27" s="1"/>
  <c r="H52" i="15"/>
  <c r="A22" i="56"/>
  <c r="D22"/>
  <c r="D23"/>
  <c r="A23"/>
  <c r="D18"/>
  <c r="A18"/>
  <c r="E11" i="15"/>
  <c r="H18" i="56"/>
  <c r="H19"/>
  <c r="C14" i="39"/>
  <c r="F53" i="15" l="1"/>
  <c r="G27" i="12"/>
  <c r="G29" i="15"/>
  <c r="I63"/>
  <c r="P11" i="45"/>
  <c r="I61" i="15"/>
  <c r="H21"/>
  <c r="N11" i="62"/>
  <c r="H24" i="12"/>
  <c r="L33" i="55"/>
  <c r="H25" i="15"/>
  <c r="N12" i="45"/>
  <c r="G28" i="12"/>
  <c r="J43" i="55"/>
  <c r="P10" i="45"/>
  <c r="H26" i="12"/>
  <c r="G7"/>
  <c r="G26" i="15"/>
  <c r="H8" i="12"/>
  <c r="L26" i="55"/>
  <c r="N6" i="62"/>
  <c r="G13" i="12"/>
  <c r="G13" i="15"/>
  <c r="I55"/>
  <c r="L31" i="55"/>
  <c r="L41"/>
  <c r="P18" i="45"/>
  <c r="G15" i="12"/>
  <c r="I62" i="15"/>
  <c r="P20" i="45"/>
  <c r="L28" i="55"/>
  <c r="L48"/>
  <c r="L40"/>
  <c r="H28" i="12"/>
  <c r="H11"/>
  <c r="L9" i="62"/>
  <c r="G25" i="12"/>
  <c r="H41" i="15"/>
  <c r="H9" i="12"/>
  <c r="H17" i="15"/>
  <c r="G30"/>
  <c r="N16" i="45"/>
  <c r="J35" i="55"/>
  <c r="J54"/>
  <c r="L13"/>
  <c r="H42" i="15"/>
  <c r="G29" i="12"/>
  <c r="G40" i="15"/>
  <c r="E45"/>
  <c r="F45"/>
  <c r="G42"/>
  <c r="G41"/>
  <c r="H40"/>
  <c r="H53"/>
  <c r="H43"/>
  <c r="H29" i="12"/>
  <c r="I60" i="15"/>
  <c r="N5" i="45"/>
  <c r="J23"/>
  <c r="L12" i="55"/>
  <c r="H35"/>
  <c r="F33" i="15"/>
  <c r="H32"/>
  <c r="L23" i="45"/>
  <c r="P5"/>
  <c r="I36" i="15"/>
  <c r="E37"/>
  <c r="E38" s="1"/>
  <c r="G36"/>
  <c r="G37" s="1"/>
  <c r="G15"/>
  <c r="H19" i="62"/>
  <c r="L45" i="55"/>
  <c r="H54"/>
  <c r="I54" i="15"/>
  <c r="E56"/>
  <c r="F30" i="12"/>
  <c r="H4"/>
  <c r="H17" i="62"/>
  <c r="L5"/>
  <c r="G44" i="15"/>
  <c r="F32" i="12"/>
  <c r="H34" i="15"/>
  <c r="E24"/>
  <c r="G22"/>
  <c r="E20"/>
  <c r="G19"/>
  <c r="G47"/>
  <c r="E48"/>
  <c r="G11" i="12"/>
  <c r="N8" i="45"/>
  <c r="G19" i="12"/>
  <c r="G20"/>
  <c r="H25"/>
  <c r="N9" i="62"/>
  <c r="H18" i="12"/>
  <c r="N11" i="45"/>
  <c r="N7" i="62"/>
  <c r="H10" i="12"/>
  <c r="G25" i="15"/>
  <c r="G24" i="12"/>
  <c r="P6" i="45"/>
  <c r="N8" i="62"/>
  <c r="N10"/>
  <c r="H15" i="12"/>
  <c r="L38" i="55"/>
  <c r="L30"/>
  <c r="N21" i="45"/>
  <c r="N18"/>
  <c r="L19" i="55"/>
  <c r="H17" i="12"/>
  <c r="L6" i="62"/>
  <c r="H26" i="15"/>
  <c r="N10" i="45"/>
  <c r="H13" i="15"/>
  <c r="P17" i="45"/>
  <c r="H7" i="12"/>
  <c r="L50" i="55"/>
  <c r="L22"/>
  <c r="G8" i="12"/>
  <c r="I59" i="15"/>
  <c r="G26" i="12"/>
  <c r="H21"/>
  <c r="H14"/>
  <c r="H13"/>
  <c r="G12"/>
  <c r="L14" i="62"/>
  <c r="H23" i="12"/>
  <c r="H16"/>
  <c r="I35" i="15"/>
  <c r="G35"/>
  <c r="E31"/>
  <c r="G28"/>
  <c r="E18"/>
  <c r="G16"/>
  <c r="H10"/>
  <c r="F11"/>
  <c r="N5" i="62"/>
  <c r="J17"/>
  <c r="H46" i="15"/>
  <c r="G46"/>
  <c r="F48"/>
  <c r="H12"/>
  <c r="F14"/>
  <c r="F50"/>
  <c r="H49"/>
  <c r="F37"/>
  <c r="H36"/>
  <c r="H15"/>
  <c r="J19" i="62"/>
  <c r="F38" i="15"/>
  <c r="H35"/>
  <c r="F18"/>
  <c r="H16"/>
  <c r="H22"/>
  <c r="F24"/>
  <c r="H43" i="55"/>
  <c r="L37"/>
  <c r="H44" i="15"/>
  <c r="G32"/>
  <c r="E33"/>
  <c r="G49"/>
  <c r="E50"/>
  <c r="G50" s="1"/>
  <c r="H19"/>
  <c r="F20"/>
  <c r="G12"/>
  <c r="E14"/>
  <c r="H28"/>
  <c r="F31"/>
  <c r="E32" i="12"/>
  <c r="G34" i="15"/>
  <c r="G51"/>
  <c r="G53" s="1"/>
  <c r="E53"/>
  <c r="E30" i="12"/>
  <c r="G17" i="15"/>
  <c r="H22" i="12"/>
  <c r="H30" i="15"/>
  <c r="P16" i="45"/>
  <c r="P15"/>
  <c r="G23" i="15"/>
  <c r="G9" i="12"/>
  <c r="H6"/>
  <c r="H5"/>
  <c r="L15" i="62"/>
  <c r="N19" i="45"/>
  <c r="N20"/>
  <c r="L49" i="55"/>
  <c r="L21"/>
  <c r="L32"/>
  <c r="L18"/>
  <c r="H27" i="15"/>
  <c r="L24" i="55"/>
  <c r="H27" i="12"/>
  <c r="P12" i="45"/>
  <c r="N13"/>
  <c r="N12" i="62"/>
  <c r="P9" i="45"/>
  <c r="L15" i="55"/>
  <c r="I64" i="15"/>
  <c r="L11" i="62"/>
  <c r="L13"/>
  <c r="G21" i="15"/>
  <c r="N14" i="45"/>
  <c r="P7"/>
  <c r="H29" i="15"/>
  <c r="H47"/>
  <c r="H24" i="56"/>
  <c r="A26"/>
  <c r="G14" i="15" l="1"/>
  <c r="G33"/>
  <c r="E34" i="12"/>
  <c r="I34" i="15"/>
  <c r="H20"/>
  <c r="G48"/>
  <c r="G31"/>
  <c r="L43" i="55"/>
  <c r="H24" i="15"/>
  <c r="G38"/>
  <c r="G30" i="12"/>
  <c r="G45" i="15"/>
  <c r="H45"/>
  <c r="H18"/>
  <c r="H37"/>
  <c r="H11"/>
  <c r="H14"/>
  <c r="H21" i="62"/>
  <c r="G18" i="15"/>
  <c r="L48" i="44"/>
  <c r="H31" i="15"/>
  <c r="H50"/>
  <c r="J21" i="62"/>
  <c r="F66" i="15"/>
  <c r="I38"/>
  <c r="G20"/>
  <c r="G24"/>
  <c r="F34" i="12"/>
  <c r="L54" i="55"/>
  <c r="I37" i="15"/>
  <c r="P23" i="45"/>
  <c r="E57" i="15"/>
  <c r="I56"/>
  <c r="H48"/>
  <c r="N17" i="62"/>
  <c r="L17"/>
  <c r="H30" i="12"/>
  <c r="H33" s="1"/>
  <c r="H33" i="15"/>
  <c r="L35" i="55"/>
  <c r="N23" i="45"/>
  <c r="G66" i="15" l="1"/>
  <c r="P24" i="45"/>
  <c r="H38" i="15"/>
  <c r="I57"/>
  <c r="E66"/>
  <c r="P25" i="45"/>
  <c r="H66" i="15" l="1"/>
  <c r="H70" s="1"/>
  <c r="E68"/>
  <c r="H68" l="1"/>
</calcChain>
</file>

<file path=xl/sharedStrings.xml><?xml version="1.0" encoding="utf-8"?>
<sst xmlns="http://schemas.openxmlformats.org/spreadsheetml/2006/main" count="7695" uniqueCount="1250">
  <si>
    <t>Diễn giải</t>
  </si>
  <si>
    <t>Chứng từ</t>
  </si>
  <si>
    <t>A</t>
  </si>
  <si>
    <t>B</t>
  </si>
  <si>
    <t>C</t>
  </si>
  <si>
    <t>D</t>
  </si>
  <si>
    <t>E</t>
  </si>
  <si>
    <t>- Số dư đầu kỳ</t>
  </si>
  <si>
    <t>GBN</t>
  </si>
  <si>
    <t>331</t>
  </si>
  <si>
    <t>1331</t>
  </si>
  <si>
    <t>T01</t>
  </si>
  <si>
    <t>GBC</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</si>
  <si>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</si>
  <si>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</si>
  <si>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</si>
  <si>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</si>
  <si>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</si>
  <si>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</si>
  <si>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</si>
  <si>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</si>
  <si>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</si>
  <si>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 xml:space="preserve">Phí chuyển tiền </t>
  </si>
  <si>
    <t xml:space="preserve">VAT Phí chuyển tiền </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</si>
  <si>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</si>
  <si>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</si>
  <si>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</si>
  <si>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</si>
  <si>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</si>
  <si>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</si>
  <si>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</si>
  <si>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</si>
  <si>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</si>
  <si>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</si>
  <si>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</si>
  <si>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</si>
  <si>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</si>
  <si>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</si>
  <si>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</si>
  <si>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</si>
  <si>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C05</t>
  </si>
  <si>
    <t>C04</t>
  </si>
  <si>
    <t>C01</t>
  </si>
  <si>
    <t>- Cộng số phát sinh</t>
  </si>
  <si>
    <t>- Sổ này có  02 trang, đánh số từ trang 01 đến trang 02</t>
  </si>
  <si>
    <t>STT</t>
  </si>
  <si>
    <t>ĐƠN VỊ</t>
  </si>
  <si>
    <t>ĐẦU KỲ</t>
  </si>
  <si>
    <t>PHÁT SINH</t>
  </si>
  <si>
    <t>BQL Khu Kinh Tế Trà Vinh</t>
  </si>
  <si>
    <t>Cty TNHH MTV XD TM DV Khánh Trân</t>
  </si>
  <si>
    <t>Cty TNHH MTV Công Nghệ Môi Trường CDM</t>
  </si>
  <si>
    <t>Cty Kiến Trúc XD Bách Việt</t>
  </si>
  <si>
    <t>C02</t>
  </si>
  <si>
    <t>C03</t>
  </si>
  <si>
    <t>TỔNG CỘNG</t>
  </si>
  <si>
    <t>341</t>
  </si>
  <si>
    <t>Lãi tiền gửi</t>
  </si>
  <si>
    <t>515</t>
  </si>
  <si>
    <t>SỐ DƯ CUỐI KỲ</t>
  </si>
  <si>
    <t>NỢ</t>
  </si>
  <si>
    <t>CÓ</t>
  </si>
  <si>
    <t>BQL Dự Án Xây Dựng Dân Dụng &amp; Công Nghiệp Trà Vinh</t>
  </si>
  <si>
    <t>C06</t>
  </si>
  <si>
    <t>C07</t>
  </si>
  <si>
    <t>C08</t>
  </si>
  <si>
    <t>Cty TNHH MTV Thanh Hoàng Thanh</t>
  </si>
  <si>
    <t>Cty CP Kỹ Nghệ Cách Nhiệt Gia Nguyên</t>
  </si>
  <si>
    <t>Cty TNHH Sản Xuất Cơ Khí Nghĩa Thành Công</t>
  </si>
  <si>
    <t>Cty TNHH XD &amp; Phòng cháy Chữa Cháy Trung Nam</t>
  </si>
  <si>
    <t>C09</t>
  </si>
  <si>
    <t>C10</t>
  </si>
  <si>
    <t>C11</t>
  </si>
  <si>
    <t>C12</t>
  </si>
  <si>
    <t>C13</t>
  </si>
  <si>
    <t>C14</t>
  </si>
  <si>
    <t>C15</t>
  </si>
  <si>
    <t>C16</t>
  </si>
  <si>
    <t>C17</t>
  </si>
  <si>
    <t>C18</t>
  </si>
  <si>
    <t>C19</t>
  </si>
  <si>
    <t>C20</t>
  </si>
  <si>
    <t>Cty TNHH MTV XD Công Trình Phúc Vinh</t>
  </si>
  <si>
    <t>Khách Hàng</t>
  </si>
  <si>
    <t>Đối tượng:</t>
  </si>
  <si>
    <t>Mẫu số S31-DN</t>
  </si>
  <si>
    <t>(Ban hành theo Thông tư số 200/2014/TT-BTC Ngày 22/12/2014 của Bộ Tài chính)</t>
  </si>
  <si>
    <t>Cty TNHH MTV Cấp Thoát Nước Trà Vinh</t>
  </si>
  <si>
    <t>DNTN Lê Tấn Phát</t>
  </si>
  <si>
    <t>BAÛNG CAÂN ÑOÁI SOÁ PHAÙT SINH</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</si>
  <si>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</si>
  <si>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</si>
  <si>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</si>
  <si>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</si>
  <si>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</si>
  <si>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</si>
  <si>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</si>
  <si>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</si>
  <si>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</si>
  <si>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</si>
  <si>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</si>
  <si>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</si>
  <si>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</si>
  <si>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</si>
  <si>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</si>
  <si>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</si>
  <si>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</si>
  <si>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</si>
  <si>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</si>
  <si>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</si>
  <si>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</si>
  <si>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</si>
  <si>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</si>
  <si>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</si>
  <si>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</si>
  <si>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</si>
  <si>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</si>
  <si>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</si>
  <si>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</si>
  <si>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</si>
  <si>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</si>
  <si>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</si>
  <si>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</si>
  <si>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</si>
  <si>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</si>
  <si>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</si>
  <si>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</si>
  <si>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</si>
  <si>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</si>
  <si>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</si>
  <si>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</si>
  <si>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</si>
  <si>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</si>
  <si>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</si>
  <si>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</si>
  <si>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</si>
  <si>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</si>
  <si>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</si>
  <si>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</si>
  <si>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</si>
  <si>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</si>
  <si>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</si>
  <si>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</si>
  <si>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</si>
  <si>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</si>
  <si>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</si>
  <si>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</si>
  <si>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</si>
  <si>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</si>
  <si>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</si>
  <si>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</si>
  <si>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</si>
  <si>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lãi SXKD</t>
  </si>
  <si>
    <t>K/C doanh thu hoạt động tài chính</t>
  </si>
  <si>
    <t>K/C thu nhập khác</t>
  </si>
  <si>
    <t>K/C chi phí khác</t>
  </si>
  <si>
    <t>Đơn vị: CÔNG TY TNHH HẢI SẢN AN LẠC - TRÀ VINH</t>
  </si>
  <si>
    <t>Địa chỉ: Số 20, Lô E, KCN Long Đức, TP. Trà Vinh, Tỉnh Trà Vinh</t>
  </si>
  <si>
    <t>tháng</t>
  </si>
  <si>
    <t>Cty TNHH Phi Hải</t>
  </si>
  <si>
    <t>Phạm Thị Đông</t>
  </si>
  <si>
    <t>TT Kinh Doanh Viễn Thông Trà Vinh</t>
  </si>
  <si>
    <t>DNTN SX - TM Nguyễn Trình</t>
  </si>
  <si>
    <t>Thanh toán tiền công trình</t>
  </si>
  <si>
    <t>Cty CP Điện Nước Quang Phúc</t>
  </si>
  <si>
    <t>Cty TNHH Kỹ Thuật Cơ Điện M &amp; E</t>
  </si>
  <si>
    <t>KU 1402LDS201401630</t>
  </si>
  <si>
    <t>KU 1402LDS201402000</t>
  </si>
  <si>
    <t>KU 1402LDS201402740</t>
  </si>
  <si>
    <t>KU 1402LDS201402374</t>
  </si>
  <si>
    <t>KU 1402LDS201403045</t>
  </si>
  <si>
    <t>KU 1402LDS201500362</t>
  </si>
  <si>
    <t>KU 1402LDS201500909</t>
  </si>
  <si>
    <t>KU 1402LDS201501248</t>
  </si>
  <si>
    <t>KU 1402LDS201501494</t>
  </si>
  <si>
    <t>KU 1402LDS201501796</t>
  </si>
  <si>
    <t>KU 1402LDS201502113</t>
  </si>
  <si>
    <t>DNTN Dương Phát</t>
  </si>
  <si>
    <t>Cty TNHH Xây Dựng Hoàn Cầu</t>
  </si>
  <si>
    <t>KU 1402LDS201502211</t>
  </si>
  <si>
    <t>KU 1402LDS201502415</t>
  </si>
  <si>
    <t>TỔNG HỢP TÀI KHOẢN 331</t>
  </si>
  <si>
    <t>Nguyễn Thiện Duy</t>
  </si>
  <si>
    <t>Cty TNHH SX TM Trang Trí Nội Thất Inox Nhơn Hòa</t>
  </si>
  <si>
    <t>KU 1402LDS201502591</t>
  </si>
  <si>
    <t>Vật liệu xây dựng</t>
  </si>
  <si>
    <t>Cty TNHH TM Trang Trí Nội Thất Kiến Hưng</t>
  </si>
  <si>
    <t>C21</t>
  </si>
  <si>
    <t>C22</t>
  </si>
  <si>
    <t>C23</t>
  </si>
  <si>
    <t>C24</t>
  </si>
  <si>
    <t>C25</t>
  </si>
  <si>
    <t>C26</t>
  </si>
  <si>
    <t>C27</t>
  </si>
  <si>
    <t>C28</t>
  </si>
  <si>
    <t>C29</t>
  </si>
  <si>
    <t>C30</t>
  </si>
  <si>
    <t>C31</t>
  </si>
  <si>
    <t>C32</t>
  </si>
  <si>
    <t>C33</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</si>
  <si>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</si>
  <si>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</si>
  <si>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</si>
  <si>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</si>
  <si>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</si>
  <si>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</si>
  <si>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</si>
  <si>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</si>
  <si>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</si>
  <si>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</si>
  <si>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</si>
  <si>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</si>
  <si>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</si>
  <si>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</si>
  <si>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</si>
  <si>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Năm</t>
  </si>
  <si>
    <t>TM</t>
  </si>
  <si>
    <t>0000068</t>
  </si>
  <si>
    <t>Số tiền:</t>
  </si>
  <si>
    <t>0000015</t>
  </si>
  <si>
    <t>0000016</t>
  </si>
  <si>
    <t>Công Ty Điện Lực Trà Vinh</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</si>
  <si>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</si>
  <si>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</si>
  <si>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</si>
  <si>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</si>
  <si>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</si>
  <si>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</si>
  <si>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</si>
  <si>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</si>
  <si>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</si>
  <si>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</si>
  <si>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</si>
  <si>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</si>
  <si>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</si>
  <si>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</si>
  <si>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</si>
  <si>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</si>
  <si>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</si>
  <si>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</si>
  <si>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</si>
  <si>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THÁNG</t>
  </si>
  <si>
    <t>2412</t>
  </si>
  <si>
    <t xml:space="preserve"> Xây dựng cơ bản </t>
  </si>
  <si>
    <t xml:space="preserve"> Xây dựng cơ bản dở dang </t>
  </si>
  <si>
    <t>SỔ TIỀN GỬI NGÂN HÀNG</t>
  </si>
  <si>
    <t>Nơi mở tài khoản giao dịch: Ngân Hàng Eximbank Quận 4</t>
  </si>
  <si>
    <t>Ngày, tháng ghi sổ</t>
  </si>
  <si>
    <t>Số tiền</t>
  </si>
  <si>
    <t>Ngày, tháng</t>
  </si>
  <si>
    <t>Thu (gửi vào)</t>
  </si>
  <si>
    <t>Chi (rút ra)</t>
  </si>
  <si>
    <t>Còn lại</t>
  </si>
  <si>
    <t>SỔ THEO DÕI THUẾ GIÁ TRỊ GIA TĂNG</t>
  </si>
  <si>
    <t>Số tiền thuế GTGT đã nộp</t>
  </si>
  <si>
    <t>Số tiền thuế GTGT phải nộp</t>
  </si>
  <si>
    <t>1</t>
  </si>
  <si>
    <t>2</t>
  </si>
  <si>
    <t>Số dư đầu kỳ</t>
  </si>
  <si>
    <t>Số phát sinh trong kỳ</t>
  </si>
  <si>
    <t>Cộng số phát sinh</t>
  </si>
  <si>
    <t>Số dư cuối kỳ</t>
  </si>
  <si>
    <t>Ngày 31 tháng  12  năm  2015</t>
  </si>
  <si>
    <t>TỔNG HỢP TÀI KHOẢN 341 - 2015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</si>
  <si>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</si>
  <si>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</si>
  <si>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</si>
  <si>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</si>
  <si>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</si>
  <si>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</si>
  <si>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</si>
  <si>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</si>
  <si>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</si>
  <si>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</si>
  <si>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</si>
  <si>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</si>
  <si>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</si>
  <si>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</si>
  <si>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</si>
  <si>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</si>
  <si>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</si>
  <si>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</si>
  <si>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</si>
  <si>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</si>
  <si>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</si>
  <si>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</si>
  <si>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</si>
  <si>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</si>
  <si>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</si>
  <si>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</si>
  <si>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</si>
  <si>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</si>
  <si>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</si>
  <si>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</si>
  <si>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</si>
  <si>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</si>
  <si>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</si>
  <si>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</si>
  <si>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</si>
  <si>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</si>
  <si>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</si>
  <si>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</si>
  <si>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</si>
  <si>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Quý II / 2015</t>
  </si>
  <si>
    <t>Ngày mở sổ:  01/04/2015</t>
  </si>
  <si>
    <t>Quý III / 2015</t>
  </si>
  <si>
    <t>Ngày mở sổ:  01/07/2015</t>
  </si>
  <si>
    <t>Quý IV / 2015</t>
  </si>
  <si>
    <t>Gas</t>
  </si>
  <si>
    <t>Công Ty Xăng Dầu Trà Vinh</t>
  </si>
  <si>
    <t>VAT Gas</t>
  </si>
  <si>
    <t>NK</t>
  </si>
  <si>
    <t>241</t>
  </si>
  <si>
    <t>Quý</t>
  </si>
  <si>
    <t>T02</t>
  </si>
  <si>
    <t>Cty TNHH MTV Dịch Vụ Bảo Vệ Vạn Lợi</t>
  </si>
  <si>
    <t>Cty TNHH Năm Dũng</t>
  </si>
  <si>
    <t>Van đạp chân, máng rửa tay</t>
  </si>
  <si>
    <t>VAT Van đạp chân, máng rửa tay</t>
  </si>
  <si>
    <t>Nguyễn An Khang</t>
  </si>
  <si>
    <t>Vận chuyển hàng hóa</t>
  </si>
  <si>
    <t>VAT Vận chuyển hàng hóa</t>
  </si>
  <si>
    <t>Tiệm Điện Sáu Yên</t>
  </si>
  <si>
    <t>Hiền Thành</t>
  </si>
  <si>
    <t>Cước điện thoại + Internet T11/2015</t>
  </si>
  <si>
    <t>KU 1402LDS201504108</t>
  </si>
  <si>
    <t>VAT Cước điện thoại + Internet T11/2015</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</si>
  <si>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</si>
  <si>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</si>
  <si>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</si>
  <si>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</si>
  <si>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</si>
  <si>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</si>
  <si>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</si>
  <si>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</si>
  <si>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</si>
  <si>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</si>
  <si>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</si>
  <si>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</si>
  <si>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</si>
  <si>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</si>
  <si>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</si>
  <si>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</si>
  <si>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</si>
  <si>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</si>
  <si>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</si>
  <si>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</si>
  <si>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</si>
  <si>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</si>
  <si>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</si>
  <si>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</si>
  <si>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</si>
  <si>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</si>
  <si>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</si>
  <si>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</si>
  <si>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</si>
  <si>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</si>
  <si>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</si>
  <si>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</si>
  <si>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</si>
  <si>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0002601</t>
  </si>
  <si>
    <t>Bàn Inox 80x230</t>
  </si>
  <si>
    <t>VAT Bàn Inox 80x230</t>
  </si>
  <si>
    <t>La bàn, que hàn</t>
  </si>
  <si>
    <t>0001956</t>
  </si>
  <si>
    <t>VAT La bàn, que hàn</t>
  </si>
  <si>
    <t>Chi phí nhân công, máy, ván khuông thi công HĐ: 01/2015/HĐKT</t>
  </si>
  <si>
    <t>0000029</t>
  </si>
  <si>
    <t>VAT Chi phí nhân công, máy</t>
  </si>
  <si>
    <t>Tiển công trình đường dây trung thế</t>
  </si>
  <si>
    <t>0000019</t>
  </si>
  <si>
    <t>VAT Tiển công trình đường dây trung thế</t>
  </si>
  <si>
    <t>Phí dịch vụ bảo vệ T12/2015</t>
  </si>
  <si>
    <t>0000216</t>
  </si>
  <si>
    <t>VAT Phí dịch vụ bảo vệ T12/2015</t>
  </si>
  <si>
    <t>0117416; 0117417; 0116822; 0117418</t>
  </si>
  <si>
    <t>Lắp đặt hệ thống PCCC</t>
  </si>
  <si>
    <t>0000111</t>
  </si>
  <si>
    <t>VAT Lắp đặt hệ thống PCCC</t>
  </si>
  <si>
    <t>0000169</t>
  </si>
  <si>
    <t>Sơn dầu</t>
  </si>
  <si>
    <t>0047573</t>
  </si>
  <si>
    <t>Cửa Hàng Ống Nước Đồ Sắt Minh Tuấn</t>
  </si>
  <si>
    <t>Lắp đặt thiết bị và vận hành hệ thống xử lý nước thải</t>
  </si>
  <si>
    <t>0000245</t>
  </si>
  <si>
    <t>VAT Lắp đặt thiết bị và vận hành hệ thống xử lý nước thải</t>
  </si>
  <si>
    <t>Thuế môn bài 2016</t>
  </si>
  <si>
    <t>0032017</t>
  </si>
  <si>
    <t>Q4 - Rút tiền mặt</t>
  </si>
  <si>
    <t>Bình MT5</t>
  </si>
  <si>
    <t>Cty TNHH Thương Mại Hải An Phát</t>
  </si>
  <si>
    <t>VAT Bình MT5</t>
  </si>
  <si>
    <t>Bình MFZ35, MFZ8</t>
  </si>
  <si>
    <t>0000069</t>
  </si>
  <si>
    <t>VAT Bình MFZ35, MFZ8</t>
  </si>
  <si>
    <t>Bình MFZ8, MT5, Nối quy tiêu lệnh, đế bình</t>
  </si>
  <si>
    <t>0000070</t>
  </si>
  <si>
    <t>VAT Bình MFZ8, MT5, Nối quy tiêu lệnh, đế bình</t>
  </si>
  <si>
    <t>0032019</t>
  </si>
  <si>
    <t>Vật liệu điện</t>
  </si>
  <si>
    <t>0067368</t>
  </si>
  <si>
    <t>Thép không gỉ</t>
  </si>
  <si>
    <t>0000087</t>
  </si>
  <si>
    <t>Cty TNHH Thương Mại Và Sản Xuất Sơn Thành Phát</t>
  </si>
  <si>
    <t>VAT Thép không gỉ</t>
  </si>
  <si>
    <t>Lãi vay</t>
  </si>
  <si>
    <t>0032022</t>
  </si>
  <si>
    <t>Tiền nước tháng 1/2016</t>
  </si>
  <si>
    <t>0012490</t>
  </si>
  <si>
    <t>VAT Tiền nước tháng 1/2016</t>
  </si>
  <si>
    <t>Q4 - Nộp tiền mặt</t>
  </si>
  <si>
    <t>Vật liệu hệ thống nước</t>
  </si>
  <si>
    <t>0031516</t>
  </si>
  <si>
    <t>Máy nén Sanyo 15HP</t>
  </si>
  <si>
    <t>0069745</t>
  </si>
  <si>
    <t>Cửa Hàng Văn Hiếu</t>
  </si>
  <si>
    <t>0065464</t>
  </si>
  <si>
    <t>Tiệm Điện Thành Tâm</t>
  </si>
  <si>
    <t>Nộp phí BVMT - Quý IV/2015</t>
  </si>
  <si>
    <t>Đặng Vũ Thụy</t>
  </si>
  <si>
    <t>Máy nén Sanyo 20HP</t>
  </si>
  <si>
    <t>0069746</t>
  </si>
  <si>
    <t>Thanh toán tiền điện kỳ 1 tháng 1</t>
  </si>
  <si>
    <t>0000749</t>
  </si>
  <si>
    <t>Doanh Nghiệp Tư Nhân Hồng Nam</t>
  </si>
  <si>
    <t>0032032; 0032030</t>
  </si>
  <si>
    <t>Thanh toán tiền điện kỳ 2 tháng 1</t>
  </si>
  <si>
    <t>Thanh toán tiền vật liệu xây dựng</t>
  </si>
  <si>
    <t>Thanh toán tiền giám sát</t>
  </si>
  <si>
    <t>Cty TNHH Hải Sản An Lạc</t>
  </si>
  <si>
    <t>Thu hoàn trả vốn mượn</t>
  </si>
  <si>
    <t>Phí dịch vụ bảo vệ T1/2016</t>
  </si>
  <si>
    <t>0000241</t>
  </si>
  <si>
    <t>VAT Phí dịch vụ bảo vệ T1/2016</t>
  </si>
  <si>
    <t>Cước điện thoại + Internet T1/2016</t>
  </si>
  <si>
    <t>0187069; 0187068; 0187070; 0187071</t>
  </si>
  <si>
    <t>VAT Cước điện thoại + Internet T1/2016</t>
  </si>
  <si>
    <t>Trả vốn mượn</t>
  </si>
  <si>
    <t>Tiền xử lý mước thải T01/2016</t>
  </si>
  <si>
    <t>Cty TNHH Thương Mại DV Môi Trường Trà Vinh</t>
  </si>
  <si>
    <t>Thanh toán tiền điện kỳ 1 tháng 2</t>
  </si>
  <si>
    <t>3412</t>
  </si>
  <si>
    <t>Vay dài hạn</t>
  </si>
  <si>
    <t>Vay ngắn hạn</t>
  </si>
  <si>
    <t>Tài khoản 3412</t>
  </si>
  <si>
    <t>0012060</t>
  </si>
  <si>
    <t>0029236</t>
  </si>
  <si>
    <t>Tiền điện kỳ 1 T1/2016</t>
  </si>
  <si>
    <t>VAT Tiền điện kỳ 1 T1/2016</t>
  </si>
  <si>
    <t>VAT Tiền điện kỳ 2 T1/2016</t>
  </si>
  <si>
    <t>Tiền điện kỳ 2 T1/2016</t>
  </si>
  <si>
    <t>Số tiền phát sinh (VND)</t>
  </si>
  <si>
    <t>Số tiền phát sinh (USD)</t>
  </si>
  <si>
    <t>1122</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</si>
  <si>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</si>
  <si>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</si>
  <si>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</si>
  <si>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</si>
  <si>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</si>
  <si>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</si>
  <si>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</si>
  <si>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</si>
  <si>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</si>
  <si>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</si>
  <si>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</si>
  <si>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</si>
  <si>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</si>
  <si>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</si>
  <si>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</si>
  <si>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</si>
  <si>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</si>
  <si>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</si>
  <si>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</si>
  <si>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</si>
  <si>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</si>
  <si>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</si>
  <si>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</si>
  <si>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</si>
  <si>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</si>
  <si>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</si>
  <si>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</si>
  <si>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</si>
  <si>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</si>
  <si>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</si>
  <si>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</si>
  <si>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</si>
  <si>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</si>
  <si>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</si>
  <si>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</si>
  <si>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</si>
  <si>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</si>
  <si>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</si>
  <si>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</si>
  <si>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</si>
  <si>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</si>
  <si>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</si>
  <si>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</si>
  <si>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</si>
  <si>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</si>
  <si>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</si>
  <si>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</si>
  <si>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</si>
  <si>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</si>
  <si>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</si>
  <si>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</si>
  <si>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</si>
  <si>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</si>
  <si>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</si>
  <si>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</si>
  <si>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</si>
  <si>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</si>
  <si>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</si>
  <si>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</si>
  <si>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</si>
  <si>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</si>
  <si>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</si>
  <si>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</si>
  <si>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</si>
  <si>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</si>
  <si>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</si>
  <si>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</si>
  <si>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</si>
  <si>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</si>
  <si>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</si>
  <si>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</si>
  <si>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kg</t>
  </si>
  <si>
    <t>Lê Thành Lê</t>
  </si>
  <si>
    <t>Bến Tre</t>
  </si>
  <si>
    <t>xã Hưng Nhượng, Giồng Trôm, Bến Tre</t>
  </si>
  <si>
    <t>Hai</t>
  </si>
  <si>
    <t>Nguyễn Thành Quang</t>
  </si>
  <si>
    <t>681/AT, xã An Thủy, Ba Tri, Bến Tre</t>
  </si>
  <si>
    <t>Nguyễn Văn Phong</t>
  </si>
  <si>
    <t>001/AT, xã An Thủy, Ba Tri, Bến Tre</t>
  </si>
  <si>
    <t>Trương Thị Nhớ</t>
  </si>
  <si>
    <t>542/AT, xã An Thủy, Ba Tri, Bến Tre</t>
  </si>
  <si>
    <t>Nguyễn Thanh Hải</t>
  </si>
  <si>
    <t>xã Châu Hòa, Giồng Trôm, Bến Tre</t>
  </si>
  <si>
    <t>Phạm Tuấn Anh</t>
  </si>
  <si>
    <t>Ấp An Thới, An Qui, Thạnh Phú, Bến Tre</t>
  </si>
  <si>
    <t>Nguyễn Thanh Hoàng</t>
  </si>
  <si>
    <t>788/AT, xã An Thủy, Ba Tri, Bến Tre</t>
  </si>
  <si>
    <t>Nguyễn Thị Hồng Hoa</t>
  </si>
  <si>
    <t>Nguyễn Văn Tha</t>
  </si>
  <si>
    <t>xã An Thủy, Ba Tri, Bến Tre</t>
  </si>
  <si>
    <t>Vỏ Văn Thắng</t>
  </si>
  <si>
    <t>188/AT, xã An Thủy, Ba Tri, Bến Tre</t>
  </si>
  <si>
    <t>Lý Thị Thảo</t>
  </si>
  <si>
    <t>Đặng Thanh Phong</t>
  </si>
  <si>
    <t>Bình Thành, Giồng Trôm, Bến Tre</t>
  </si>
  <si>
    <t>Lê Thị Diệu</t>
  </si>
  <si>
    <t>Bình Thuận</t>
  </si>
  <si>
    <t>Đức Linh - Bình Thuận</t>
  </si>
  <si>
    <t>Lê Thị Thiện Em</t>
  </si>
  <si>
    <t>Trần Văn An</t>
  </si>
  <si>
    <t>Hàm Tân - Bình Thuận</t>
  </si>
  <si>
    <t>Nguyễn Thanh Bình</t>
  </si>
  <si>
    <t>Phan Thiết - Bình Thuận</t>
  </si>
  <si>
    <t>Nguyễn Văn Hạnh</t>
  </si>
  <si>
    <t>Trần Thị Thu Hiếu</t>
  </si>
  <si>
    <t>Nguyễn Văn Nhân</t>
  </si>
  <si>
    <t>Thanh Hải - Bình Thuận</t>
  </si>
  <si>
    <t>Huỳnh Thị Kiều</t>
  </si>
  <si>
    <t>Kiên Giang</t>
  </si>
  <si>
    <t>Rạch Giá - Kiên Giang</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</si>
  <si>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</si>
  <si>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</si>
  <si>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</si>
  <si>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</si>
  <si>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</si>
  <si>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</si>
  <si>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</si>
  <si>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</si>
  <si>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</si>
  <si>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</si>
  <si>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Nguyễn Văn Hải</t>
  </si>
  <si>
    <t>Nguyễn Văn Lắm</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</si>
  <si>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</si>
  <si>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</si>
  <si>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</si>
  <si>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</si>
  <si>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</si>
  <si>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</si>
  <si>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</si>
  <si>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</si>
  <si>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</si>
  <si>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</si>
  <si>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</si>
  <si>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Trần Thị Lang</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</si>
  <si>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</si>
  <si>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</si>
  <si>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</si>
  <si>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</si>
  <si>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</si>
  <si>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</si>
  <si>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</si>
  <si>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</si>
  <si>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</si>
  <si>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</si>
  <si>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</si>
  <si>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</si>
  <si>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</si>
  <si>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</si>
  <si>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</si>
  <si>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</si>
  <si>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</si>
  <si>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</si>
  <si>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</si>
  <si>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</si>
  <si>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</si>
  <si>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</si>
  <si>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</si>
  <si>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</si>
  <si>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</si>
  <si>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</si>
  <si>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</si>
  <si>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</si>
  <si>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</si>
  <si>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</si>
  <si>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</si>
  <si>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</si>
  <si>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</si>
  <si>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</si>
  <si>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</si>
  <si>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</si>
  <si>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</si>
  <si>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</si>
  <si>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</si>
  <si>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</si>
  <si>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</si>
  <si>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</si>
  <si>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</si>
  <si>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</si>
  <si>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</si>
  <si>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</si>
  <si>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</si>
  <si>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</si>
  <si>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</si>
  <si>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</si>
  <si>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</si>
  <si>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</si>
  <si>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</si>
  <si>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</si>
  <si>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</si>
  <si>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</si>
  <si>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Tài khoản: ....1521......</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</si>
  <si>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</si>
  <si>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</si>
  <si>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</si>
  <si>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</si>
  <si>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</si>
  <si>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</si>
  <si>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</si>
  <si>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</si>
  <si>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</si>
  <si>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</si>
  <si>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</si>
  <si>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</si>
  <si>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</si>
  <si>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</si>
  <si>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</si>
  <si>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</si>
  <si>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</si>
  <si>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</si>
  <si>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</si>
  <si>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</si>
  <si>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</si>
  <si>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</si>
  <si>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</si>
  <si>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</si>
  <si>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</si>
  <si>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</si>
  <si>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</si>
  <si>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</si>
  <si>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</si>
  <si>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</si>
  <si>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</si>
  <si>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</si>
  <si>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</si>
  <si>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</si>
  <si>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</si>
  <si>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</si>
  <si>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</si>
  <si>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</si>
  <si>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</si>
  <si>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</si>
  <si>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</si>
  <si>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</si>
  <si>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</si>
  <si>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</si>
  <si>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</si>
  <si>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</si>
  <si>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</si>
  <si>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</si>
  <si>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</si>
  <si>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</si>
  <si>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</si>
  <si>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</si>
  <si>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</si>
  <si>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</si>
  <si>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</si>
  <si>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</si>
  <si>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</si>
  <si>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</si>
  <si>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</si>
  <si>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</si>
  <si>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</si>
  <si>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</si>
  <si>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</si>
  <si>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</si>
  <si>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</si>
  <si>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</si>
  <si>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</si>
  <si>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</si>
  <si>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</si>
  <si>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</si>
  <si>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</si>
  <si>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</si>
  <si>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</si>
  <si>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</si>
  <si>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</si>
  <si>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</si>
  <si>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</si>
  <si>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</si>
  <si>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</si>
  <si>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</si>
  <si>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</si>
  <si>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</si>
  <si>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</si>
  <si>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</si>
  <si>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</si>
  <si>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</si>
  <si>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</si>
  <si>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</si>
  <si>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</si>
  <si>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</si>
  <si>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</si>
  <si>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</si>
  <si>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</si>
  <si>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</si>
  <si>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</si>
  <si>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</si>
  <si>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</si>
  <si>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</si>
  <si>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</si>
  <si>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Tiền nước tháng 2/2016</t>
  </si>
  <si>
    <t>VAT Tiền nước tháng 2/2016</t>
  </si>
  <si>
    <t>C34</t>
  </si>
  <si>
    <t>C35</t>
  </si>
  <si>
    <t>Phí dịch vụ bảo vệ T2/2016</t>
  </si>
  <si>
    <t>VAT Phí dịch vụ bảo vệ T2/2016</t>
  </si>
  <si>
    <t>0000266</t>
  </si>
  <si>
    <t>C36</t>
  </si>
  <si>
    <t>Keo nano, keo non</t>
  </si>
  <si>
    <t>0089877</t>
  </si>
  <si>
    <t>C37</t>
  </si>
  <si>
    <t>0032050</t>
  </si>
  <si>
    <t>0000757</t>
  </si>
  <si>
    <t>CN Công Ty TNHH Tân Hy Xí Nghiệp In &amp; Bao Bì Duy Nhật</t>
  </si>
  <si>
    <t>VAT Túi PE</t>
  </si>
  <si>
    <t>Túi PE 86*75</t>
  </si>
  <si>
    <t>Túi PE 40*60</t>
  </si>
  <si>
    <t>C38</t>
  </si>
  <si>
    <t>0252860, 0252861, 0252862, 0252863</t>
  </si>
  <si>
    <t>C39</t>
  </si>
  <si>
    <t>Thiết bị điện</t>
  </si>
  <si>
    <t>0089890</t>
  </si>
  <si>
    <t>0076266</t>
  </si>
  <si>
    <t>Thu gom rác thải 11/15 - 1/16</t>
  </si>
  <si>
    <t>VAT Thu gom rác thải 11/15 - 1/17</t>
  </si>
  <si>
    <t>0000001</t>
  </si>
  <si>
    <t>0032690</t>
  </si>
  <si>
    <t>131</t>
  </si>
  <si>
    <t xml:space="preserve"> Phải thu của khách hàng </t>
  </si>
  <si>
    <t>TỔNG HỢP TÀI KHOẢN 131 - 2015</t>
  </si>
  <si>
    <t>Quy ra VNĐ</t>
  </si>
  <si>
    <t>Mẫu số S32-DN</t>
  </si>
  <si>
    <t>Địa chỉ: Lô A14, Đường 4A, KCN Hải Sơn, Huyện Đức Hòa, Tỉnh Long An</t>
  </si>
  <si>
    <t xml:space="preserve"> </t>
  </si>
  <si>
    <t xml:space="preserve">SỔ CHI TIẾT THANH TOÁN VỚI NGƯỜI MUA BẰNG NGOẠI TỆ           </t>
  </si>
  <si>
    <t>Tài khoản: 131</t>
  </si>
  <si>
    <t xml:space="preserve">Đối tượng: </t>
  </si>
  <si>
    <t>Thời hạn được chiết khấu</t>
  </si>
  <si>
    <t>NVL</t>
  </si>
  <si>
    <t>VL/N01</t>
  </si>
  <si>
    <t>Say</t>
  </si>
  <si>
    <t>Phí nộp thuế điện tử</t>
  </si>
  <si>
    <t>VAT Phí nộp thuế điện tử</t>
  </si>
  <si>
    <t>Ứng vốn</t>
  </si>
  <si>
    <t>Phí hạ tầng từ 15/9/15 đến 15/9/16</t>
  </si>
  <si>
    <t>Phí kiểm đếm</t>
  </si>
  <si>
    <t>VAT Phí kiểm đếm</t>
  </si>
  <si>
    <t>Thanh toán tiền gas</t>
  </si>
  <si>
    <t>Thanh toán tiền điện kỳ 2 tháng 2</t>
  </si>
  <si>
    <t>Thanh toán tiền VLXD</t>
  </si>
  <si>
    <t>T03</t>
  </si>
  <si>
    <t>C40</t>
  </si>
  <si>
    <t>Thu vốn mượn</t>
  </si>
  <si>
    <t>Q4</t>
  </si>
  <si>
    <t>C41</t>
  </si>
  <si>
    <t>Dịch vụ thoát nước thải</t>
  </si>
  <si>
    <t>0076282</t>
  </si>
  <si>
    <t>VAT Dịch vụ thoát nước thải</t>
  </si>
  <si>
    <t>C42</t>
  </si>
  <si>
    <t>0094514</t>
  </si>
  <si>
    <t>C43</t>
  </si>
  <si>
    <t>Quỹ Quốc Phòng An Ninh</t>
  </si>
  <si>
    <t>0201226</t>
  </si>
  <si>
    <t>UBND Tỉnh Trà Vinh</t>
  </si>
  <si>
    <t>C44</t>
  </si>
  <si>
    <t>Thiết bị</t>
  </si>
  <si>
    <t>0000931</t>
  </si>
  <si>
    <t>DNTN Sung Dần</t>
  </si>
  <si>
    <t>VAT Thiết bị</t>
  </si>
  <si>
    <t>0076281</t>
  </si>
  <si>
    <t>VAT Phí hạ tầng từ 15/9/15 đến 15/9/16</t>
  </si>
  <si>
    <t>Tiền điện kỳ 1 T2/2016</t>
  </si>
  <si>
    <t>VAT Tiền điện kỳ 1 T2/2016</t>
  </si>
  <si>
    <t>Tiền điện kỳ 2 T2/2016</t>
  </si>
  <si>
    <t>VAT Tiền điện kỳ 2 T2/2016</t>
  </si>
  <si>
    <t>0031182</t>
  </si>
  <si>
    <t>0058684</t>
  </si>
  <si>
    <t>Dịch vụ thông báo số dư 0903 921 945 VNĐ</t>
  </si>
  <si>
    <t>Dịch vụ thông báo số dư 0982 911 262 VNĐ</t>
  </si>
  <si>
    <t>VAT Dịch vụ thông báo số dư</t>
  </si>
  <si>
    <t>Nguyễn Thiện Duyệt</t>
  </si>
  <si>
    <t>Thanh toán tiền điện kỳ 1 tháng 3</t>
  </si>
  <si>
    <t>Lãi TG</t>
  </si>
  <si>
    <t>Tiền điện kỳ 1 T3/2016</t>
  </si>
  <si>
    <t>Tiền điện kỳ 2 T3/2016</t>
  </si>
  <si>
    <t>VAT Tiền điện kỳ 2 T3/2016</t>
  </si>
  <si>
    <t>VAT Tiền điện kỳ 1 T3/2016</t>
  </si>
  <si>
    <t>0070838</t>
  </si>
  <si>
    <t>0000418</t>
  </si>
  <si>
    <t>Lần một HĐKT: 1606/HĐKT/M&amp;E/2015</t>
  </si>
  <si>
    <t>VAT Lần một HĐKT: 1606/HĐKT/M&amp;E/2015</t>
  </si>
  <si>
    <t>C45</t>
  </si>
  <si>
    <t>Thiết bị xưởng</t>
  </si>
  <si>
    <t>0095660</t>
  </si>
  <si>
    <t>Kiếng mê ca</t>
  </si>
  <si>
    <t>0076540</t>
  </si>
  <si>
    <t>Tiệm tủ Hiệp Thành 2</t>
  </si>
  <si>
    <t>C46</t>
  </si>
  <si>
    <t>C47</t>
  </si>
  <si>
    <t>0095662</t>
  </si>
  <si>
    <t>Tiền nước tháng 3/2016</t>
  </si>
  <si>
    <t>VAT Tiền nước tháng 3/2016</t>
  </si>
  <si>
    <t>0092762</t>
  </si>
  <si>
    <t>0095663</t>
  </si>
  <si>
    <t>Phí dịch vụ bảo vệ T3/2016</t>
  </si>
  <si>
    <t>VAT Phí dịch vụ bảo vệ T3/2016</t>
  </si>
  <si>
    <t>0000300</t>
  </si>
  <si>
    <t>Phí giao thông - Quý I / 2016</t>
  </si>
  <si>
    <t>VAT Phí giao thông - Quý I / 2016</t>
  </si>
  <si>
    <t>Phí giao thông - Quý II / 2016</t>
  </si>
  <si>
    <t>VAT Phí giao thông - Quý II / 2016</t>
  </si>
  <si>
    <t>Sơn 79A &amp; A901</t>
  </si>
  <si>
    <t>VAT Sơn 79A &amp; A901</t>
  </si>
  <si>
    <t>Cty TNHH Sơn Bá Thành</t>
  </si>
  <si>
    <t>Sơn ngoại thất</t>
  </si>
  <si>
    <t>VAT Sơn ngoại thất</t>
  </si>
  <si>
    <t>Cty TNHH SX-TM-DV Đại Hồng Ân</t>
  </si>
  <si>
    <t>Sơn nội thất</t>
  </si>
  <si>
    <t>VAT Sơn nội thất</t>
  </si>
  <si>
    <t>Cty TNHH Một Thành Viên Lang Bảo Anh</t>
  </si>
  <si>
    <t>0000108</t>
  </si>
  <si>
    <t>Vật dụng phòng khách</t>
  </si>
  <si>
    <t>VAT Vật dụng phòng khách</t>
  </si>
  <si>
    <t>0593472</t>
  </si>
  <si>
    <t>Cty Cổ Phần Thương Mại Nguyễn Kim</t>
  </si>
  <si>
    <t>0002358</t>
  </si>
  <si>
    <t>0002355</t>
  </si>
  <si>
    <t>0000428</t>
  </si>
  <si>
    <t>Hoàn thuế GTGT</t>
  </si>
  <si>
    <t>Cục Thuế Tỉnh Trà Vinh</t>
  </si>
  <si>
    <t>Phí khắc dấu</t>
  </si>
  <si>
    <t>VAT Phí khắc dấu</t>
  </si>
  <si>
    <t>0002275</t>
  </si>
  <si>
    <t>Cty TNHH SX DV Khắc Dấu Tiến Dũng</t>
  </si>
  <si>
    <t>Phí công đoàn</t>
  </si>
  <si>
    <t>0065632</t>
  </si>
  <si>
    <t>Đăng Vũ Thụy</t>
  </si>
  <si>
    <t>0095668</t>
  </si>
  <si>
    <t>Lưới 1,8m</t>
  </si>
  <si>
    <t>0034637</t>
  </si>
  <si>
    <t>VLXD Tư Hiền</t>
  </si>
  <si>
    <t>Túi PA Trắng (18x28)</t>
  </si>
  <si>
    <t>Túi PA Trắng (18x32)</t>
  </si>
  <si>
    <t>VAT túi PA</t>
  </si>
  <si>
    <t>0001664</t>
  </si>
  <si>
    <t>C48</t>
  </si>
  <si>
    <t>C49</t>
  </si>
  <si>
    <t>T04</t>
  </si>
  <si>
    <t>0053002; 03; 04; 05</t>
  </si>
  <si>
    <t>0080251</t>
  </si>
  <si>
    <t>0033553</t>
  </si>
  <si>
    <t>0066080</t>
  </si>
  <si>
    <t>Quách Tấn Phúc</t>
  </si>
  <si>
    <t>0031934</t>
  </si>
  <si>
    <t>Cước điện thoại + Internet T3/2016</t>
  </si>
  <si>
    <t>VAT Cước điện thoại + Internet T3/2016</t>
  </si>
  <si>
    <t>Cước điện thoại + Internet T4/2016</t>
  </si>
  <si>
    <t>VAT Cước điện thoại + Internet T4/2016</t>
  </si>
  <si>
    <t>0117880; 79; 78; 77</t>
  </si>
  <si>
    <t>Tiền nước tháng 4/2016</t>
  </si>
  <si>
    <t>VAT Tiền nước tháng 4/2016</t>
  </si>
  <si>
    <t>0118861</t>
  </si>
  <si>
    <t>0029639</t>
  </si>
  <si>
    <t>0029642</t>
  </si>
  <si>
    <t>0056554</t>
  </si>
  <si>
    <t>0000327</t>
  </si>
  <si>
    <t>Hóa đơn GTGT, Phiếu NK kiêm VCNB</t>
  </si>
  <si>
    <t>0000200</t>
  </si>
  <si>
    <t>VAT Hóa đơn GTGT, Phiếu NK kiêm VCNB</t>
  </si>
  <si>
    <t>Cty TNHH Truyền Thông và In Ấn Nhật Mai</t>
  </si>
  <si>
    <t>0080277</t>
  </si>
  <si>
    <t>0056573</t>
  </si>
  <si>
    <t>Clorin tẩy rửa xưởng</t>
  </si>
  <si>
    <t>VAT Clorin tẩy rửa xưởng</t>
  </si>
  <si>
    <t>0000429</t>
  </si>
  <si>
    <t>Cty TNHH TM DV Hải Trung Anh</t>
  </si>
  <si>
    <t>Trồng cây xanh</t>
  </si>
  <si>
    <t>VAT Trồng cây xanh</t>
  </si>
  <si>
    <t>0000013</t>
  </si>
  <si>
    <t>Cty CP Công Trình Đô Thị Trà Vinh</t>
  </si>
  <si>
    <t>Dụng cụ thử nghiêm</t>
  </si>
  <si>
    <t>VAT Dụng cụ thử nghiêm</t>
  </si>
  <si>
    <t>0004371</t>
  </si>
  <si>
    <t>Cty TNHH Bách Khoa</t>
  </si>
  <si>
    <t>0000048</t>
  </si>
  <si>
    <t>0000253</t>
  </si>
  <si>
    <t>Đóng trần, cửa nhôm, cửa kính HĐ số:14/HĐKT.15 &amp; PLHĐ/PH-AL</t>
  </si>
  <si>
    <t>VAT Đóng trần, cửa nhôm, cửa kính HĐ số:14/HĐKT.15 &amp; PLHĐ/PH-AL</t>
  </si>
  <si>
    <t>Tiền điện kỳ 1 T4/2016</t>
  </si>
  <si>
    <t>VAT Tiền điện kỳ 1 T4/2016</t>
  </si>
  <si>
    <t>Tiền điện kỳ 2 T4/2016</t>
  </si>
  <si>
    <t>VAT Tiền điện kỳ 2 T4/2016</t>
  </si>
  <si>
    <t>Tiền điện kỳ 1 T5/2016</t>
  </si>
  <si>
    <t>VAT Tiền điện kỳ 1 T5/2016</t>
  </si>
  <si>
    <t>Tiền điện kỳ 2 T5/2016</t>
  </si>
  <si>
    <t>VAT Tiền điện kỳ 2 T5/2016</t>
  </si>
  <si>
    <t>0117699</t>
  </si>
  <si>
    <t>0100343</t>
  </si>
  <si>
    <t>0129942</t>
  </si>
  <si>
    <t>0147365</t>
  </si>
  <si>
    <t>Vật tư thi công HĐ:15/07/2015/HĐKT</t>
  </si>
  <si>
    <t>VAT Vật tư thi công HĐ:15/07/2015/HĐKT</t>
  </si>
  <si>
    <t>0000009</t>
  </si>
  <si>
    <t>Bồn 1000L</t>
  </si>
  <si>
    <t>VAT Bồn 1000L</t>
  </si>
  <si>
    <t>0003489</t>
  </si>
  <si>
    <t>Cty TNHH MTV PT TM VLXD Phương Anh</t>
  </si>
  <si>
    <t>Cầu C504 VTNT</t>
  </si>
  <si>
    <t>VAT Cầu C504 VTNT</t>
  </si>
  <si>
    <t>0003495</t>
  </si>
  <si>
    <t>NĂM 2016</t>
  </si>
  <si>
    <t>Lê Thị Hường</t>
  </si>
  <si>
    <t>Thanh toán tiền điện kỳ 2 tháng 3</t>
  </si>
  <si>
    <t>Thanh toán tiền điện kỳ 1&amp;2 tháng 4</t>
  </si>
  <si>
    <t>Thanh toán tiền điện kỳ 1&amp;2 tháng 5</t>
  </si>
  <si>
    <t>Mua ngoại tệ trả nợ vay</t>
  </si>
  <si>
    <t>Thu vốn vay</t>
  </si>
  <si>
    <t>Chênh lệch tỷ giá vay</t>
  </si>
  <si>
    <t>Quý II</t>
  </si>
  <si>
    <t>Vay vốn NH</t>
  </si>
  <si>
    <t>KU 1402LDS201601247</t>
  </si>
  <si>
    <t>Lãi vay tất toán</t>
  </si>
  <si>
    <t>Hoàn vốn mượn</t>
  </si>
  <si>
    <t>Tiền nước tháng 5/2016</t>
  </si>
  <si>
    <t>VAT Tiền nước tháng 5/2016</t>
  </si>
  <si>
    <t>0162348</t>
  </si>
  <si>
    <t>Cước điện thoại + Internet T5/2016</t>
  </si>
  <si>
    <t>VAT Cước điện thoại + Internet T5/2016</t>
  </si>
  <si>
    <t>0192668;69;70;71</t>
  </si>
  <si>
    <t>0192668;69;70;72</t>
  </si>
  <si>
    <t>0056587; 0056589</t>
  </si>
  <si>
    <t>Phí dịch vụ bảo vệ T5/2016</t>
  </si>
  <si>
    <t>VAT Phí dịch vụ bảo vệ T5/2016</t>
  </si>
  <si>
    <t>0000352</t>
  </si>
  <si>
    <t>Phí dịch vụ bảo vệ T4/2016</t>
  </si>
  <si>
    <t>VAT Phí dịch vụ bảo vệ T4/2016</t>
  </si>
  <si>
    <t>1332</t>
  </si>
  <si>
    <t>VAT Tiền xử lý nước thải</t>
  </si>
  <si>
    <t>Tài khoản 1332</t>
  </si>
  <si>
    <t xml:space="preserve"> Thuế GTGT được khấu trừ của dự án đầu tư</t>
  </si>
  <si>
    <t>C50</t>
  </si>
  <si>
    <t>Đồng hồ nước</t>
  </si>
  <si>
    <t>Cối đá</t>
  </si>
  <si>
    <t>Khởi động từ</t>
  </si>
  <si>
    <t>C52</t>
  </si>
  <si>
    <t>0074757</t>
  </si>
  <si>
    <t>0074758</t>
  </si>
  <si>
    <t>0074146</t>
  </si>
  <si>
    <t>0000478</t>
  </si>
  <si>
    <t>Tiền điện kỳ 1 T6/2016</t>
  </si>
  <si>
    <t>VAT Tiền điện kỳ 1 T6/2016</t>
  </si>
  <si>
    <t>Tiền điện kỳ 2 T6/2016</t>
  </si>
  <si>
    <t>VAT Tiền điện kỳ 2 T6/2016</t>
  </si>
  <si>
    <t>0159472</t>
  </si>
  <si>
    <t>0177138</t>
  </si>
  <si>
    <t>Hoàn trả vốn mượn</t>
  </si>
  <si>
    <t>Nộp tiển mặt vào tài khoản</t>
  </si>
  <si>
    <t>Rút tiền mặt</t>
  </si>
  <si>
    <t>Phí thuê đất từ 08/03/16 đến 31/12/16</t>
  </si>
  <si>
    <t>Thanh toán tiền điện kỳ 1&amp;2 tháng 6</t>
  </si>
  <si>
    <t xml:space="preserve"> Tiền gửi Ngoại Tệ </t>
  </si>
  <si>
    <t>Cty CP Tư Vấn Xây Dựng Minh Hòa</t>
  </si>
  <si>
    <t>Cty TNHH MTV Quảng Cáo Tấn Phong</t>
  </si>
  <si>
    <t>Hoàn vốn</t>
  </si>
  <si>
    <t>C51</t>
  </si>
  <si>
    <t>Mẫu số S61-DN</t>
  </si>
  <si>
    <t xml:space="preserve">- Ngày mở sổ: </t>
  </si>
  <si>
    <t xml:space="preserve">- Sổ này có……trang, đánh số từ trang 01 đến trang </t>
  </si>
  <si>
    <t>Ngày mở sổ:</t>
  </si>
  <si>
    <t>PKT 1</t>
  </si>
  <si>
    <t>PKT 2</t>
  </si>
  <si>
    <t>PKT 3</t>
  </si>
  <si>
    <t>PKT 4</t>
  </si>
  <si>
    <t>PKT 5</t>
  </si>
  <si>
    <t>Chi lương T6</t>
  </si>
  <si>
    <t>3341</t>
  </si>
  <si>
    <t>PKT 6</t>
  </si>
  <si>
    <t>Tiền ăn trưa VP T6</t>
  </si>
  <si>
    <t>Lương VP T6</t>
  </si>
  <si>
    <t>Tiền ăn trưa SX T6</t>
  </si>
  <si>
    <t>Lương SX T6</t>
  </si>
  <si>
    <t>Bảo hiểm xã hội 8%</t>
  </si>
  <si>
    <t>3383</t>
  </si>
  <si>
    <t>Bảo hiểm y tế 1.5%</t>
  </si>
  <si>
    <t>3384</t>
  </si>
  <si>
    <t>Bảo hiểm thất nghiệp 1%</t>
  </si>
  <si>
    <t>3386</t>
  </si>
  <si>
    <t>Bảo hiểm xã hội 18%</t>
  </si>
  <si>
    <t>Bảo hiểm y tế 3%</t>
  </si>
  <si>
    <t>PHIẾU KẾ TOÁN</t>
  </si>
  <si>
    <t>Số:</t>
  </si>
  <si>
    <t>Ngày:</t>
  </si>
  <si>
    <t>NỘI DUNG</t>
  </si>
  <si>
    <t xml:space="preserve">CÓ </t>
  </si>
  <si>
    <t>SỐ TIỀN</t>
  </si>
  <si>
    <t>GHI CHÚ</t>
  </si>
  <si>
    <t xml:space="preserve">- Sổ này có    trang, đánh từ trang 01 đến trang </t>
  </si>
  <si>
    <t>-Ngày mở sổ:</t>
  </si>
  <si>
    <t>K/C LN CPP</t>
  </si>
  <si>
    <t>Tài khoản 1522</t>
  </si>
  <si>
    <t>Quý I+II / 2016</t>
  </si>
  <si>
    <t>Sổ này có 40 trang, đánh số từ trang 01 đến trang 40</t>
  </si>
  <si>
    <t>Ngày mở sổ:  01/01/2016</t>
  </si>
  <si>
    <t>T</t>
  </si>
  <si>
    <t>Tiền nước tháng 06/2016</t>
  </si>
  <si>
    <t>Cty TNHH MTV Cấp thoát nước - TV</t>
  </si>
  <si>
    <t>VAT Tiền nước tháng 6/2016</t>
  </si>
  <si>
    <t>Cước Điện Thoại - Internet</t>
  </si>
  <si>
    <t>0201451, 0201452,0201241,0201453</t>
  </si>
  <si>
    <t>TT Kinh Doanh Viễn Thông - TV</t>
  </si>
  <si>
    <t>VAT Cước Điện Thoại - Internet 6/2016</t>
  </si>
  <si>
    <t>Khây Nhôm</t>
  </si>
  <si>
    <t>0000370</t>
  </si>
  <si>
    <t>Cty TNHH Nguyễn Tâm</t>
  </si>
  <si>
    <t>VAT Khây Nhôm</t>
  </si>
  <si>
    <t>Phí DV</t>
  </si>
  <si>
    <t>VAT Phí DV</t>
  </si>
  <si>
    <t>Tiền xử lý nước thải T06/2016</t>
  </si>
  <si>
    <t>0080296</t>
  </si>
  <si>
    <t>Cty Quản Lý và Phát Triển Hạ Tầng - TV</t>
  </si>
  <si>
    <t>GTGT Tiền xử lý nước thải T06/2016</t>
  </si>
  <si>
    <t>Sơn xịt, vật liệu điện</t>
  </si>
  <si>
    <t>0074785</t>
  </si>
  <si>
    <t>Phí Bảo Vệ T6/2016</t>
  </si>
  <si>
    <t>0000386</t>
  </si>
  <si>
    <t>VAT Phí Bảo Vệ T6/2016</t>
  </si>
  <si>
    <t>0000371</t>
  </si>
  <si>
    <t>Vật liệu điện, xây tư sản xuất</t>
  </si>
  <si>
    <t>0074790</t>
  </si>
  <si>
    <t>Nộp TM</t>
  </si>
  <si>
    <t>Thanh toán HĐ</t>
  </si>
  <si>
    <t>Phí lấy và thử nghiệm mẫu không khí và nước thải</t>
  </si>
  <si>
    <t>0081266</t>
  </si>
  <si>
    <t>TT.KT Tài Nguyên và Môi Trường -TV</t>
  </si>
  <si>
    <t>VAT Phí lấy và thử nghiệm mẫu không khí và nước thải</t>
  </si>
  <si>
    <t>Vật tư xây dựng, điện</t>
  </si>
  <si>
    <t>0074794, 0074795</t>
  </si>
  <si>
    <t>Phí đo đất</t>
  </si>
  <si>
    <t>0007527</t>
  </si>
  <si>
    <t>Văn phòng đăng ký đất đai - TV</t>
  </si>
  <si>
    <t>VAT Phí đo đất</t>
  </si>
  <si>
    <t>Phí nước thải T06/16</t>
  </si>
  <si>
    <t>0082714</t>
  </si>
  <si>
    <t>VAT Phí nước thải T06/17</t>
  </si>
  <si>
    <t>Cty TNHH Quang Sơn</t>
  </si>
  <si>
    <t>KU 1402LDS201501496</t>
  </si>
  <si>
    <t>000001</t>
  </si>
  <si>
    <t>Phí gia công</t>
  </si>
  <si>
    <t>VAT phí gia công</t>
  </si>
  <si>
    <t>Phí địa chính cấp GCNQSDĐ</t>
  </si>
  <si>
    <t>0047815</t>
  </si>
  <si>
    <t>Thanh toán tiền điện kỳ 1&amp;2 tháng 7</t>
  </si>
  <si>
    <t>Chi lương T7</t>
  </si>
  <si>
    <t>0000641</t>
  </si>
  <si>
    <t>PKT 7</t>
  </si>
  <si>
    <t>Tiền điện kỳ 1 T7/2016</t>
  </si>
  <si>
    <t>0188505</t>
  </si>
  <si>
    <t>VAT Tiền điện kỳ 1 T7/2016</t>
  </si>
  <si>
    <t>Hợp đồng tư vấn, khảo sát 04 công trình</t>
  </si>
  <si>
    <t>0070904</t>
  </si>
  <si>
    <t>Phí thuê quyền sử dụng đất 08/03 đến 31/12/2016</t>
  </si>
  <si>
    <t>0082706</t>
  </si>
  <si>
    <t>VAT Phí thuê quyền sử dụng đất 08/03 đến 31/12/2016</t>
  </si>
  <si>
    <t>Tiền điện kỳ 2 T7/2016</t>
  </si>
  <si>
    <t>0206945</t>
  </si>
  <si>
    <t>VAT Tiền điện kỳ 2 T7/2016</t>
  </si>
  <si>
    <t>Tiền ăn T7</t>
  </si>
  <si>
    <t>Lương SX T7</t>
  </si>
  <si>
    <t>Lương VP T7</t>
  </si>
  <si>
    <t>Phí Điện Thoại - Internet T7/2016</t>
  </si>
  <si>
    <t>0275409, 0278505,0275410,0280020</t>
  </si>
  <si>
    <t>VAT Phí Điện Thoại - Internet</t>
  </si>
  <si>
    <t>0275409</t>
  </si>
  <si>
    <t>Tiền nước tháng 07/2016</t>
  </si>
  <si>
    <t>0238477</t>
  </si>
  <si>
    <t>VAT Tiền nước tháng 07/2016</t>
  </si>
  <si>
    <t>Thanh toán tiền bao bì</t>
  </si>
  <si>
    <t>Thanh toán tiền HP</t>
  </si>
  <si>
    <t>0085292</t>
  </si>
  <si>
    <t>Tiền nước tháng 08/2016</t>
  </si>
  <si>
    <t>0267281</t>
  </si>
  <si>
    <t>Hoàn GTGT</t>
  </si>
  <si>
    <t>Phí Bảo Vệ T07/2016</t>
  </si>
  <si>
    <t>0000412</t>
  </si>
  <si>
    <t>VAT Phí Bảo Vệ T07/2017</t>
  </si>
  <si>
    <t>Rút TM</t>
  </si>
  <si>
    <t>Thanh toán tiền bảng hiệu</t>
  </si>
  <si>
    <t>Thanh toán tiền cây, rác</t>
  </si>
  <si>
    <t>NH hủy Thanh toán VLXD</t>
  </si>
  <si>
    <t xml:space="preserve">NH hủy Phí chuyển tiền </t>
  </si>
  <si>
    <t xml:space="preserve">NH hủy VAT Phí chuyển tiền </t>
  </si>
  <si>
    <t>Thanh toán VLXD (NH hủy)</t>
  </si>
  <si>
    <t>Phí chuyển tiền (NH hủy)</t>
  </si>
  <si>
    <t>VAT Phí chuyển tiền (NH hủy)</t>
  </si>
  <si>
    <t>Thanh toán VLXD</t>
  </si>
  <si>
    <t>Hoàn vốn AL - Q4</t>
  </si>
  <si>
    <t>Thanh toán XD</t>
  </si>
  <si>
    <t>Thanh toán hoc HACCP</t>
  </si>
  <si>
    <t>Cơ Quan Quản Lý Chất Lượng Nông Lâm và Thủy Sản Nam Bộ</t>
  </si>
  <si>
    <t>Thanh toán tiền điện kỳ 1 t8</t>
  </si>
  <si>
    <t>Thanh toán tiền điện kỳ 2 t8</t>
  </si>
  <si>
    <t>Phí thanh nhôm</t>
  </si>
  <si>
    <t>0000515</t>
  </si>
  <si>
    <t>VAT Tiền nước tháng 08/2016</t>
  </si>
  <si>
    <t>Phí Bơm định lượng C - 6125P</t>
  </si>
  <si>
    <t>0000367</t>
  </si>
  <si>
    <t>Cty TNHH TM Dịch Vụ Nhập Khẩu Lê Hoàng</t>
  </si>
  <si>
    <t>VAT Phí Bơm định lượng C - 6125P</t>
  </si>
  <si>
    <t>Tiền xử lý nước thải T07/2016</t>
  </si>
  <si>
    <t>0082737</t>
  </si>
  <si>
    <t>VAT Tiền xử lý nước thải T07/2017</t>
  </si>
  <si>
    <t>Chi lương T8</t>
  </si>
  <si>
    <t>PKT 8</t>
  </si>
  <si>
    <t>Phí làm bảng hiệu nhà xưởng</t>
  </si>
  <si>
    <t>0000003</t>
  </si>
  <si>
    <t>VAT Phí làm bảng hiệu nhà xưởng</t>
  </si>
  <si>
    <t>Vật tư xây dựng</t>
  </si>
  <si>
    <t>0002889</t>
  </si>
  <si>
    <t>VAT Vật tư xây dựng</t>
  </si>
  <si>
    <t>0002890</t>
  </si>
  <si>
    <t>0002886</t>
  </si>
  <si>
    <t>0002887</t>
  </si>
  <si>
    <t>0002891</t>
  </si>
  <si>
    <t>Phí xử lý rác thải</t>
  </si>
  <si>
    <t>0069651</t>
  </si>
  <si>
    <t>Tiền điện kỳ 1 T8/2016</t>
  </si>
  <si>
    <t>0219310</t>
  </si>
  <si>
    <t>VAT Tiền điện kỳ 1 T8/2016</t>
  </si>
  <si>
    <t>Phí xây dựng hàng rào</t>
  </si>
  <si>
    <t>0000077</t>
  </si>
  <si>
    <t>VAT Phí xây dựng hàng rào</t>
  </si>
  <si>
    <t>VAT Phí thanh nhôm</t>
  </si>
  <si>
    <t>Tiền điện kỳ 2 T8/2016</t>
  </si>
  <si>
    <t>0236885</t>
  </si>
  <si>
    <t>VAT Tiền điện kỳ 2 T8/2016</t>
  </si>
  <si>
    <t xml:space="preserve">Phí kiểm tra xác nhận kiến thức ATTP </t>
  </si>
  <si>
    <t>0097084</t>
  </si>
  <si>
    <t>Tiền ăn T8</t>
  </si>
  <si>
    <t>Lương SX T8</t>
  </si>
  <si>
    <t>Lương VP T8</t>
  </si>
  <si>
    <t>VL/N02</t>
  </si>
  <si>
    <t>0001000</t>
  </si>
  <si>
    <t>VL/N03</t>
  </si>
  <si>
    <t>Sorbitol</t>
  </si>
  <si>
    <t>0004256</t>
  </si>
  <si>
    <t>Cty TNHH Hóa chất Thành Phương</t>
  </si>
  <si>
    <t>VAT Sorbitol</t>
  </si>
  <si>
    <t>VL/N04</t>
  </si>
  <si>
    <t>Chlorin</t>
  </si>
  <si>
    <t>0000186</t>
  </si>
  <si>
    <t>VAT Chlorin</t>
  </si>
  <si>
    <t>Phí Bảo Vệ T08/2016</t>
  </si>
  <si>
    <t>0000440</t>
  </si>
  <si>
    <t>VAT Phí Bảo Vệ T08/2017</t>
  </si>
  <si>
    <t>Phí Điện Thoại - Internet T8/2016</t>
  </si>
  <si>
    <t>0344658,0341709,0346126,0341708</t>
  </si>
  <si>
    <t>VAT Phí Điện Thoại - Internet T8/2016</t>
  </si>
  <si>
    <t>VL/N05</t>
  </si>
  <si>
    <t>0001321</t>
  </si>
  <si>
    <t>0026349</t>
  </si>
  <si>
    <t>K/C giá vốn hàng gia công</t>
  </si>
  <si>
    <t>K/C giá vốn</t>
  </si>
  <si>
    <t>K/C doanh thu</t>
  </si>
  <si>
    <t>K/C Thuế GTGT HH, DV</t>
  </si>
  <si>
    <t>K/C Thuế GTGT ĐT</t>
  </si>
  <si>
    <t>3382</t>
  </si>
  <si>
    <t>Kinh phí công đoàn</t>
  </si>
  <si>
    <t>BHXH</t>
  </si>
  <si>
    <t>BHYT</t>
  </si>
  <si>
    <t>BHTN</t>
  </si>
  <si>
    <t>Trả gốc vay</t>
  </si>
  <si>
    <t>Đồng Ái Quốc</t>
  </si>
  <si>
    <t>Thanh toán tiền điện Kì 1+2 T9</t>
  </si>
  <si>
    <t>Quý III</t>
  </si>
  <si>
    <t>VL/N06</t>
  </si>
  <si>
    <t>0001336</t>
  </si>
  <si>
    <t>Đèn muỗi 10c</t>
  </si>
  <si>
    <t>VAT Đèn muỗi 10c</t>
  </si>
  <si>
    <t>0000080</t>
  </si>
  <si>
    <t>Cty TNHH TM TBĐ Kim Thuận Phát</t>
  </si>
  <si>
    <t/>
  </si>
  <si>
    <t>0095065</t>
  </si>
  <si>
    <t>Dịch vụ thông báo số dư 0982 911 262 VNĐ 26/9-26/12/16</t>
  </si>
  <si>
    <t>Dịch vụ thông báo số dư 0903921945 VNĐ</t>
  </si>
  <si>
    <t>PKT 9</t>
  </si>
  <si>
    <t>0249123</t>
  </si>
  <si>
    <t>Tiền điện kỳ 1 T9/2016</t>
  </si>
  <si>
    <t>VAT Tiền điện kỳ 1 T9/2016</t>
  </si>
  <si>
    <t>Tiền điện kỳ 2 T9/2016</t>
  </si>
  <si>
    <t>VAT Tiền điện kỳ 2 T9/2016</t>
  </si>
  <si>
    <t>0266962</t>
  </si>
  <si>
    <t>Tiền ăn T9</t>
  </si>
  <si>
    <t>Lương SX T9</t>
  </si>
  <si>
    <t>Lương VP T9</t>
  </si>
  <si>
    <t>13</t>
  </si>
  <si>
    <t>Lãi chậm nộp Bảo hiểm xã hội T6+T7</t>
  </si>
  <si>
    <t>Lãi chậm nộp Bảo hiểm y tế  T6+T7</t>
  </si>
  <si>
    <t>Lãi chậm nộp Bảo hiểm thất nghiệp  T6+T7</t>
  </si>
  <si>
    <t>Lãi chậm nộp Bảo hiểm xã hội T6</t>
  </si>
  <si>
    <t>Lãi chậm nộp Bảo hiểm y tế  T6</t>
  </si>
  <si>
    <t>Lãi chậm nộp Bảo hiểm thất nghiệp  T6</t>
  </si>
  <si>
    <t>Bảo hiểm y tế tăng</t>
  </si>
  <si>
    <t>Mượn vốn</t>
  </si>
  <si>
    <t>Phải trả người lao động</t>
  </si>
  <si>
    <t>Chi lương T9</t>
  </si>
</sst>
</file>

<file path=xl/styles.xml><?xml version="1.0" encoding="utf-8"?>
<styleSheet xmlns="http://schemas.openxmlformats.org/spreadsheetml/2006/main">
  <numFmts count="15">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
  </numFmts>
  <fonts count="106">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6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b/>
      <i/>
      <sz val="11"/>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0000CC"/>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b/>
      <sz val="12"/>
      <name val="VNI-Times"/>
    </font>
    <font>
      <sz val="9"/>
      <color theme="4" tint="-0.499984740745262"/>
      <name val="Times New Roman"/>
      <family val="1"/>
    </font>
    <font>
      <b/>
      <sz val="8.5"/>
      <color theme="0"/>
      <name val="Times New Roman"/>
      <family val="1"/>
    </font>
    <font>
      <sz val="10"/>
      <color rgb="FF7030A0"/>
      <name val="Times New Roman"/>
      <family val="1"/>
    </font>
    <font>
      <sz val="10"/>
      <color theme="1"/>
      <name val="Times New Roman"/>
      <family val="1"/>
    </font>
    <font>
      <sz val="10"/>
      <color theme="7"/>
      <name val="Times New Roman"/>
      <family val="1"/>
    </font>
    <font>
      <sz val="10"/>
      <color rgb="FF7030A0"/>
      <name val="Arial"/>
      <family val="2"/>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theme="0" tint="-4.9989318521683403E-2"/>
        <bgColor indexed="64"/>
      </patternFill>
    </fill>
    <fill>
      <patternFill patternType="solid">
        <fgColor theme="7" tint="0.79998168889431442"/>
        <bgColor indexed="64"/>
      </patternFill>
    </fill>
  </fills>
  <borders count="57">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bottom style="hair">
        <color indexed="64"/>
      </bottom>
      <diagonal/>
    </border>
    <border>
      <left/>
      <right/>
      <top style="hair">
        <color indexed="64"/>
      </top>
      <bottom style="hair">
        <color indexed="64"/>
      </bottom>
      <diagonal/>
    </border>
    <border>
      <left/>
      <right/>
      <top style="hair">
        <color indexed="64"/>
      </top>
      <bottom/>
      <diagonal/>
    </border>
    <border>
      <left/>
      <right style="thin">
        <color indexed="64"/>
      </right>
      <top style="hair">
        <color indexed="64"/>
      </top>
      <bottom/>
      <diagonal/>
    </border>
  </borders>
  <cellStyleXfs count="102">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7" fillId="0" borderId="0">
      <alignment horizontal="center"/>
    </xf>
    <xf numFmtId="0" fontId="55" fillId="0" borderId="0"/>
    <xf numFmtId="0" fontId="3" fillId="0" borderId="0"/>
    <xf numFmtId="0" fontId="61" fillId="0" borderId="0" applyNumberFormat="0" applyFill="0" applyBorder="0" applyAlignment="0" applyProtection="0">
      <alignment vertical="top"/>
      <protection locked="0"/>
    </xf>
    <xf numFmtId="43" fontId="66" fillId="0" borderId="0" applyFont="0" applyFill="0" applyBorder="0" applyAlignment="0" applyProtection="0"/>
    <xf numFmtId="43" fontId="4" fillId="0" borderId="0" applyFont="0" applyFill="0" applyBorder="0" applyAlignment="0" applyProtection="0"/>
    <xf numFmtId="170" fontId="66" fillId="0" borderId="0" applyFont="0" applyFill="0" applyBorder="0" applyAlignment="0" applyProtection="0"/>
    <xf numFmtId="0" fontId="66"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6" fillId="0" borderId="0"/>
    <xf numFmtId="0" fontId="96" fillId="0" borderId="0"/>
  </cellStyleXfs>
  <cellXfs count="1387">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3" fillId="0" borderId="23" xfId="74" quotePrefix="1" applyNumberFormat="1" applyFont="1" applyBorder="1" applyAlignment="1">
      <alignment horizontal="center"/>
    </xf>
    <xf numFmtId="164" fontId="44" fillId="0" borderId="23" xfId="74" applyNumberFormat="1" applyFont="1" applyBorder="1" applyAlignment="1">
      <alignment horizontal="center"/>
    </xf>
    <xf numFmtId="164" fontId="43" fillId="0" borderId="23" xfId="74" applyNumberFormat="1" applyFont="1" applyBorder="1"/>
    <xf numFmtId="164" fontId="43"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2" fillId="0" borderId="10" xfId="74" applyNumberFormat="1" applyFont="1" applyBorder="1" applyAlignment="1">
      <alignment horizontal="left"/>
    </xf>
    <xf numFmtId="164" fontId="23" fillId="0" borderId="10" xfId="74" applyNumberFormat="1" applyFont="1" applyBorder="1"/>
    <xf numFmtId="164" fontId="43"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0" fontId="49" fillId="0" borderId="16" xfId="77" applyNumberFormat="1" applyFont="1" applyFill="1" applyBorder="1" applyAlignment="1">
      <alignment horizontal="center" vertical="center"/>
    </xf>
    <xf numFmtId="49" fontId="49" fillId="0" borderId="16" xfId="76" applyNumberFormat="1" applyFont="1" applyFill="1" applyBorder="1" applyAlignment="1">
      <alignment horizontal="left" vertical="center"/>
    </xf>
    <xf numFmtId="164" fontId="49" fillId="0" borderId="16" xfId="77" applyNumberFormat="1" applyFont="1" applyFill="1" applyBorder="1" applyAlignment="1">
      <alignment vertical="center"/>
    </xf>
    <xf numFmtId="0" fontId="49" fillId="0" borderId="16" xfId="76" quotePrefix="1" applyNumberFormat="1" applyFont="1" applyFill="1" applyBorder="1" applyAlignment="1">
      <alignment horizontal="center" vertical="center"/>
    </xf>
    <xf numFmtId="164" fontId="23" fillId="0" borderId="26" xfId="74" applyNumberFormat="1" applyFont="1" applyBorder="1"/>
    <xf numFmtId="164" fontId="23" fillId="0" borderId="27" xfId="74" applyNumberFormat="1" applyFont="1" applyBorder="1"/>
    <xf numFmtId="49" fontId="49"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0" fontId="51" fillId="0" borderId="16" xfId="77" applyNumberFormat="1" applyFont="1" applyFill="1" applyBorder="1" applyAlignment="1">
      <alignment horizontal="center" vertical="center"/>
    </xf>
    <xf numFmtId="164" fontId="51" fillId="0" borderId="16" xfId="77" applyNumberFormat="1" applyFont="1" applyFill="1" applyBorder="1" applyAlignment="1">
      <alignment vertical="center"/>
    </xf>
    <xf numFmtId="164" fontId="34" fillId="0" borderId="21" xfId="29" applyNumberFormat="1" applyFont="1" applyBorder="1" applyAlignment="1">
      <alignment horizontal="center" vertical="center" wrapText="1"/>
    </xf>
    <xf numFmtId="0" fontId="42"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3" fillId="0" borderId="0" xfId="77" applyFont="1" applyFill="1" applyBorder="1" applyAlignment="1" applyProtection="1">
      <alignment vertical="center"/>
      <protection hidden="1"/>
    </xf>
    <xf numFmtId="0" fontId="54" fillId="0" borderId="0" xfId="77"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8" fillId="0" borderId="0" xfId="77" applyFont="1" applyFill="1" applyBorder="1" applyAlignment="1" applyProtection="1">
      <alignment vertical="center"/>
      <protection hidden="1"/>
    </xf>
    <xf numFmtId="0" fontId="59" fillId="0" borderId="0" xfId="77" applyFont="1" applyFill="1" applyBorder="1" applyAlignment="1" applyProtection="1">
      <alignment vertical="center"/>
      <protection hidden="1"/>
    </xf>
    <xf numFmtId="0" fontId="42"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60" fillId="0" borderId="0" xfId="77" applyNumberFormat="1"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8" fillId="0" borderId="0" xfId="77" applyFont="1" applyFill="1" applyBorder="1" applyAlignment="1" applyProtection="1">
      <alignment horizontal="center" vertical="center"/>
      <protection hidden="1"/>
    </xf>
    <xf numFmtId="10" fontId="62"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3" fillId="0" borderId="0" xfId="77" applyFont="1" applyFill="1" applyBorder="1" applyAlignment="1" applyProtection="1">
      <alignment horizontal="left" vertical="center"/>
      <protection hidden="1"/>
    </xf>
    <xf numFmtId="0" fontId="63" fillId="0" borderId="0" xfId="77" applyFont="1" applyFill="1" applyBorder="1" applyAlignment="1" applyProtection="1">
      <alignment horizontal="justify" vertical="center"/>
      <protection hidden="1"/>
    </xf>
    <xf numFmtId="0" fontId="63" fillId="0" borderId="0" xfId="77" applyFont="1" applyFill="1" applyBorder="1" applyAlignment="1" applyProtection="1">
      <alignment vertical="center"/>
      <protection hidden="1"/>
    </xf>
    <xf numFmtId="171"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3" fillId="0" borderId="0" xfId="74" applyNumberFormat="1" applyFont="1" applyFill="1" applyBorder="1" applyAlignment="1" applyProtection="1">
      <alignment vertical="center"/>
      <protection hidden="1"/>
    </xf>
    <xf numFmtId="10" fontId="63" fillId="0" borderId="0" xfId="79" applyNumberFormat="1" applyFont="1" applyFill="1" applyBorder="1" applyAlignment="1" applyProtection="1">
      <alignment vertical="center"/>
      <protection hidden="1"/>
    </xf>
    <xf numFmtId="49" fontId="6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vertical="center"/>
      <protection hidden="1"/>
    </xf>
    <xf numFmtId="0" fontId="65" fillId="0" borderId="0" xfId="77" applyFont="1" applyFill="1" applyBorder="1" applyAlignment="1" applyProtection="1">
      <alignment horizontal="left" vertical="center"/>
      <protection hidden="1"/>
    </xf>
    <xf numFmtId="0" fontId="65" fillId="0" borderId="0" xfId="77" applyNumberFormat="1" applyFont="1" applyFill="1" applyBorder="1" applyAlignment="1" applyProtection="1">
      <alignment horizontal="left" vertical="center"/>
      <protection hidden="1"/>
    </xf>
    <xf numFmtId="10" fontId="63"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60"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36" fillId="26" borderId="2" xfId="77" applyFont="1" applyFill="1" applyBorder="1" applyAlignment="1" applyProtection="1">
      <alignment vertical="center"/>
      <protection locked="0" hidden="1"/>
    </xf>
    <xf numFmtId="0" fontId="36" fillId="27" borderId="2" xfId="77" applyFont="1" applyFill="1" applyBorder="1" applyAlignment="1" applyProtection="1">
      <alignment vertical="center"/>
      <protection locked="0" hidden="1"/>
    </xf>
    <xf numFmtId="0" fontId="42" fillId="0" borderId="0" xfId="77" applyFont="1" applyFill="1" applyBorder="1" applyAlignment="1" applyProtection="1">
      <alignment vertical="center"/>
      <protection locked="0" hidden="1"/>
    </xf>
    <xf numFmtId="0" fontId="36" fillId="28" borderId="2" xfId="77" applyNumberFormat="1" applyFont="1" applyFill="1" applyBorder="1" applyAlignment="1" applyProtection="1">
      <alignment vertical="center"/>
      <protection locked="0" hidden="1"/>
    </xf>
    <xf numFmtId="0" fontId="34" fillId="0" borderId="16" xfId="77"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172" fontId="64" fillId="0" borderId="0" xfId="77" applyNumberFormat="1" applyFont="1" applyFill="1" applyBorder="1" applyAlignment="1" applyProtection="1">
      <alignment horizontal="center" vertical="center"/>
      <protection hidden="1"/>
    </xf>
    <xf numFmtId="0" fontId="49" fillId="0" borderId="16" xfId="77" applyNumberFormat="1" applyFont="1" applyFill="1" applyBorder="1" applyAlignment="1">
      <alignment horizontal="center" vertical="center" wrapText="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49" fontId="67"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0" fontId="60" fillId="0" borderId="0" xfId="54" applyFont="1" applyAlignment="1">
      <alignment horizontal="center"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8" fillId="29" borderId="0" xfId="87" applyFont="1" applyFill="1" applyAlignment="1">
      <alignment horizontal="center" vertical="center" wrapText="1"/>
    </xf>
    <xf numFmtId="0" fontId="68" fillId="29" borderId="0" xfId="87" applyFont="1" applyFill="1" applyAlignment="1">
      <alignment horizontal="center" vertical="center"/>
    </xf>
    <xf numFmtId="0" fontId="69" fillId="29" borderId="0" xfId="87" applyFont="1" applyFill="1" applyAlignment="1">
      <alignment horizontal="center" vertical="center"/>
    </xf>
    <xf numFmtId="0" fontId="33" fillId="0" borderId="0" xfId="87" applyFont="1" applyAlignment="1">
      <alignment horizontal="center" vertical="center"/>
    </xf>
    <xf numFmtId="0" fontId="71" fillId="29" borderId="36" xfId="87" applyFont="1" applyFill="1" applyBorder="1" applyAlignment="1">
      <alignment horizontal="center" vertical="center" wrapText="1"/>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0" fontId="34" fillId="0" borderId="36" xfId="87" applyFont="1" applyFill="1" applyBorder="1" applyAlignment="1">
      <alignment horizontal="center" vertical="center" wrapText="1"/>
    </xf>
    <xf numFmtId="0" fontId="72" fillId="29" borderId="2" xfId="87" applyFont="1" applyFill="1" applyBorder="1" applyAlignment="1">
      <alignment horizontal="center" vertical="center" wrapText="1"/>
    </xf>
    <xf numFmtId="0" fontId="35" fillId="0" borderId="0" xfId="87" applyFont="1" applyAlignment="1">
      <alignment vertical="center"/>
    </xf>
    <xf numFmtId="0" fontId="73" fillId="29" borderId="2" xfId="87" applyFont="1" applyFill="1" applyBorder="1" applyAlignment="1">
      <alignment horizontal="center" vertical="center" wrapText="1"/>
    </xf>
    <xf numFmtId="0" fontId="73" fillId="29" borderId="2" xfId="87" applyFont="1" applyFill="1" applyBorder="1" applyAlignment="1">
      <alignment vertical="center" wrapText="1"/>
    </xf>
    <xf numFmtId="164" fontId="73" fillId="29" borderId="2" xfId="74" applyNumberFormat="1"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64" fontId="34" fillId="0" borderId="16" xfId="74" applyNumberFormat="1" applyFont="1" applyFill="1" applyBorder="1" applyAlignment="1">
      <alignment horizontal="right" vertical="center" wrapText="1"/>
    </xf>
    <xf numFmtId="164" fontId="34" fillId="0" borderId="16"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164" fontId="73" fillId="29" borderId="2" xfId="87" applyNumberFormat="1" applyFont="1" applyFill="1" applyBorder="1" applyAlignment="1">
      <alignment vertical="center" wrapText="1"/>
    </xf>
    <xf numFmtId="0" fontId="71"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3" fillId="29" borderId="0" xfId="87" applyFont="1" applyFill="1" applyAlignment="1">
      <alignment vertical="center" wrapText="1"/>
    </xf>
    <xf numFmtId="0" fontId="73" fillId="29" borderId="0" xfId="87" applyFont="1" applyFill="1" applyAlignment="1">
      <alignment horizontal="center" vertical="center" wrapText="1"/>
    </xf>
    <xf numFmtId="0" fontId="73" fillId="29" borderId="0" xfId="87" applyFont="1" applyFill="1" applyAlignment="1">
      <alignment horizontal="center" vertical="center"/>
    </xf>
    <xf numFmtId="164" fontId="73" fillId="29" borderId="0" xfId="74" applyNumberFormat="1" applyFont="1" applyFill="1" applyAlignment="1">
      <alignment horizontal="center" vertical="center"/>
    </xf>
    <xf numFmtId="0" fontId="39" fillId="0" borderId="0" xfId="87" applyFont="1" applyAlignment="1">
      <alignment vertical="center"/>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71" fillId="29" borderId="0" xfId="87" applyFont="1" applyFill="1" applyAlignment="1">
      <alignment vertical="center" wrapText="1"/>
    </xf>
    <xf numFmtId="0" fontId="75" fillId="0" borderId="0" xfId="87" applyFont="1" applyAlignment="1">
      <alignment vertical="center"/>
    </xf>
    <xf numFmtId="0" fontId="75" fillId="0" borderId="0" xfId="87" applyFont="1" applyAlignment="1">
      <alignment horizontal="center" vertical="center"/>
    </xf>
    <xf numFmtId="0" fontId="68" fillId="29" borderId="0" xfId="87" applyFont="1" applyFill="1" applyAlignment="1">
      <alignment vertical="center" wrapText="1"/>
    </xf>
    <xf numFmtId="164" fontId="76" fillId="25" borderId="31" xfId="77" applyNumberFormat="1" applyFont="1" applyFill="1" applyBorder="1" applyAlignment="1">
      <alignment vertical="center"/>
    </xf>
    <xf numFmtId="164" fontId="76" fillId="0" borderId="39" xfId="77" applyNumberFormat="1" applyFont="1" applyBorder="1" applyAlignment="1" applyProtection="1">
      <alignment vertical="center"/>
      <protection hidden="1"/>
    </xf>
    <xf numFmtId="164" fontId="76" fillId="0" borderId="40" xfId="77" applyNumberFormat="1" applyFont="1" applyBorder="1" applyAlignment="1" applyProtection="1">
      <alignment vertical="center"/>
      <protection hidden="1"/>
    </xf>
    <xf numFmtId="0" fontId="33" fillId="0" borderId="0" xfId="52" applyFont="1"/>
    <xf numFmtId="0" fontId="33" fillId="0" borderId="0" xfId="52" applyFont="1" applyAlignment="1">
      <alignment horizontal="center" vertical="center"/>
    </xf>
    <xf numFmtId="0" fontId="36" fillId="0" borderId="0" xfId="52" applyFont="1" applyAlignment="1">
      <alignment vertical="center"/>
    </xf>
    <xf numFmtId="0" fontId="77" fillId="0" borderId="2" xfId="52" applyFont="1" applyBorder="1" applyAlignment="1">
      <alignment horizontal="left" vertical="center"/>
    </xf>
    <xf numFmtId="0" fontId="77" fillId="0" borderId="2" xfId="52" applyFont="1" applyBorder="1" applyAlignment="1">
      <alignment horizontal="center" vertical="center"/>
    </xf>
    <xf numFmtId="0" fontId="77" fillId="0" borderId="2" xfId="52" quotePrefix="1" applyFont="1" applyBorder="1" applyAlignment="1">
      <alignment horizontal="center" vertical="center"/>
    </xf>
    <xf numFmtId="0" fontId="77" fillId="0" borderId="0" xfId="52" applyFont="1" applyAlignment="1">
      <alignment vertical="center"/>
    </xf>
    <xf numFmtId="0" fontId="77" fillId="0" borderId="12" xfId="52" applyFont="1" applyBorder="1" applyAlignment="1">
      <alignment horizontal="left" vertical="center"/>
    </xf>
    <xf numFmtId="14" fontId="77" fillId="0" borderId="12" xfId="52" applyNumberFormat="1" applyFont="1" applyBorder="1" applyAlignment="1">
      <alignment horizontal="center" vertical="center"/>
    </xf>
    <xf numFmtId="0" fontId="77" fillId="0" borderId="12" xfId="52" applyFont="1" applyBorder="1" applyAlignment="1">
      <alignment vertical="center"/>
    </xf>
    <xf numFmtId="164" fontId="77" fillId="0" borderId="12" xfId="88" applyNumberFormat="1" applyFont="1" applyBorder="1" applyAlignment="1">
      <alignment vertical="center"/>
    </xf>
    <xf numFmtId="0" fontId="77" fillId="0" borderId="21" xfId="52" applyFont="1" applyBorder="1" applyAlignment="1">
      <alignment horizontal="left" vertical="center"/>
    </xf>
    <xf numFmtId="14" fontId="77" fillId="0" borderId="21" xfId="52" applyNumberFormat="1" applyFont="1" applyBorder="1" applyAlignment="1">
      <alignment horizontal="center" vertical="center"/>
    </xf>
    <xf numFmtId="0" fontId="77" fillId="0" borderId="21" xfId="52" applyFont="1" applyBorder="1" applyAlignment="1">
      <alignment vertical="center"/>
    </xf>
    <xf numFmtId="164" fontId="77" fillId="0" borderId="21" xfId="88" applyNumberFormat="1" applyFont="1" applyBorder="1" applyAlignment="1">
      <alignment vertical="center"/>
    </xf>
    <xf numFmtId="14" fontId="33" fillId="0" borderId="16" xfId="52" applyNumberFormat="1" applyFont="1" applyBorder="1" applyAlignment="1">
      <alignment horizontal="center" vertical="center"/>
    </xf>
    <xf numFmtId="164" fontId="33" fillId="0" borderId="16" xfId="88" applyNumberFormat="1" applyFont="1" applyBorder="1" applyAlignment="1">
      <alignment vertical="center"/>
    </xf>
    <xf numFmtId="0" fontId="77" fillId="0" borderId="16" xfId="52" applyFont="1" applyBorder="1" applyAlignment="1">
      <alignment horizontal="left" vertical="center"/>
    </xf>
    <xf numFmtId="0" fontId="77" fillId="0" borderId="16" xfId="52" applyFont="1" applyBorder="1" applyAlignment="1">
      <alignment horizontal="center" vertical="center"/>
    </xf>
    <xf numFmtId="0" fontId="77" fillId="0" borderId="2" xfId="52" applyFont="1" applyBorder="1" applyAlignment="1">
      <alignment vertical="center"/>
    </xf>
    <xf numFmtId="164" fontId="77" fillId="0" borderId="2" xfId="88" applyNumberFormat="1" applyFont="1" applyBorder="1" applyAlignment="1">
      <alignment vertical="center"/>
    </xf>
    <xf numFmtId="0" fontId="77" fillId="0" borderId="19" xfId="52" applyFont="1" applyBorder="1" applyAlignment="1">
      <alignment horizontal="left" vertical="center"/>
    </xf>
    <xf numFmtId="0" fontId="77" fillId="0" borderId="19" xfId="52"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164" fontId="33" fillId="0" borderId="16" xfId="29" applyNumberFormat="1" applyFont="1" applyBorder="1" applyAlignment="1">
      <alignment horizontal="left"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1" fillId="29" borderId="0" xfId="0" applyNumberFormat="1" applyFont="1" applyFill="1" applyAlignment="1">
      <alignment vertical="center"/>
    </xf>
    <xf numFmtId="0" fontId="71"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5" fillId="0" borderId="0" xfId="54" applyFont="1" applyFill="1" applyAlignment="1">
      <alignment vertical="center"/>
    </xf>
    <xf numFmtId="0" fontId="45"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46" fillId="0" borderId="2" xfId="54" applyFont="1" applyFill="1" applyBorder="1" applyAlignment="1">
      <alignment horizontal="center" vertical="center"/>
    </xf>
    <xf numFmtId="0" fontId="46"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41"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164" fontId="49" fillId="0" borderId="16" xfId="54" applyNumberFormat="1" applyFont="1" applyFill="1" applyBorder="1" applyAlignment="1">
      <alignment horizontal="left" vertical="center"/>
    </xf>
    <xf numFmtId="0" fontId="49" fillId="0" borderId="16" xfId="54" quotePrefix="1" applyNumberFormat="1" applyFont="1" applyFill="1" applyBorder="1" applyAlignment="1">
      <alignment horizontal="center" vertical="center"/>
    </xf>
    <xf numFmtId="14" fontId="35" fillId="0" borderId="42"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1" fillId="0" borderId="0" xfId="55" applyNumberFormat="1" applyFont="1" applyAlignment="1">
      <alignment vertical="center"/>
    </xf>
    <xf numFmtId="0" fontId="78"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2"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64" fontId="41" fillId="0" borderId="0" xfId="54" applyNumberFormat="1" applyFont="1" applyFill="1" applyAlignment="1">
      <alignment horizontal="center" vertical="center"/>
    </xf>
    <xf numFmtId="14" fontId="34" fillId="0" borderId="42" xfId="54" applyNumberFormat="1" applyFont="1" applyFill="1" applyBorder="1" applyAlignment="1">
      <alignment horizontal="center" vertical="center"/>
    </xf>
    <xf numFmtId="0" fontId="78"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64" fontId="34" fillId="0" borderId="16" xfId="76" applyNumberFormat="1" applyFont="1" applyFill="1" applyBorder="1" applyAlignment="1">
      <alignment horizontal="center" vertical="center" wrapText="1"/>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0" fontId="36" fillId="25" borderId="2" xfId="77" applyFont="1" applyFill="1" applyBorder="1" applyAlignment="1" applyProtection="1">
      <alignment vertical="center"/>
      <protection locked="0" hidden="1"/>
    </xf>
    <xf numFmtId="0" fontId="56" fillId="0" borderId="0" xfId="77" applyFont="1" applyFill="1" applyBorder="1" applyAlignment="1" applyProtection="1">
      <alignment horizontal="center" vertical="center"/>
      <protection hidden="1"/>
    </xf>
    <xf numFmtId="0" fontId="42"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164" fontId="34" fillId="0" borderId="16" xfId="76" quotePrefix="1" applyNumberFormat="1" applyFont="1" applyFill="1" applyBorder="1" applyAlignment="1">
      <alignment horizontal="center" vertical="center" wrapText="1"/>
    </xf>
    <xf numFmtId="164" fontId="49" fillId="0" borderId="16" xfId="76" applyNumberFormat="1" applyFont="1" applyFill="1" applyBorder="1" applyAlignment="1">
      <alignment horizontal="center" vertical="center" wrapText="1"/>
    </xf>
    <xf numFmtId="164" fontId="34" fillId="0" borderId="16" xfId="90" quotePrefix="1" applyNumberFormat="1" applyFont="1" applyFill="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164" fontId="34" fillId="0" borderId="16" xfId="90" applyNumberFormat="1" applyFont="1" applyFill="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6" xfId="0" applyFont="1" applyFill="1" applyBorder="1" applyAlignment="1">
      <alignment horizontal="center"/>
    </xf>
    <xf numFmtId="0" fontId="34" fillId="0" borderId="0" xfId="0" applyFont="1" applyFill="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0" fontId="0" fillId="0" borderId="0" xfId="0" applyFill="1" applyAlignment="1"/>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3" fontId="40" fillId="0" borderId="16" xfId="46" applyFont="1" applyFill="1" applyBorder="1" applyAlignment="1">
      <alignment vertical="center"/>
    </xf>
    <xf numFmtId="0" fontId="50" fillId="0" borderId="0" xfId="0" applyFont="1" applyFill="1"/>
    <xf numFmtId="0" fontId="0" fillId="0" borderId="0" xfId="0" applyFill="1" applyAlignment="1">
      <alignment wrapText="1"/>
    </xf>
    <xf numFmtId="0" fontId="50" fillId="0" borderId="0" xfId="0" applyFont="1" applyFill="1" applyAlignment="1">
      <alignment wrapText="1"/>
    </xf>
    <xf numFmtId="0" fontId="52" fillId="0" borderId="0" xfId="0" applyFont="1" applyFill="1"/>
    <xf numFmtId="0" fontId="3" fillId="0" borderId="0" xfId="0" applyFont="1" applyFill="1"/>
    <xf numFmtId="0" fontId="0" fillId="0" borderId="0" xfId="0" applyFill="1" applyAlignment="1">
      <alignment horizontal="center" wrapText="1"/>
    </xf>
    <xf numFmtId="49" fontId="0" fillId="0" borderId="0" xfId="0" applyNumberFormat="1" applyFill="1" applyAlignment="1"/>
    <xf numFmtId="0" fontId="60" fillId="0" borderId="0" xfId="77" applyFont="1" applyFill="1" applyBorder="1" applyAlignment="1" applyProtection="1">
      <alignment horizontal="center" vertical="center"/>
      <protection hidden="1"/>
    </xf>
    <xf numFmtId="14" fontId="33" fillId="0" borderId="23" xfId="52" applyNumberFormat="1" applyFont="1" applyBorder="1" applyAlignment="1">
      <alignment horizontal="left" vertical="center"/>
    </xf>
    <xf numFmtId="164" fontId="33" fillId="0" borderId="23" xfId="29" applyNumberFormat="1" applyFont="1" applyBorder="1" applyAlignment="1">
      <alignment horizontal="left" vertical="center"/>
    </xf>
    <xf numFmtId="164" fontId="33" fillId="0" borderId="23" xfId="88" applyNumberFormat="1" applyFont="1" applyBorder="1" applyAlignment="1">
      <alignmen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1" fillId="29" borderId="0" xfId="87" applyFont="1" applyFill="1" applyAlignment="1">
      <alignment horizontal="center" vertical="center"/>
    </xf>
    <xf numFmtId="0" fontId="34" fillId="0" borderId="0" xfId="87" applyFont="1" applyAlignment="1">
      <alignment horizontal="center" vertical="center"/>
    </xf>
    <xf numFmtId="0" fontId="36" fillId="0" borderId="2" xfId="52" applyFont="1" applyBorder="1" applyAlignment="1">
      <alignment horizontal="center" vertical="center" wrapText="1"/>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60" fillId="0" borderId="0" xfId="0" applyFont="1" applyAlignment="1">
      <alignment horizontal="center"/>
    </xf>
    <xf numFmtId="0" fontId="34" fillId="0" borderId="21" xfId="55" applyNumberFormat="1" applyFont="1" applyBorder="1" applyAlignment="1">
      <alignment horizontal="left" vertical="center"/>
    </xf>
    <xf numFmtId="0" fontId="80" fillId="0" borderId="0" xfId="0" applyFont="1" applyAlignment="1">
      <alignment horizontal="center"/>
    </xf>
    <xf numFmtId="164" fontId="80"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60"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1" fillId="0" borderId="0" xfId="52" applyFont="1" applyAlignment="1">
      <alignment vertical="center"/>
    </xf>
    <xf numFmtId="14" fontId="41" fillId="0" borderId="16" xfId="54" applyNumberFormat="1" applyFont="1" applyFill="1" applyBorder="1" applyAlignment="1">
      <alignment horizontal="center" vertical="center"/>
    </xf>
    <xf numFmtId="0" fontId="41" fillId="0" borderId="16" xfId="52" applyFont="1" applyBorder="1" applyAlignment="1">
      <alignment horizontal="left" vertical="center"/>
    </xf>
    <xf numFmtId="0" fontId="41" fillId="0" borderId="16" xfId="52" quotePrefix="1" applyFont="1" applyBorder="1" applyAlignment="1">
      <alignment horizontal="center" vertical="center"/>
    </xf>
    <xf numFmtId="0" fontId="41" fillId="0" borderId="16" xfId="52" applyFont="1" applyBorder="1" applyAlignment="1">
      <alignment horizontal="center" vertical="center"/>
    </xf>
    <xf numFmtId="0" fontId="41" fillId="0" borderId="16" xfId="52" applyFont="1" applyBorder="1" applyAlignment="1">
      <alignment vertical="center"/>
    </xf>
    <xf numFmtId="164" fontId="41"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60" fillId="0" borderId="0" xfId="52" applyFont="1" applyAlignment="1">
      <alignment vertical="center"/>
    </xf>
    <xf numFmtId="0" fontId="60"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6" fillId="0" borderId="0" xfId="52" applyFont="1" applyAlignment="1">
      <alignment horizontal="center" vertical="center" wrapText="1"/>
    </xf>
    <xf numFmtId="164" fontId="76" fillId="25" borderId="31" xfId="77" applyNumberFormat="1" applyFont="1" applyFill="1" applyBorder="1" applyAlignment="1">
      <alignment horizontal="center" vertical="center" wrapText="1"/>
    </xf>
    <xf numFmtId="164" fontId="33" fillId="0" borderId="0" xfId="77" applyNumberFormat="1" applyFont="1" applyAlignment="1">
      <alignment horizontal="center" vertical="center" wrapText="1"/>
    </xf>
    <xf numFmtId="164" fontId="76" fillId="0" borderId="39" xfId="77" applyNumberFormat="1" applyFont="1" applyBorder="1" applyAlignment="1" applyProtection="1">
      <alignment horizontal="center" vertical="center" wrapText="1"/>
      <protection hidden="1"/>
    </xf>
    <xf numFmtId="164" fontId="76" fillId="0" borderId="40" xfId="77" applyNumberFormat="1" applyFont="1" applyBorder="1" applyAlignment="1" applyProtection="1">
      <alignment horizontal="center" vertical="center" wrapText="1"/>
      <protection hidden="1"/>
    </xf>
    <xf numFmtId="0" fontId="34" fillId="0" borderId="0" xfId="77" applyFont="1"/>
    <xf numFmtId="0" fontId="81" fillId="0" borderId="0" xfId="77" applyFont="1" applyAlignment="1">
      <alignment horizontal="center" vertical="center"/>
    </xf>
    <xf numFmtId="0" fontId="83" fillId="0" borderId="0" xfId="77" applyFont="1" applyAlignment="1">
      <alignment horizontal="center" vertical="center"/>
    </xf>
    <xf numFmtId="0" fontId="38" fillId="0" borderId="0" xfId="77" applyFont="1"/>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2" xfId="76" applyFont="1" applyFill="1" applyBorder="1" applyAlignment="1">
      <alignment horizontal="center" vertical="center" wrapText="1"/>
    </xf>
    <xf numFmtId="0" fontId="34" fillId="0" borderId="2" xfId="54" applyFont="1" applyFill="1" applyBorder="1" applyAlignment="1">
      <alignment horizontal="center" vertical="center" wrapText="1"/>
    </xf>
    <xf numFmtId="0" fontId="34" fillId="0" borderId="35" xfId="87" applyFont="1" applyFill="1" applyBorder="1" applyAlignment="1">
      <alignment horizontal="center" vertical="center" wrapText="1"/>
    </xf>
    <xf numFmtId="43" fontId="49" fillId="0" borderId="16" xfId="29" applyFont="1" applyFill="1" applyBorder="1" applyAlignment="1">
      <alignment horizontal="left" vertical="center"/>
    </xf>
    <xf numFmtId="43" fontId="49"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40" fillId="0" borderId="16" xfId="29" applyFont="1" applyFill="1" applyBorder="1" applyAlignment="1">
      <alignment vertical="center"/>
    </xf>
    <xf numFmtId="43" fontId="34" fillId="0" borderId="16" xfId="29" applyFont="1" applyFill="1" applyBorder="1" applyAlignment="1">
      <alignment horizontal="left" vertical="center" wrapText="1"/>
    </xf>
    <xf numFmtId="164" fontId="49" fillId="0" borderId="16" xfId="29" applyNumberFormat="1" applyFont="1" applyFill="1" applyBorder="1" applyAlignment="1">
      <alignment horizontal="left" vertical="center"/>
    </xf>
    <xf numFmtId="164" fontId="49"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40" fillId="0" borderId="16" xfId="29" applyNumberFormat="1" applyFont="1" applyFill="1" applyBorder="1" applyAlignment="1">
      <alignmen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4" fillId="0" borderId="0" xfId="87" applyFont="1" applyAlignment="1">
      <alignment vertical="center"/>
    </xf>
    <xf numFmtId="49" fontId="34" fillId="0" borderId="2" xfId="76" applyNumberFormat="1" applyFont="1" applyFill="1" applyBorder="1" applyAlignment="1">
      <alignment horizontal="center"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164" fontId="43" fillId="0" borderId="26"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5"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4"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3" fillId="29" borderId="0" xfId="97" applyFont="1" applyFill="1" applyAlignment="1">
      <alignment vertical="center"/>
    </xf>
    <xf numFmtId="0" fontId="68" fillId="29" borderId="0" xfId="97" applyFont="1" applyFill="1" applyAlignment="1">
      <alignment horizontal="center" vertical="center" wrapText="1"/>
    </xf>
    <xf numFmtId="0" fontId="33" fillId="0" borderId="0" xfId="97" applyFont="1" applyAlignment="1">
      <alignment vertical="center"/>
    </xf>
    <xf numFmtId="164" fontId="86" fillId="0" borderId="0" xfId="54" applyNumberFormat="1" applyFont="1" applyAlignment="1">
      <alignment horizontal="center" vertical="center" wrapText="1"/>
    </xf>
    <xf numFmtId="0" fontId="73" fillId="29" borderId="0" xfId="97" applyFont="1" applyFill="1" applyAlignment="1">
      <alignment horizontal="left" vertical="center"/>
    </xf>
    <xf numFmtId="0" fontId="68" fillId="29" borderId="0" xfId="97" applyFont="1" applyFill="1" applyAlignment="1">
      <alignment horizontal="left" vertical="center" wrapText="1"/>
    </xf>
    <xf numFmtId="164" fontId="87" fillId="0" borderId="0" xfId="54" applyNumberFormat="1" applyFont="1" applyAlignment="1">
      <alignment vertical="center" wrapText="1"/>
    </xf>
    <xf numFmtId="164" fontId="87"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4" fillId="0" borderId="0" xfId="98" applyFont="1" applyAlignment="1">
      <alignment vertical="center"/>
    </xf>
    <xf numFmtId="0" fontId="83" fillId="0" borderId="0" xfId="0" applyFont="1" applyAlignment="1">
      <alignment vertical="center"/>
    </xf>
    <xf numFmtId="0" fontId="88" fillId="0" borderId="0" xfId="0" applyFont="1" applyAlignment="1">
      <alignment vertical="center"/>
    </xf>
    <xf numFmtId="0" fontId="34" fillId="0" borderId="0" xfId="0" applyFont="1" applyAlignment="1">
      <alignment vertical="center"/>
    </xf>
    <xf numFmtId="0" fontId="87"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7"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7" fillId="0" borderId="0" xfId="29" applyNumberFormat="1" applyFont="1" applyAlignment="1">
      <alignment vertical="center"/>
    </xf>
    <xf numFmtId="0" fontId="34" fillId="0" borderId="12" xfId="0" applyFont="1" applyBorder="1" applyAlignment="1">
      <alignment vertical="center"/>
    </xf>
    <xf numFmtId="0" fontId="34" fillId="0" borderId="45"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2"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89" fillId="0" borderId="16" xfId="0" applyFont="1" applyBorder="1" applyAlignment="1">
      <alignment vertical="center"/>
    </xf>
    <xf numFmtId="0" fontId="89" fillId="0" borderId="16" xfId="0" applyFont="1" applyBorder="1" applyAlignment="1">
      <alignment horizontal="center" vertical="center"/>
    </xf>
    <xf numFmtId="164" fontId="89" fillId="0" borderId="16" xfId="29" applyNumberFormat="1" applyFont="1" applyBorder="1" applyAlignment="1">
      <alignment vertical="center"/>
    </xf>
    <xf numFmtId="164" fontId="89" fillId="0" borderId="16" xfId="29" applyNumberFormat="1" applyFont="1" applyFill="1" applyBorder="1" applyAlignment="1">
      <alignment vertical="center"/>
    </xf>
    <xf numFmtId="3" fontId="89" fillId="0" borderId="16" xfId="0" applyNumberFormat="1" applyFont="1" applyBorder="1" applyAlignment="1">
      <alignment vertical="center"/>
    </xf>
    <xf numFmtId="0" fontId="34" fillId="0" borderId="44" xfId="0" applyFont="1" applyBorder="1" applyAlignment="1">
      <alignment vertical="center"/>
    </xf>
    <xf numFmtId="0" fontId="90" fillId="0" borderId="16" xfId="0" applyFont="1" applyFill="1" applyBorder="1" applyAlignment="1">
      <alignment vertical="center"/>
    </xf>
    <xf numFmtId="0" fontId="90" fillId="0" borderId="16" xfId="0" applyFont="1" applyFill="1" applyBorder="1" applyAlignment="1">
      <alignment horizontal="center" vertical="center"/>
    </xf>
    <xf numFmtId="164" fontId="90" fillId="0" borderId="16" xfId="29" applyNumberFormat="1" applyFont="1" applyFill="1" applyBorder="1" applyAlignment="1">
      <alignment vertical="center"/>
    </xf>
    <xf numFmtId="164" fontId="90" fillId="0" borderId="16" xfId="29" applyNumberFormat="1" applyFont="1" applyBorder="1" applyAlignment="1">
      <alignment vertical="center"/>
    </xf>
    <xf numFmtId="0" fontId="41" fillId="0" borderId="0" xfId="0" applyFont="1" applyAlignment="1">
      <alignment vertical="center"/>
    </xf>
    <xf numFmtId="3" fontId="34" fillId="0" borderId="44" xfId="0" applyNumberFormat="1" applyFont="1" applyBorder="1" applyAlignment="1">
      <alignment horizontal="center" vertical="center"/>
    </xf>
    <xf numFmtId="164" fontId="34" fillId="0" borderId="44" xfId="29" applyNumberFormat="1" applyFont="1" applyBorder="1" applyAlignment="1">
      <alignment vertical="center"/>
    </xf>
    <xf numFmtId="0" fontId="34" fillId="21" borderId="2" xfId="0" applyFont="1" applyFill="1" applyBorder="1" applyAlignment="1">
      <alignment vertical="center"/>
    </xf>
    <xf numFmtId="0" fontId="34" fillId="21" borderId="23" xfId="0" applyFont="1" applyFill="1" applyBorder="1" applyAlignment="1">
      <alignment horizontal="center" vertical="center"/>
    </xf>
    <xf numFmtId="0" fontId="34" fillId="21" borderId="23" xfId="0" applyFont="1" applyFill="1" applyBorder="1" applyAlignment="1">
      <alignment vertical="center"/>
    </xf>
    <xf numFmtId="164" fontId="34" fillId="21" borderId="23" xfId="29" applyNumberFormat="1" applyFont="1" applyFill="1" applyBorder="1" applyAlignment="1">
      <alignment vertical="center"/>
    </xf>
    <xf numFmtId="0" fontId="34" fillId="0" borderId="12" xfId="99" applyFont="1" applyBorder="1" applyAlignment="1">
      <alignment horizontal="center"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34" fillId="0" borderId="21" xfId="99" applyFont="1" applyBorder="1" applyAlignment="1">
      <alignment horizontal="center"/>
    </xf>
    <xf numFmtId="173" fontId="34" fillId="0" borderId="21" xfId="29" applyNumberFormat="1" applyFont="1" applyBorder="1" applyAlignment="1">
      <alignment horizontal="center" vertical="center"/>
    </xf>
    <xf numFmtId="0" fontId="34" fillId="0" borderId="16" xfId="99" applyFont="1" applyBorder="1" applyAlignment="1">
      <alignment horizont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19" xfId="0" applyNumberFormat="1" applyFont="1" applyBorder="1" applyAlignment="1">
      <alignment vertical="center"/>
    </xf>
    <xf numFmtId="0" fontId="34" fillId="21" borderId="0" xfId="0" applyFont="1" applyFill="1" applyBorder="1" applyAlignment="1">
      <alignment vertical="center"/>
    </xf>
    <xf numFmtId="0" fontId="34" fillId="21" borderId="0" xfId="0" applyFont="1" applyFill="1" applyBorder="1" applyAlignment="1">
      <alignment horizontal="center" vertical="center"/>
    </xf>
    <xf numFmtId="164" fontId="34" fillId="21" borderId="0" xfId="29" applyNumberFormat="1" applyFont="1" applyFill="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2"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3" fillId="0" borderId="0" xfId="80" applyFont="1" applyAlignment="1" applyProtection="1">
      <alignment horizontal="center" vertical="center"/>
      <protection hidden="1"/>
    </xf>
    <xf numFmtId="0" fontId="35" fillId="0" borderId="0" xfId="80" applyFont="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6" fillId="34" borderId="17" xfId="80" applyFont="1" applyFill="1" applyBorder="1" applyAlignment="1" applyProtection="1">
      <alignment horizontal="center" vertical="center"/>
      <protection hidden="1"/>
    </xf>
    <xf numFmtId="0" fontId="46"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8" fillId="0" borderId="0" xfId="80" applyFont="1" applyAlignment="1" applyProtection="1">
      <alignment horizontal="left" vertical="center"/>
      <protection hidden="1"/>
    </xf>
    <xf numFmtId="0" fontId="78" fillId="0" borderId="0" xfId="80" applyFont="1" applyAlignment="1" applyProtection="1">
      <alignment horizontal="center" vertical="center"/>
      <protection hidden="1"/>
    </xf>
    <xf numFmtId="0" fontId="56" fillId="0" borderId="0" xfId="99" applyFont="1"/>
    <xf numFmtId="0" fontId="33" fillId="0" borderId="0" xfId="99" applyFont="1"/>
    <xf numFmtId="0" fontId="33" fillId="0" borderId="0" xfId="99" applyFont="1" applyFill="1" applyBorder="1"/>
    <xf numFmtId="0" fontId="68" fillId="29" borderId="0" xfId="97" applyFont="1" applyFill="1" applyAlignment="1">
      <alignment vertical="top"/>
    </xf>
    <xf numFmtId="0" fontId="68"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8"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6" fillId="0" borderId="22" xfId="99" applyFont="1" applyBorder="1" applyAlignment="1"/>
    <xf numFmtId="0" fontId="56"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4"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7"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6"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9" xfId="0" applyFont="1" applyFill="1" applyBorder="1" applyAlignment="1" applyProtection="1">
      <alignment horizontal="center" vertical="center" wrapText="1"/>
      <protection hidden="1"/>
    </xf>
    <xf numFmtId="164" fontId="33" fillId="29" borderId="49"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4" xfId="99" applyFont="1" applyBorder="1" applyProtection="1">
      <protection hidden="1"/>
    </xf>
    <xf numFmtId="14" fontId="33" fillId="29" borderId="44" xfId="0" applyNumberFormat="1" applyFont="1" applyFill="1" applyBorder="1" applyAlignment="1" applyProtection="1">
      <alignment wrapText="1"/>
      <protection hidden="1"/>
    </xf>
    <xf numFmtId="0" fontId="33" fillId="29" borderId="44" xfId="0" applyFont="1" applyFill="1" applyBorder="1" applyAlignment="1" applyProtection="1">
      <alignment horizontal="center" wrapText="1"/>
      <protection hidden="1"/>
    </xf>
    <xf numFmtId="0" fontId="33" fillId="29" borderId="44" xfId="0" applyNumberFormat="1" applyFont="1" applyFill="1" applyBorder="1" applyAlignment="1" applyProtection="1">
      <alignment wrapText="1"/>
      <protection hidden="1"/>
    </xf>
    <xf numFmtId="164" fontId="33" fillId="29" borderId="44" xfId="29" applyNumberFormat="1" applyFont="1" applyFill="1" applyBorder="1" applyAlignment="1" applyProtection="1">
      <alignment wrapText="1"/>
      <protection hidden="1"/>
    </xf>
    <xf numFmtId="0" fontId="33" fillId="29" borderId="44"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60"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7" fillId="0" borderId="0" xfId="0" applyFont="1" applyAlignment="1" applyProtection="1">
      <alignment horizontal="center"/>
      <protection hidden="1"/>
    </xf>
    <xf numFmtId="0" fontId="67" fillId="0" borderId="0" xfId="0" applyNumberFormat="1" applyFont="1" applyProtection="1">
      <protection hidden="1"/>
    </xf>
    <xf numFmtId="14" fontId="67" fillId="0" borderId="0" xfId="0" applyNumberFormat="1" applyFont="1" applyProtection="1">
      <protection hidden="1"/>
    </xf>
    <xf numFmtId="164" fontId="67" fillId="0" borderId="0" xfId="29" applyNumberFormat="1" applyFont="1" applyProtection="1">
      <protection hidden="1"/>
    </xf>
    <xf numFmtId="0" fontId="75" fillId="0" borderId="0" xfId="100" applyFont="1" applyAlignment="1">
      <alignment vertical="center"/>
    </xf>
    <xf numFmtId="0" fontId="75" fillId="0" borderId="0" xfId="100" applyFont="1" applyBorder="1" applyAlignment="1">
      <alignment vertical="center"/>
    </xf>
    <xf numFmtId="14" fontId="75" fillId="0" borderId="0" xfId="100" applyNumberFormat="1" applyFont="1" applyAlignment="1">
      <alignment vertical="center"/>
    </xf>
    <xf numFmtId="0" fontId="94" fillId="0" borderId="0" xfId="100" applyFont="1" applyAlignment="1">
      <alignment vertical="center"/>
    </xf>
    <xf numFmtId="164" fontId="75" fillId="0" borderId="0" xfId="29" applyNumberFormat="1" applyFont="1" applyAlignment="1">
      <alignment vertical="center"/>
    </xf>
    <xf numFmtId="0" fontId="95"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2" fillId="0" borderId="2" xfId="100" quotePrefix="1" applyNumberFormat="1" applyFont="1" applyBorder="1" applyAlignment="1">
      <alignment horizontal="center" vertical="center"/>
    </xf>
    <xf numFmtId="0" fontId="42" fillId="0" borderId="2" xfId="100" applyFont="1" applyBorder="1" applyAlignment="1">
      <alignment horizontal="center" vertical="center"/>
    </xf>
    <xf numFmtId="164" fontId="42"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5" fillId="0" borderId="53"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5" fillId="0" borderId="0" xfId="100" applyFont="1" applyBorder="1" applyAlignment="1">
      <alignment horizontal="center" vertical="center"/>
    </xf>
    <xf numFmtId="0" fontId="75" fillId="0" borderId="54" xfId="100" applyFont="1" applyBorder="1" applyAlignment="1">
      <alignment vertical="center"/>
    </xf>
    <xf numFmtId="164" fontId="33" fillId="0" borderId="16" xfId="29" applyNumberFormat="1" applyFont="1" applyBorder="1" applyAlignment="1">
      <alignment vertical="center"/>
    </xf>
    <xf numFmtId="164" fontId="76" fillId="0" borderId="0" xfId="29" applyNumberFormat="1" applyFont="1" applyAlignment="1">
      <alignment vertical="center"/>
    </xf>
    <xf numFmtId="164" fontId="34" fillId="0" borderId="0" xfId="100" applyNumberFormat="1" applyFont="1" applyAlignment="1">
      <alignment vertical="center"/>
    </xf>
    <xf numFmtId="164" fontId="75" fillId="0" borderId="0" xfId="29" applyNumberFormat="1" applyFont="1" applyBorder="1" applyAlignment="1">
      <alignment vertical="center"/>
    </xf>
    <xf numFmtId="164" fontId="75" fillId="0" borderId="0" xfId="100" applyNumberFormat="1" applyFont="1" applyAlignment="1">
      <alignment vertical="center"/>
    </xf>
    <xf numFmtId="164" fontId="60" fillId="0" borderId="0" xfId="29" applyNumberFormat="1" applyFont="1" applyAlignment="1">
      <alignment horizontal="center" vertical="center"/>
    </xf>
    <xf numFmtId="0" fontId="60" fillId="0" borderId="0" xfId="100" applyFont="1" applyAlignment="1">
      <alignment horizontal="center" vertical="center"/>
    </xf>
    <xf numFmtId="0" fontId="76" fillId="0" borderId="0" xfId="100" applyFont="1" applyAlignment="1">
      <alignment horizontal="center" vertical="center"/>
    </xf>
    <xf numFmtId="164" fontId="76" fillId="0" borderId="0" xfId="29" applyNumberFormat="1" applyFont="1" applyAlignment="1">
      <alignment horizontal="center" vertical="center"/>
    </xf>
    <xf numFmtId="0" fontId="80" fillId="0" borderId="0" xfId="100" applyFont="1" applyAlignment="1">
      <alignment horizontal="center" vertical="center"/>
    </xf>
    <xf numFmtId="43" fontId="75" fillId="0" borderId="0" xfId="29" applyFont="1" applyAlignment="1">
      <alignment vertical="center"/>
    </xf>
    <xf numFmtId="164" fontId="80" fillId="0" borderId="0" xfId="29" applyNumberFormat="1" applyFont="1" applyAlignment="1">
      <alignment horizontal="center" vertical="center"/>
    </xf>
    <xf numFmtId="174" fontId="75" fillId="0" borderId="0" xfId="100" applyNumberFormat="1" applyFont="1" applyAlignment="1">
      <alignment horizontal="center" vertical="center"/>
    </xf>
    <xf numFmtId="43" fontId="75" fillId="0" borderId="0" xfId="29" applyFont="1" applyAlignment="1">
      <alignment horizontal="center" vertical="center"/>
    </xf>
    <xf numFmtId="14" fontId="76"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7"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8" fillId="0" borderId="23" xfId="101" applyFont="1" applyFill="1" applyBorder="1"/>
    <xf numFmtId="175" fontId="98" fillId="0" borderId="23" xfId="29" applyNumberFormat="1" applyFont="1" applyBorder="1"/>
    <xf numFmtId="164" fontId="34" fillId="0" borderId="23" xfId="29" applyNumberFormat="1" applyFont="1" applyFill="1" applyBorder="1"/>
    <xf numFmtId="164" fontId="98" fillId="0" borderId="23" xfId="29" applyNumberFormat="1" applyFont="1" applyFill="1" applyBorder="1"/>
    <xf numFmtId="164" fontId="98" fillId="29" borderId="23" xfId="29" applyNumberFormat="1" applyFont="1" applyFill="1" applyBorder="1" applyAlignment="1">
      <alignment horizontal="right"/>
    </xf>
    <xf numFmtId="164" fontId="34" fillId="0" borderId="16" xfId="29" applyNumberFormat="1" applyFont="1" applyBorder="1"/>
    <xf numFmtId="164" fontId="98" fillId="0" borderId="23" xfId="29" applyNumberFormat="1" applyFont="1" applyBorder="1" applyAlignment="1"/>
    <xf numFmtId="43" fontId="98" fillId="0" borderId="23" xfId="29" applyFont="1" applyFill="1" applyBorder="1"/>
    <xf numFmtId="164" fontId="34" fillId="0" borderId="0" xfId="29" applyNumberFormat="1" applyFont="1" applyFill="1" applyBorder="1" applyAlignment="1">
      <alignment horizontal="left"/>
    </xf>
    <xf numFmtId="0" fontId="98"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4" xfId="29" applyNumberFormat="1" applyFont="1" applyBorder="1" applyAlignment="1">
      <alignment horizontal="left"/>
    </xf>
    <xf numFmtId="164" fontId="34" fillId="0" borderId="44"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5" xfId="29" applyNumberFormat="1" applyFont="1" applyBorder="1" applyAlignment="1">
      <alignment horizontal="left"/>
    </xf>
    <xf numFmtId="14" fontId="34" fillId="0" borderId="55" xfId="29" applyNumberFormat="1" applyFont="1" applyBorder="1" applyAlignment="1">
      <alignment horizontal="center"/>
    </xf>
    <xf numFmtId="164" fontId="34" fillId="0" borderId="55" xfId="29" applyNumberFormat="1" applyFont="1" applyBorder="1" applyAlignment="1">
      <alignment horizontal="center"/>
    </xf>
    <xf numFmtId="0" fontId="34" fillId="0" borderId="55"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8" fillId="0" borderId="19" xfId="101" applyFont="1" applyFill="1" applyBorder="1"/>
    <xf numFmtId="175" fontId="98" fillId="0" borderId="19" xfId="29" applyNumberFormat="1" applyFont="1" applyBorder="1"/>
    <xf numFmtId="164" fontId="98" fillId="0" borderId="19" xfId="29" applyNumberFormat="1" applyFont="1" applyFill="1" applyBorder="1"/>
    <xf numFmtId="164" fontId="98" fillId="29" borderId="19" xfId="29" applyNumberFormat="1" applyFont="1" applyFill="1" applyBorder="1" applyAlignment="1">
      <alignment horizontal="right"/>
    </xf>
    <xf numFmtId="164" fontId="98"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8" fillId="0" borderId="19" xfId="29" applyFont="1" applyFill="1" applyBorder="1"/>
    <xf numFmtId="0" fontId="34" fillId="0" borderId="56"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8" fillId="0" borderId="23" xfId="29" applyNumberFormat="1" applyFont="1" applyBorder="1"/>
    <xf numFmtId="43" fontId="34" fillId="0" borderId="16" xfId="29" applyFont="1" applyBorder="1" applyAlignment="1">
      <alignment horizontal="center"/>
    </xf>
    <xf numFmtId="164" fontId="34" fillId="0" borderId="23" xfId="29" applyNumberFormat="1" applyFont="1" applyBorder="1" applyAlignment="1">
      <alignment horizontal="left"/>
    </xf>
    <xf numFmtId="43" fontId="34" fillId="0" borderId="23" xfId="29" applyFont="1" applyBorder="1" applyAlignment="1">
      <alignment horizontal="center"/>
    </xf>
    <xf numFmtId="164" fontId="34" fillId="0" borderId="23" xfId="29" applyNumberFormat="1" applyFont="1" applyBorder="1" applyAlignment="1">
      <alignment horizontal="center"/>
    </xf>
    <xf numFmtId="0" fontId="34" fillId="0" borderId="23" xfId="101" applyFont="1" applyBorder="1"/>
    <xf numFmtId="164" fontId="41" fillId="0" borderId="0" xfId="95" applyNumberFormat="1" applyFont="1" applyFill="1" applyBorder="1" applyAlignment="1">
      <alignment vertical="center"/>
    </xf>
    <xf numFmtId="0" fontId="34" fillId="0" borderId="12" xfId="99" applyFont="1" applyBorder="1"/>
    <xf numFmtId="0" fontId="34" fillId="0" borderId="12" xfId="95" applyFont="1" applyBorder="1" applyAlignment="1">
      <alignment vertical="center"/>
    </xf>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16" xfId="95" applyFont="1" applyBorder="1" applyAlignment="1">
      <alignment horizontal="left" vertic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3" fontId="34" fillId="0" borderId="21" xfId="29" applyNumberFormat="1" applyFont="1" applyBorder="1"/>
    <xf numFmtId="41" fontId="36" fillId="29" borderId="0" xfId="97" applyNumberFormat="1" applyFont="1" applyFill="1" applyAlignment="1">
      <alignment vertical="top"/>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4" fillId="0" borderId="0" xfId="54" applyNumberFormat="1" applyFont="1" applyAlignment="1">
      <alignment horizontal="center" vertical="center"/>
    </xf>
    <xf numFmtId="41" fontId="33" fillId="0" borderId="0" xfId="54" applyNumberFormat="1" applyFont="1" applyAlignment="1">
      <alignment vertical="center" wrapText="1"/>
    </xf>
    <xf numFmtId="41" fontId="36" fillId="29" borderId="0" xfId="97" applyNumberFormat="1" applyFont="1" applyFill="1" applyAlignment="1">
      <alignment horizontal="left" vertical="top" wrapText="1"/>
    </xf>
    <xf numFmtId="41" fontId="36" fillId="29" borderId="0" xfId="29" applyNumberFormat="1" applyFont="1" applyFill="1" applyBorder="1" applyAlignment="1">
      <alignment vertical="top" wrapText="1"/>
    </xf>
    <xf numFmtId="41" fontId="91" fillId="0" borderId="0" xfId="29" applyNumberFormat="1" applyFont="1"/>
    <xf numFmtId="41" fontId="91" fillId="0" borderId="0" xfId="101" applyNumberFormat="1" applyFont="1"/>
    <xf numFmtId="41" fontId="33" fillId="0" borderId="0" xfId="101" applyNumberFormat="1" applyFont="1"/>
    <xf numFmtId="41" fontId="33" fillId="0" borderId="0" xfId="29" applyNumberFormat="1" applyFont="1" applyAlignment="1"/>
    <xf numFmtId="41" fontId="33" fillId="0" borderId="0" xfId="29" applyNumberFormat="1" applyFont="1" applyAlignment="1">
      <alignment horizontal="right"/>
    </xf>
    <xf numFmtId="41" fontId="33" fillId="0" borderId="0" xfId="29" applyNumberFormat="1" applyFont="1"/>
    <xf numFmtId="41" fontId="33" fillId="0" borderId="0" xfId="29" applyNumberFormat="1" applyFont="1" applyBorder="1" applyAlignment="1"/>
    <xf numFmtId="41" fontId="33" fillId="0" borderId="0" xfId="29" applyNumberFormat="1" applyFont="1" applyBorder="1" applyAlignment="1">
      <alignment horizontal="center"/>
    </xf>
    <xf numFmtId="41" fontId="33" fillId="0" borderId="0" xfId="29" applyNumberFormat="1" applyFont="1" applyBorder="1"/>
    <xf numFmtId="41" fontId="33" fillId="0" borderId="0" xfId="101" applyNumberFormat="1" applyFont="1" applyBorder="1"/>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41" fontId="33" fillId="0" borderId="2" xfId="101" applyNumberFormat="1" applyFont="1" applyBorder="1"/>
    <xf numFmtId="41" fontId="33" fillId="0" borderId="2" xfId="29" applyNumberFormat="1" applyFont="1" applyBorder="1"/>
    <xf numFmtId="41" fontId="33" fillId="0" borderId="0" xfId="101" applyNumberFormat="1" applyFont="1" applyAlignment="1">
      <alignment horizontal="right"/>
    </xf>
    <xf numFmtId="41" fontId="34" fillId="0" borderId="0" xfId="101" applyNumberFormat="1" applyFont="1"/>
    <xf numFmtId="41" fontId="33" fillId="0" borderId="0" xfId="29" quotePrefix="1" applyNumberFormat="1" applyFont="1" applyBorder="1" applyAlignment="1">
      <alignment horizontal="left"/>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3" fillId="0" borderId="0" xfId="77" applyNumberFormat="1"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0" fontId="39" fillId="21" borderId="2" xfId="34" applyFont="1" applyBorder="1" applyAlignment="1">
      <alignment horizontal="center" vertical="center" wrapText="1"/>
    </xf>
    <xf numFmtId="0" fontId="35" fillId="0" borderId="0" xfId="53" applyFont="1" applyAlignment="1">
      <alignment vertical="center"/>
    </xf>
    <xf numFmtId="0" fontId="39" fillId="21" borderId="2" xfId="34" applyFont="1" applyBorder="1" applyAlignment="1">
      <alignment horizontal="centerContinuous" vertical="center" wrapText="1"/>
    </xf>
    <xf numFmtId="164" fontId="39" fillId="21" borderId="2" xfId="74" applyNumberFormat="1" applyFont="1" applyFill="1" applyBorder="1" applyAlignment="1">
      <alignment horizontal="centerContinuous" vertical="center" wrapText="1"/>
    </xf>
    <xf numFmtId="164" fontId="39" fillId="21" borderId="2" xfId="74" applyNumberFormat="1" applyFont="1" applyFill="1" applyBorder="1" applyAlignment="1">
      <alignment horizontal="center" vertical="center" wrapText="1"/>
    </xf>
    <xf numFmtId="3" fontId="34" fillId="0" borderId="21" xfId="46" applyFont="1" applyBorder="1" applyAlignment="1">
      <alignment horizontal="center" vertical="center"/>
    </xf>
    <xf numFmtId="43" fontId="34" fillId="0" borderId="16" xfId="74" applyFont="1" applyBorder="1" applyAlignment="1">
      <alignment vertical="center"/>
    </xf>
    <xf numFmtId="164" fontId="34" fillId="0" borderId="16" xfId="74" applyNumberFormat="1" applyFont="1" applyBorder="1" applyAlignment="1">
      <alignment vertical="center"/>
    </xf>
    <xf numFmtId="43" fontId="34" fillId="0" borderId="21" xfId="74" applyFont="1" applyBorder="1" applyAlignment="1">
      <alignment horizontal="center" vertical="center"/>
    </xf>
    <xf numFmtId="164" fontId="34" fillId="0" borderId="21" xfId="74" applyNumberFormat="1" applyFont="1" applyBorder="1" applyAlignment="1">
      <alignment horizontal="center" vertical="center"/>
    </xf>
    <xf numFmtId="43" fontId="34" fillId="0" borderId="16" xfId="74" applyFont="1" applyBorder="1" applyAlignment="1">
      <alignment horizontal="center" vertical="center"/>
    </xf>
    <xf numFmtId="0" fontId="34" fillId="0" borderId="16" xfId="52" applyFont="1" applyBorder="1" applyAlignment="1">
      <alignment vertical="center"/>
    </xf>
    <xf numFmtId="0" fontId="35" fillId="0" borderId="16" xfId="53" applyFont="1" applyBorder="1" applyAlignment="1">
      <alignment vertical="center"/>
    </xf>
    <xf numFmtId="3" fontId="34" fillId="0" borderId="19" xfId="46" applyFont="1" applyBorder="1" applyAlignment="1">
      <alignment horizontal="center" vertical="center"/>
    </xf>
    <xf numFmtId="0" fontId="35" fillId="0" borderId="19" xfId="53" applyFont="1" applyBorder="1" applyAlignment="1">
      <alignment vertical="center"/>
    </xf>
    <xf numFmtId="43" fontId="34" fillId="0" borderId="19" xfId="74" applyFont="1" applyBorder="1" applyAlignment="1">
      <alignment vertical="center"/>
    </xf>
    <xf numFmtId="164" fontId="34" fillId="0" borderId="19" xfId="74" applyNumberFormat="1" applyFont="1" applyBorder="1" applyAlignment="1">
      <alignment vertical="center"/>
    </xf>
    <xf numFmtId="43" fontId="34" fillId="0" borderId="23" xfId="74" applyFont="1" applyBorder="1" applyAlignment="1">
      <alignment horizontal="center" vertical="center"/>
    </xf>
    <xf numFmtId="164" fontId="34" fillId="0" borderId="23" xfId="74" applyNumberFormat="1" applyFont="1" applyBorder="1" applyAlignment="1">
      <alignment horizontal="center" vertical="center"/>
    </xf>
    <xf numFmtId="43" fontId="34" fillId="21" borderId="2" xfId="74" applyNumberFormat="1" applyFont="1" applyFill="1" applyBorder="1" applyAlignment="1">
      <alignment vertical="center"/>
    </xf>
    <xf numFmtId="164" fontId="34" fillId="21" borderId="2" xfId="74" applyNumberFormat="1" applyFont="1" applyFill="1" applyBorder="1" applyAlignment="1">
      <alignment vertical="center"/>
    </xf>
    <xf numFmtId="164" fontId="26" fillId="0" borderId="0" xfId="74" applyNumberFormat="1" applyFont="1" applyAlignment="1">
      <alignment vertical="center"/>
    </xf>
    <xf numFmtId="0" fontId="36" fillId="29" borderId="0" xfId="97" applyFont="1" applyFill="1" applyAlignment="1">
      <alignment horizontal="left" vertical="center"/>
    </xf>
    <xf numFmtId="0" fontId="36" fillId="29" borderId="0" xfId="97" applyFont="1" applyFill="1" applyAlignment="1">
      <alignment horizontal="left" vertical="center" wrapText="1"/>
    </xf>
    <xf numFmtId="0" fontId="33" fillId="0" borderId="0" xfId="97" applyFont="1" applyAlignment="1">
      <alignment horizontal="left" vertical="center"/>
    </xf>
    <xf numFmtId="164" fontId="33" fillId="0" borderId="0" xfId="54" applyNumberFormat="1" applyFont="1" applyAlignment="1">
      <alignment horizontal="left" vertical="center"/>
    </xf>
    <xf numFmtId="164" fontId="33" fillId="0" borderId="0" xfId="74" applyNumberFormat="1" applyFont="1" applyAlignment="1">
      <alignment horizontal="center" vertical="center"/>
    </xf>
    <xf numFmtId="43" fontId="33" fillId="0" borderId="0" xfId="54" applyNumberFormat="1" applyFont="1" applyAlignment="1">
      <alignment horizontal="center" vertical="center"/>
    </xf>
    <xf numFmtId="164" fontId="36" fillId="0" borderId="0" xfId="74" applyNumberFormat="1" applyFont="1" applyAlignment="1">
      <alignment vertical="center" wrapText="1"/>
    </xf>
    <xf numFmtId="43" fontId="36" fillId="0" borderId="0" xfId="74" applyFont="1" applyAlignment="1">
      <alignment vertical="center" wrapText="1"/>
    </xf>
    <xf numFmtId="164" fontId="33" fillId="0" borderId="0" xfId="74" applyNumberFormat="1" applyFont="1" applyAlignment="1">
      <alignment vertical="center" wrapText="1"/>
    </xf>
    <xf numFmtId="43" fontId="33" fillId="0" borderId="0" xfId="74" applyFont="1" applyAlignment="1">
      <alignmen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164" fontId="36" fillId="0" borderId="0" xfId="54" applyNumberFormat="1" applyFont="1" applyAlignment="1">
      <alignment horizontal="left" vertical="center" wrapText="1"/>
    </xf>
    <xf numFmtId="164" fontId="33" fillId="0" borderId="0" xfId="74" applyNumberFormat="1" applyFont="1" applyAlignment="1">
      <alignment horizontal="center" vertical="center" wrapText="1"/>
    </xf>
    <xf numFmtId="0" fontId="33" fillId="0" borderId="22" xfId="52" applyFont="1" applyBorder="1" applyAlignment="1">
      <alignment vertical="center"/>
    </xf>
    <xf numFmtId="43" fontId="33" fillId="0" borderId="2" xfId="52" applyNumberFormat="1"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0" fontId="33" fillId="0" borderId="2" xfId="52" applyFont="1" applyBorder="1" applyAlignment="1">
      <alignment horizontal="center" vertical="center" wrapText="1" shrinkToFit="1"/>
    </xf>
    <xf numFmtId="0" fontId="33" fillId="0" borderId="2" xfId="52" applyFont="1" applyBorder="1" applyAlignment="1">
      <alignment horizontal="center" vertical="center"/>
    </xf>
    <xf numFmtId="0" fontId="33" fillId="0" borderId="20" xfId="52" applyFont="1" applyBorder="1" applyAlignment="1">
      <alignment horizontal="center" vertical="center"/>
    </xf>
    <xf numFmtId="0" fontId="33" fillId="0" borderId="2" xfId="52" applyFont="1" applyBorder="1" applyAlignment="1">
      <alignment horizontal="left" vertical="center"/>
    </xf>
    <xf numFmtId="0" fontId="33" fillId="0" borderId="2" xfId="52" quotePrefix="1" applyFont="1" applyBorder="1" applyAlignment="1">
      <alignment vertical="center"/>
    </xf>
    <xf numFmtId="164" fontId="33" fillId="0" borderId="2" xfId="74" applyNumberFormat="1" applyFont="1" applyBorder="1" applyAlignment="1">
      <alignment vertical="center"/>
    </xf>
    <xf numFmtId="43" fontId="33" fillId="0" borderId="2" xfId="52" applyNumberFormat="1" applyFont="1" applyBorder="1" applyAlignment="1">
      <alignment vertical="center"/>
    </xf>
    <xf numFmtId="43" fontId="33" fillId="0" borderId="2" xfId="74" applyFont="1" applyBorder="1" applyAlignment="1">
      <alignment vertical="center"/>
    </xf>
    <xf numFmtId="164" fontId="33" fillId="0" borderId="2" xfId="52" applyNumberFormat="1" applyFont="1" applyBorder="1" applyAlignment="1">
      <alignment vertical="center"/>
    </xf>
    <xf numFmtId="0" fontId="33" fillId="0" borderId="16" xfId="52" applyFont="1" applyBorder="1" applyAlignment="1">
      <alignment horizontal="lef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43" fontId="33" fillId="0" borderId="16" xfId="74" applyFont="1" applyBorder="1" applyAlignment="1">
      <alignment vertical="center"/>
    </xf>
    <xf numFmtId="164" fontId="33" fillId="0" borderId="16" xfId="74" applyNumberFormat="1" applyFont="1" applyBorder="1" applyAlignment="1">
      <alignment vertical="center"/>
    </xf>
    <xf numFmtId="0" fontId="33" fillId="0" borderId="44" xfId="52" applyFont="1" applyBorder="1" applyAlignment="1">
      <alignment horizontal="left" vertical="center"/>
    </xf>
    <xf numFmtId="0" fontId="33" fillId="0" borderId="44" xfId="52" applyFont="1" applyBorder="1" applyAlignment="1">
      <alignment vertical="center"/>
    </xf>
    <xf numFmtId="0" fontId="33" fillId="0" borderId="44" xfId="52" applyFont="1" applyBorder="1" applyAlignment="1">
      <alignment horizontal="center" vertical="center"/>
    </xf>
    <xf numFmtId="164" fontId="33" fillId="0" borderId="44" xfId="74" applyNumberFormat="1" applyFont="1" applyBorder="1" applyAlignment="1">
      <alignment vertical="center"/>
    </xf>
    <xf numFmtId="43" fontId="33" fillId="0" borderId="44" xfId="74" applyFont="1" applyBorder="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164" fontId="33" fillId="0" borderId="0" xfId="74" applyNumberFormat="1" applyFont="1" applyAlignment="1">
      <alignment vertical="center"/>
    </xf>
    <xf numFmtId="43" fontId="33" fillId="0" borderId="0" xfId="52" applyNumberFormat="1" applyFont="1" applyAlignment="1">
      <alignment vertical="center"/>
    </xf>
    <xf numFmtId="43" fontId="33" fillId="0" borderId="0" xfId="74" applyNumberFormat="1" applyFont="1" applyAlignment="1">
      <alignment vertical="center"/>
    </xf>
    <xf numFmtId="164" fontId="39" fillId="25" borderId="31" xfId="77" applyNumberFormat="1" applyFont="1" applyFill="1" applyBorder="1" applyAlignment="1">
      <alignment vertical="center"/>
    </xf>
    <xf numFmtId="0" fontId="42" fillId="0" borderId="0" xfId="80" applyFont="1" applyFill="1" applyBorder="1" applyAlignment="1" applyProtection="1">
      <alignment vertical="center"/>
      <protection locked="0" hidden="1"/>
    </xf>
    <xf numFmtId="0" fontId="42" fillId="32" borderId="31" xfId="80" applyFont="1" applyFill="1" applyBorder="1" applyAlignment="1" applyProtection="1">
      <alignment vertical="center"/>
      <protection locked="0" hidden="1"/>
    </xf>
    <xf numFmtId="0" fontId="42" fillId="33" borderId="31" xfId="80" applyNumberFormat="1" applyFont="1" applyFill="1" applyBorder="1" applyAlignment="1" applyProtection="1">
      <alignment vertical="center"/>
      <protection locked="0" hidden="1"/>
    </xf>
    <xf numFmtId="3" fontId="49" fillId="0" borderId="16" xfId="46" applyFont="1" applyBorder="1" applyAlignment="1">
      <alignment vertical="center"/>
    </xf>
    <xf numFmtId="0" fontId="3" fillId="0" borderId="0" xfId="0" applyFont="1" applyFill="1" applyAlignment="1"/>
    <xf numFmtId="0" fontId="99" fillId="0" borderId="0" xfId="58" applyFont="1">
      <alignment horizontal="centerContinuous"/>
    </xf>
    <xf numFmtId="0" fontId="34" fillId="0" borderId="16" xfId="55" applyNumberFormat="1" applyFont="1" applyBorder="1" applyAlignment="1">
      <alignment horizontal="left" vertical="center"/>
    </xf>
    <xf numFmtId="0" fontId="34" fillId="0" borderId="2" xfId="54" applyFont="1" applyFill="1" applyBorder="1" applyAlignment="1">
      <alignment horizontal="center" vertical="center" wrapText="1"/>
    </xf>
    <xf numFmtId="0" fontId="3" fillId="0" borderId="0" xfId="0" applyFont="1" applyFill="1" applyAlignment="1">
      <alignment wrapText="1"/>
    </xf>
    <xf numFmtId="164" fontId="35" fillId="25" borderId="0" xfId="29" applyNumberFormat="1" applyFont="1" applyFill="1"/>
    <xf numFmtId="0" fontId="33" fillId="0" borderId="0" xfId="52" applyFont="1" applyAlignment="1">
      <alignment horizontal="center" vertical="center"/>
    </xf>
    <xf numFmtId="164" fontId="36" fillId="0" borderId="0" xfId="77" applyNumberFormat="1" applyFont="1" applyAlignment="1">
      <alignment horizontal="center" vertical="center"/>
    </xf>
    <xf numFmtId="0" fontId="33" fillId="0" borderId="0" xfId="52" applyFont="1" applyAlignment="1">
      <alignment horizontal="left" vertical="center"/>
    </xf>
    <xf numFmtId="0" fontId="36" fillId="0" borderId="2" xfId="52" applyFont="1" applyBorder="1" applyAlignment="1">
      <alignment horizontal="center" vertical="center" wrapText="1"/>
    </xf>
    <xf numFmtId="0" fontId="100" fillId="0" borderId="0" xfId="80" applyFont="1" applyAlignment="1" applyProtection="1">
      <alignment vertical="center"/>
      <protection hidden="1"/>
    </xf>
    <xf numFmtId="164" fontId="33" fillId="0" borderId="0" xfId="29"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2" xfId="54" applyFont="1" applyFill="1" applyBorder="1" applyAlignment="1">
      <alignment horizontal="center" vertical="center" wrapText="1"/>
    </xf>
    <xf numFmtId="164" fontId="34" fillId="0" borderId="16" xfId="90" applyNumberFormat="1" applyFont="1" applyFill="1" applyBorder="1" applyAlignment="1">
      <alignment horizontal="center" vertical="center" wrapText="1"/>
    </xf>
    <xf numFmtId="1" fontId="34" fillId="0" borderId="16" xfId="90" quotePrefix="1" applyNumberFormat="1" applyFont="1" applyFill="1" applyBorder="1" applyAlignment="1">
      <alignment horizontal="center" vertical="center"/>
    </xf>
    <xf numFmtId="0" fontId="34" fillId="0" borderId="16" xfId="90" applyNumberFormat="1" applyFont="1" applyFill="1" applyBorder="1" applyAlignment="1">
      <alignment horizontal="center" vertical="center"/>
    </xf>
    <xf numFmtId="14" fontId="34" fillId="0" borderId="16" xfId="90" quotePrefix="1" applyNumberFormat="1" applyFont="1" applyFill="1" applyBorder="1" applyAlignment="1">
      <alignment horizontal="center" vertical="center"/>
    </xf>
    <xf numFmtId="49" fontId="34" fillId="0" borderId="16" xfId="90" quotePrefix="1" applyNumberFormat="1" applyFont="1" applyFill="1" applyBorder="1" applyAlignment="1">
      <alignment horizontal="left" vertical="center"/>
    </xf>
    <xf numFmtId="164" fontId="48" fillId="0" borderId="16" xfId="90" applyNumberFormat="1" applyFont="1" applyFill="1" applyBorder="1" applyAlignment="1">
      <alignment horizontal="left" vertical="center"/>
    </xf>
    <xf numFmtId="164" fontId="34" fillId="0" borderId="21" xfId="90"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4" fontId="34" fillId="0" borderId="16" xfId="90" applyNumberFormat="1" applyFont="1" applyFill="1" applyBorder="1" applyAlignment="1">
      <alignment horizontal="center" vertical="center" wrapText="1"/>
    </xf>
    <xf numFmtId="164" fontId="34" fillId="0" borderId="16" xfId="90" applyNumberFormat="1" applyFont="1" applyFill="1" applyBorder="1" applyAlignment="1">
      <alignment horizontal="left" vertical="center" wrapText="1"/>
    </xf>
    <xf numFmtId="0" fontId="34" fillId="0" borderId="16" xfId="90" quotePrefix="1" applyNumberFormat="1" applyFont="1" applyFill="1" applyBorder="1" applyAlignment="1">
      <alignment horizontal="center" vertical="center" wrapText="1"/>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164" fontId="34" fillId="25" borderId="16" xfId="90" quotePrefix="1" applyNumberFormat="1" applyFont="1" applyFill="1" applyBorder="1" applyAlignment="1">
      <alignment horizontal="center" vertical="center" wrapText="1"/>
    </xf>
    <xf numFmtId="49" fontId="34" fillId="25" borderId="16" xfId="90" applyNumberFormat="1" applyFont="1" applyFill="1" applyBorder="1" applyAlignment="1">
      <alignment horizontal="left"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77" applyNumberFormat="1" applyFont="1" applyFill="1" applyBorder="1" applyAlignment="1">
      <alignment vertical="center"/>
    </xf>
    <xf numFmtId="14" fontId="34" fillId="0" borderId="16" xfId="90" quotePrefix="1" applyNumberFormat="1" applyFont="1" applyFill="1" applyBorder="1" applyAlignment="1">
      <alignment horizontal="center" vertical="center" wrapText="1"/>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14" fontId="49" fillId="0" borderId="16" xfId="90" quotePrefix="1" applyNumberFormat="1" applyFont="1" applyFill="1" applyBorder="1" applyAlignment="1">
      <alignment horizontal="center" vertical="center"/>
    </xf>
    <xf numFmtId="0" fontId="49" fillId="0" borderId="16" xfId="90" quotePrefix="1" applyNumberFormat="1" applyFont="1" applyFill="1" applyBorder="1" applyAlignment="1">
      <alignment horizontal="center" vertical="center"/>
    </xf>
    <xf numFmtId="14" fontId="34" fillId="35" borderId="16" xfId="90" applyNumberFormat="1" applyFont="1" applyFill="1" applyBorder="1" applyAlignment="1">
      <alignment horizontal="center" vertical="center"/>
    </xf>
    <xf numFmtId="164" fontId="34" fillId="35" borderId="16" xfId="90" applyNumberFormat="1" applyFont="1" applyFill="1" applyBorder="1" applyAlignment="1">
      <alignment horizontal="left" vertical="center"/>
    </xf>
    <xf numFmtId="164" fontId="34" fillId="35" borderId="16" xfId="90" quotePrefix="1" applyNumberFormat="1" applyFont="1" applyFill="1" applyBorder="1" applyAlignment="1">
      <alignment horizontal="center" vertical="center" wrapText="1"/>
    </xf>
    <xf numFmtId="49" fontId="34" fillId="35" borderId="16" xfId="90" applyNumberFormat="1" applyFont="1" applyFill="1" applyBorder="1" applyAlignment="1">
      <alignment horizontal="lef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164" fontId="34" fillId="35" borderId="16" xfId="77" applyNumberFormat="1" applyFont="1" applyFill="1" applyBorder="1" applyAlignment="1">
      <alignment vertical="center"/>
    </xf>
    <xf numFmtId="0" fontId="34" fillId="35" borderId="16" xfId="90" quotePrefix="1" applyNumberFormat="1" applyFont="1" applyFill="1" applyBorder="1" applyAlignment="1">
      <alignment horizontal="center" vertical="center"/>
    </xf>
    <xf numFmtId="164" fontId="34" fillId="35" borderId="16" xfId="90" applyNumberFormat="1" applyFont="1" applyFill="1" applyBorder="1" applyAlignment="1">
      <alignment horizontal="center" vertical="center" wrapText="1"/>
    </xf>
    <xf numFmtId="49" fontId="49" fillId="35" borderId="16" xfId="90" applyNumberFormat="1" applyFont="1" applyFill="1" applyBorder="1" applyAlignment="1">
      <alignment horizontal="left" vertical="center"/>
    </xf>
    <xf numFmtId="164" fontId="49" fillId="35" borderId="16" xfId="29" applyNumberFormat="1" applyFont="1" applyFill="1" applyBorder="1" applyAlignment="1">
      <alignment horizontal="left" vertical="center"/>
    </xf>
    <xf numFmtId="43" fontId="49" fillId="35" borderId="16" xfId="29" applyFont="1" applyFill="1" applyBorder="1" applyAlignment="1">
      <alignment horizontal="left" vertical="center"/>
    </xf>
    <xf numFmtId="0" fontId="76" fillId="0" borderId="0" xfId="77" applyFont="1" applyFill="1" applyBorder="1" applyAlignment="1" applyProtection="1">
      <alignment horizontal="center" vertical="center"/>
      <protection hidden="1"/>
    </xf>
    <xf numFmtId="0" fontId="75" fillId="0" borderId="0" xfId="0" applyFont="1" applyAlignment="1">
      <alignment horizontal="center" vertical="center"/>
    </xf>
    <xf numFmtId="0" fontId="75" fillId="0" borderId="0" xfId="77" applyFont="1" applyFill="1" applyBorder="1" applyAlignment="1" applyProtection="1">
      <alignment horizontal="center" vertical="center"/>
      <protection hidden="1"/>
    </xf>
    <xf numFmtId="0" fontId="75" fillId="0" borderId="2" xfId="0" applyFont="1" applyBorder="1" applyAlignment="1">
      <alignment horizontal="center" vertical="center"/>
    </xf>
    <xf numFmtId="0" fontId="76" fillId="0" borderId="2" xfId="0" applyFont="1" applyBorder="1" applyAlignment="1">
      <alignment horizontal="center" vertical="center"/>
    </xf>
    <xf numFmtId="0" fontId="76" fillId="0" borderId="0" xfId="0" applyFont="1" applyAlignment="1">
      <alignment horizontal="center" vertical="center"/>
    </xf>
    <xf numFmtId="176" fontId="39" fillId="0" borderId="0" xfId="77" applyNumberFormat="1" applyFont="1" applyFill="1" applyBorder="1" applyAlignment="1" applyProtection="1">
      <alignment horizontal="left" vertical="center"/>
      <protection hidden="1"/>
    </xf>
    <xf numFmtId="176" fontId="34" fillId="0" borderId="0" xfId="77" applyNumberFormat="1" applyFont="1" applyFill="1" applyBorder="1" applyAlignment="1" applyProtection="1">
      <alignment horizontal="left" vertical="center"/>
      <protection hidden="1"/>
    </xf>
    <xf numFmtId="176" fontId="68" fillId="29" borderId="0" xfId="87" applyNumberFormat="1" applyFont="1" applyFill="1" applyAlignment="1">
      <alignment vertical="center" wrapText="1"/>
    </xf>
    <xf numFmtId="176" fontId="33" fillId="0" borderId="0" xfId="87" applyNumberFormat="1" applyFont="1" applyAlignment="1">
      <alignment vertical="center"/>
    </xf>
    <xf numFmtId="176" fontId="33" fillId="0" borderId="0" xfId="87" applyNumberFormat="1" applyFont="1" applyAlignment="1">
      <alignment horizontal="center" vertical="center"/>
    </xf>
    <xf numFmtId="176" fontId="72" fillId="29" borderId="2" xfId="87" applyNumberFormat="1" applyFont="1" applyFill="1" applyBorder="1" applyAlignment="1">
      <alignment horizontal="center" vertical="center" wrapText="1"/>
    </xf>
    <xf numFmtId="176" fontId="73" fillId="29" borderId="2" xfId="87" applyNumberFormat="1" applyFont="1" applyFill="1" applyBorder="1" applyAlignment="1">
      <alignment vertical="center" wrapText="1"/>
    </xf>
    <xf numFmtId="176" fontId="34" fillId="0" borderId="16" xfId="87" applyNumberFormat="1" applyFont="1" applyFill="1" applyBorder="1" applyAlignment="1">
      <alignment horizontal="center" vertical="center" wrapText="1"/>
    </xf>
    <xf numFmtId="176" fontId="71" fillId="29" borderId="2" xfId="87" applyNumberFormat="1" applyFont="1" applyFill="1" applyBorder="1" applyAlignment="1">
      <alignment vertical="center" wrapText="1"/>
    </xf>
    <xf numFmtId="176" fontId="34" fillId="0" borderId="0" xfId="77" quotePrefix="1" applyNumberFormat="1" applyFont="1" applyAlignment="1">
      <alignment vertical="center"/>
    </xf>
    <xf numFmtId="176" fontId="34" fillId="0" borderId="0" xfId="87" quotePrefix="1" applyNumberFormat="1" applyFont="1" applyAlignment="1">
      <alignment horizontal="left" vertical="center"/>
    </xf>
    <xf numFmtId="176" fontId="73" fillId="29" borderId="0" xfId="87" applyNumberFormat="1" applyFont="1" applyFill="1" applyAlignment="1">
      <alignment vertical="center" wrapText="1"/>
    </xf>
    <xf numFmtId="176" fontId="34" fillId="0" borderId="0" xfId="87" applyNumberFormat="1" applyFont="1" applyAlignment="1">
      <alignment vertical="center"/>
    </xf>
    <xf numFmtId="176" fontId="75" fillId="0" borderId="0" xfId="87" applyNumberFormat="1" applyFont="1" applyAlignment="1">
      <alignment vertical="center"/>
    </xf>
    <xf numFmtId="176" fontId="34" fillId="0" borderId="36" xfId="87" applyNumberFormat="1" applyFont="1" applyFill="1" applyBorder="1" applyAlignment="1">
      <alignment horizontal="center" vertical="center" wrapText="1"/>
    </xf>
    <xf numFmtId="176" fontId="74" fillId="29" borderId="0" xfId="87" applyNumberFormat="1" applyFont="1" applyFill="1" applyAlignment="1">
      <alignment horizontal="center" vertical="center" wrapText="1"/>
    </xf>
    <xf numFmtId="176" fontId="36" fillId="0" borderId="0" xfId="77" applyNumberFormat="1" applyFont="1" applyFill="1" applyBorder="1" applyAlignment="1" applyProtection="1">
      <alignment horizontal="left" vertical="center"/>
      <protection hidden="1"/>
    </xf>
    <xf numFmtId="176" fontId="33" fillId="0" borderId="0" xfId="77" applyNumberFormat="1" applyFont="1" applyFill="1" applyBorder="1" applyAlignment="1" applyProtection="1">
      <alignment horizontal="left" vertical="center"/>
      <protection hidden="1"/>
    </xf>
    <xf numFmtId="176" fontId="33" fillId="0" borderId="0" xfId="52" applyNumberFormat="1" applyFont="1" applyAlignment="1">
      <alignment horizontal="left" vertical="center"/>
    </xf>
    <xf numFmtId="176" fontId="36" fillId="0" borderId="0" xfId="54" applyNumberFormat="1" applyFont="1" applyAlignment="1">
      <alignment horizontal="center" vertical="center" wrapText="1"/>
    </xf>
    <xf numFmtId="176" fontId="33" fillId="0" borderId="0" xfId="77" applyNumberFormat="1" applyFont="1" applyAlignment="1">
      <alignment horizontal="left" vertical="center"/>
    </xf>
    <xf numFmtId="176" fontId="35" fillId="0" borderId="2" xfId="77" applyNumberFormat="1" applyFont="1" applyBorder="1" applyAlignment="1">
      <alignment horizontal="center" vertical="center" wrapText="1"/>
    </xf>
    <xf numFmtId="176" fontId="36" fillId="0" borderId="21" xfId="77" applyNumberFormat="1" applyFont="1" applyBorder="1" applyAlignment="1">
      <alignment vertical="center" wrapText="1"/>
    </xf>
    <xf numFmtId="176" fontId="33" fillId="0" borderId="16" xfId="77" applyNumberFormat="1" applyFont="1" applyBorder="1" applyAlignment="1">
      <alignment horizontal="center" vertical="center" wrapText="1"/>
    </xf>
    <xf numFmtId="176" fontId="33" fillId="0" borderId="16" xfId="77" applyNumberFormat="1" applyFont="1" applyBorder="1" applyAlignment="1">
      <alignment vertical="center" wrapText="1"/>
    </xf>
    <xf numFmtId="176" fontId="36" fillId="0" borderId="16" xfId="77" applyNumberFormat="1" applyFont="1" applyBorder="1" applyAlignment="1">
      <alignment vertical="center" wrapText="1"/>
    </xf>
    <xf numFmtId="176" fontId="36" fillId="0" borderId="19" xfId="77" applyNumberFormat="1" applyFont="1" applyBorder="1" applyAlignment="1">
      <alignment vertical="center" wrapText="1"/>
    </xf>
    <xf numFmtId="176" fontId="33" fillId="0" borderId="0" xfId="77" applyNumberFormat="1" applyFont="1" applyAlignment="1">
      <alignment vertical="center"/>
    </xf>
    <xf numFmtId="176" fontId="33" fillId="0" borderId="0" xfId="77" quotePrefix="1" applyNumberFormat="1" applyFont="1" applyAlignment="1">
      <alignment vertical="center"/>
    </xf>
    <xf numFmtId="176" fontId="36" fillId="0" borderId="0" xfId="54" applyNumberFormat="1" applyFont="1" applyAlignment="1">
      <alignment horizontal="center" vertical="center"/>
    </xf>
    <xf numFmtId="176" fontId="33" fillId="0" borderId="0" xfId="54" applyNumberFormat="1" applyFont="1" applyAlignment="1">
      <alignment horizontal="center" vertical="center"/>
    </xf>
    <xf numFmtId="176" fontId="36" fillId="0" borderId="0" xfId="54" applyNumberFormat="1" applyFont="1" applyAlignment="1">
      <alignment vertical="center" wrapText="1"/>
    </xf>
    <xf numFmtId="176" fontId="34" fillId="0" borderId="0" xfId="90" applyNumberFormat="1" applyFont="1" applyFill="1" applyAlignment="1">
      <alignment horizontal="left" vertical="center"/>
    </xf>
    <xf numFmtId="176" fontId="39" fillId="0" borderId="0" xfId="54" applyNumberFormat="1" applyFont="1" applyFill="1" applyAlignment="1">
      <alignment horizontal="center" vertical="center" wrapText="1"/>
    </xf>
    <xf numFmtId="176" fontId="34" fillId="0" borderId="0" xfId="54" applyNumberFormat="1" applyFont="1" applyFill="1" applyAlignment="1">
      <alignment horizontal="center" vertical="center"/>
    </xf>
    <xf numFmtId="176" fontId="34" fillId="0" borderId="21" xfId="54" applyNumberFormat="1" applyFont="1" applyFill="1" applyBorder="1" applyAlignment="1">
      <alignment horizontal="center" vertical="center"/>
    </xf>
    <xf numFmtId="176" fontId="34" fillId="0" borderId="16" xfId="77" applyNumberFormat="1" applyFont="1" applyBorder="1" applyAlignment="1">
      <alignment horizontal="center" vertical="center" wrapText="1"/>
    </xf>
    <xf numFmtId="176" fontId="34" fillId="0" borderId="16" xfId="54" applyNumberFormat="1" applyFont="1" applyFill="1" applyBorder="1" applyAlignment="1">
      <alignment horizontal="center" vertical="center"/>
    </xf>
    <xf numFmtId="176" fontId="34" fillId="0" borderId="19" xfId="54" applyNumberFormat="1" applyFont="1" applyFill="1" applyBorder="1" applyAlignment="1">
      <alignment horizontal="center" vertical="center"/>
    </xf>
    <xf numFmtId="176" fontId="34" fillId="0" borderId="2" xfId="54" applyNumberFormat="1" applyFont="1" applyFill="1" applyBorder="1" applyAlignment="1">
      <alignment horizontal="center" vertical="center"/>
    </xf>
    <xf numFmtId="176" fontId="34" fillId="0" borderId="0" xfId="54" applyNumberFormat="1" applyFont="1" applyFill="1" applyBorder="1" applyAlignment="1">
      <alignment horizontal="left" vertical="center"/>
    </xf>
    <xf numFmtId="176" fontId="34" fillId="0" borderId="2" xfId="54" applyNumberFormat="1" applyFont="1" applyFill="1" applyBorder="1" applyAlignment="1">
      <alignment horizontal="center" vertical="center" wrapText="1"/>
    </xf>
    <xf numFmtId="176" fontId="34" fillId="0" borderId="0" xfId="54" applyNumberFormat="1" applyFont="1" applyFill="1" applyBorder="1" applyAlignment="1">
      <alignment horizontal="center" vertical="center"/>
    </xf>
    <xf numFmtId="164" fontId="46" fillId="0" borderId="2" xfId="29" applyNumberFormat="1" applyFont="1" applyFill="1" applyBorder="1" applyAlignment="1">
      <alignment horizontal="center" vertical="center"/>
    </xf>
    <xf numFmtId="164" fontId="46" fillId="0" borderId="0" xfId="29" applyNumberFormat="1" applyFont="1" applyFill="1" applyAlignment="1">
      <alignment horizontal="center" vertical="center"/>
    </xf>
    <xf numFmtId="164" fontId="101" fillId="0" borderId="0" xfId="77" applyNumberFormat="1" applyFont="1" applyBorder="1" applyAlignment="1" applyProtection="1">
      <alignment vertical="center"/>
      <protection hidden="1"/>
    </xf>
    <xf numFmtId="14" fontId="102" fillId="35" borderId="16" xfId="90" applyNumberFormat="1" applyFont="1" applyFill="1" applyBorder="1" applyAlignment="1">
      <alignment horizontal="center" vertical="center"/>
    </xf>
    <xf numFmtId="164" fontId="102" fillId="35" borderId="16" xfId="90" applyNumberFormat="1" applyFont="1" applyFill="1" applyBorder="1" applyAlignment="1">
      <alignment horizontal="left" vertical="center"/>
    </xf>
    <xf numFmtId="49" fontId="102" fillId="35" borderId="16" xfId="90" applyNumberFormat="1" applyFont="1" applyFill="1" applyBorder="1" applyAlignment="1">
      <alignment horizontal="center" vertical="center" wrapText="1"/>
    </xf>
    <xf numFmtId="49" fontId="102" fillId="35" borderId="16" xfId="90" applyNumberFormat="1" applyFont="1" applyFill="1" applyBorder="1" applyAlignment="1">
      <alignment horizontal="left" vertical="center"/>
    </xf>
    <xf numFmtId="164" fontId="102" fillId="35" borderId="16" xfId="29" applyNumberFormat="1" applyFont="1" applyFill="1" applyBorder="1" applyAlignment="1">
      <alignment horizontal="left" vertical="center"/>
    </xf>
    <xf numFmtId="43" fontId="102" fillId="35" borderId="16" xfId="29" applyFont="1" applyFill="1" applyBorder="1" applyAlignment="1">
      <alignment horizontal="left" vertical="center"/>
    </xf>
    <xf numFmtId="164" fontId="102" fillId="35" borderId="16" xfId="77" applyNumberFormat="1" applyFont="1" applyFill="1" applyBorder="1" applyAlignment="1">
      <alignment vertical="center"/>
    </xf>
    <xf numFmtId="0" fontId="51" fillId="35" borderId="16" xfId="90" quotePrefix="1" applyNumberFormat="1" applyFont="1" applyFill="1" applyBorder="1" applyAlignment="1">
      <alignment horizontal="center" vertical="center"/>
    </xf>
    <xf numFmtId="0" fontId="102" fillId="35" borderId="16" xfId="90" quotePrefix="1" applyNumberFormat="1" applyFont="1" applyFill="1" applyBorder="1" applyAlignment="1">
      <alignment horizontal="center" vertical="center"/>
    </xf>
    <xf numFmtId="14" fontId="103" fillId="35" borderId="16" xfId="90" applyNumberFormat="1" applyFont="1" applyFill="1" applyBorder="1" applyAlignment="1">
      <alignment horizontal="center" vertical="center"/>
    </xf>
    <xf numFmtId="164" fontId="103" fillId="35" borderId="16" xfId="90" applyNumberFormat="1" applyFont="1" applyFill="1" applyBorder="1" applyAlignment="1">
      <alignment horizontal="left" vertical="center"/>
    </xf>
    <xf numFmtId="49" fontId="103" fillId="35" borderId="16" xfId="90" applyNumberFormat="1" applyFont="1" applyFill="1" applyBorder="1" applyAlignment="1">
      <alignment horizontal="center" vertical="center" wrapText="1"/>
    </xf>
    <xf numFmtId="49" fontId="103" fillId="35" borderId="16" xfId="90" applyNumberFormat="1" applyFont="1" applyFill="1" applyBorder="1" applyAlignment="1">
      <alignment horizontal="left" vertical="center"/>
    </xf>
    <xf numFmtId="164" fontId="103" fillId="35" borderId="16" xfId="77" applyNumberFormat="1" applyFont="1" applyFill="1" applyBorder="1" applyAlignment="1">
      <alignment vertical="center"/>
    </xf>
    <xf numFmtId="164" fontId="49" fillId="35" borderId="16" xfId="29" quotePrefix="1" applyNumberFormat="1" applyFont="1" applyFill="1" applyBorder="1" applyAlignment="1">
      <alignment horizontal="left" vertical="center"/>
    </xf>
    <xf numFmtId="43" fontId="49" fillId="35" borderId="16" xfId="29" quotePrefix="1" applyFont="1" applyFill="1" applyBorder="1" applyAlignment="1">
      <alignment horizontal="left" vertical="center"/>
    </xf>
    <xf numFmtId="1" fontId="103" fillId="35" borderId="16" xfId="90" quotePrefix="1" applyNumberFormat="1" applyFont="1" applyFill="1" applyBorder="1" applyAlignment="1">
      <alignment horizontal="center" vertical="center"/>
    </xf>
    <xf numFmtId="49" fontId="34" fillId="35" borderId="16" xfId="90" applyNumberFormat="1" applyFont="1" applyFill="1" applyBorder="1" applyAlignment="1">
      <alignment horizontal="center" vertical="center" wrapText="1"/>
    </xf>
    <xf numFmtId="14" fontId="34" fillId="35" borderId="16" xfId="77" applyNumberFormat="1" applyFont="1" applyFill="1" applyBorder="1" applyAlignment="1">
      <alignment horizontal="center" vertical="center"/>
    </xf>
    <xf numFmtId="49" fontId="34" fillId="35" borderId="16" xfId="90" quotePrefix="1" applyNumberFormat="1" applyFont="1" applyFill="1" applyBorder="1" applyAlignment="1">
      <alignment horizontal="left" vertical="center"/>
    </xf>
    <xf numFmtId="3" fontId="34" fillId="35" borderId="16" xfId="46" applyFont="1" applyFill="1" applyBorder="1" applyAlignment="1">
      <alignment vertical="center"/>
    </xf>
    <xf numFmtId="164" fontId="34" fillId="35" borderId="16" xfId="29" applyNumberFormat="1" applyFont="1" applyFill="1" applyBorder="1" applyAlignment="1">
      <alignment horizontal="left" vertical="center" wrapText="1"/>
    </xf>
    <xf numFmtId="43" fontId="34" fillId="35" borderId="16" xfId="29" applyFont="1" applyFill="1" applyBorder="1" applyAlignment="1">
      <alignment horizontal="left" vertical="center" wrapText="1"/>
    </xf>
    <xf numFmtId="164" fontId="40" fillId="35" borderId="16" xfId="29" applyNumberFormat="1" applyFont="1" applyFill="1" applyBorder="1" applyAlignment="1">
      <alignment vertical="center"/>
    </xf>
    <xf numFmtId="43" fontId="40" fillId="35" borderId="16" xfId="29" applyFont="1" applyFill="1" applyBorder="1" applyAlignment="1">
      <alignment vertical="center"/>
    </xf>
    <xf numFmtId="14" fontId="34" fillId="35" borderId="16" xfId="90" quotePrefix="1" applyNumberFormat="1" applyFont="1" applyFill="1" applyBorder="1" applyAlignment="1">
      <alignment horizontal="center" vertical="center"/>
    </xf>
    <xf numFmtId="164" fontId="34" fillId="35" borderId="16" xfId="29" applyNumberFormat="1" applyFont="1" applyFill="1" applyBorder="1" applyAlignment="1">
      <alignment vertical="center"/>
    </xf>
    <xf numFmtId="43" fontId="34" fillId="35" borderId="16" xfId="29" applyFont="1" applyFill="1" applyBorder="1" applyAlignment="1">
      <alignment vertical="center"/>
    </xf>
    <xf numFmtId="164" fontId="51" fillId="35" borderId="16" xfId="77" applyNumberFormat="1" applyFont="1" applyFill="1" applyBorder="1" applyAlignment="1">
      <alignment vertical="center"/>
    </xf>
    <xf numFmtId="1" fontId="34" fillId="35" borderId="16" xfId="90" quotePrefix="1" applyNumberFormat="1" applyFont="1" applyFill="1" applyBorder="1" applyAlignment="1">
      <alignment horizontal="center" vertical="center"/>
    </xf>
    <xf numFmtId="0" fontId="102" fillId="25" borderId="16" xfId="90" quotePrefix="1" applyNumberFormat="1" applyFont="1" applyFill="1" applyBorder="1" applyAlignment="1">
      <alignment horizontal="center" vertical="center"/>
    </xf>
    <xf numFmtId="3" fontId="49" fillId="35" borderId="16" xfId="46" applyFont="1" applyFill="1" applyBorder="1" applyAlignment="1">
      <alignment vertical="center"/>
    </xf>
    <xf numFmtId="14" fontId="104" fillId="35" borderId="16" xfId="90" applyNumberFormat="1" applyFont="1" applyFill="1" applyBorder="1" applyAlignment="1">
      <alignment horizontal="center" vertical="center"/>
    </xf>
    <xf numFmtId="164" fontId="104" fillId="35" borderId="16" xfId="90" applyNumberFormat="1" applyFont="1" applyFill="1" applyBorder="1" applyAlignment="1">
      <alignment horizontal="left" vertical="center"/>
    </xf>
    <xf numFmtId="164" fontId="104" fillId="35" borderId="16" xfId="90" quotePrefix="1" applyNumberFormat="1" applyFont="1" applyFill="1" applyBorder="1" applyAlignment="1">
      <alignment horizontal="center" vertical="center" wrapText="1"/>
    </xf>
    <xf numFmtId="3" fontId="104" fillId="35" borderId="16" xfId="46" applyFont="1" applyFill="1" applyBorder="1" applyAlignment="1">
      <alignment vertical="center"/>
    </xf>
    <xf numFmtId="164" fontId="104" fillId="35" borderId="16" xfId="77" applyNumberFormat="1" applyFont="1" applyFill="1" applyBorder="1" applyAlignment="1">
      <alignment vertical="center"/>
    </xf>
    <xf numFmtId="0" fontId="104" fillId="35" borderId="16" xfId="90" quotePrefix="1" applyNumberFormat="1" applyFont="1" applyFill="1" applyBorder="1" applyAlignment="1">
      <alignment horizontal="center" vertical="center"/>
    </xf>
    <xf numFmtId="49" fontId="34" fillId="35" borderId="16" xfId="90" applyNumberFormat="1" applyFont="1" applyFill="1" applyBorder="1" applyAlignment="1">
      <alignment horizontal="center" vertical="center"/>
    </xf>
    <xf numFmtId="49" fontId="104" fillId="35" borderId="16" xfId="90" applyNumberFormat="1" applyFont="1" applyFill="1" applyBorder="1" applyAlignment="1">
      <alignment horizontal="center" vertical="center" wrapText="1"/>
    </xf>
    <xf numFmtId="49" fontId="104" fillId="35" borderId="16" xfId="90" applyNumberFormat="1" applyFont="1" applyFill="1" applyBorder="1" applyAlignment="1">
      <alignment horizontal="left" vertical="center"/>
    </xf>
    <xf numFmtId="49" fontId="34" fillId="35" borderId="16" xfId="90" quotePrefix="1" applyNumberFormat="1" applyFont="1" applyFill="1" applyBorder="1" applyAlignment="1">
      <alignment horizontal="center" vertical="center" wrapText="1"/>
    </xf>
    <xf numFmtId="3" fontId="75" fillId="0" borderId="16" xfId="46" applyFont="1" applyBorder="1" applyAlignment="1">
      <alignment vertical="center"/>
    </xf>
    <xf numFmtId="1" fontId="49" fillId="0" borderId="16" xfId="90" quotePrefix="1" applyNumberFormat="1" applyFont="1" applyFill="1" applyBorder="1" applyAlignment="1">
      <alignment horizontal="center" vertical="center"/>
    </xf>
    <xf numFmtId="164" fontId="26" fillId="0" borderId="0" xfId="73" applyNumberFormat="1" applyBorder="1"/>
    <xf numFmtId="0" fontId="102" fillId="0" borderId="16" xfId="77" applyNumberFormat="1" applyFont="1" applyFill="1" applyBorder="1" applyAlignment="1">
      <alignment horizontal="center" vertical="center"/>
    </xf>
    <xf numFmtId="164" fontId="102" fillId="35" borderId="16" xfId="90" quotePrefix="1" applyNumberFormat="1" applyFont="1" applyFill="1" applyBorder="1" applyAlignment="1">
      <alignment horizontal="center" vertical="center" wrapText="1"/>
    </xf>
    <xf numFmtId="3" fontId="102" fillId="35" borderId="16" xfId="46" applyFont="1" applyFill="1" applyBorder="1" applyAlignment="1">
      <alignment vertical="center"/>
    </xf>
    <xf numFmtId="0" fontId="102" fillId="0" borderId="16" xfId="76" quotePrefix="1" applyNumberFormat="1" applyFont="1" applyFill="1" applyBorder="1" applyAlignment="1">
      <alignment horizontal="center" vertical="center"/>
    </xf>
    <xf numFmtId="0" fontId="105" fillId="0" borderId="0" xfId="0" applyFont="1" applyFill="1"/>
    <xf numFmtId="49" fontId="103" fillId="35" borderId="16" xfId="90" quotePrefix="1" applyNumberFormat="1" applyFont="1" applyFill="1" applyBorder="1" applyAlignment="1">
      <alignment horizontal="center" vertical="center" wrapText="1"/>
    </xf>
    <xf numFmtId="164" fontId="34" fillId="0" borderId="16" xfId="29" applyNumberFormat="1" applyFont="1" applyFill="1" applyBorder="1" applyAlignment="1">
      <alignment vertical="center" wrapText="1"/>
    </xf>
    <xf numFmtId="0" fontId="34" fillId="0" borderId="2" xfId="76" applyFont="1" applyFill="1" applyBorder="1" applyAlignment="1">
      <alignment horizontal="center" vertical="center" wrapText="1"/>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center" wrapText="1"/>
    </xf>
    <xf numFmtId="49" fontId="0" fillId="0" borderId="0" xfId="0" applyNumberFormat="1" applyFill="1"/>
    <xf numFmtId="49" fontId="34" fillId="0" borderId="2" xfId="0" quotePrefix="1" applyNumberFormat="1" applyFont="1" applyFill="1" applyBorder="1" applyAlignment="1">
      <alignment horizontal="center" wrapText="1"/>
    </xf>
    <xf numFmtId="164" fontId="34" fillId="35" borderId="16" xfId="77" applyNumberFormat="1" applyFont="1" applyFill="1" applyBorder="1" applyAlignment="1">
      <alignment vertical="center" wrapText="1"/>
    </xf>
    <xf numFmtId="164" fontId="34" fillId="36" borderId="16" xfId="77" applyNumberFormat="1" applyFont="1" applyFill="1" applyBorder="1" applyAlignment="1">
      <alignment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0" fontId="45" fillId="0" borderId="0" xfId="76" applyFont="1" applyFill="1" applyAlignment="1">
      <alignment horizontal="center" vertical="center"/>
    </xf>
    <xf numFmtId="0" fontId="36" fillId="0" borderId="0" xfId="76" applyFont="1" applyFill="1" applyAlignment="1">
      <alignment horizontal="center" vertical="center"/>
    </xf>
    <xf numFmtId="0" fontId="34" fillId="0" borderId="2" xfId="76" applyFont="1" applyFill="1" applyBorder="1" applyAlignment="1">
      <alignment horizontal="center" vertical="center" wrapText="1"/>
    </xf>
    <xf numFmtId="0" fontId="34" fillId="0" borderId="5"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center" vertical="center" wrapText="1"/>
    </xf>
    <xf numFmtId="0" fontId="34" fillId="0" borderId="18" xfId="76"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79" fillId="0" borderId="0" xfId="0" applyFont="1" applyAlignment="1">
      <alignment horizontal="center"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2" xfId="54" applyFont="1" applyFill="1" applyBorder="1" applyAlignment="1">
      <alignment horizontal="center" vertical="center"/>
    </xf>
    <xf numFmtId="0" fontId="45"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176" fontId="34" fillId="0" borderId="2" xfId="54" applyNumberFormat="1" applyFont="1" applyFill="1" applyBorder="1" applyAlignment="1">
      <alignment horizontal="center" vertical="center" wrapText="1"/>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60"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9"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76" fontId="33" fillId="0" borderId="17" xfId="77" applyNumberFormat="1" applyFont="1" applyBorder="1" applyAlignment="1">
      <alignment horizontal="center" vertical="center" wrapText="1"/>
    </xf>
    <xf numFmtId="176" fontId="33" fillId="0" borderId="18" xfId="77" applyNumberFormat="1" applyFont="1" applyBorder="1" applyAlignment="1">
      <alignment horizontal="center" vertical="center" wrapText="1"/>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70" fillId="0" borderId="0" xfId="87" applyFont="1" applyAlignment="1">
      <alignment horizontal="center" vertical="center" wrapText="1"/>
    </xf>
    <xf numFmtId="0" fontId="33" fillId="0" borderId="0" xfId="87" applyFont="1" applyAlignment="1">
      <alignment horizontal="center" vertical="center"/>
    </xf>
    <xf numFmtId="176" fontId="71" fillId="29" borderId="17" xfId="87" applyNumberFormat="1" applyFont="1" applyFill="1" applyBorder="1" applyAlignment="1">
      <alignment horizontal="center" vertical="center" wrapText="1"/>
    </xf>
    <xf numFmtId="176" fontId="71"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71" fillId="29" borderId="36" xfId="87" applyFont="1" applyFill="1" applyBorder="1" applyAlignment="1">
      <alignment horizontal="center" vertical="center" wrapText="1"/>
    </xf>
    <xf numFmtId="0" fontId="71" fillId="29" borderId="38"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3"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 xfId="53" applyFont="1" applyFill="1" applyBorder="1" applyAlignment="1">
      <alignment horizontal="center" vertical="center"/>
    </xf>
    <xf numFmtId="0" fontId="39" fillId="21" borderId="2" xfId="34" applyFont="1" applyBorder="1" applyAlignment="1">
      <alignment horizontal="center" vertical="center" wrapTex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5" fillId="0" borderId="5" xfId="77" applyFont="1" applyBorder="1" applyAlignment="1">
      <alignment vertical="center"/>
    </xf>
    <xf numFmtId="0" fontId="55"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164" fontId="36" fillId="0" borderId="0" xfId="54" applyNumberFormat="1" applyFont="1" applyAlignment="1">
      <alignment horizontal="center" vertical="center"/>
    </xf>
    <xf numFmtId="0" fontId="36" fillId="0" borderId="0" xfId="52" applyFont="1" applyAlignment="1">
      <alignment horizontal="center" vertical="center"/>
    </xf>
    <xf numFmtId="0" fontId="36" fillId="0" borderId="2" xfId="52" applyFont="1" applyBorder="1" applyAlignment="1">
      <alignment horizontal="center" vertical="center"/>
    </xf>
    <xf numFmtId="0" fontId="36" fillId="0" borderId="2" xfId="52" applyFont="1" applyBorder="1" applyAlignment="1">
      <alignment horizontal="center" vertical="center" wrapText="1"/>
    </xf>
    <xf numFmtId="164" fontId="34" fillId="0" borderId="0" xfId="54" applyNumberFormat="1" applyFont="1" applyAlignment="1">
      <alignment horizontal="center" vertical="center" wrapTex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7"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7"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3" fillId="0" borderId="22" xfId="0" applyFont="1" applyBorder="1" applyAlignment="1">
      <alignment horizontal="center" vertical="center"/>
    </xf>
    <xf numFmtId="0" fontId="33" fillId="0" borderId="0" xfId="99" applyFont="1" applyAlignment="1" applyProtection="1">
      <alignment horizontal="center"/>
      <protection hidden="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91"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0" xfId="0" quotePrefix="1" applyFont="1" applyBorder="1" applyAlignment="1" applyProtection="1">
      <alignment horizontal="left"/>
      <protection hidden="1"/>
    </xf>
    <xf numFmtId="0" fontId="33" fillId="0" borderId="46"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7"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50"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50"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0" fontId="36" fillId="29" borderId="0" xfId="0"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50" xfId="0" applyNumberFormat="1" applyFont="1" applyFill="1" applyBorder="1" applyAlignment="1" applyProtection="1">
      <alignment horizontal="center" vertical="center" wrapText="1"/>
      <protection hidden="1"/>
    </xf>
    <xf numFmtId="0" fontId="75" fillId="0" borderId="0" xfId="100" applyFont="1" applyAlignment="1">
      <alignment horizontal="center" vertical="center"/>
    </xf>
    <xf numFmtId="0" fontId="75" fillId="0" borderId="0" xfId="100" applyFont="1" applyAlignment="1">
      <alignment horizontal="left" vertical="center" wrapText="1"/>
    </xf>
    <xf numFmtId="0" fontId="75" fillId="0" borderId="0" xfId="100" applyFont="1" applyAlignment="1">
      <alignment horizontal="left" vertical="center"/>
    </xf>
    <xf numFmtId="0" fontId="38" fillId="0" borderId="0" xfId="100" applyFont="1" applyAlignment="1">
      <alignment horizontal="center" vertical="center" wrapText="1"/>
    </xf>
    <xf numFmtId="0" fontId="46" fillId="0" borderId="28" xfId="100" applyFont="1" applyBorder="1" applyAlignment="1">
      <alignment horizontal="center" vertical="center" wrapText="1"/>
    </xf>
    <xf numFmtId="0" fontId="46" fillId="0" borderId="29" xfId="100" applyFont="1" applyBorder="1" applyAlignment="1">
      <alignment horizontal="center" vertical="center" wrapText="1"/>
    </xf>
    <xf numFmtId="0" fontId="46" fillId="0" borderId="51" xfId="100" applyFont="1" applyBorder="1" applyAlignment="1">
      <alignment horizontal="center" vertical="center" wrapText="1"/>
    </xf>
    <xf numFmtId="0" fontId="46" fillId="0" borderId="52" xfId="100" applyFont="1" applyBorder="1" applyAlignment="1">
      <alignment horizontal="center" vertical="center" wrapText="1"/>
    </xf>
    <xf numFmtId="0" fontId="46" fillId="0" borderId="32" xfId="100" applyFont="1" applyBorder="1" applyAlignment="1">
      <alignment horizontal="center" vertical="center" wrapText="1"/>
    </xf>
    <xf numFmtId="0" fontId="46" fillId="0" borderId="33" xfId="100" applyFont="1" applyBorder="1" applyAlignment="1">
      <alignment horizontal="center" vertical="center" wrapText="1"/>
    </xf>
    <xf numFmtId="0" fontId="93"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41" fontId="33" fillId="0" borderId="0" xfId="29" applyNumberFormat="1" applyFont="1" applyAlignment="1">
      <alignment horizont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91" fillId="0" borderId="0" xfId="29" applyNumberFormat="1" applyFont="1" applyAlignment="1">
      <alignment horizontal="center"/>
    </xf>
    <xf numFmtId="41" fontId="33" fillId="0" borderId="0" xfId="29" applyNumberFormat="1" applyFont="1" applyBorder="1" applyAlignment="1">
      <alignment horizontal="right"/>
    </xf>
    <xf numFmtId="41" fontId="33" fillId="0" borderId="0" xfId="29" applyNumberFormat="1" applyFont="1" applyBorder="1" applyAlignment="1">
      <alignment horizontal="left"/>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82"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cellXfs>
  <cellStyles count="10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sheetPr>
    <tabColor rgb="FFFFC000"/>
  </sheetPr>
  <dimension ref="A1:L70"/>
  <sheetViews>
    <sheetView topLeftCell="A8" workbookViewId="0">
      <pane ySplit="2" topLeftCell="A33" activePane="bottomLeft" state="frozen"/>
      <selection activeCell="A8" sqref="A8"/>
      <selection pane="bottomLeft" activeCell="B63" sqref="B63"/>
    </sheetView>
  </sheetViews>
  <sheetFormatPr defaultColWidth="8" defaultRowHeight="13.5"/>
  <cols>
    <col min="1" max="1" width="7.42578125" style="33" customWidth="1"/>
    <col min="2" max="2" width="35.85546875" style="33" customWidth="1"/>
    <col min="3" max="3" width="14.5703125" style="32" customWidth="1"/>
    <col min="4" max="4" width="13.5703125" style="32" customWidth="1"/>
    <col min="5" max="5" width="15.140625" style="33" customWidth="1"/>
    <col min="6" max="6" width="17.28515625" style="33" customWidth="1"/>
    <col min="7" max="7" width="13.85546875" style="33" customWidth="1"/>
    <col min="8" max="8" width="14.7109375" style="33" customWidth="1"/>
    <col min="9" max="9" width="13.28515625" style="33" customWidth="1"/>
    <col min="10" max="10" width="15.42578125" style="33" customWidth="1"/>
    <col min="11" max="11" width="13.7109375" style="33" customWidth="1"/>
    <col min="12" max="16384" width="8" style="33"/>
  </cols>
  <sheetData>
    <row r="1" spans="1:12">
      <c r="A1" s="90" t="s">
        <v>212</v>
      </c>
      <c r="B1" s="31"/>
    </row>
    <row r="2" spans="1:12">
      <c r="A2" s="101" t="s">
        <v>213</v>
      </c>
      <c r="B2" s="31"/>
    </row>
    <row r="3" spans="1:12">
      <c r="A3" s="31"/>
      <c r="B3" s="31"/>
    </row>
    <row r="5" spans="1:12" ht="18">
      <c r="A5" s="1008" t="s">
        <v>89</v>
      </c>
      <c r="B5" s="34"/>
      <c r="C5" s="35"/>
      <c r="D5" s="35"/>
      <c r="E5" s="34"/>
      <c r="F5" s="34"/>
      <c r="G5" s="34"/>
      <c r="H5" s="34"/>
    </row>
    <row r="6" spans="1:12" ht="15.75">
      <c r="A6" s="36" t="s">
        <v>955</v>
      </c>
      <c r="B6" s="34"/>
      <c r="C6" s="35"/>
      <c r="D6" s="35"/>
      <c r="E6" s="34"/>
      <c r="F6" s="34"/>
      <c r="G6" s="34"/>
      <c r="H6" s="34"/>
    </row>
    <row r="8" spans="1:12">
      <c r="A8" s="37"/>
      <c r="B8" s="37" t="s">
        <v>90</v>
      </c>
      <c r="C8" s="38" t="s">
        <v>91</v>
      </c>
      <c r="D8" s="38"/>
      <c r="E8" s="39" t="s">
        <v>92</v>
      </c>
      <c r="F8" s="39"/>
      <c r="G8" s="39" t="s">
        <v>93</v>
      </c>
      <c r="H8" s="39"/>
    </row>
    <row r="9" spans="1:12">
      <c r="A9" s="40" t="s">
        <v>94</v>
      </c>
      <c r="B9" s="40"/>
      <c r="C9" s="38" t="s">
        <v>95</v>
      </c>
      <c r="D9" s="38" t="s">
        <v>96</v>
      </c>
      <c r="E9" s="39" t="s">
        <v>95</v>
      </c>
      <c r="F9" s="39" t="s">
        <v>96</v>
      </c>
      <c r="G9" s="39" t="s">
        <v>95</v>
      </c>
      <c r="H9" s="39" t="s">
        <v>96</v>
      </c>
    </row>
    <row r="10" spans="1:12" s="32" customFormat="1">
      <c r="A10" s="41" t="s">
        <v>97</v>
      </c>
      <c r="B10" s="42" t="s">
        <v>98</v>
      </c>
      <c r="C10" s="43">
        <v>1342165410</v>
      </c>
      <c r="D10" s="43">
        <v>0</v>
      </c>
      <c r="E10" s="43">
        <f t="array" ref="E10">SUM(IF(A10=KHN,TH))</f>
        <v>5852000000</v>
      </c>
      <c r="F10" s="43">
        <f t="array" ref="F10">SUM(IF(A10=KHC,TH))</f>
        <v>7106427513</v>
      </c>
      <c r="G10" s="44">
        <f>MAX(C10+E10-D10-F10,0)</f>
        <v>87737897</v>
      </c>
      <c r="H10" s="44">
        <f>MAX(D10+F10-E10-C10,0)</f>
        <v>0</v>
      </c>
      <c r="K10" s="45"/>
      <c r="L10" s="45"/>
    </row>
    <row r="11" spans="1:12" s="32" customFormat="1">
      <c r="A11" s="46" t="s">
        <v>21</v>
      </c>
      <c r="B11" s="47" t="s">
        <v>99</v>
      </c>
      <c r="C11" s="48">
        <v>1342165410</v>
      </c>
      <c r="D11" s="48">
        <v>0</v>
      </c>
      <c r="E11" s="48">
        <f>E10</f>
        <v>5852000000</v>
      </c>
      <c r="F11" s="48">
        <f>F10</f>
        <v>7106427513</v>
      </c>
      <c r="G11" s="48">
        <f>G10</f>
        <v>87737897</v>
      </c>
      <c r="H11" s="48">
        <f>H10</f>
        <v>0</v>
      </c>
    </row>
    <row r="12" spans="1:12" s="32" customFormat="1">
      <c r="A12" s="49" t="s">
        <v>31</v>
      </c>
      <c r="B12" s="42" t="s">
        <v>100</v>
      </c>
      <c r="C12" s="43">
        <v>1694774692</v>
      </c>
      <c r="D12" s="43">
        <v>0</v>
      </c>
      <c r="E12" s="43">
        <f t="array" ref="E12">SUM(IF(A12=KHN,TH))</f>
        <v>8901315842</v>
      </c>
      <c r="F12" s="43">
        <f t="array" ref="F12">SUM(IF(A12=KHC,TH))</f>
        <v>10593656011</v>
      </c>
      <c r="G12" s="44">
        <f>MAX(C12+E12-D12-F12,0)</f>
        <v>2434523</v>
      </c>
      <c r="H12" s="44">
        <f>MAX(D12+F12-E12-C12,0)</f>
        <v>0</v>
      </c>
      <c r="K12" s="45"/>
      <c r="L12" s="45"/>
    </row>
    <row r="13" spans="1:12" s="32" customFormat="1">
      <c r="A13" s="49" t="s">
        <v>453</v>
      </c>
      <c r="B13" s="42" t="s">
        <v>1005</v>
      </c>
      <c r="C13" s="43"/>
      <c r="D13" s="43">
        <v>0</v>
      </c>
      <c r="E13" s="43">
        <f t="array" ref="E13">SUM(IF(A13=KHN,TH))</f>
        <v>1962840000</v>
      </c>
      <c r="F13" s="43">
        <f t="array" ref="F13">SUM(IF(A13=KHC,TH))</f>
        <v>1962840000</v>
      </c>
      <c r="G13" s="44">
        <f>MAX(C13+E13-D13-F13,0)</f>
        <v>0</v>
      </c>
      <c r="H13" s="44">
        <f>MAX(D13+F13-E13-C13,0)</f>
        <v>0</v>
      </c>
      <c r="K13" s="45"/>
      <c r="L13" s="45"/>
    </row>
    <row r="14" spans="1:12" s="32" customFormat="1">
      <c r="A14" s="46" t="s">
        <v>101</v>
      </c>
      <c r="B14" s="47" t="s">
        <v>102</v>
      </c>
      <c r="C14" s="48">
        <f t="shared" ref="C14:H14" si="0">C12+C13</f>
        <v>1694774692</v>
      </c>
      <c r="D14" s="48">
        <f t="shared" si="0"/>
        <v>0</v>
      </c>
      <c r="E14" s="48">
        <f t="shared" si="0"/>
        <v>10864155842</v>
      </c>
      <c r="F14" s="48">
        <f t="shared" si="0"/>
        <v>12556496011</v>
      </c>
      <c r="G14" s="48">
        <f t="shared" si="0"/>
        <v>2434523</v>
      </c>
      <c r="H14" s="48">
        <f t="shared" si="0"/>
        <v>0</v>
      </c>
    </row>
    <row r="15" spans="1:12" s="32" customFormat="1">
      <c r="A15" s="46" t="s">
        <v>772</v>
      </c>
      <c r="B15" s="47" t="s">
        <v>773</v>
      </c>
      <c r="C15" s="48"/>
      <c r="D15" s="48">
        <v>0</v>
      </c>
      <c r="E15" s="81">
        <f t="array" ref="E15">SUM(IF(A15=KHN,TH))</f>
        <v>0</v>
      </c>
      <c r="F15" s="81">
        <f t="array" ref="F15">SUM(IF(A15=KHC,TH))</f>
        <v>0</v>
      </c>
      <c r="G15" s="48">
        <f>MAX(C15+E15-D15-F15,0)</f>
        <v>0</v>
      </c>
      <c r="H15" s="48">
        <f>MAX(D15+F15-E15-C15,0)</f>
        <v>0</v>
      </c>
    </row>
    <row r="16" spans="1:12" s="32" customFormat="1">
      <c r="A16" s="49" t="s">
        <v>10</v>
      </c>
      <c r="B16" s="42" t="s">
        <v>103</v>
      </c>
      <c r="C16" s="43"/>
      <c r="D16" s="43">
        <v>0</v>
      </c>
      <c r="E16" s="43">
        <f t="array" ref="E16">SUM(IF(A16=KHN,TH))</f>
        <v>108021072</v>
      </c>
      <c r="F16" s="43">
        <f t="array" ref="F16">SUM(IF(A16=KHC,TH))</f>
        <v>0</v>
      </c>
      <c r="G16" s="44">
        <f>MAX(C16+E16-D16-F16,0)</f>
        <v>108021072</v>
      </c>
      <c r="H16" s="44">
        <f>MAX(D16+F16-E16-C16,0)</f>
        <v>0</v>
      </c>
    </row>
    <row r="17" spans="1:8" s="32" customFormat="1">
      <c r="A17" s="41" t="s">
        <v>981</v>
      </c>
      <c r="B17" s="42" t="s">
        <v>984</v>
      </c>
      <c r="C17" s="43">
        <v>452614594</v>
      </c>
      <c r="D17" s="43">
        <v>0</v>
      </c>
      <c r="E17" s="43">
        <f t="array" ref="E17">SUM(IF(A17=KHN,TH))</f>
        <v>816174332</v>
      </c>
      <c r="F17" s="43">
        <f t="array" ref="F17">SUM(IF(A17=KHC,TH))</f>
        <v>1219554047</v>
      </c>
      <c r="G17" s="44">
        <f>MAX(C17+E17-D17-F17,0)</f>
        <v>49234879</v>
      </c>
      <c r="H17" s="44">
        <f>MAX(D17+F17-E17-C17,0)</f>
        <v>0</v>
      </c>
    </row>
    <row r="18" spans="1:8" s="32" customFormat="1">
      <c r="A18" s="46" t="s">
        <v>104</v>
      </c>
      <c r="B18" s="47" t="s">
        <v>105</v>
      </c>
      <c r="C18" s="48">
        <f>C16+C17</f>
        <v>452614594</v>
      </c>
      <c r="D18" s="48">
        <f t="shared" ref="D18:H18" si="1">D16+D17</f>
        <v>0</v>
      </c>
      <c r="E18" s="48">
        <f t="shared" si="1"/>
        <v>924195404</v>
      </c>
      <c r="F18" s="48">
        <f t="shared" si="1"/>
        <v>1219554047</v>
      </c>
      <c r="G18" s="48">
        <f t="shared" si="1"/>
        <v>157255951</v>
      </c>
      <c r="H18" s="48">
        <f t="shared" si="1"/>
        <v>0</v>
      </c>
    </row>
    <row r="19" spans="1:8" s="32" customFormat="1">
      <c r="A19" s="49" t="s">
        <v>106</v>
      </c>
      <c r="B19" s="42" t="s">
        <v>107</v>
      </c>
      <c r="C19" s="43">
        <v>0</v>
      </c>
      <c r="D19" s="43">
        <v>0</v>
      </c>
      <c r="E19" s="43">
        <f t="array" ref="E19">SUM(IF(A19=KHN,TH))</f>
        <v>1219554047</v>
      </c>
      <c r="F19" s="43">
        <f t="array" ref="F19">SUM(IF(A19=KHC,TH))</f>
        <v>1219554047</v>
      </c>
      <c r="G19" s="44">
        <f t="shared" ref="G19:G36" si="2">MAX(C19+E19-D19-F19,0)</f>
        <v>0</v>
      </c>
      <c r="H19" s="44">
        <f t="shared" ref="H19:H36" si="3">MAX(D19+F19-E19-C19,0)</f>
        <v>0</v>
      </c>
    </row>
    <row r="20" spans="1:8" s="32" customFormat="1">
      <c r="A20" s="46" t="s">
        <v>108</v>
      </c>
      <c r="B20" s="47" t="s">
        <v>109</v>
      </c>
      <c r="C20" s="48">
        <v>0</v>
      </c>
      <c r="D20" s="48">
        <v>0</v>
      </c>
      <c r="E20" s="48">
        <f>E19</f>
        <v>1219554047</v>
      </c>
      <c r="F20" s="48">
        <f>F19</f>
        <v>1219554047</v>
      </c>
      <c r="G20" s="48">
        <f t="shared" si="2"/>
        <v>0</v>
      </c>
      <c r="H20" s="48">
        <f t="shared" si="3"/>
        <v>0</v>
      </c>
    </row>
    <row r="21" spans="1:8" s="32" customFormat="1">
      <c r="A21" s="46" t="s">
        <v>458</v>
      </c>
      <c r="B21" s="47" t="s">
        <v>459</v>
      </c>
      <c r="C21" s="48"/>
      <c r="D21" s="48">
        <v>0</v>
      </c>
      <c r="E21" s="81">
        <f t="array" ref="E21">SUM(IF(A21=KHN,TH))</f>
        <v>0</v>
      </c>
      <c r="F21" s="81">
        <f t="array" ref="F21">SUM(IF(A21=KHC,TH))</f>
        <v>0</v>
      </c>
      <c r="G21" s="48">
        <f t="shared" si="2"/>
        <v>0</v>
      </c>
      <c r="H21" s="48">
        <f t="shared" si="3"/>
        <v>0</v>
      </c>
    </row>
    <row r="22" spans="1:8" s="32" customFormat="1">
      <c r="A22" s="49" t="s">
        <v>460</v>
      </c>
      <c r="B22" s="42" t="s">
        <v>461</v>
      </c>
      <c r="C22" s="43"/>
      <c r="D22" s="43">
        <v>0</v>
      </c>
      <c r="E22" s="43">
        <f t="array" ref="E22">SUM(IF(A22=KHN,TH))</f>
        <v>0</v>
      </c>
      <c r="F22" s="43">
        <f t="array" ref="F22">SUM(IF(A22=KHC,TH))</f>
        <v>0</v>
      </c>
      <c r="G22" s="44">
        <f t="shared" si="2"/>
        <v>0</v>
      </c>
      <c r="H22" s="44">
        <f t="shared" si="3"/>
        <v>0</v>
      </c>
    </row>
    <row r="23" spans="1:8" s="32" customFormat="1">
      <c r="A23" s="49" t="s">
        <v>462</v>
      </c>
      <c r="B23" s="42" t="s">
        <v>463</v>
      </c>
      <c r="C23" s="43"/>
      <c r="D23" s="43">
        <v>0</v>
      </c>
      <c r="E23" s="43">
        <f t="array" ref="E23">SUM(IF(A23=KHN,TH))</f>
        <v>183214692</v>
      </c>
      <c r="F23" s="43">
        <f t="array" ref="F23">SUM(IF(A23=KHC,TH))</f>
        <v>0</v>
      </c>
      <c r="G23" s="43">
        <f t="shared" si="2"/>
        <v>183214692</v>
      </c>
      <c r="H23" s="43">
        <f t="shared" si="3"/>
        <v>0</v>
      </c>
    </row>
    <row r="24" spans="1:8" s="32" customFormat="1">
      <c r="A24" s="46" t="s">
        <v>464</v>
      </c>
      <c r="B24" s="47" t="s">
        <v>465</v>
      </c>
      <c r="C24" s="48"/>
      <c r="D24" s="48">
        <v>0</v>
      </c>
      <c r="E24" s="48">
        <f>E22+E23</f>
        <v>183214692</v>
      </c>
      <c r="F24" s="48">
        <f>F22+F23</f>
        <v>0</v>
      </c>
      <c r="G24" s="48">
        <f t="shared" si="2"/>
        <v>183214692</v>
      </c>
      <c r="H24" s="48">
        <f t="shared" si="3"/>
        <v>0</v>
      </c>
    </row>
    <row r="25" spans="1:8" s="32" customFormat="1">
      <c r="A25" s="46" t="s">
        <v>466</v>
      </c>
      <c r="B25" s="47" t="s">
        <v>467</v>
      </c>
      <c r="C25" s="48"/>
      <c r="D25" s="48">
        <v>0</v>
      </c>
      <c r="E25" s="81">
        <f t="array" ref="E25">SUM(IF(A25=KHN,TH))</f>
        <v>0</v>
      </c>
      <c r="F25" s="81">
        <f t="array" ref="F25">SUM(IF(A25=KHC,TH))</f>
        <v>0</v>
      </c>
      <c r="G25" s="48">
        <f t="shared" si="2"/>
        <v>0</v>
      </c>
      <c r="H25" s="48">
        <f t="shared" si="3"/>
        <v>0</v>
      </c>
    </row>
    <row r="26" spans="1:8" s="32" customFormat="1">
      <c r="A26" s="46" t="s">
        <v>468</v>
      </c>
      <c r="B26" s="47" t="s">
        <v>469</v>
      </c>
      <c r="C26" s="48"/>
      <c r="D26" s="48">
        <v>0</v>
      </c>
      <c r="E26" s="81">
        <f t="array" ref="E26">SUM(IF(A26=KHN,TH))</f>
        <v>852201875</v>
      </c>
      <c r="F26" s="81">
        <f t="array" ref="F26">SUM(IF(A26=KHC,TH))</f>
        <v>852201875</v>
      </c>
      <c r="G26" s="48">
        <f t="shared" si="2"/>
        <v>0</v>
      </c>
      <c r="H26" s="48">
        <f t="shared" si="3"/>
        <v>0</v>
      </c>
    </row>
    <row r="27" spans="1:8" s="32" customFormat="1">
      <c r="A27" s="46" t="s">
        <v>470</v>
      </c>
      <c r="B27" s="47" t="s">
        <v>471</v>
      </c>
      <c r="C27" s="48"/>
      <c r="D27" s="48">
        <v>0</v>
      </c>
      <c r="E27" s="81">
        <f t="array" ref="E27">SUM(IF(A27=KHN,TH))</f>
        <v>0</v>
      </c>
      <c r="F27" s="81">
        <f t="array" ref="F27">SUM(IF(A27=KHC,TH))</f>
        <v>0</v>
      </c>
      <c r="G27" s="48">
        <f t="shared" si="2"/>
        <v>0</v>
      </c>
      <c r="H27" s="48">
        <f t="shared" si="3"/>
        <v>0</v>
      </c>
    </row>
    <row r="28" spans="1:8" s="32" customFormat="1">
      <c r="A28" s="487" t="s">
        <v>472</v>
      </c>
      <c r="B28" s="488" t="s">
        <v>473</v>
      </c>
      <c r="C28" s="489"/>
      <c r="D28" s="489">
        <v>0</v>
      </c>
      <c r="E28" s="43">
        <f t="array" ref="E28">SUM(IF(A28=KHN,TH))</f>
        <v>0</v>
      </c>
      <c r="F28" s="43">
        <f t="array" ref="F28">SUM(IF(A28=KHC,TH))</f>
        <v>0</v>
      </c>
      <c r="G28" s="489">
        <f t="shared" si="2"/>
        <v>0</v>
      </c>
      <c r="H28" s="489">
        <f t="shared" si="3"/>
        <v>0</v>
      </c>
    </row>
    <row r="29" spans="1:8" s="32" customFormat="1">
      <c r="A29" s="490" t="s">
        <v>474</v>
      </c>
      <c r="B29" s="491" t="s">
        <v>475</v>
      </c>
      <c r="C29" s="492"/>
      <c r="D29" s="492">
        <v>0</v>
      </c>
      <c r="E29" s="43">
        <f t="array" ref="E29">SUM(IF(A29=KHN,TH))</f>
        <v>0</v>
      </c>
      <c r="F29" s="43">
        <f t="array" ref="F29">SUM(IF(A29=KHC,TH))</f>
        <v>0</v>
      </c>
      <c r="G29" s="492">
        <f t="shared" si="2"/>
        <v>0</v>
      </c>
      <c r="H29" s="492">
        <f t="shared" si="3"/>
        <v>0</v>
      </c>
    </row>
    <row r="30" spans="1:8" s="32" customFormat="1">
      <c r="A30" s="490" t="s">
        <v>476</v>
      </c>
      <c r="B30" s="491" t="s">
        <v>477</v>
      </c>
      <c r="C30" s="492"/>
      <c r="D30" s="492">
        <v>0</v>
      </c>
      <c r="E30" s="43">
        <f t="array" ref="E30">SUM(IF(A30=KHN,TH))</f>
        <v>0</v>
      </c>
      <c r="F30" s="43">
        <f t="array" ref="F30">SUM(IF(A30=KHC,TH))</f>
        <v>0</v>
      </c>
      <c r="G30" s="492">
        <f t="shared" si="2"/>
        <v>0</v>
      </c>
      <c r="H30" s="492">
        <f t="shared" si="3"/>
        <v>0</v>
      </c>
    </row>
    <row r="31" spans="1:8" s="32" customFormat="1">
      <c r="A31" s="46" t="s">
        <v>478</v>
      </c>
      <c r="B31" s="47" t="s">
        <v>479</v>
      </c>
      <c r="C31" s="48"/>
      <c r="D31" s="48">
        <v>0</v>
      </c>
      <c r="E31" s="48">
        <f>SUM(E28:E30)</f>
        <v>0</v>
      </c>
      <c r="F31" s="48">
        <f>SUM(F28:F30)</f>
        <v>0</v>
      </c>
      <c r="G31" s="48">
        <f>SUM(G28:G30)</f>
        <v>0</v>
      </c>
      <c r="H31" s="48">
        <f>SUM(H28:H30)</f>
        <v>0</v>
      </c>
    </row>
    <row r="32" spans="1:8" s="32" customFormat="1">
      <c r="A32" s="41" t="s">
        <v>242</v>
      </c>
      <c r="B32" s="42" t="s">
        <v>243</v>
      </c>
      <c r="C32" s="43">
        <v>22599987302</v>
      </c>
      <c r="D32" s="43">
        <v>0</v>
      </c>
      <c r="E32" s="43">
        <f t="array" ref="E32">SUM(IF(A32=KHN,TH))</f>
        <v>9251821342</v>
      </c>
      <c r="F32" s="43">
        <f t="array" ref="F32">SUM(IF(A32=KHC,TH))</f>
        <v>0</v>
      </c>
      <c r="G32" s="44">
        <f t="shared" si="2"/>
        <v>31851808644</v>
      </c>
      <c r="H32" s="44">
        <f t="shared" si="3"/>
        <v>0</v>
      </c>
    </row>
    <row r="33" spans="1:9" s="32" customFormat="1">
      <c r="A33" s="50" t="s">
        <v>312</v>
      </c>
      <c r="B33" s="47" t="s">
        <v>244</v>
      </c>
      <c r="C33" s="48">
        <v>22599987302</v>
      </c>
      <c r="D33" s="48">
        <v>0</v>
      </c>
      <c r="E33" s="48">
        <f>E32</f>
        <v>9251821342</v>
      </c>
      <c r="F33" s="48">
        <f>F32</f>
        <v>0</v>
      </c>
      <c r="G33" s="48">
        <f t="shared" si="2"/>
        <v>31851808644</v>
      </c>
      <c r="H33" s="48">
        <f t="shared" si="3"/>
        <v>0</v>
      </c>
    </row>
    <row r="34" spans="1:9" s="32" customFormat="1">
      <c r="A34" s="46" t="s">
        <v>9</v>
      </c>
      <c r="B34" s="47" t="s">
        <v>110</v>
      </c>
      <c r="C34" s="48">
        <v>4310031764</v>
      </c>
      <c r="D34" s="48">
        <v>0</v>
      </c>
      <c r="E34" s="81">
        <f t="array" ref="E34">SUM(IF(A34=KHN,TH))</f>
        <v>3576249476</v>
      </c>
      <c r="F34" s="81">
        <f t="array" ref="F34">SUM(IF(A34=KHC,TH))</f>
        <v>9729762960</v>
      </c>
      <c r="G34" s="48">
        <f t="shared" si="2"/>
        <v>0</v>
      </c>
      <c r="H34" s="48">
        <f t="shared" si="3"/>
        <v>1843481720</v>
      </c>
      <c r="I34" s="32">
        <f>E34-'331'!E30</f>
        <v>0</v>
      </c>
    </row>
    <row r="35" spans="1:9" s="32" customFormat="1">
      <c r="A35" s="49" t="s">
        <v>111</v>
      </c>
      <c r="B35" s="42" t="s">
        <v>112</v>
      </c>
      <c r="C35" s="43">
        <v>0</v>
      </c>
      <c r="D35" s="43">
        <v>0</v>
      </c>
      <c r="E35" s="43">
        <f t="array" ref="E35">SUM(IF(A35=KHN,TH))</f>
        <v>0</v>
      </c>
      <c r="F35" s="43">
        <f t="array" ref="F35">SUM(IF(A35=KHC,TH))</f>
        <v>0</v>
      </c>
      <c r="G35" s="43">
        <f t="shared" si="2"/>
        <v>0</v>
      </c>
      <c r="H35" s="43">
        <f t="shared" si="3"/>
        <v>0</v>
      </c>
      <c r="I35" s="32">
        <f>E35-F35</f>
        <v>0</v>
      </c>
    </row>
    <row r="36" spans="1:9" s="32" customFormat="1">
      <c r="A36" s="52" t="s">
        <v>113</v>
      </c>
      <c r="B36" s="53" t="s">
        <v>114</v>
      </c>
      <c r="C36" s="51">
        <v>0</v>
      </c>
      <c r="D36" s="51">
        <v>0</v>
      </c>
      <c r="E36" s="51">
        <f t="array" ref="E36">SUM(IF(A36=KHN,TH))</f>
        <v>1500000</v>
      </c>
      <c r="F36" s="51">
        <f t="array" ref="F36">SUM(IF(A36=KHC,TH))</f>
        <v>1500000</v>
      </c>
      <c r="G36" s="51">
        <f t="shared" si="2"/>
        <v>0</v>
      </c>
      <c r="H36" s="51">
        <f t="shared" si="3"/>
        <v>0</v>
      </c>
      <c r="I36" s="32">
        <f>E36-F36</f>
        <v>0</v>
      </c>
    </row>
    <row r="37" spans="1:9" s="32" customFormat="1">
      <c r="A37" s="49" t="s">
        <v>25</v>
      </c>
      <c r="B37" s="42" t="s">
        <v>115</v>
      </c>
      <c r="C37" s="43">
        <v>0</v>
      </c>
      <c r="D37" s="43">
        <v>0</v>
      </c>
      <c r="E37" s="43">
        <f>E36</f>
        <v>1500000</v>
      </c>
      <c r="F37" s="43">
        <f>F36</f>
        <v>1500000</v>
      </c>
      <c r="G37" s="43">
        <f>G36</f>
        <v>0</v>
      </c>
      <c r="H37" s="43">
        <f>H36</f>
        <v>0</v>
      </c>
      <c r="I37" s="32">
        <f>E37-F37</f>
        <v>0</v>
      </c>
    </row>
    <row r="38" spans="1:9" s="32" customFormat="1">
      <c r="A38" s="46" t="s">
        <v>116</v>
      </c>
      <c r="B38" s="47" t="s">
        <v>117</v>
      </c>
      <c r="C38" s="48">
        <v>0</v>
      </c>
      <c r="D38" s="48">
        <v>0</v>
      </c>
      <c r="E38" s="48">
        <f>E35+E37</f>
        <v>1500000</v>
      </c>
      <c r="F38" s="48">
        <f>F35+F37</f>
        <v>1500000</v>
      </c>
      <c r="G38" s="48">
        <f>G35+G37</f>
        <v>0</v>
      </c>
      <c r="H38" s="48">
        <f>H35+H37</f>
        <v>0</v>
      </c>
      <c r="I38" s="32">
        <f>E38-F38</f>
        <v>0</v>
      </c>
    </row>
    <row r="39" spans="1:9" s="32" customFormat="1" ht="12.75" customHeight="1">
      <c r="A39" s="50" t="s">
        <v>1020</v>
      </c>
      <c r="B39" s="47" t="s">
        <v>1248</v>
      </c>
      <c r="C39" s="48"/>
      <c r="D39" s="48"/>
      <c r="E39" s="81">
        <f t="array" ref="E39">SUM(IF(A39=KHN,TH))</f>
        <v>886985169</v>
      </c>
      <c r="F39" s="81">
        <f t="array" ref="F39">SUM(IF(A39=KHC,TH))</f>
        <v>886985169</v>
      </c>
      <c r="G39" s="48">
        <f t="shared" ref="G39" si="4">MAX(C39+E39-D39-F39,0)</f>
        <v>0</v>
      </c>
      <c r="H39" s="48">
        <f t="shared" ref="H39" si="5">MAX(D39+F39-E39-C39,0)</f>
        <v>0</v>
      </c>
      <c r="I39" s="32">
        <f>E39-F39</f>
        <v>0</v>
      </c>
    </row>
    <row r="40" spans="1:9" s="32" customFormat="1">
      <c r="A40" s="41" t="s">
        <v>1210</v>
      </c>
      <c r="B40" s="42" t="s">
        <v>1211</v>
      </c>
      <c r="C40" s="43">
        <v>0</v>
      </c>
      <c r="D40" s="43"/>
      <c r="E40" s="43">
        <f t="array" ref="E40">SUM(IF(A40=KHN,TH))</f>
        <v>0</v>
      </c>
      <c r="F40" s="43">
        <f t="array" ref="F40">SUM(IF(A40=KHC,TH))</f>
        <v>0</v>
      </c>
      <c r="G40" s="43">
        <f t="shared" ref="G40:G43" si="6">MAX(C40+E40-D40-F40,0)</f>
        <v>0</v>
      </c>
      <c r="H40" s="43">
        <f t="shared" ref="H40:H43" si="7">MAX(D40+F40-E40-C40,0)</f>
        <v>0</v>
      </c>
    </row>
    <row r="41" spans="1:9" s="32" customFormat="1">
      <c r="A41" s="41" t="s">
        <v>1027</v>
      </c>
      <c r="B41" s="42" t="s">
        <v>1212</v>
      </c>
      <c r="C41" s="43">
        <v>0</v>
      </c>
      <c r="D41" s="43"/>
      <c r="E41" s="43">
        <f t="array" ref="E41">SUM(IF(A41=KHN,TH))</f>
        <v>0</v>
      </c>
      <c r="F41" s="43">
        <f t="array" ref="F41">SUM(IF(A41=KHC,TH))</f>
        <v>204187343</v>
      </c>
      <c r="G41" s="43">
        <f t="shared" si="6"/>
        <v>0</v>
      </c>
      <c r="H41" s="43">
        <f t="shared" si="7"/>
        <v>204187343</v>
      </c>
    </row>
    <row r="42" spans="1:9" s="32" customFormat="1">
      <c r="A42" s="41" t="s">
        <v>1029</v>
      </c>
      <c r="B42" s="42" t="s">
        <v>1213</v>
      </c>
      <c r="C42" s="43">
        <v>0</v>
      </c>
      <c r="D42" s="43"/>
      <c r="E42" s="43">
        <f t="array" ref="E42">SUM(IF(A42=KHN,TH))</f>
        <v>0</v>
      </c>
      <c r="F42" s="43">
        <f t="array" ref="F42">SUM(IF(A42=KHC,TH))</f>
        <v>37165189</v>
      </c>
      <c r="G42" s="43">
        <f t="shared" ref="G42" si="8">MAX(C42+E42-D42-F42,0)</f>
        <v>0</v>
      </c>
      <c r="H42" s="43">
        <f t="shared" ref="H42" si="9">MAX(D42+F42-E42-C42,0)</f>
        <v>37165189</v>
      </c>
    </row>
    <row r="43" spans="1:9" s="32" customFormat="1">
      <c r="A43" s="41" t="s">
        <v>1031</v>
      </c>
      <c r="B43" s="42" t="s">
        <v>1214</v>
      </c>
      <c r="C43" s="43">
        <v>0</v>
      </c>
      <c r="D43" s="43"/>
      <c r="E43" s="43">
        <f t="array" ref="E43">SUM(IF(A43=KHN,TH))</f>
        <v>0</v>
      </c>
      <c r="F43" s="43">
        <f t="array" ref="F43">SUM(IF(A43=KHC,TH))</f>
        <v>15706719</v>
      </c>
      <c r="G43" s="43">
        <f t="shared" si="6"/>
        <v>0</v>
      </c>
      <c r="H43" s="43">
        <f t="shared" si="7"/>
        <v>15706719</v>
      </c>
    </row>
    <row r="44" spans="1:9" s="32" customFormat="1">
      <c r="A44" s="49" t="s">
        <v>24</v>
      </c>
      <c r="B44" s="42" t="s">
        <v>118</v>
      </c>
      <c r="C44" s="43">
        <v>0</v>
      </c>
      <c r="D44" s="43">
        <v>5000000000</v>
      </c>
      <c r="E44" s="43">
        <f t="array" ref="E44">SUM(IF(A44=KHN,TH))</f>
        <v>2788000000</v>
      </c>
      <c r="F44" s="43">
        <f t="array" ref="F44">SUM(IF(A44=KHC,TH))</f>
        <v>5288000000</v>
      </c>
      <c r="G44" s="43">
        <f>MAX(C44+E44-D44-F44,0)</f>
        <v>0</v>
      </c>
      <c r="H44" s="43">
        <f>MAX(D44+F44-E44-C44,0)</f>
        <v>7500000000</v>
      </c>
    </row>
    <row r="45" spans="1:9" s="32" customFormat="1">
      <c r="A45" s="46" t="s">
        <v>119</v>
      </c>
      <c r="B45" s="47" t="s">
        <v>120</v>
      </c>
      <c r="C45" s="48">
        <f>SUM(C40:C44)</f>
        <v>0</v>
      </c>
      <c r="D45" s="48">
        <f t="shared" ref="D45:F45" si="10">SUM(D40:D44)</f>
        <v>5000000000</v>
      </c>
      <c r="E45" s="48">
        <f t="shared" si="10"/>
        <v>2788000000</v>
      </c>
      <c r="F45" s="48">
        <f t="shared" si="10"/>
        <v>5545059251</v>
      </c>
      <c r="G45" s="48">
        <f t="shared" ref="G45" si="11">SUM(G40:G44)</f>
        <v>0</v>
      </c>
      <c r="H45" s="48">
        <f t="shared" ref="H45" si="12">SUM(H40:H44)</f>
        <v>7757059251</v>
      </c>
    </row>
    <row r="46" spans="1:9" s="32" customFormat="1">
      <c r="A46" s="41" t="s">
        <v>121</v>
      </c>
      <c r="B46" s="42" t="s">
        <v>442</v>
      </c>
      <c r="C46" s="44">
        <v>0</v>
      </c>
      <c r="D46" s="44">
        <v>20000000000</v>
      </c>
      <c r="E46" s="496">
        <f t="array" ref="E46">SUM(IF(A46=KHN,TH))</f>
        <v>166700000</v>
      </c>
      <c r="F46" s="496">
        <f t="array" ref="F46">SUM(IF(A46=KHC,TH))</f>
        <v>0</v>
      </c>
      <c r="G46" s="44">
        <f>MAX(C46+E46-D46-F46,0)</f>
        <v>0</v>
      </c>
      <c r="H46" s="44">
        <f>MAX(D46+F46-E46-C46,0)</f>
        <v>19833300000</v>
      </c>
    </row>
    <row r="47" spans="1:9" s="32" customFormat="1">
      <c r="A47" s="41" t="s">
        <v>441</v>
      </c>
      <c r="B47" s="42" t="s">
        <v>443</v>
      </c>
      <c r="C47" s="43">
        <v>0</v>
      </c>
      <c r="D47" s="43">
        <v>1982640000</v>
      </c>
      <c r="E47" s="43">
        <f t="array" ref="E47">SUM(IF(A47=KHN,TH))</f>
        <v>1982640000</v>
      </c>
      <c r="F47" s="43">
        <f t="array" ref="F47">SUM(IF(A47=KHC,TH))</f>
        <v>1961520000</v>
      </c>
      <c r="G47" s="43">
        <f>MAX(C47+E47-D47-F47,0)</f>
        <v>0</v>
      </c>
      <c r="H47" s="43">
        <f>MAX(D47+F47-E47-C47,0)</f>
        <v>1961520000</v>
      </c>
    </row>
    <row r="48" spans="1:9" s="32" customFormat="1">
      <c r="A48" s="50" t="s">
        <v>56</v>
      </c>
      <c r="B48" s="47" t="s">
        <v>122</v>
      </c>
      <c r="C48" s="48">
        <f t="shared" ref="C48:H48" si="13">SUM(C46:C47)</f>
        <v>0</v>
      </c>
      <c r="D48" s="48">
        <f t="shared" si="13"/>
        <v>21982640000</v>
      </c>
      <c r="E48" s="48">
        <f t="shared" si="13"/>
        <v>2149340000</v>
      </c>
      <c r="F48" s="48">
        <f t="shared" si="13"/>
        <v>1961520000</v>
      </c>
      <c r="G48" s="48">
        <f t="shared" si="13"/>
        <v>0</v>
      </c>
      <c r="H48" s="48">
        <f t="shared" si="13"/>
        <v>21794820000</v>
      </c>
    </row>
    <row r="49" spans="1:9" s="32" customFormat="1">
      <c r="A49" s="49" t="s">
        <v>32</v>
      </c>
      <c r="B49" s="42" t="s">
        <v>123</v>
      </c>
      <c r="C49" s="43">
        <v>0</v>
      </c>
      <c r="D49" s="43">
        <v>4000000000</v>
      </c>
      <c r="E49" s="43">
        <f t="array" ref="E49">SUM(IF(A49=KHN,TH))</f>
        <v>0</v>
      </c>
      <c r="F49" s="43">
        <f t="array" ref="F49">SUM(IF(A49=KHC,TH))</f>
        <v>0</v>
      </c>
      <c r="G49" s="44">
        <f>MAX(C49+E49-D49-F49,0)</f>
        <v>0</v>
      </c>
      <c r="H49" s="44">
        <f>MAX(D49+F49-E49-C49,0)</f>
        <v>4000000000</v>
      </c>
    </row>
    <row r="50" spans="1:9" s="32" customFormat="1">
      <c r="A50" s="46" t="s">
        <v>124</v>
      </c>
      <c r="B50" s="47" t="s">
        <v>125</v>
      </c>
      <c r="C50" s="48">
        <v>0</v>
      </c>
      <c r="D50" s="48">
        <v>4000000000</v>
      </c>
      <c r="E50" s="48">
        <f>E49</f>
        <v>0</v>
      </c>
      <c r="F50" s="48">
        <f>F49</f>
        <v>0</v>
      </c>
      <c r="G50" s="48">
        <f>MAX(C50+E50-D50-F50,0)</f>
        <v>0</v>
      </c>
      <c r="H50" s="48">
        <f>MAX(D50+F50-E50-C50,0)</f>
        <v>4000000000</v>
      </c>
    </row>
    <row r="51" spans="1:9" s="32" customFormat="1">
      <c r="A51" s="41" t="s">
        <v>126</v>
      </c>
      <c r="B51" s="42" t="s">
        <v>127</v>
      </c>
      <c r="C51" s="43">
        <v>223589505</v>
      </c>
      <c r="D51" s="43">
        <v>0</v>
      </c>
      <c r="E51" s="43">
        <f t="array" ref="E51">SUM(IF(A51=KHN,TH))</f>
        <v>359476733</v>
      </c>
      <c r="F51" s="43">
        <f t="array" ref="F51">SUM(IF(A51=KHC,TH))</f>
        <v>0</v>
      </c>
      <c r="G51" s="44">
        <f>MAX(C51+E51-D51-F51,0)</f>
        <v>583066238</v>
      </c>
      <c r="H51" s="44">
        <f>MAX(D51+F51-E51-C51,0)</f>
        <v>0</v>
      </c>
    </row>
    <row r="52" spans="1:9" s="32" customFormat="1">
      <c r="A52" s="49" t="s">
        <v>128</v>
      </c>
      <c r="B52" s="42" t="s">
        <v>129</v>
      </c>
      <c r="C52" s="43">
        <v>359476733</v>
      </c>
      <c r="D52" s="43">
        <v>0</v>
      </c>
      <c r="E52" s="43">
        <f t="array" ref="E52">SUM(IF(A52=TH!$O$10:$O$760,TH!$M$10:$M$760))</f>
        <v>2529843026</v>
      </c>
      <c r="F52" s="43">
        <f t="array" ref="F52">SUM(IF(A52=TH!$P$10:$P$760,TH!$M$10:$M$760))</f>
        <v>359476733</v>
      </c>
      <c r="G52" s="43">
        <f>MAX(C52+E52-D52-F52,0)</f>
        <v>2529843026</v>
      </c>
      <c r="H52" s="43">
        <f>MAX(D52+F52-E52-C52,0)</f>
        <v>0</v>
      </c>
    </row>
    <row r="53" spans="1:9" s="32" customFormat="1">
      <c r="A53" s="46" t="s">
        <v>130</v>
      </c>
      <c r="B53" s="47" t="s">
        <v>131</v>
      </c>
      <c r="C53" s="48">
        <v>583066238</v>
      </c>
      <c r="D53" s="48">
        <v>0</v>
      </c>
      <c r="E53" s="48">
        <f>E52+E51</f>
        <v>2889319759</v>
      </c>
      <c r="F53" s="48">
        <f>F52+F51</f>
        <v>359476733</v>
      </c>
      <c r="G53" s="48">
        <f>G52+G51</f>
        <v>3112909264</v>
      </c>
      <c r="H53" s="48">
        <f>H52+H51</f>
        <v>0</v>
      </c>
    </row>
    <row r="54" spans="1:9" s="32" customFormat="1" ht="12.75" customHeight="1">
      <c r="A54" s="493" t="s">
        <v>482</v>
      </c>
      <c r="B54" s="494" t="s">
        <v>483</v>
      </c>
      <c r="C54" s="495"/>
      <c r="D54" s="495"/>
      <c r="E54" s="496">
        <f t="array" ref="E54">SUM(IF(A54=KHN,TH))</f>
        <v>0</v>
      </c>
      <c r="F54" s="496">
        <f t="array" ref="F54">SUM(IF(A54=KHC,TH))</f>
        <v>0</v>
      </c>
      <c r="G54" s="495"/>
      <c r="H54" s="495"/>
      <c r="I54" s="32">
        <f>E54-F54</f>
        <v>0</v>
      </c>
    </row>
    <row r="55" spans="1:9" s="32" customFormat="1">
      <c r="A55" s="493" t="s">
        <v>484</v>
      </c>
      <c r="B55" s="494" t="s">
        <v>485</v>
      </c>
      <c r="C55" s="495"/>
      <c r="D55" s="495"/>
      <c r="E55" s="496">
        <f t="array" ref="E55">SUM(IF(A55=KHN,TH))</f>
        <v>0</v>
      </c>
      <c r="F55" s="496">
        <f t="array" ref="F55">SUM(IF(A55=KHC,TH))</f>
        <v>0</v>
      </c>
      <c r="G55" s="495"/>
      <c r="H55" s="495"/>
      <c r="I55" s="32">
        <f>E55-F55</f>
        <v>0</v>
      </c>
    </row>
    <row r="56" spans="1:9" s="32" customFormat="1">
      <c r="A56" s="41" t="s">
        <v>486</v>
      </c>
      <c r="B56" s="42" t="s">
        <v>487</v>
      </c>
      <c r="C56" s="43"/>
      <c r="D56" s="43"/>
      <c r="E56" s="43">
        <f>E54+E55</f>
        <v>0</v>
      </c>
      <c r="F56" s="43">
        <f>F54+F55</f>
        <v>0</v>
      </c>
      <c r="G56" s="43"/>
      <c r="H56" s="43"/>
      <c r="I56" s="32">
        <f>E56-F56</f>
        <v>0</v>
      </c>
    </row>
    <row r="57" spans="1:9" s="32" customFormat="1">
      <c r="A57" s="46" t="s">
        <v>488</v>
      </c>
      <c r="B57" s="47" t="s">
        <v>489</v>
      </c>
      <c r="C57" s="48"/>
      <c r="D57" s="48"/>
      <c r="E57" s="48">
        <f>E56</f>
        <v>0</v>
      </c>
      <c r="F57" s="48">
        <f>F56</f>
        <v>0</v>
      </c>
      <c r="G57" s="48"/>
      <c r="H57" s="48"/>
      <c r="I57" s="32">
        <f>E57-F57</f>
        <v>0</v>
      </c>
    </row>
    <row r="58" spans="1:9" s="32" customFormat="1">
      <c r="A58" s="46" t="s">
        <v>58</v>
      </c>
      <c r="B58" s="47" t="s">
        <v>132</v>
      </c>
      <c r="C58" s="48"/>
      <c r="D58" s="48"/>
      <c r="E58" s="81">
        <f t="array" ref="E58">SUM(IF(A58=KHN,TH))</f>
        <v>20041795</v>
      </c>
      <c r="F58" s="81">
        <f t="array" ref="F58">SUM(IF(A58=KHC,TH))</f>
        <v>20041795</v>
      </c>
      <c r="G58" s="48"/>
      <c r="H58" s="48"/>
      <c r="I58" s="32">
        <f t="shared" ref="I58:I65" si="14">E58-F58</f>
        <v>0</v>
      </c>
    </row>
    <row r="59" spans="1:9" s="32" customFormat="1" ht="12.75" customHeight="1">
      <c r="A59" s="46" t="s">
        <v>480</v>
      </c>
      <c r="B59" s="47" t="s">
        <v>481</v>
      </c>
      <c r="C59" s="48"/>
      <c r="D59" s="48"/>
      <c r="E59" s="81">
        <f t="array" ref="E59">SUM(IF(A59=KHN,TH))</f>
        <v>0</v>
      </c>
      <c r="F59" s="81">
        <f t="array" ref="F59">SUM(IF(A59=KHC,TH))</f>
        <v>0</v>
      </c>
      <c r="G59" s="48"/>
      <c r="H59" s="48"/>
      <c r="I59" s="32">
        <f t="shared" si="14"/>
        <v>0</v>
      </c>
    </row>
    <row r="60" spans="1:9" s="32" customFormat="1" ht="12.75" customHeight="1">
      <c r="A60" s="46" t="s">
        <v>133</v>
      </c>
      <c r="B60" s="47" t="s">
        <v>134</v>
      </c>
      <c r="C60" s="48"/>
      <c r="D60" s="48"/>
      <c r="E60" s="81">
        <f t="array" ref="E60">SUM(IF(A60=KHN,TH))</f>
        <v>1505884191</v>
      </c>
      <c r="F60" s="81">
        <f t="array" ref="F60">SUM(IF(A60=KHC,TH))</f>
        <v>1505884191</v>
      </c>
      <c r="G60" s="48"/>
      <c r="H60" s="48"/>
      <c r="I60" s="32">
        <f t="shared" si="14"/>
        <v>0</v>
      </c>
    </row>
    <row r="61" spans="1:9" s="32" customFormat="1" ht="12.75" customHeight="1">
      <c r="A61" s="46" t="s">
        <v>135</v>
      </c>
      <c r="B61" s="47" t="s">
        <v>136</v>
      </c>
      <c r="C61" s="48"/>
      <c r="D61" s="48"/>
      <c r="E61" s="81">
        <f t="array" ref="E61">SUM(IF(A61=KHN,TH))</f>
        <v>2047352469</v>
      </c>
      <c r="F61" s="81">
        <f t="array" ref="F61">SUM(IF(A61=KHC,TH))</f>
        <v>2047352469</v>
      </c>
      <c r="G61" s="48"/>
      <c r="H61" s="48"/>
      <c r="I61" s="32">
        <f t="shared" si="14"/>
        <v>0</v>
      </c>
    </row>
    <row r="62" spans="1:9" s="32" customFormat="1" ht="12.75" customHeight="1">
      <c r="A62" s="50" t="s">
        <v>137</v>
      </c>
      <c r="B62" s="47" t="s">
        <v>138</v>
      </c>
      <c r="C62" s="48"/>
      <c r="D62" s="48"/>
      <c r="E62" s="81">
        <f t="array" ref="E62">SUM(IF(A62=KHN,TH))</f>
        <v>0</v>
      </c>
      <c r="F62" s="81">
        <f t="array" ref="F62">SUM(IF(A62=KHC,TH))</f>
        <v>0</v>
      </c>
      <c r="G62" s="48"/>
      <c r="H62" s="48"/>
      <c r="I62" s="32">
        <f t="shared" si="14"/>
        <v>0</v>
      </c>
    </row>
    <row r="63" spans="1:9" s="32" customFormat="1" ht="12.75" customHeight="1">
      <c r="A63" s="46" t="s">
        <v>139</v>
      </c>
      <c r="B63" s="47" t="s">
        <v>140</v>
      </c>
      <c r="C63" s="48"/>
      <c r="D63" s="48"/>
      <c r="E63" s="81">
        <f t="array" ref="E63">SUM(IF(A63=KHN,TH))</f>
        <v>2134381</v>
      </c>
      <c r="F63" s="81">
        <f t="array" ref="F63">SUM(IF(A63=KHC,TH))</f>
        <v>2134381</v>
      </c>
      <c r="G63" s="48"/>
      <c r="H63" s="48"/>
      <c r="I63" s="32">
        <f>E63-F63</f>
        <v>0</v>
      </c>
    </row>
    <row r="64" spans="1:9" s="32" customFormat="1" ht="12.75" customHeight="1">
      <c r="A64" s="50" t="s">
        <v>141</v>
      </c>
      <c r="B64" s="47" t="s">
        <v>142</v>
      </c>
      <c r="C64" s="48"/>
      <c r="D64" s="48"/>
      <c r="E64" s="81">
        <f t="array" ref="E64">SUM(IF(A64=KHN,TH))</f>
        <v>0</v>
      </c>
      <c r="F64" s="81">
        <f t="array" ref="F64">SUM(IF(A64=KHC,TH))</f>
        <v>0</v>
      </c>
      <c r="G64" s="48"/>
      <c r="H64" s="48"/>
      <c r="I64" s="32">
        <f t="shared" si="14"/>
        <v>0</v>
      </c>
    </row>
    <row r="65" spans="1:9" s="32" customFormat="1">
      <c r="A65" s="46" t="s">
        <v>143</v>
      </c>
      <c r="B65" s="47" t="s">
        <v>144</v>
      </c>
      <c r="C65" s="48"/>
      <c r="D65" s="48"/>
      <c r="E65" s="82">
        <f t="array" ref="E65">SUM(IF(A65=KHN,TH))</f>
        <v>2549884821</v>
      </c>
      <c r="F65" s="82">
        <f t="array" ref="F65">SUM(IF(A65=TH!$P$10:$P$760,TH!$M$10:$M$760))</f>
        <v>2549884821</v>
      </c>
      <c r="G65" s="48"/>
      <c r="H65" s="48"/>
      <c r="I65" s="32">
        <f t="shared" si="14"/>
        <v>0</v>
      </c>
    </row>
    <row r="66" spans="1:9" s="32" customFormat="1">
      <c r="A66" s="54" t="s">
        <v>145</v>
      </c>
      <c r="B66" s="54"/>
      <c r="C66" s="54">
        <f>C11+C14+C18+C15+C20+C21+C24+C25+C26+C27+C31+C33+C34+C38+C45+C48+C50+C53+C57+C58+C59+C60+C61+C62+C63+C64+C65</f>
        <v>30982640000</v>
      </c>
      <c r="D66" s="54">
        <f t="shared" ref="D66:H66" si="15">D11+D14+D18+D15+D20+D21+D24+D25+D26+D27+D31+D33+D34+D38+D45+D48+D50+D53+D57+D58+D59+D60+D61+D62+D63+D64+D65</f>
        <v>30982640000</v>
      </c>
      <c r="E66" s="54">
        <f>E11+E14+CDPS!E18+E15+E20+E21+E24+E25+E26+E27+E31+E33+E34+E38+E45+E48+E50+E53+E57+E58+E59+E60+E61+E62+E63+E64+E65</f>
        <v>46676850094</v>
      </c>
      <c r="F66" s="54">
        <f t="shared" si="15"/>
        <v>46676850094</v>
      </c>
      <c r="G66" s="54">
        <f t="shared" si="15"/>
        <v>35395360971</v>
      </c>
      <c r="H66" s="54">
        <f t="shared" si="15"/>
        <v>35395360971</v>
      </c>
    </row>
    <row r="67" spans="1:9">
      <c r="E67" s="55"/>
      <c r="F67" s="56"/>
    </row>
    <row r="68" spans="1:9">
      <c r="E68" s="56">
        <f>E66-F66</f>
        <v>0</v>
      </c>
      <c r="H68" s="56">
        <f>G66-H66</f>
        <v>0</v>
      </c>
    </row>
    <row r="69" spans="1:9">
      <c r="E69" s="57"/>
      <c r="F69" s="57"/>
    </row>
    <row r="70" spans="1:9">
      <c r="E70" s="1153"/>
      <c r="F70" s="57"/>
      <c r="H70" s="56">
        <f>H66-G53</f>
        <v>32282451707</v>
      </c>
    </row>
  </sheetData>
  <pageMargins left="0" right="0" top="0.36" bottom="0.65" header="0.32" footer="0.24"/>
  <pageSetup paperSize="9" scale="75"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M764"/>
  <sheetViews>
    <sheetView tabSelected="1" workbookViewId="0">
      <pane xSplit="8" ySplit="9" topLeftCell="K689" activePane="bottomRight" state="frozen"/>
      <selection pane="topRight" activeCell="I1" sqref="I1"/>
      <selection pane="bottomLeft" activeCell="A10" sqref="A10"/>
      <selection pane="bottomRight" activeCell="H700" sqref="H700"/>
    </sheetView>
  </sheetViews>
  <sheetFormatPr defaultRowHeight="12.75"/>
  <cols>
    <col min="1" max="1" width="4.5703125" style="363" customWidth="1"/>
    <col min="2" max="2" width="4.85546875" style="352" customWidth="1"/>
    <col min="3" max="3" width="9.140625" style="352" customWidth="1"/>
    <col min="4" max="4" width="6.85546875" style="352" customWidth="1"/>
    <col min="5" max="5" width="9.140625" style="352" customWidth="1"/>
    <col min="6" max="6" width="35.42578125" style="352" customWidth="1"/>
    <col min="7" max="7" width="10" style="375" customWidth="1"/>
    <col min="8" max="8" width="38.28515625" style="376" customWidth="1"/>
    <col min="9" max="10" width="7.7109375" style="376" customWidth="1"/>
    <col min="11" max="11" width="8.85546875" style="376" customWidth="1"/>
    <col min="12" max="12" width="7.28515625" style="376" customWidth="1"/>
    <col min="13" max="13" width="14.140625" style="352" customWidth="1"/>
    <col min="14" max="14" width="3.5703125" style="352" customWidth="1"/>
    <col min="15" max="16" width="7" style="352" customWidth="1"/>
    <col min="17" max="17" width="3.5703125" style="352" hidden="1" customWidth="1"/>
    <col min="18" max="23" width="2.7109375" style="352" hidden="1" customWidth="1"/>
    <col min="24" max="24" width="3.5703125" style="352" hidden="1" customWidth="1"/>
    <col min="25" max="27" width="2.7109375" style="352" customWidth="1"/>
    <col min="28" max="28" width="7.28515625" style="352" bestFit="1" customWidth="1"/>
    <col min="29" max="30" width="2.7109375" style="352" customWidth="1"/>
    <col min="31" max="32" width="3.28515625" style="352" customWidth="1"/>
    <col min="33" max="33" width="4.140625" style="352" customWidth="1"/>
    <col min="34" max="37" width="2.7109375" style="352" customWidth="1"/>
    <col min="38" max="38" width="9.140625" style="352" customWidth="1"/>
    <col min="39" max="16384" width="9.140625" style="352"/>
  </cols>
  <sheetData>
    <row r="1" spans="1:37">
      <c r="B1" s="58"/>
      <c r="C1" s="58" t="s">
        <v>156</v>
      </c>
      <c r="D1" s="59"/>
      <c r="E1" s="59"/>
      <c r="F1" s="60"/>
      <c r="G1" s="59"/>
      <c r="H1" s="85"/>
      <c r="I1" s="85"/>
      <c r="J1" s="85"/>
      <c r="K1" s="85"/>
      <c r="L1" s="85"/>
      <c r="M1" s="69"/>
      <c r="N1" s="69"/>
      <c r="O1" s="61"/>
      <c r="P1" s="61"/>
      <c r="Q1" s="61"/>
      <c r="R1" s="61"/>
      <c r="S1" s="61"/>
      <c r="T1" s="61"/>
      <c r="U1" s="61"/>
      <c r="V1" s="61"/>
      <c r="W1" s="61"/>
      <c r="X1" s="61"/>
      <c r="Y1" s="61"/>
      <c r="Z1" s="61"/>
      <c r="AA1" s="61"/>
      <c r="AB1" s="61"/>
      <c r="AC1" s="61"/>
      <c r="AD1" s="61"/>
      <c r="AE1" s="61"/>
      <c r="AF1" s="61"/>
      <c r="AH1" s="61"/>
      <c r="AI1" s="61"/>
      <c r="AJ1" s="61"/>
      <c r="AK1" s="61"/>
    </row>
    <row r="2" spans="1:37">
      <c r="B2" s="58"/>
      <c r="C2" s="58" t="s">
        <v>157</v>
      </c>
      <c r="D2" s="59"/>
      <c r="E2" s="59"/>
      <c r="F2" s="59"/>
      <c r="G2" s="59"/>
      <c r="H2" s="86"/>
      <c r="I2" s="86"/>
      <c r="J2" s="86"/>
      <c r="K2" s="86"/>
      <c r="L2" s="86"/>
      <c r="M2" s="69"/>
      <c r="N2" s="69"/>
      <c r="O2" s="61"/>
      <c r="P2" s="61"/>
      <c r="Q2" s="61"/>
      <c r="R2" s="61"/>
      <c r="S2" s="61"/>
      <c r="T2" s="61"/>
      <c r="U2" s="61"/>
      <c r="V2" s="61"/>
      <c r="W2" s="61"/>
      <c r="X2" s="61"/>
      <c r="Y2" s="61"/>
      <c r="Z2" s="61"/>
      <c r="AA2" s="61"/>
      <c r="AB2" s="61"/>
      <c r="AC2" s="61"/>
      <c r="AD2" s="61"/>
      <c r="AE2" s="61"/>
      <c r="AF2" s="61"/>
      <c r="AH2" s="61"/>
      <c r="AI2" s="61"/>
      <c r="AJ2" s="61"/>
      <c r="AK2" s="61"/>
    </row>
    <row r="3" spans="1:37">
      <c r="B3" s="59"/>
      <c r="C3" s="59"/>
      <c r="D3" s="59"/>
      <c r="E3" s="59"/>
      <c r="F3" s="59"/>
      <c r="G3" s="59"/>
      <c r="H3" s="86"/>
      <c r="I3" s="86"/>
      <c r="J3" s="86"/>
      <c r="K3" s="86"/>
      <c r="L3" s="86"/>
      <c r="M3" s="68"/>
      <c r="N3" s="68"/>
      <c r="O3" s="62"/>
      <c r="P3" s="62"/>
      <c r="Q3" s="62"/>
      <c r="R3" s="62"/>
      <c r="S3" s="62"/>
      <c r="T3" s="62"/>
      <c r="U3" s="62"/>
      <c r="V3" s="62"/>
      <c r="W3" s="62"/>
      <c r="X3" s="62"/>
      <c r="Y3" s="62"/>
      <c r="Z3" s="62"/>
      <c r="AA3" s="62"/>
      <c r="AB3" s="62"/>
      <c r="AC3" s="62"/>
      <c r="AD3" s="62"/>
      <c r="AE3" s="62"/>
      <c r="AF3" s="62"/>
      <c r="AH3" s="62"/>
      <c r="AI3" s="62"/>
      <c r="AJ3" s="62"/>
      <c r="AK3" s="62"/>
    </row>
    <row r="4" spans="1:37" ht="22.5">
      <c r="B4" s="69"/>
      <c r="C4" s="1175" t="s">
        <v>146</v>
      </c>
      <c r="D4" s="1175"/>
      <c r="E4" s="1175"/>
      <c r="F4" s="1175"/>
      <c r="G4" s="1175"/>
      <c r="H4" s="1175"/>
      <c r="I4" s="1175"/>
      <c r="J4" s="1175"/>
      <c r="K4" s="1175"/>
      <c r="L4" s="1175"/>
      <c r="M4" s="1175"/>
      <c r="N4" s="1175"/>
      <c r="O4" s="1175"/>
      <c r="P4" s="1175"/>
    </row>
    <row r="5" spans="1:37" ht="14.25">
      <c r="B5" s="69"/>
      <c r="C5" s="1176"/>
      <c r="D5" s="1176"/>
      <c r="E5" s="1176"/>
      <c r="F5" s="1176"/>
      <c r="G5" s="1176"/>
      <c r="H5" s="1176"/>
      <c r="I5" s="1176"/>
      <c r="J5" s="1176"/>
      <c r="K5" s="1176"/>
      <c r="L5" s="1176"/>
      <c r="M5" s="1176"/>
      <c r="N5" s="1176"/>
      <c r="O5" s="1176"/>
      <c r="P5" s="1176"/>
    </row>
    <row r="6" spans="1:37">
      <c r="B6" s="69"/>
      <c r="C6" s="69"/>
      <c r="D6" s="69"/>
      <c r="E6" s="69"/>
      <c r="F6" s="69"/>
      <c r="G6" s="68"/>
      <c r="H6" s="70"/>
      <c r="I6" s="70"/>
      <c r="J6" s="70"/>
      <c r="K6" s="70"/>
      <c r="L6" s="70"/>
      <c r="M6" s="1012">
        <f>SUBTOTAL(9,M10:M760)</f>
        <v>47563835263</v>
      </c>
      <c r="N6" s="69"/>
      <c r="O6" s="61"/>
      <c r="P6" s="61"/>
      <c r="Q6" s="61"/>
      <c r="R6" s="61"/>
      <c r="S6" s="61"/>
      <c r="T6" s="61"/>
      <c r="U6" s="61"/>
      <c r="V6" s="61"/>
      <c r="W6" s="61"/>
      <c r="X6" s="61"/>
      <c r="Y6" s="61"/>
      <c r="Z6" s="61"/>
      <c r="AA6" s="61"/>
      <c r="AB6" s="61"/>
      <c r="AC6" s="61"/>
      <c r="AD6" s="61"/>
      <c r="AE6" s="61"/>
      <c r="AF6" s="61"/>
      <c r="AH6" s="61"/>
      <c r="AI6" s="61"/>
      <c r="AJ6" s="61"/>
      <c r="AK6" s="61"/>
    </row>
    <row r="7" spans="1:37" ht="24.75" customHeight="1">
      <c r="A7" s="1183" t="s">
        <v>216</v>
      </c>
      <c r="B7" s="1185" t="s">
        <v>158</v>
      </c>
      <c r="C7" s="1177" t="s">
        <v>27</v>
      </c>
      <c r="D7" s="1178" t="s">
        <v>1</v>
      </c>
      <c r="E7" s="1179"/>
      <c r="F7" s="1177" t="s">
        <v>0</v>
      </c>
      <c r="G7" s="1181" t="s">
        <v>214</v>
      </c>
      <c r="H7" s="1187" t="s">
        <v>83</v>
      </c>
      <c r="I7" s="1194" t="s">
        <v>743</v>
      </c>
      <c r="J7" s="1195"/>
      <c r="K7" s="1177" t="s">
        <v>452</v>
      </c>
      <c r="L7" s="1177"/>
      <c r="M7" s="1177" t="s">
        <v>451</v>
      </c>
      <c r="N7" s="1161"/>
      <c r="O7" s="1180" t="s">
        <v>148</v>
      </c>
      <c r="P7" s="1180"/>
      <c r="Q7" s="1192" t="s">
        <v>9</v>
      </c>
      <c r="R7" s="1169" t="s">
        <v>97</v>
      </c>
      <c r="S7" s="1170"/>
      <c r="T7" s="1171"/>
      <c r="U7" s="1169" t="s">
        <v>101</v>
      </c>
      <c r="V7" s="1170"/>
      <c r="W7" s="1171"/>
      <c r="X7" s="1192" t="s">
        <v>772</v>
      </c>
      <c r="Y7" s="1169" t="s">
        <v>10</v>
      </c>
      <c r="Z7" s="1170"/>
      <c r="AA7" s="1171"/>
      <c r="AB7" s="1169" t="s">
        <v>981</v>
      </c>
      <c r="AC7" s="1170"/>
      <c r="AD7" s="1171"/>
      <c r="AE7" s="1192" t="s">
        <v>56</v>
      </c>
      <c r="AF7" s="1190" t="str">
        <f>CTTK!$E$7</f>
        <v>3388</v>
      </c>
      <c r="AG7" s="1188" t="s">
        <v>311</v>
      </c>
      <c r="AH7" s="1169" t="s">
        <v>464</v>
      </c>
      <c r="AI7" s="1170"/>
      <c r="AJ7" s="1170"/>
      <c r="AK7" s="1171"/>
    </row>
    <row r="8" spans="1:37" ht="24.75" customHeight="1">
      <c r="A8" s="1184"/>
      <c r="B8" s="1186"/>
      <c r="C8" s="1177"/>
      <c r="D8" s="360" t="s">
        <v>20</v>
      </c>
      <c r="E8" s="359" t="s">
        <v>39</v>
      </c>
      <c r="F8" s="1177"/>
      <c r="G8" s="1182"/>
      <c r="H8" s="1187"/>
      <c r="I8" s="483" t="s">
        <v>633</v>
      </c>
      <c r="J8" s="483" t="s">
        <v>634</v>
      </c>
      <c r="K8" s="464" t="s">
        <v>457</v>
      </c>
      <c r="L8" s="464" t="s">
        <v>455</v>
      </c>
      <c r="M8" s="1177"/>
      <c r="N8" s="1161"/>
      <c r="O8" s="361" t="s">
        <v>29</v>
      </c>
      <c r="P8" s="361" t="s">
        <v>30</v>
      </c>
      <c r="Q8" s="1193"/>
      <c r="R8" s="1172"/>
      <c r="S8" s="1173"/>
      <c r="T8" s="1174"/>
      <c r="U8" s="1172"/>
      <c r="V8" s="1173"/>
      <c r="W8" s="1174"/>
      <c r="X8" s="1193"/>
      <c r="Y8" s="1172"/>
      <c r="Z8" s="1173"/>
      <c r="AA8" s="1174"/>
      <c r="AB8" s="1172"/>
      <c r="AC8" s="1173"/>
      <c r="AD8" s="1174"/>
      <c r="AE8" s="1193"/>
      <c r="AF8" s="1191"/>
      <c r="AG8" s="1189"/>
      <c r="AH8" s="1172"/>
      <c r="AI8" s="1173"/>
      <c r="AJ8" s="1173"/>
      <c r="AK8" s="1174"/>
    </row>
    <row r="9" spans="1:37" s="1165" customFormat="1">
      <c r="A9" s="1162">
        <v>1</v>
      </c>
      <c r="B9" s="1163">
        <v>2</v>
      </c>
      <c r="C9" s="1163">
        <v>3</v>
      </c>
      <c r="D9" s="1163">
        <v>4</v>
      </c>
      <c r="E9" s="1163">
        <v>5</v>
      </c>
      <c r="F9" s="1163">
        <v>6</v>
      </c>
      <c r="G9" s="1164">
        <v>7</v>
      </c>
      <c r="H9" s="1163">
        <v>8</v>
      </c>
      <c r="I9" s="1164">
        <v>9</v>
      </c>
      <c r="J9" s="1163">
        <v>10</v>
      </c>
      <c r="K9" s="1164">
        <v>11</v>
      </c>
      <c r="L9" s="1163">
        <v>12</v>
      </c>
      <c r="M9" s="1166" t="s">
        <v>1239</v>
      </c>
      <c r="N9" s="1166"/>
      <c r="O9" s="1163">
        <v>14</v>
      </c>
      <c r="P9" s="1164">
        <v>15</v>
      </c>
      <c r="Q9" s="364">
        <v>16</v>
      </c>
      <c r="R9" s="365">
        <v>17</v>
      </c>
      <c r="S9" s="364">
        <v>18</v>
      </c>
      <c r="T9" s="365">
        <v>19</v>
      </c>
      <c r="U9" s="364">
        <v>20</v>
      </c>
      <c r="V9" s="365">
        <v>21</v>
      </c>
      <c r="W9" s="364">
        <v>22</v>
      </c>
      <c r="X9" s="364"/>
      <c r="Y9" s="1164">
        <v>23</v>
      </c>
      <c r="Z9" s="1163">
        <v>24</v>
      </c>
      <c r="AA9" s="1164">
        <v>25</v>
      </c>
      <c r="AB9" s="1164">
        <v>23</v>
      </c>
      <c r="AC9" s="1163">
        <v>24</v>
      </c>
      <c r="AD9" s="1164">
        <v>25</v>
      </c>
      <c r="AE9" s="1163">
        <v>26</v>
      </c>
      <c r="AF9" s="1164">
        <v>27</v>
      </c>
      <c r="AG9" s="1163">
        <v>24</v>
      </c>
      <c r="AH9" s="1163">
        <v>19</v>
      </c>
      <c r="AI9" s="1163">
        <v>20</v>
      </c>
      <c r="AJ9" s="1163"/>
      <c r="AK9" s="1163">
        <v>21</v>
      </c>
    </row>
    <row r="10" spans="1:37" s="366" customFormat="1" ht="15.75" customHeight="1">
      <c r="A10" s="362" t="str">
        <f>IF(B10&lt;&gt;"",IF(AND(B10&gt;=_TM1,B10&lt;=_TM2,OR(TH!O10="1111",TH!P10="1111")),TH!D10,""),"")</f>
        <v/>
      </c>
      <c r="B10" s="63">
        <f t="shared" ref="B10:B16" si="0">IF(C10&lt;&gt;"",MONTH(C10),"")</f>
        <v>12</v>
      </c>
      <c r="C10" s="1041">
        <f>E10</f>
        <v>42735</v>
      </c>
      <c r="D10" s="1041" t="s">
        <v>149</v>
      </c>
      <c r="E10" s="1041">
        <v>42735</v>
      </c>
      <c r="F10" s="1042" t="s">
        <v>152</v>
      </c>
      <c r="G10" s="350"/>
      <c r="H10" s="78"/>
      <c r="I10" s="474"/>
      <c r="J10" s="474"/>
      <c r="K10" s="467"/>
      <c r="L10" s="474"/>
      <c r="M10" s="79">
        <f>MAX(SUMIF(KHN,"911",TH)-SUMIF(KHC,"911",TH),SUMIF(KHC,"911",TH)-SUMIF(KHN,"911",TH))</f>
        <v>2529843026</v>
      </c>
      <c r="N10" s="79"/>
      <c r="O10" s="1044" t="s">
        <v>128</v>
      </c>
      <c r="P10" s="1044" t="s">
        <v>143</v>
      </c>
      <c r="Q10" s="80" t="str">
        <f>IF(AND('331-CT'!$E$7=TH!H10,OR(O10="331",P10="331")),"x","")</f>
        <v/>
      </c>
      <c r="R10" s="80" t="str">
        <f>IF(AND($B10&gt;='111'!$N$11,$B10&lt;='111'!$O$11,OR($O10=$R$7,$P10=$R$7)),"x","")</f>
        <v/>
      </c>
      <c r="S10" s="80" t="str">
        <f>IF(AND($O10=$R$7,$B10&lt;'111'!$N$11),"x","")</f>
        <v/>
      </c>
      <c r="T10" s="80" t="str">
        <f>IF(AND($P10=$R$7,$B10&lt;'111'!$N$11),"x","")</f>
        <v/>
      </c>
      <c r="U10" s="80" t="str">
        <f>IF(AND($B10&gt;='112'!$M$9,$B10&lt;='112'!$N$9,OR($O10='112'!$I$6,$P10='112'!$I$6)),"x","")</f>
        <v/>
      </c>
      <c r="V10" s="80" t="str">
        <f>IF(AND($O10='112'!$I$6,$B10&lt;'112'!$M$9),"x","")</f>
        <v/>
      </c>
      <c r="W10" s="80" t="str">
        <f>IF(AND($P10='112'!$I$6,$B10&lt;'112'!$M$9),"x","")</f>
        <v/>
      </c>
      <c r="X10" s="80" t="str">
        <f>IF(AND('131-CT'!$H$9=TH!H10,OR(O10="131",P10="131")),"x","")</f>
        <v/>
      </c>
      <c r="Y10" s="80" t="str">
        <f>IF(AND($B10&gt;='1331'!$I$9,$B10&lt;='1331'!$J$9,OR($O10=$Y$7,$P10=$Y$7)),"x","")</f>
        <v/>
      </c>
      <c r="Z10" s="80" t="str">
        <f>IF(AND($O10=$Y$7,$B10&lt;'1331'!$I$9),"x","")</f>
        <v/>
      </c>
      <c r="AA10" s="80" t="str">
        <f>IF(AND($P10=$Y$7,$B10&lt;'1331'!$I$9),"x","")</f>
        <v/>
      </c>
      <c r="AB10" s="80" t="str">
        <f>IF(AND($B10&gt;='1332'!$I$9,$B10&lt;='1332'!$I$9,OR($O10=$AB$7,$P10=$AB$7)),"x","")</f>
        <v/>
      </c>
      <c r="AC10" s="80" t="str">
        <f>IF(AND($O10=$AB$7,$B10&lt;'1332'!$I$9),"x","")</f>
        <v/>
      </c>
      <c r="AD10" s="80" t="str">
        <f>IF(AND($P10=$AB$7,$B10&lt;'1332'!$I$9),"x","")</f>
        <v/>
      </c>
      <c r="AE10" s="80" t="str">
        <f>IF(AND('341-CT'!$H$9=H10,OR(LEFT(O10,3)=$AE$7,LEFT(P10,3)=$AE$7)),"x","")</f>
        <v/>
      </c>
      <c r="AF10" s="80" t="str">
        <f>IF(OR(TH!O10=TH!$AF$7,P10=TH!$AF$7),"x","")</f>
        <v/>
      </c>
      <c r="AG10" s="80"/>
      <c r="AH10" s="80" t="str">
        <f>IF(AND(MONTH(E10)='IN-NX'!$J$5,'IN-NX'!$D$7=D10,OR(LEFT(TH!O10,2)="15",LEFT(TH!P10,2)="15")),"x","")</f>
        <v/>
      </c>
      <c r="AI10" s="80" t="str">
        <f>IF(AND(OR(LEFT(TH!O10,2)="15",LEFT(TH!P10,2)="15"),'152-CT'!$J$8=TH!F10),"x","")</f>
        <v/>
      </c>
      <c r="AJ10" s="80" t="str">
        <f>IF(AND(OR(LEFT(TH!O10,2)="15",LEFT(TH!P10,2)="15"),'THE KHO'!$E$7=TH!F10),"x","")</f>
        <v/>
      </c>
      <c r="AK10" s="80" t="str">
        <f>IF(AND(O10="1521",MONTH(C10)='BK NL'!$M$11),"x","")</f>
        <v/>
      </c>
    </row>
    <row r="11" spans="1:37" s="366" customFormat="1" ht="15.75" customHeight="1">
      <c r="A11" s="362" t="str">
        <f>IF(B11&lt;&gt;"",IF(AND(B11&gt;=_TM1,B11&lt;=_TM2,OR(TH!O11="1111",TH!P11="1111")),TH!D11,""),"")</f>
        <v/>
      </c>
      <c r="B11" s="63">
        <f t="shared" si="0"/>
        <v>12</v>
      </c>
      <c r="C11" s="1041">
        <f>E11</f>
        <v>42735</v>
      </c>
      <c r="D11" s="1041" t="s">
        <v>149</v>
      </c>
      <c r="E11" s="1041">
        <v>42735</v>
      </c>
      <c r="F11" s="1042" t="s">
        <v>150</v>
      </c>
      <c r="G11" s="350"/>
      <c r="H11" s="78"/>
      <c r="I11" s="474"/>
      <c r="J11" s="474"/>
      <c r="K11" s="467"/>
      <c r="L11" s="474"/>
      <c r="M11" s="79"/>
      <c r="N11" s="79"/>
      <c r="O11" s="1152" t="s">
        <v>143</v>
      </c>
      <c r="P11" s="1044" t="s">
        <v>133</v>
      </c>
      <c r="Q11" s="80" t="str">
        <f>IF(AND('331-CT'!$E$7=TH!H11,OR(O11="331",P11="331")),"x","")</f>
        <v/>
      </c>
      <c r="R11" s="80" t="str">
        <f>IF(AND($B11&gt;='111'!$N$11,$B11&lt;='111'!$O$11,OR($O11=$R$7,$P11=$R$7)),"x","")</f>
        <v/>
      </c>
      <c r="S11" s="80" t="str">
        <f>IF(AND($O11=$R$7,$B11&lt;'111'!$N$11),"x","")</f>
        <v/>
      </c>
      <c r="T11" s="80" t="str">
        <f>IF(AND($P11=$R$7,$B11&lt;'111'!$N$11),"x","")</f>
        <v/>
      </c>
      <c r="U11" s="80" t="str">
        <f>IF(AND($B11&gt;='112'!$M$9,$B11&lt;='112'!$N$9,OR($O11='112'!$I$6,$P11='112'!$I$6)),"x","")</f>
        <v/>
      </c>
      <c r="V11" s="80" t="str">
        <f>IF(AND($O11='112'!$I$6,$B11&lt;'112'!$M$9),"x","")</f>
        <v/>
      </c>
      <c r="W11" s="80" t="str">
        <f>IF(AND($P11='112'!$I$6,$B11&lt;'112'!$M$9),"x","")</f>
        <v/>
      </c>
      <c r="X11" s="80" t="str">
        <f>IF(AND('131-CT'!$H$9=TH!H11,OR(O11="131",P11="131")),"x","")</f>
        <v/>
      </c>
      <c r="Y11" s="80" t="str">
        <f>IF(AND($B11&gt;='1331'!$I$9,$B11&lt;='1331'!$J$9,OR($O11=$Y$7,$P11=$Y$7)),"x","")</f>
        <v/>
      </c>
      <c r="Z11" s="80" t="str">
        <f>IF(AND($O11=$Y$7,$B11&lt;'1331'!$I$9),"x","")</f>
        <v/>
      </c>
      <c r="AA11" s="80" t="str">
        <f>IF(AND($P11=$Y$7,$B11&lt;'1331'!$I$9),"x","")</f>
        <v/>
      </c>
      <c r="AB11" s="80" t="str">
        <f>IF(AND($B11&gt;='1332'!$I$9,$B11&lt;='1332'!$I$9,OR($O11=$AB$7,$P11=$AB$7)),"x","")</f>
        <v/>
      </c>
      <c r="AC11" s="80" t="str">
        <f>IF(AND($O11=$AB$7,$B11&lt;'1332'!$I$9),"x","")</f>
        <v/>
      </c>
      <c r="AD11" s="80" t="str">
        <f>IF(AND($P11=$AB$7,$B11&lt;'1332'!$I$9),"x","")</f>
        <v/>
      </c>
      <c r="AE11" s="80" t="str">
        <f>IF(AND('341-CT'!$H$9=H11,OR(LEFT(O11,3)=$AE$7,LEFT(P11,3)=$AE$7)),"x","")</f>
        <v/>
      </c>
      <c r="AF11" s="80" t="str">
        <f>IF(OR(TH!O11=TH!$AF$7,P11=TH!$AF$7),"x","")</f>
        <v/>
      </c>
      <c r="AG11" s="80"/>
      <c r="AH11" s="80" t="str">
        <f>IF(AND(B11&gt;='IN-NX'!$P$3,B11&lt;='IN-NX'!$Q$3,'IN-NX'!$D$7=D11,OR(LEFT(L11,2)="15",AND(LEFT(M11,2)&lt;&gt;"15",LEFT(M11,2)&lt;&gt;"33"))),"x","")</f>
        <v/>
      </c>
      <c r="AI11" s="80" t="str">
        <f>IF(AND(OR(LEFT(TH!O11,2)="15",LEFT(TH!P11,2)="15"),'152-CT'!$J$8=TH!F11),"x","")</f>
        <v/>
      </c>
      <c r="AJ11" s="80" t="str">
        <f>IF(AND(OR(LEFT(TH!O11,2)="15",LEFT(TH!P11,2)="15"),'THE KHO'!$E$7=TH!F11),"x","")</f>
        <v/>
      </c>
      <c r="AK11" s="80" t="str">
        <f>IF(AND(O11="1521",MONTH(C11)='BK NL'!$M$11),"x","")</f>
        <v/>
      </c>
    </row>
    <row r="12" spans="1:37" s="366" customFormat="1" ht="15.75" customHeight="1">
      <c r="A12" s="362" t="str">
        <f>IF(B12&lt;&gt;"",IF(AND(B12&gt;=_TM1,B12&lt;=_TM2,OR(TH!O12="1111",TH!P12="1111")),TH!D12,""),"")</f>
        <v/>
      </c>
      <c r="B12" s="63">
        <f t="shared" si="0"/>
        <v>12</v>
      </c>
      <c r="C12" s="1041">
        <f>E12</f>
        <v>42735</v>
      </c>
      <c r="D12" s="1041" t="s">
        <v>149</v>
      </c>
      <c r="E12" s="1041">
        <v>42735</v>
      </c>
      <c r="F12" s="1042" t="s">
        <v>150</v>
      </c>
      <c r="G12" s="350"/>
      <c r="H12" s="78"/>
      <c r="I12" s="474"/>
      <c r="J12" s="474"/>
      <c r="K12" s="467"/>
      <c r="L12" s="474"/>
      <c r="M12" s="79">
        <f>SUMIF(KHN,P12,TH)-M13</f>
        <v>500397971</v>
      </c>
      <c r="N12" s="79"/>
      <c r="O12" s="1152" t="s">
        <v>143</v>
      </c>
      <c r="P12" s="1044" t="s">
        <v>133</v>
      </c>
      <c r="Q12" s="80" t="str">
        <f>IF(AND('331-CT'!$E$7=TH!H12,OR(O12="331",P12="331")),"x","")</f>
        <v/>
      </c>
      <c r="R12" s="80" t="str">
        <f>IF(AND($B12&gt;='111'!$N$11,$B12&lt;='111'!$O$11,OR($O12=$R$7,$P12=$R$7)),"x","")</f>
        <v/>
      </c>
      <c r="S12" s="80" t="str">
        <f>IF(AND($O12=$R$7,$B12&lt;'111'!$N$11),"x","")</f>
        <v/>
      </c>
      <c r="T12" s="80" t="str">
        <f>IF(AND($P12=$R$7,$B12&lt;'111'!$N$11),"x","")</f>
        <v/>
      </c>
      <c r="U12" s="80" t="str">
        <f>IF(AND($B12&gt;='112'!$M$9,$B12&lt;='112'!$N$9,OR($O12='112'!$I$6,$P12='112'!$I$6)),"x","")</f>
        <v/>
      </c>
      <c r="V12" s="80" t="str">
        <f>IF(AND($O12='112'!$I$6,$B12&lt;'112'!$M$9),"x","")</f>
        <v/>
      </c>
      <c r="W12" s="80" t="str">
        <f>IF(AND($P12='112'!$I$6,$B12&lt;'112'!$M$9),"x","")</f>
        <v/>
      </c>
      <c r="X12" s="80" t="str">
        <f>IF(AND('131-CT'!$H$9=TH!H12,OR(O12="131",P12="131")),"x","")</f>
        <v/>
      </c>
      <c r="Y12" s="80" t="str">
        <f>IF(AND($B12&gt;='1331'!$I$9,$B12&lt;='1331'!$J$9,OR($O12=$Y$7,$P12=$Y$7)),"x","")</f>
        <v/>
      </c>
      <c r="Z12" s="80" t="str">
        <f>IF(AND($O12=$Y$7,$B12&lt;'1331'!$I$9),"x","")</f>
        <v/>
      </c>
      <c r="AA12" s="80" t="str">
        <f>IF(AND($P12=$Y$7,$B12&lt;'1331'!$I$9),"x","")</f>
        <v/>
      </c>
      <c r="AB12" s="80" t="str">
        <f>IF(AND($B12&gt;='1332'!$I$9,$B12&lt;='1332'!$I$9,OR($O12=$AB$7,$P12=$AB$7)),"x","")</f>
        <v/>
      </c>
      <c r="AC12" s="80" t="str">
        <f>IF(AND($O12=$AB$7,$B12&lt;'1332'!$I$9),"x","")</f>
        <v/>
      </c>
      <c r="AD12" s="80" t="str">
        <f>IF(AND($P12=$AB$7,$B12&lt;'1332'!$I$9),"x","")</f>
        <v/>
      </c>
      <c r="AE12" s="80" t="str">
        <f>IF(AND('341-CT'!$H$9=H12,OR(LEFT(O12,3)=$AE$7,LEFT(P12,3)=$AE$7)),"x","")</f>
        <v/>
      </c>
      <c r="AF12" s="80" t="str">
        <f>IF(OR(TH!O12=TH!$AF$7,P12=TH!$AF$7),"x","")</f>
        <v/>
      </c>
      <c r="AG12" s="80"/>
      <c r="AH12" s="80" t="str">
        <f>IF(AND(B12&gt;='IN-NX'!$P$3,B12&lt;='IN-NX'!$Q$3,'IN-NX'!$D$7=D12,OR(LEFT(L12,2)="15",AND(LEFT(M12,2)&lt;&gt;"15",LEFT(M12,2)&lt;&gt;"33"))),"x","")</f>
        <v/>
      </c>
      <c r="AI12" s="80" t="str">
        <f>IF(AND(OR(LEFT(TH!O12,2)="15",LEFT(TH!P12,2)="15"),'152-CT'!$J$8=TH!F12),"x","")</f>
        <v/>
      </c>
      <c r="AJ12" s="80" t="str">
        <f>IF(AND(OR(LEFT(TH!O12,2)="15",LEFT(TH!P12,2)="15"),'THE KHO'!$E$7=TH!F12),"x","")</f>
        <v/>
      </c>
      <c r="AK12" s="80" t="str">
        <f>IF(AND(O12="1521",MONTH(C12)='BK NL'!$M$11),"x","")</f>
        <v/>
      </c>
    </row>
    <row r="13" spans="1:37" s="366" customFormat="1" ht="15.75" customHeight="1">
      <c r="A13" s="362" t="str">
        <f>IF(B13&lt;&gt;"",IF(AND(B13&gt;=_TM1,B13&lt;=_TM2,OR(TH!O13="1111",TH!P13="1111")),TH!D13,""),"")</f>
        <v/>
      </c>
      <c r="B13" s="63">
        <f t="shared" ref="B13" si="1">IF(C13&lt;&gt;"",MONTH(C13),"")</f>
        <v>12</v>
      </c>
      <c r="C13" s="1041">
        <f>E13</f>
        <v>42735</v>
      </c>
      <c r="D13" s="1041" t="s">
        <v>149</v>
      </c>
      <c r="E13" s="1041">
        <v>42735</v>
      </c>
      <c r="F13" s="1042" t="s">
        <v>150</v>
      </c>
      <c r="G13" s="350"/>
      <c r="H13" s="78"/>
      <c r="I13" s="474"/>
      <c r="J13" s="474"/>
      <c r="K13" s="467"/>
      <c r="L13" s="474"/>
      <c r="M13" s="79">
        <v>1005486220</v>
      </c>
      <c r="N13" s="79"/>
      <c r="O13" s="1152" t="s">
        <v>242</v>
      </c>
      <c r="P13" s="1044" t="s">
        <v>133</v>
      </c>
      <c r="Q13" s="80" t="str">
        <f>IF(AND('331-CT'!$E$7=TH!H13,OR(O13="331",P13="331")),"x","")</f>
        <v/>
      </c>
      <c r="R13" s="80" t="str">
        <f>IF(AND($B13&gt;='111'!$N$11,$B13&lt;='111'!$O$11,OR($O13=$R$7,$P13=$R$7)),"x","")</f>
        <v/>
      </c>
      <c r="S13" s="80" t="str">
        <f>IF(AND($O13=$R$7,$B13&lt;'111'!$N$11),"x","")</f>
        <v/>
      </c>
      <c r="T13" s="80" t="str">
        <f>IF(AND($P13=$R$7,$B13&lt;'111'!$N$11),"x","")</f>
        <v/>
      </c>
      <c r="U13" s="80" t="str">
        <f>IF(AND($B13&gt;='112'!$M$9,$B13&lt;='112'!$N$9,OR($O13='112'!$I$6,$P13='112'!$I$6)),"x","")</f>
        <v/>
      </c>
      <c r="V13" s="80" t="str">
        <f>IF(AND($O13='112'!$I$6,$B13&lt;'112'!$M$9),"x","")</f>
        <v/>
      </c>
      <c r="W13" s="80" t="str">
        <f>IF(AND($P13='112'!$I$6,$B13&lt;'112'!$M$9),"x","")</f>
        <v/>
      </c>
      <c r="X13" s="80" t="str">
        <f>IF(AND('131-CT'!$H$9=TH!H13,OR(O13="131",P13="131")),"x","")</f>
        <v/>
      </c>
      <c r="Y13" s="80" t="str">
        <f>IF(AND($B13&gt;='1331'!$I$9,$B13&lt;='1331'!$J$9,OR($O13=$Y$7,$P13=$Y$7)),"x","")</f>
        <v/>
      </c>
      <c r="Z13" s="80" t="str">
        <f>IF(AND($O13=$Y$7,$B13&lt;'1331'!$I$9),"x","")</f>
        <v/>
      </c>
      <c r="AA13" s="80" t="str">
        <f>IF(AND($P13=$Y$7,$B13&lt;'1331'!$I$9),"x","")</f>
        <v/>
      </c>
      <c r="AB13" s="80" t="str">
        <f>IF(AND($B13&gt;='1332'!$I$9,$B13&lt;='1332'!$I$9,OR($O13=$AB$7,$P13=$AB$7)),"x","")</f>
        <v/>
      </c>
      <c r="AC13" s="80" t="str">
        <f>IF(AND($O13=$AB$7,$B13&lt;'1332'!$I$9),"x","")</f>
        <v/>
      </c>
      <c r="AD13" s="80" t="str">
        <f>IF(AND($P13=$AB$7,$B13&lt;'1332'!$I$9),"x","")</f>
        <v/>
      </c>
      <c r="AE13" s="80" t="str">
        <f>IF(AND('341-CT'!$H$9=H13,OR(LEFT(O13,3)=$AE$7,LEFT(P13,3)=$AE$7)),"x","")</f>
        <v/>
      </c>
      <c r="AF13" s="80" t="str">
        <f>IF(OR(TH!O13=TH!$AF$7,P13=TH!$AF$7),"x","")</f>
        <v/>
      </c>
      <c r="AG13" s="80"/>
      <c r="AH13" s="80" t="str">
        <f>IF(AND(B13&gt;='IN-NX'!$P$3,B13&lt;='IN-NX'!$Q$3,'IN-NX'!$D$7=D13,OR(LEFT(L13,2)="15",AND(LEFT(M13,2)&lt;&gt;"15",LEFT(M13,2)&lt;&gt;"33"))),"x","")</f>
        <v/>
      </c>
      <c r="AI13" s="80" t="str">
        <f>IF(AND(OR(LEFT(TH!O13,2)="15",LEFT(TH!P13,2)="15"),'152-CT'!$J$8=TH!F13),"x","")</f>
        <v/>
      </c>
      <c r="AJ13" s="80" t="str">
        <f>IF(AND(OR(LEFT(TH!O13,2)="15",LEFT(TH!P13,2)="15"),'THE KHO'!$E$7=TH!F13),"x","")</f>
        <v/>
      </c>
      <c r="AK13" s="80" t="str">
        <f>IF(AND(O13="1521",MONTH(C13)='BK NL'!$M$11),"x","")</f>
        <v/>
      </c>
    </row>
    <row r="14" spans="1:37" s="366" customFormat="1" ht="15.75" customHeight="1">
      <c r="A14" s="362" t="str">
        <f>IF(B14&lt;&gt;"",IF(AND(B14&gt;=_TM1,B14&lt;=_TM2,OR(TH!O14="1111",TH!P14="1111")),TH!D14,""),"")</f>
        <v/>
      </c>
      <c r="B14" s="63">
        <f t="shared" si="0"/>
        <v>12</v>
      </c>
      <c r="C14" s="1041">
        <f t="shared" ref="C14:C24" si="2">E14</f>
        <v>42735</v>
      </c>
      <c r="D14" s="1041" t="s">
        <v>149</v>
      </c>
      <c r="E14" s="1041">
        <v>42735</v>
      </c>
      <c r="F14" s="1042" t="s">
        <v>1205</v>
      </c>
      <c r="G14" s="350"/>
      <c r="H14" s="83"/>
      <c r="I14" s="475"/>
      <c r="J14" s="475"/>
      <c r="K14" s="468"/>
      <c r="L14" s="475"/>
      <c r="M14" s="79">
        <f>SUMIF(KHN,P14,TH)</f>
        <v>852201875</v>
      </c>
      <c r="N14" s="79"/>
      <c r="O14" s="1152" t="s">
        <v>135</v>
      </c>
      <c r="P14" s="1044" t="s">
        <v>468</v>
      </c>
      <c r="Q14" s="80" t="str">
        <f>IF(AND('331-CT'!$E$7=TH!H14,OR(O14="331",P14="331")),"x","")</f>
        <v/>
      </c>
      <c r="R14" s="80" t="str">
        <f>IF(AND($B14&gt;='111'!$N$11,$B14&lt;='111'!$O$11,OR($O14=$R$7,$P14=$R$7)),"x","")</f>
        <v/>
      </c>
      <c r="S14" s="80" t="str">
        <f>IF(AND($O14=$R$7,$B14&lt;'111'!$N$11),"x","")</f>
        <v/>
      </c>
      <c r="T14" s="80" t="str">
        <f>IF(AND($P14=$R$7,$B14&lt;'111'!$N$11),"x","")</f>
        <v/>
      </c>
      <c r="U14" s="80" t="str">
        <f>IF(AND($B14&gt;='112'!$M$9,$B14&lt;='112'!$N$9,OR($O14='112'!$I$6,$P14='112'!$I$6)),"x","")</f>
        <v/>
      </c>
      <c r="V14" s="80" t="str">
        <f>IF(AND($O14='112'!$I$6,$B14&lt;'112'!$M$9),"x","")</f>
        <v/>
      </c>
      <c r="W14" s="80" t="str">
        <f>IF(AND($P14='112'!$I$6,$B14&lt;'112'!$M$9),"x","")</f>
        <v/>
      </c>
      <c r="X14" s="80" t="str">
        <f>IF(AND('131-CT'!$H$9=TH!H14,OR(O14="131",P14="131")),"x","")</f>
        <v/>
      </c>
      <c r="Y14" s="80" t="str">
        <f>IF(AND($B14&gt;='1331'!$I$9,$B14&lt;='1331'!$J$9,OR($O14=$Y$7,$P14=$Y$7)),"x","")</f>
        <v/>
      </c>
      <c r="Z14" s="80" t="str">
        <f>IF(AND($O14=$Y$7,$B14&lt;'1331'!$I$9),"x","")</f>
        <v/>
      </c>
      <c r="AA14" s="80" t="str">
        <f>IF(AND($P14=$Y$7,$B14&lt;'1331'!$I$9),"x","")</f>
        <v/>
      </c>
      <c r="AB14" s="80" t="str">
        <f>IF(AND($B14&gt;='1332'!$I$9,$B14&lt;='1332'!$I$9,OR($O14=$AB$7,$P14=$AB$7)),"x","")</f>
        <v/>
      </c>
      <c r="AC14" s="80" t="str">
        <f>IF(AND($O14=$AB$7,$B14&lt;'1332'!$I$9),"x","")</f>
        <v/>
      </c>
      <c r="AD14" s="80" t="str">
        <f>IF(AND($P14=$AB$7,$B14&lt;'1332'!$I$9),"x","")</f>
        <v/>
      </c>
      <c r="AE14" s="80" t="str">
        <f>IF(AND('341-CT'!$H$9=H14,OR(LEFT(O14,3)=$AE$7,LEFT(P14,3)=$AE$7)),"x","")</f>
        <v/>
      </c>
      <c r="AF14" s="80" t="str">
        <f>IF(OR(TH!O14=TH!$AF$7,P14=TH!$AF$7),"x","")</f>
        <v/>
      </c>
      <c r="AG14" s="80"/>
      <c r="AH14" s="80" t="str">
        <f>IF(AND(B14&gt;='IN-NX'!$P$3,B14&lt;='IN-NX'!$Q$3,'IN-NX'!$D$7=D14,OR(LEFT(L14,2)="15",AND(LEFT(M14,2)&lt;&gt;"15",LEFT(M14,2)&lt;&gt;"33"))),"x","")</f>
        <v/>
      </c>
      <c r="AI14" s="80" t="str">
        <f>IF(AND(OR(LEFT(TH!O14,2)="15",LEFT(TH!P14,2)="15"),'152-CT'!$J$8=TH!F14),"x","")</f>
        <v/>
      </c>
      <c r="AJ14" s="80" t="str">
        <f>IF(AND(OR(LEFT(TH!O14,2)="15",LEFT(TH!P14,2)="15"),'THE KHO'!$E$7=TH!F14),"x","")</f>
        <v/>
      </c>
      <c r="AK14" s="80" t="str">
        <f>IF(AND(O14="1521",MONTH(C14)='BK NL'!$M$11),"x","")</f>
        <v/>
      </c>
    </row>
    <row r="15" spans="1:37" s="366" customFormat="1" ht="15.75" customHeight="1">
      <c r="A15" s="362" t="str">
        <f>IF(B15&lt;&gt;"",IF(AND(B15&gt;=_TM1,B15&lt;=_TM2,OR(TH!O15="1111",TH!P15="1111")),TH!D15,""),"")</f>
        <v/>
      </c>
      <c r="B15" s="63">
        <f t="shared" si="0"/>
        <v>12</v>
      </c>
      <c r="C15" s="1041">
        <f t="shared" si="2"/>
        <v>42735</v>
      </c>
      <c r="D15" s="1041" t="s">
        <v>149</v>
      </c>
      <c r="E15" s="1041">
        <v>42735</v>
      </c>
      <c r="F15" s="1042" t="s">
        <v>1205</v>
      </c>
      <c r="G15" s="350"/>
      <c r="H15" s="78"/>
      <c r="I15" s="474"/>
      <c r="J15" s="474"/>
      <c r="K15" s="467"/>
      <c r="L15" s="474"/>
      <c r="M15" s="79"/>
      <c r="N15" s="79"/>
      <c r="O15" s="1152" t="s">
        <v>480</v>
      </c>
      <c r="P15" s="1044" t="s">
        <v>468</v>
      </c>
      <c r="Q15" s="80" t="str">
        <f>IF(AND('331-CT'!$E$7=TH!H15,OR(O15="331",P15="331")),"x","")</f>
        <v/>
      </c>
      <c r="R15" s="80" t="str">
        <f>IF(AND($B15&gt;='111'!$N$11,$B15&lt;='111'!$O$11,OR($O15=$R$7,$P15=$R$7)),"x","")</f>
        <v/>
      </c>
      <c r="S15" s="80" t="str">
        <f>IF(AND($O15=$R$7,$B15&lt;'111'!$N$11),"x","")</f>
        <v/>
      </c>
      <c r="T15" s="80" t="str">
        <f>IF(AND($P15=$R$7,$B15&lt;'111'!$N$11),"x","")</f>
        <v/>
      </c>
      <c r="U15" s="80" t="str">
        <f>IF(AND($B15&gt;='112'!$M$9,$B15&lt;='112'!$N$9,OR($O15='112'!$I$6,$P15='112'!$I$6)),"x","")</f>
        <v/>
      </c>
      <c r="V15" s="80" t="str">
        <f>IF(AND($O15='112'!$I$6,$B15&lt;'112'!$M$9),"x","")</f>
        <v/>
      </c>
      <c r="W15" s="80" t="str">
        <f>IF(AND($P15='112'!$I$6,$B15&lt;'112'!$M$9),"x","")</f>
        <v/>
      </c>
      <c r="X15" s="80" t="str">
        <f>IF(AND('131-CT'!$H$9=TH!H15,OR(O15="131",P15="131")),"x","")</f>
        <v/>
      </c>
      <c r="Y15" s="80" t="str">
        <f>IF(AND($B15&gt;='1331'!$I$9,$B15&lt;='1331'!$J$9,OR($O15=$Y$7,$P15=$Y$7)),"x","")</f>
        <v/>
      </c>
      <c r="Z15" s="80" t="str">
        <f>IF(AND($O15=$Y$7,$B15&lt;'1331'!$I$9),"x","")</f>
        <v/>
      </c>
      <c r="AA15" s="80" t="str">
        <f>IF(AND($P15=$Y$7,$B15&lt;'1331'!$I$9),"x","")</f>
        <v/>
      </c>
      <c r="AB15" s="80" t="str">
        <f>IF(AND($B15&gt;='1332'!$I$9,$B15&lt;='1332'!$I$9,OR($O15=$AB$7,$P15=$AB$7)),"x","")</f>
        <v/>
      </c>
      <c r="AC15" s="80" t="str">
        <f>IF(AND($O15=$AB$7,$B15&lt;'1332'!$I$9),"x","")</f>
        <v/>
      </c>
      <c r="AD15" s="80" t="str">
        <f>IF(AND($P15=$AB$7,$B15&lt;'1332'!$I$9),"x","")</f>
        <v/>
      </c>
      <c r="AE15" s="80" t="str">
        <f>IF(AND('341-CT'!$H$9=H15,OR(LEFT(O15,3)=$AE$7,LEFT(P15,3)=$AE$7)),"x","")</f>
        <v/>
      </c>
      <c r="AF15" s="80" t="str">
        <f>IF(OR(TH!O15=TH!$AF$7,P15=TH!$AF$7),"x","")</f>
        <v/>
      </c>
      <c r="AG15" s="80"/>
      <c r="AH15" s="80" t="str">
        <f>IF(AND(B15&gt;='IN-NX'!$P$3,B15&lt;='IN-NX'!$Q$3,'IN-NX'!$D$7=D15,OR(LEFT(L15,2)="15",AND(LEFT(M15,2)&lt;&gt;"15",LEFT(M15,2)&lt;&gt;"33"))),"x","")</f>
        <v/>
      </c>
      <c r="AI15" s="80" t="str">
        <f>IF(AND(OR(LEFT(TH!O15,2)="15",LEFT(TH!P15,2)="15"),'152-CT'!$J$8=TH!F15),"x","")</f>
        <v/>
      </c>
      <c r="AJ15" s="80" t="str">
        <f>IF(AND(OR(LEFT(TH!O15,2)="15",LEFT(TH!P15,2)="15"),'THE KHO'!$E$7=TH!F15),"x","")</f>
        <v/>
      </c>
      <c r="AK15" s="80" t="str">
        <f>IF(AND(O15="1521",MONTH(C15)='BK NL'!$M$11),"x","")</f>
        <v/>
      </c>
    </row>
    <row r="16" spans="1:37" s="366" customFormat="1" ht="15.75" customHeight="1">
      <c r="A16" s="362" t="str">
        <f>IF(B16&lt;&gt;"",IF(AND(B16&gt;=_TM1,B16&lt;=_TM2,OR(TH!O16="1111",TH!P16="1111")),TH!D16,""),"")</f>
        <v/>
      </c>
      <c r="B16" s="63">
        <f t="shared" si="0"/>
        <v>12</v>
      </c>
      <c r="C16" s="1041">
        <f t="shared" si="2"/>
        <v>42735</v>
      </c>
      <c r="D16" s="1041" t="s">
        <v>149</v>
      </c>
      <c r="E16" s="1041">
        <v>42735</v>
      </c>
      <c r="F16" s="1042" t="s">
        <v>1206</v>
      </c>
      <c r="G16" s="350"/>
      <c r="H16" s="78"/>
      <c r="I16" s="474"/>
      <c r="J16" s="474"/>
      <c r="K16" s="467"/>
      <c r="L16" s="474"/>
      <c r="M16" s="79"/>
      <c r="N16" s="79"/>
      <c r="O16" s="1152" t="s">
        <v>143</v>
      </c>
      <c r="P16" s="1044" t="s">
        <v>480</v>
      </c>
      <c r="Q16" s="80" t="str">
        <f>IF(AND('331-CT'!$E$7=TH!H16,OR(O16="331",P16="331")),"x","")</f>
        <v/>
      </c>
      <c r="R16" s="80" t="str">
        <f>IF(AND($B16&gt;='111'!$N$11,$B16&lt;='111'!$O$11,OR($O16=$R$7,$P16=$R$7)),"x","")</f>
        <v/>
      </c>
      <c r="S16" s="80" t="str">
        <f>IF(AND($O16=$R$7,$B16&lt;'111'!$N$11),"x","")</f>
        <v/>
      </c>
      <c r="T16" s="80" t="str">
        <f>IF(AND($P16=$R$7,$B16&lt;'111'!$N$11),"x","")</f>
        <v/>
      </c>
      <c r="U16" s="80" t="str">
        <f>IF(AND($B16&gt;='112'!$M$9,$B16&lt;='112'!$N$9,OR($O16='112'!$I$6,$P16='112'!$I$6)),"x","")</f>
        <v/>
      </c>
      <c r="V16" s="80" t="str">
        <f>IF(AND($O16='112'!$I$6,$B16&lt;'112'!$M$9),"x","")</f>
        <v/>
      </c>
      <c r="W16" s="80" t="str">
        <f>IF(AND($P16='112'!$I$6,$B16&lt;'112'!$M$9),"x","")</f>
        <v/>
      </c>
      <c r="X16" s="80" t="str">
        <f>IF(AND('131-CT'!$H$9=TH!H16,OR(O16="131",P16="131")),"x","")</f>
        <v/>
      </c>
      <c r="Y16" s="80" t="str">
        <f>IF(AND($B16&gt;='1331'!$I$9,$B16&lt;='1331'!$J$9,OR($O16=$Y$7,$P16=$Y$7)),"x","")</f>
        <v/>
      </c>
      <c r="Z16" s="80" t="str">
        <f>IF(AND($O16=$Y$7,$B16&lt;'1331'!$I$9),"x","")</f>
        <v/>
      </c>
      <c r="AA16" s="80" t="str">
        <f>IF(AND($P16=$Y$7,$B16&lt;'1331'!$I$9),"x","")</f>
        <v/>
      </c>
      <c r="AB16" s="80" t="str">
        <f>IF(AND($B16&gt;='1332'!$I$9,$B16&lt;='1332'!$I$9,OR($O16=$AB$7,$P16=$AB$7)),"x","")</f>
        <v/>
      </c>
      <c r="AC16" s="80" t="str">
        <f>IF(AND($O16=$AB$7,$B16&lt;'1332'!$I$9),"x","")</f>
        <v/>
      </c>
      <c r="AD16" s="80" t="str">
        <f>IF(AND($P16=$AB$7,$B16&lt;'1332'!$I$9),"x","")</f>
        <v/>
      </c>
      <c r="AE16" s="80" t="str">
        <f>IF(AND('341-CT'!$H$9=H16,OR(LEFT(O16,3)=$AE$7,LEFT(P16,3)=$AE$7)),"x","")</f>
        <v/>
      </c>
      <c r="AF16" s="80" t="str">
        <f>IF(OR(TH!O16=TH!$AF$7,P16=TH!$AF$7),"x","")</f>
        <v/>
      </c>
      <c r="AG16" s="80"/>
      <c r="AH16" s="80" t="str">
        <f>IF(AND(B16&gt;='IN-NX'!$P$3,B16&lt;='IN-NX'!$Q$3,'IN-NX'!$D$7=D16,OR(LEFT(L16,2)="15",AND(LEFT(M16,2)&lt;&gt;"15",LEFT(M16,2)&lt;&gt;"33"))),"x","")</f>
        <v/>
      </c>
      <c r="AI16" s="80" t="str">
        <f>IF(AND(OR(LEFT(TH!O16,2)="15",LEFT(TH!P16,2)="15"),'152-CT'!$J$8=TH!F16),"x","")</f>
        <v/>
      </c>
      <c r="AJ16" s="80" t="str">
        <f>IF(AND(OR(LEFT(TH!O16,2)="15",LEFT(TH!P16,2)="15"),'THE KHO'!$E$7=TH!F16),"x","")</f>
        <v/>
      </c>
      <c r="AK16" s="80" t="str">
        <f>IF(AND(O16="1521",MONTH(C16)='BK NL'!$M$11),"x","")</f>
        <v/>
      </c>
    </row>
    <row r="17" spans="1:39" s="366" customFormat="1" ht="15.75" customHeight="1">
      <c r="A17" s="362" t="str">
        <f>IF(B17&lt;&gt;"",IF(AND(B17&gt;=_TM1,B17&lt;=_TM2,OR(TH!O17="1111",TH!P17="1111")),TH!D17,""),"")</f>
        <v/>
      </c>
      <c r="B17" s="63">
        <f t="shared" ref="B17:B90" si="3">IF(C17&lt;&gt;"",MONTH(C17),"")</f>
        <v>12</v>
      </c>
      <c r="C17" s="1041">
        <f t="shared" si="2"/>
        <v>42735</v>
      </c>
      <c r="D17" s="1041" t="s">
        <v>149</v>
      </c>
      <c r="E17" s="1041">
        <v>42735</v>
      </c>
      <c r="F17" s="1042" t="s">
        <v>151</v>
      </c>
      <c r="G17" s="350"/>
      <c r="H17" s="78"/>
      <c r="I17" s="474"/>
      <c r="J17" s="474"/>
      <c r="K17" s="467"/>
      <c r="L17" s="474"/>
      <c r="M17" s="79">
        <f>SUMIF(KHN,P17,TH)</f>
        <v>2047352469</v>
      </c>
      <c r="N17" s="79"/>
      <c r="O17" s="1152" t="s">
        <v>143</v>
      </c>
      <c r="P17" s="1044" t="s">
        <v>135</v>
      </c>
      <c r="Q17" s="80" t="str">
        <f>IF(AND('331-CT'!$E$7=TH!H17,OR(O17="331",P17="331")),"x","")</f>
        <v/>
      </c>
      <c r="R17" s="80" t="str">
        <f>IF(AND($B17&gt;='111'!$N$11,$B17&lt;='111'!$O$11,OR($O17=$R$7,$P17=$R$7)),"x","")</f>
        <v/>
      </c>
      <c r="S17" s="80" t="str">
        <f>IF(AND($O17=$R$7,$B17&lt;'111'!$N$11),"x","")</f>
        <v/>
      </c>
      <c r="T17" s="80" t="str">
        <f>IF(AND($P17=$R$7,$B17&lt;'111'!$N$11),"x","")</f>
        <v/>
      </c>
      <c r="U17" s="80" t="str">
        <f>IF(AND($B17&gt;='112'!$M$9,$B17&lt;='112'!$N$9,OR($O17='112'!$I$6,$P17='112'!$I$6)),"x","")</f>
        <v/>
      </c>
      <c r="V17" s="80" t="str">
        <f>IF(AND($O17='112'!$I$6,$B17&lt;'112'!$M$9),"x","")</f>
        <v/>
      </c>
      <c r="W17" s="80" t="str">
        <f>IF(AND($P17='112'!$I$6,$B17&lt;'112'!$M$9),"x","")</f>
        <v/>
      </c>
      <c r="X17" s="80" t="str">
        <f>IF(AND('131-CT'!$H$9=TH!H17,OR(O17="131",P17="131")),"x","")</f>
        <v/>
      </c>
      <c r="Y17" s="80" t="str">
        <f>IF(AND($B17&gt;='1331'!$I$9,$B17&lt;='1331'!$J$9,OR($O17=$Y$7,$P17=$Y$7)),"x","")</f>
        <v/>
      </c>
      <c r="Z17" s="80" t="str">
        <f>IF(AND($O17=$Y$7,$B17&lt;'1331'!$I$9),"x","")</f>
        <v/>
      </c>
      <c r="AA17" s="80" t="str">
        <f>IF(AND($P17=$Y$7,$B17&lt;'1331'!$I$9),"x","")</f>
        <v/>
      </c>
      <c r="AB17" s="80" t="str">
        <f>IF(AND($B17&gt;='1332'!$I$9,$B17&lt;='1332'!$I$9,OR($O17=$AB$7,$P17=$AB$7)),"x","")</f>
        <v/>
      </c>
      <c r="AC17" s="80" t="str">
        <f>IF(AND($O17=$AB$7,$B17&lt;'1332'!$I$9),"x","")</f>
        <v/>
      </c>
      <c r="AD17" s="80" t="str">
        <f>IF(AND($P17=$AB$7,$B17&lt;'1332'!$I$9),"x","")</f>
        <v/>
      </c>
      <c r="AE17" s="80" t="str">
        <f>IF(AND('341-CT'!$H$9=H17,OR(LEFT(O17,3)=$AE$7,LEFT(P17,3)=$AE$7)),"x","")</f>
        <v/>
      </c>
      <c r="AF17" s="80" t="str">
        <f>IF(OR(TH!O17=TH!$AF$7,P17=TH!$AF$7),"x","")</f>
        <v/>
      </c>
      <c r="AG17" s="80"/>
      <c r="AH17" s="80" t="str">
        <f>IF(AND(B17&gt;='IN-NX'!$P$3,B17&lt;='IN-NX'!$Q$3,'IN-NX'!$D$7=D17,OR(LEFT(L17,2)="15",AND(LEFT(M17,2)&lt;&gt;"15",LEFT(M17,2)&lt;&gt;"33"))),"x","")</f>
        <v/>
      </c>
      <c r="AI17" s="80" t="str">
        <f>IF(AND(OR(LEFT(TH!O17,2)="15",LEFT(TH!P17,2)="15"),'152-CT'!$J$8=TH!F17),"x","")</f>
        <v/>
      </c>
      <c r="AJ17" s="80" t="str">
        <f>IF(AND(OR(LEFT(TH!O17,2)="15",LEFT(TH!P17,2)="15"),'THE KHO'!$E$7=TH!F17),"x","")</f>
        <v/>
      </c>
      <c r="AK17" s="80" t="str">
        <f>IF(AND(O17="1521",MONTH(C17)='BK NL'!$M$11),"x","")</f>
        <v/>
      </c>
    </row>
    <row r="18" spans="1:39" s="366" customFormat="1" ht="15.75" customHeight="1">
      <c r="A18" s="362" t="str">
        <f>IF(B18&lt;&gt;"",IF(AND(B18&gt;=_TM1,B18&lt;=_TM2,OR(TH!O18="1111",TH!P18="1111")),TH!D18,""),"")</f>
        <v/>
      </c>
      <c r="B18" s="63">
        <f t="shared" ref="B18:B24" si="4">IF(C18&lt;&gt;"",MONTH(C18),"")</f>
        <v>12</v>
      </c>
      <c r="C18" s="1041">
        <f t="shared" si="2"/>
        <v>42735</v>
      </c>
      <c r="D18" s="1041" t="s">
        <v>149</v>
      </c>
      <c r="E18" s="1041">
        <v>42735</v>
      </c>
      <c r="F18" s="1042" t="s">
        <v>153</v>
      </c>
      <c r="G18" s="350"/>
      <c r="H18" s="78"/>
      <c r="I18" s="474"/>
      <c r="J18" s="474"/>
      <c r="K18" s="467"/>
      <c r="L18" s="474"/>
      <c r="M18" s="79">
        <f>SUMIF(KHC,O18,TH)</f>
        <v>20041795</v>
      </c>
      <c r="N18" s="79"/>
      <c r="O18" s="1044" t="s">
        <v>58</v>
      </c>
      <c r="P18" s="1044" t="s">
        <v>143</v>
      </c>
      <c r="Q18" s="80" t="str">
        <f>IF(AND('331-CT'!$E$7=TH!H18,OR(O18="331",P18="331")),"x","")</f>
        <v/>
      </c>
      <c r="R18" s="80" t="str">
        <f>IF(AND($B18&gt;='111'!$N$11,$B18&lt;='111'!$O$11,OR($O18=$R$7,$P18=$R$7)),"x","")</f>
        <v/>
      </c>
      <c r="S18" s="80" t="str">
        <f>IF(AND($O18=$R$7,$B18&lt;'111'!$N$11),"x","")</f>
        <v/>
      </c>
      <c r="T18" s="80" t="str">
        <f>IF(AND($P18=$R$7,$B18&lt;'111'!$N$11),"x","")</f>
        <v/>
      </c>
      <c r="U18" s="80" t="str">
        <f>IF(AND($B18&gt;='112'!$M$9,$B18&lt;='112'!$N$9,OR($O18='112'!$I$6,$P18='112'!$I$6)),"x","")</f>
        <v/>
      </c>
      <c r="V18" s="80" t="str">
        <f>IF(AND($O18='112'!$I$6,$B18&lt;'112'!$M$9),"x","")</f>
        <v/>
      </c>
      <c r="W18" s="80" t="str">
        <f>IF(AND($P18='112'!$I$6,$B18&lt;'112'!$M$9),"x","")</f>
        <v/>
      </c>
      <c r="X18" s="80" t="str">
        <f>IF(AND('131-CT'!$H$9=TH!H18,OR(O18="131",P18="131")),"x","")</f>
        <v/>
      </c>
      <c r="Y18" s="80" t="str">
        <f>IF(AND($B18&gt;='1331'!$I$9,$B18&lt;='1331'!$J$9,OR($O18=$Y$7,$P18=$Y$7)),"x","")</f>
        <v/>
      </c>
      <c r="Z18" s="80" t="str">
        <f>IF(AND($O18=$Y$7,$B18&lt;'1331'!$I$9),"x","")</f>
        <v/>
      </c>
      <c r="AA18" s="80" t="str">
        <f>IF(AND($P18=$Y$7,$B18&lt;'1331'!$I$9),"x","")</f>
        <v/>
      </c>
      <c r="AB18" s="80" t="str">
        <f>IF(AND($B18&gt;='1332'!$I$9,$B18&lt;='1332'!$I$9,OR($O18=$AB$7,$P18=$AB$7)),"x","")</f>
        <v/>
      </c>
      <c r="AC18" s="80" t="str">
        <f>IF(AND($O18=$AB$7,$B18&lt;'1332'!$I$9),"x","")</f>
        <v/>
      </c>
      <c r="AD18" s="80" t="str">
        <f>IF(AND($P18=$AB$7,$B18&lt;'1332'!$I$9),"x","")</f>
        <v/>
      </c>
      <c r="AE18" s="80" t="str">
        <f>IF(AND('341-CT'!$H$9=H18,OR(LEFT(O18,3)=$AE$7,LEFT(P18,3)=$AE$7)),"x","")</f>
        <v/>
      </c>
      <c r="AF18" s="80" t="str">
        <f>IF(OR(TH!O18=TH!$AF$7,P18=TH!$AF$7),"x","")</f>
        <v/>
      </c>
      <c r="AG18" s="80"/>
      <c r="AH18" s="80" t="str">
        <f>IF(AND(B18&gt;='IN-NX'!$P$3,B18&lt;='IN-NX'!$Q$3,'IN-NX'!$D$7=D18,OR(LEFT(L18,2)="15",AND(LEFT(M18,2)&lt;&gt;"15",LEFT(M18,2)&lt;&gt;"33"))),"x","")</f>
        <v/>
      </c>
      <c r="AI18" s="80" t="str">
        <f>IF(AND(OR(LEFT(TH!O18,2)="15",LEFT(TH!P18,2)="15"),'152-CT'!$J$8=TH!F18),"x","")</f>
        <v/>
      </c>
      <c r="AJ18" s="80" t="str">
        <f>IF(AND(OR(LEFT(TH!O18,2)="15",LEFT(TH!P18,2)="15"),'THE KHO'!$E$7=TH!F18),"x","")</f>
        <v/>
      </c>
      <c r="AK18" s="80" t="str">
        <f>IF(AND(O18="1521",MONTH(C18)='BK NL'!$M$11),"x","")</f>
        <v/>
      </c>
    </row>
    <row r="19" spans="1:39" s="366" customFormat="1" ht="15.75" customHeight="1">
      <c r="A19" s="362" t="str">
        <f>IF(B19&lt;&gt;"",IF(AND(B19&gt;=_TM1,B19&lt;=_TM2,OR(TH!O19="1111",TH!P19="1111")),TH!D19,""),"")</f>
        <v/>
      </c>
      <c r="B19" s="63">
        <f t="shared" si="4"/>
        <v>12</v>
      </c>
      <c r="C19" s="1041">
        <f t="shared" si="2"/>
        <v>42735</v>
      </c>
      <c r="D19" s="1041" t="s">
        <v>149</v>
      </c>
      <c r="E19" s="1041">
        <v>42735</v>
      </c>
      <c r="F19" s="1042" t="s">
        <v>1207</v>
      </c>
      <c r="G19" s="350"/>
      <c r="H19" s="78"/>
      <c r="I19" s="474"/>
      <c r="J19" s="474"/>
      <c r="K19" s="467"/>
      <c r="L19" s="474"/>
      <c r="M19" s="79">
        <f>SUMIF(KHC,O19,TH)</f>
        <v>0</v>
      </c>
      <c r="N19" s="79"/>
      <c r="O19" s="1044" t="s">
        <v>482</v>
      </c>
      <c r="P19" s="1044" t="s">
        <v>143</v>
      </c>
      <c r="Q19" s="80" t="str">
        <f>IF(AND('331-CT'!$E$7=TH!H19,OR(O19="331",P19="331")),"x","")</f>
        <v/>
      </c>
      <c r="R19" s="80" t="str">
        <f>IF(AND($B19&gt;='111'!$N$11,$B19&lt;='111'!$O$11,OR($O19=$R$7,$P19=$R$7)),"x","")</f>
        <v/>
      </c>
      <c r="S19" s="80" t="str">
        <f>IF(AND($O19=$R$7,$B19&lt;'111'!$N$11),"x","")</f>
        <v/>
      </c>
      <c r="T19" s="80" t="str">
        <f>IF(AND($P19=$R$7,$B19&lt;'111'!$N$11),"x","")</f>
        <v/>
      </c>
      <c r="U19" s="80" t="str">
        <f>IF(AND($B19&gt;='112'!$M$9,$B19&lt;='112'!$N$9,OR($O19='112'!$I$6,$P19='112'!$I$6)),"x","")</f>
        <v/>
      </c>
      <c r="V19" s="80" t="str">
        <f>IF(AND($O19='112'!$I$6,$B19&lt;'112'!$M$9),"x","")</f>
        <v/>
      </c>
      <c r="W19" s="80" t="str">
        <f>IF(AND($P19='112'!$I$6,$B19&lt;'112'!$M$9),"x","")</f>
        <v/>
      </c>
      <c r="X19" s="80" t="str">
        <f>IF(AND('131-CT'!$H$9=TH!H19,OR(O19="131",P19="131")),"x","")</f>
        <v/>
      </c>
      <c r="Y19" s="80" t="str">
        <f>IF(AND($B19&gt;='1331'!$I$9,$B19&lt;='1331'!$J$9,OR($O19=$Y$7,$P19=$Y$7)),"x","")</f>
        <v/>
      </c>
      <c r="Z19" s="80" t="str">
        <f>IF(AND($O19=$Y$7,$B19&lt;'1331'!$I$9),"x","")</f>
        <v/>
      </c>
      <c r="AA19" s="80" t="str">
        <f>IF(AND($P19=$Y$7,$B19&lt;'1331'!$I$9),"x","")</f>
        <v/>
      </c>
      <c r="AB19" s="80" t="str">
        <f>IF(AND($B19&gt;='1332'!$I$9,$B19&lt;='1332'!$I$9,OR($O19=$AB$7,$P19=$AB$7)),"x","")</f>
        <v/>
      </c>
      <c r="AC19" s="80" t="str">
        <f>IF(AND($O19=$AB$7,$B19&lt;'1332'!$I$9),"x","")</f>
        <v/>
      </c>
      <c r="AD19" s="80" t="str">
        <f>IF(AND($P19=$AB$7,$B19&lt;'1332'!$I$9),"x","")</f>
        <v/>
      </c>
      <c r="AE19" s="80" t="str">
        <f>IF(AND('341-CT'!$H$9=H19,OR(LEFT(O19,3)=$AE$7,LEFT(P19,3)=$AE$7)),"x","")</f>
        <v/>
      </c>
      <c r="AF19" s="80" t="str">
        <f>IF(OR(TH!O19=TH!$AF$7,P19=TH!$AF$7),"x","")</f>
        <v/>
      </c>
      <c r="AG19" s="80"/>
      <c r="AH19" s="80" t="str">
        <f>IF(AND(B19&gt;='IN-NX'!$P$3,B19&lt;='IN-NX'!$Q$3,'IN-NX'!$D$7=D19,OR(LEFT(L19,2)="15",AND(LEFT(M19,2)&lt;&gt;"15",LEFT(M19,2)&lt;&gt;"33"))),"x","")</f>
        <v/>
      </c>
      <c r="AI19" s="80" t="str">
        <f>IF(AND(OR(LEFT(TH!O19,2)="15",LEFT(TH!P19,2)="15"),'152-CT'!$J$8=TH!F19),"x","")</f>
        <v/>
      </c>
      <c r="AJ19" s="80" t="str">
        <f>IF(AND(OR(LEFT(TH!O19,2)="15",LEFT(TH!P19,2)="15"),'THE KHO'!$E$7=TH!F19),"x","")</f>
        <v/>
      </c>
      <c r="AK19" s="80" t="str">
        <f>IF(AND(O19="1521",MONTH(C19)='BK NL'!$M$11),"x","")</f>
        <v/>
      </c>
    </row>
    <row r="20" spans="1:39" s="366" customFormat="1" ht="15.75" customHeight="1">
      <c r="A20" s="362" t="str">
        <f>IF(B20&lt;&gt;"",IF(AND(B20&gt;=_TM1,B20&lt;=_TM2,OR(TH!O20="1111",TH!P20="1111")),TH!D20,""),"")</f>
        <v/>
      </c>
      <c r="B20" s="63">
        <f t="shared" si="4"/>
        <v>12</v>
      </c>
      <c r="C20" s="1041">
        <f t="shared" si="2"/>
        <v>42735</v>
      </c>
      <c r="D20" s="1041" t="s">
        <v>149</v>
      </c>
      <c r="E20" s="1041">
        <v>42735</v>
      </c>
      <c r="F20" s="1042" t="s">
        <v>154</v>
      </c>
      <c r="G20" s="350"/>
      <c r="H20" s="78"/>
      <c r="I20" s="474"/>
      <c r="J20" s="474"/>
      <c r="K20" s="467"/>
      <c r="L20" s="474"/>
      <c r="M20" s="79">
        <f>SUMIF(KHC,O20,TH)</f>
        <v>0</v>
      </c>
      <c r="N20" s="79"/>
      <c r="O20" s="1044" t="s">
        <v>137</v>
      </c>
      <c r="P20" s="1044" t="s">
        <v>143</v>
      </c>
      <c r="Q20" s="80" t="str">
        <f>IF(AND('331-CT'!$E$7=TH!H20,OR(O20="331",P20="331")),"x","")</f>
        <v/>
      </c>
      <c r="R20" s="80" t="str">
        <f>IF(AND($B20&gt;='111'!$N$11,$B20&lt;='111'!$O$11,OR($O20=$R$7,$P20=$R$7)),"x","")</f>
        <v/>
      </c>
      <c r="S20" s="80" t="str">
        <f>IF(AND($O20=$R$7,$B20&lt;'111'!$N$11),"x","")</f>
        <v/>
      </c>
      <c r="T20" s="80" t="str">
        <f>IF(AND($P20=$R$7,$B20&lt;'111'!$N$11),"x","")</f>
        <v/>
      </c>
      <c r="U20" s="80" t="str">
        <f>IF(AND($B20&gt;='112'!$M$9,$B20&lt;='112'!$N$9,OR($O20='112'!$I$6,$P20='112'!$I$6)),"x","")</f>
        <v/>
      </c>
      <c r="V20" s="80" t="str">
        <f>IF(AND($O20='112'!$I$6,$B20&lt;'112'!$M$9),"x","")</f>
        <v/>
      </c>
      <c r="W20" s="80" t="str">
        <f>IF(AND($P20='112'!$I$6,$B20&lt;'112'!$M$9),"x","")</f>
        <v/>
      </c>
      <c r="X20" s="80" t="str">
        <f>IF(AND('131-CT'!$H$9=TH!H20,OR(O20="131",P20="131")),"x","")</f>
        <v/>
      </c>
      <c r="Y20" s="80" t="str">
        <f>IF(AND($B20&gt;='1331'!$I$9,$B20&lt;='1331'!$J$9,OR($O20=$Y$7,$P20=$Y$7)),"x","")</f>
        <v/>
      </c>
      <c r="Z20" s="80" t="str">
        <f>IF(AND($O20=$Y$7,$B20&lt;'1331'!$I$9),"x","")</f>
        <v/>
      </c>
      <c r="AA20" s="80" t="str">
        <f>IF(AND($P20=$Y$7,$B20&lt;'1331'!$I$9),"x","")</f>
        <v/>
      </c>
      <c r="AB20" s="80" t="str">
        <f>IF(AND($B20&gt;='1332'!$I$9,$B20&lt;='1332'!$I$9,OR($O20=$AB$7,$P20=$AB$7)),"x","")</f>
        <v/>
      </c>
      <c r="AC20" s="80" t="str">
        <f>IF(AND($O20=$AB$7,$B20&lt;'1332'!$I$9),"x","")</f>
        <v/>
      </c>
      <c r="AD20" s="80" t="str">
        <f>IF(AND($P20=$AB$7,$B20&lt;'1332'!$I$9),"x","")</f>
        <v/>
      </c>
      <c r="AE20" s="80" t="str">
        <f>IF(AND('341-CT'!$H$9=H20,OR(LEFT(O20,3)=$AE$7,LEFT(P20,3)=$AE$7)),"x","")</f>
        <v/>
      </c>
      <c r="AF20" s="80" t="str">
        <f>IF(OR(TH!O20=TH!$AF$7,P20=TH!$AF$7),"x","")</f>
        <v/>
      </c>
      <c r="AG20" s="80"/>
      <c r="AH20" s="80" t="str">
        <f>IF(AND(B20&gt;='IN-NX'!$P$3,B20&lt;='IN-NX'!$Q$3,'IN-NX'!$D$7=D20,OR(LEFT(L20,2)="15",AND(LEFT(M20,2)&lt;&gt;"15",LEFT(M20,2)&lt;&gt;"33"))),"x","")</f>
        <v/>
      </c>
      <c r="AI20" s="80" t="str">
        <f>IF(AND(OR(LEFT(TH!O20,2)="15",LEFT(TH!P20,2)="15"),'152-CT'!$J$8=TH!F20),"x","")</f>
        <v/>
      </c>
      <c r="AJ20" s="80" t="str">
        <f>IF(AND(OR(LEFT(TH!O20,2)="15",LEFT(TH!P20,2)="15"),'THE KHO'!$E$7=TH!F20),"x","")</f>
        <v/>
      </c>
      <c r="AK20" s="80" t="str">
        <f>IF(AND(O20="1521",MONTH(C20)='BK NL'!$M$11),"x","")</f>
        <v/>
      </c>
    </row>
    <row r="21" spans="1:39" s="366" customFormat="1" ht="15.75" customHeight="1">
      <c r="A21" s="362" t="str">
        <f>IF(B21&lt;&gt;"",IF(AND(B21&gt;=_TM1,B21&lt;=_TM2,OR(TH!O21="1111",TH!P21="1111")),TH!D21,""),"")</f>
        <v/>
      </c>
      <c r="B21" s="63">
        <f t="shared" si="4"/>
        <v>12</v>
      </c>
      <c r="C21" s="1041">
        <f t="shared" si="2"/>
        <v>42735</v>
      </c>
      <c r="D21" s="1041" t="s">
        <v>149</v>
      </c>
      <c r="E21" s="1041">
        <v>42735</v>
      </c>
      <c r="F21" s="1042" t="s">
        <v>155</v>
      </c>
      <c r="G21" s="350"/>
      <c r="H21" s="78"/>
      <c r="I21" s="474"/>
      <c r="J21" s="474"/>
      <c r="K21" s="467"/>
      <c r="L21" s="474"/>
      <c r="M21" s="79">
        <f>SUMIF(KHN,P21,TH)</f>
        <v>2134381</v>
      </c>
      <c r="N21" s="79"/>
      <c r="O21" s="1044" t="s">
        <v>143</v>
      </c>
      <c r="P21" s="1044" t="s">
        <v>139</v>
      </c>
      <c r="Q21" s="80" t="str">
        <f>IF(AND('331-CT'!$E$7=TH!H21,OR(O21="331",P21="331")),"x","")</f>
        <v/>
      </c>
      <c r="R21" s="80" t="str">
        <f>IF(AND($B21&gt;='111'!$N$11,$B21&lt;='111'!$O$11,OR($O21=$R$7,$P21=$R$7)),"x","")</f>
        <v/>
      </c>
      <c r="S21" s="80" t="str">
        <f>IF(AND($O21=$R$7,$B21&lt;'111'!$N$11),"x","")</f>
        <v/>
      </c>
      <c r="T21" s="80" t="str">
        <f>IF(AND($P21=$R$7,$B21&lt;'111'!$N$11),"x","")</f>
        <v/>
      </c>
      <c r="U21" s="80" t="str">
        <f>IF(AND($B21&gt;='112'!$M$9,$B21&lt;='112'!$N$9,OR($O21='112'!$I$6,$P21='112'!$I$6)),"x","")</f>
        <v/>
      </c>
      <c r="V21" s="80" t="str">
        <f>IF(AND($O21='112'!$I$6,$B21&lt;'112'!$M$9),"x","")</f>
        <v/>
      </c>
      <c r="W21" s="80" t="str">
        <f>IF(AND($P21='112'!$I$6,$B21&lt;'112'!$M$9),"x","")</f>
        <v/>
      </c>
      <c r="X21" s="80" t="str">
        <f>IF(AND('131-CT'!$H$9=TH!H21,OR(O21="131",P21="131")),"x","")</f>
        <v/>
      </c>
      <c r="Y21" s="80" t="str">
        <f>IF(AND($B21&gt;='1331'!$I$9,$B21&lt;='1331'!$J$9,OR($O21=$Y$7,$P21=$Y$7)),"x","")</f>
        <v/>
      </c>
      <c r="Z21" s="80" t="str">
        <f>IF(AND($O21=$Y$7,$B21&lt;'1331'!$I$9),"x","")</f>
        <v/>
      </c>
      <c r="AA21" s="80" t="str">
        <f>IF(AND($P21=$Y$7,$B21&lt;'1331'!$I$9),"x","")</f>
        <v/>
      </c>
      <c r="AB21" s="80" t="str">
        <f>IF(AND($B21&gt;='1332'!$I$9,$B21&lt;='1332'!$I$9,OR($O21=$AB$7,$P21=$AB$7)),"x","")</f>
        <v/>
      </c>
      <c r="AC21" s="80" t="str">
        <f>IF(AND($O21=$AB$7,$B21&lt;'1332'!$I$9),"x","")</f>
        <v/>
      </c>
      <c r="AD21" s="80" t="str">
        <f>IF(AND($P21=$AB$7,$B21&lt;'1332'!$I$9),"x","")</f>
        <v/>
      </c>
      <c r="AE21" s="80" t="str">
        <f>IF(AND('341-CT'!$H$9=H21,OR(LEFT(O21,3)=$AE$7,LEFT(P21,3)=$AE$7)),"x","")</f>
        <v/>
      </c>
      <c r="AF21" s="80" t="str">
        <f>IF(OR(TH!O21=TH!$AF$7,P21=TH!$AF$7),"x","")</f>
        <v/>
      </c>
      <c r="AG21" s="80"/>
      <c r="AH21" s="80" t="str">
        <f>IF(AND(B21&gt;='IN-NX'!$P$3,B21&lt;='IN-NX'!$Q$3,'IN-NX'!$D$7=D21,OR(LEFT(L21,2)="15",AND(LEFT(M21,2)&lt;&gt;"15",LEFT(M21,2)&lt;&gt;"33"))),"x","")</f>
        <v/>
      </c>
      <c r="AI21" s="80" t="str">
        <f>IF(AND(OR(LEFT(TH!O21,2)="15",LEFT(TH!P21,2)="15"),'152-CT'!$J$8=TH!F21),"x","")</f>
        <v/>
      </c>
      <c r="AJ21" s="80" t="str">
        <f>IF(AND(OR(LEFT(TH!O21,2)="15",LEFT(TH!P21,2)="15"),'THE KHO'!$E$7=TH!F21),"x","")</f>
        <v/>
      </c>
      <c r="AK21" s="80" t="str">
        <f>IF(AND(O21="1521",MONTH(C21)='BK NL'!$M$11),"x","")</f>
        <v/>
      </c>
    </row>
    <row r="22" spans="1:39" s="366" customFormat="1" ht="15.75" customHeight="1">
      <c r="A22" s="362" t="str">
        <f>IF(B22&lt;&gt;"",IF(AND(B22&gt;=_TM1,B22&lt;=_TM2,OR(TH!O22="1111",TH!P22="1111")),TH!D22,""),"")</f>
        <v/>
      </c>
      <c r="B22" s="63">
        <f t="shared" si="4"/>
        <v>12</v>
      </c>
      <c r="C22" s="1041">
        <f t="shared" si="2"/>
        <v>42735</v>
      </c>
      <c r="D22" s="1041" t="s">
        <v>149</v>
      </c>
      <c r="E22" s="1041">
        <v>42735</v>
      </c>
      <c r="F22" s="1042" t="s">
        <v>299</v>
      </c>
      <c r="G22" s="350"/>
      <c r="H22" s="78"/>
      <c r="I22" s="474"/>
      <c r="J22" s="474"/>
      <c r="K22" s="467"/>
      <c r="L22" s="474"/>
      <c r="M22" s="79">
        <f>CDPS!C52</f>
        <v>359476733</v>
      </c>
      <c r="N22" s="79"/>
      <c r="O22" s="1152" t="s">
        <v>126</v>
      </c>
      <c r="P22" s="1044" t="s">
        <v>128</v>
      </c>
      <c r="Q22" s="80" t="str">
        <f>IF(AND('331-CT'!$E$7=TH!H22,OR(O22="331",P22="331")),"x","")</f>
        <v/>
      </c>
      <c r="R22" s="80" t="str">
        <f>IF(AND($B22&gt;='111'!$N$11,$B22&lt;='111'!$O$11,OR($O22=$R$7,$P22=$R$7)),"x","")</f>
        <v/>
      </c>
      <c r="S22" s="80" t="str">
        <f>IF(AND($O22=$R$7,$B22&lt;'111'!$N$11),"x","")</f>
        <v/>
      </c>
      <c r="T22" s="80" t="str">
        <f>IF(AND($P22=$R$7,$B22&lt;'111'!$N$11),"x","")</f>
        <v/>
      </c>
      <c r="U22" s="80" t="str">
        <f>IF(AND($B22&gt;='112'!$M$9,$B22&lt;='112'!$N$9,OR($O22='112'!$I$6,$P22='112'!$I$6)),"x","")</f>
        <v/>
      </c>
      <c r="V22" s="80" t="str">
        <f>IF(AND($O22='112'!$I$6,$B22&lt;'112'!$M$9),"x","")</f>
        <v/>
      </c>
      <c r="W22" s="80" t="str">
        <f>IF(AND($P22='112'!$I$6,$B22&lt;'112'!$M$9),"x","")</f>
        <v/>
      </c>
      <c r="X22" s="80" t="str">
        <f>IF(AND('131-CT'!$H$9=TH!H22,OR(O22="131",P22="131")),"x","")</f>
        <v/>
      </c>
      <c r="Y22" s="80" t="str">
        <f>IF(AND($B22&gt;='1331'!$I$9,$B22&lt;='1331'!$J$9,OR($O22=$Y$7,$P22=$Y$7)),"x","")</f>
        <v/>
      </c>
      <c r="Z22" s="80" t="str">
        <f>IF(AND($O22=$Y$7,$B22&lt;'1331'!$I$9),"x","")</f>
        <v/>
      </c>
      <c r="AA22" s="80" t="str">
        <f>IF(AND($P22=$Y$7,$B22&lt;'1331'!$I$9),"x","")</f>
        <v/>
      </c>
      <c r="AB22" s="80" t="str">
        <f>IF(AND($B22&gt;='1332'!$I$9,$B22&lt;='1332'!$I$9,OR($O22=$AB$7,$P22=$AB$7)),"x","")</f>
        <v/>
      </c>
      <c r="AC22" s="80" t="str">
        <f>IF(AND($O22=$AB$7,$B22&lt;'1332'!$I$9),"x","")</f>
        <v/>
      </c>
      <c r="AD22" s="80" t="str">
        <f>IF(AND($P22=$AB$7,$B22&lt;'1332'!$I$9),"x","")</f>
        <v/>
      </c>
      <c r="AE22" s="80" t="str">
        <f>IF(AND('341-CT'!$H$9=H22,OR(LEFT(O22,3)=$AE$7,LEFT(P22,3)=$AE$7)),"x","")</f>
        <v/>
      </c>
      <c r="AF22" s="80" t="str">
        <f>IF(OR(TH!O22=TH!$AF$7,P22=TH!$AF$7),"x","")</f>
        <v/>
      </c>
      <c r="AG22" s="80"/>
      <c r="AH22" s="80" t="str">
        <f>IF(AND(B22&gt;='IN-NX'!$P$3,B22&lt;='IN-NX'!$Q$3,'IN-NX'!$D$7=D22,OR(LEFT(L22,2)="15",AND(LEFT(M22,2)&lt;&gt;"15",LEFT(M22,2)&lt;&gt;"33"))),"x","")</f>
        <v/>
      </c>
      <c r="AI22" s="80" t="str">
        <f>IF(AND(OR(LEFT(TH!O22,2)="15",LEFT(TH!P22,2)="15"),'152-CT'!$J$8=TH!F22),"x","")</f>
        <v/>
      </c>
      <c r="AJ22" s="80" t="str">
        <f>IF(AND(OR(LEFT(TH!O22,2)="15",LEFT(TH!P22,2)="15"),'THE KHO'!$E$7=TH!F22),"x","")</f>
        <v/>
      </c>
      <c r="AK22" s="80" t="str">
        <f>IF(AND(O22="1521",MONTH(C22)='BK NL'!$M$11),"x","")</f>
        <v/>
      </c>
    </row>
    <row r="23" spans="1:39" s="366" customFormat="1" ht="15.75" customHeight="1">
      <c r="A23" s="362" t="str">
        <f>IF(B23&lt;&gt;"",IF(AND(B23&gt;=_TM1,B23&lt;=_TM2,OR(TH!O23="1111",TH!P23="1111")),TH!D23,""),"")</f>
        <v/>
      </c>
      <c r="B23" s="63">
        <f t="shared" si="4"/>
        <v>12</v>
      </c>
      <c r="C23" s="1041">
        <f t="shared" si="2"/>
        <v>42735</v>
      </c>
      <c r="D23" s="1041" t="s">
        <v>149</v>
      </c>
      <c r="E23" s="1041">
        <v>42735</v>
      </c>
      <c r="F23" s="1042" t="s">
        <v>1208</v>
      </c>
      <c r="G23" s="350"/>
      <c r="H23" s="78"/>
      <c r="I23" s="474"/>
      <c r="J23" s="474"/>
      <c r="K23" s="467"/>
      <c r="L23" s="474"/>
      <c r="M23" s="79">
        <f>SUMIF(KHC,O23,TH)</f>
        <v>0</v>
      </c>
      <c r="N23" s="79"/>
      <c r="O23" s="1152">
        <v>3331</v>
      </c>
      <c r="P23" s="1044" t="s">
        <v>10</v>
      </c>
      <c r="Q23" s="80" t="str">
        <f>IF(AND('331-CT'!$E$7=TH!H23,OR(O23="331",P23="331")),"x","")</f>
        <v/>
      </c>
      <c r="R23" s="80" t="str">
        <f>IF(AND($B23&gt;='111'!$N$11,$B23&lt;='111'!$O$11,OR($O23=$R$7,$P23=$R$7)),"x","")</f>
        <v/>
      </c>
      <c r="S23" s="80" t="str">
        <f>IF(AND($O23=$R$7,$B23&lt;'111'!$N$11),"x","")</f>
        <v/>
      </c>
      <c r="T23" s="80" t="str">
        <f>IF(AND($P23=$R$7,$B23&lt;'111'!$N$11),"x","")</f>
        <v/>
      </c>
      <c r="U23" s="80" t="str">
        <f>IF(AND($B23&gt;='112'!$M$9,$B23&lt;='112'!$N$9,OR($O23='112'!$I$6,$P23='112'!$I$6)),"x","")</f>
        <v/>
      </c>
      <c r="V23" s="80" t="str">
        <f>IF(AND($O23='112'!$I$6,$B23&lt;'112'!$M$9),"x","")</f>
        <v/>
      </c>
      <c r="W23" s="80" t="str">
        <f>IF(AND($P23='112'!$I$6,$B23&lt;'112'!$M$9),"x","")</f>
        <v/>
      </c>
      <c r="X23" s="80" t="str">
        <f>IF(AND('131-CT'!$H$9=TH!H23,OR(O23="131",P23="131")),"x","")</f>
        <v/>
      </c>
      <c r="Y23" s="80" t="str">
        <f>IF(AND($B23&gt;='1331'!$I$9,$B23&lt;='1331'!$J$9,OR($O23=$Y$7,$P23=$Y$7)),"x","")</f>
        <v/>
      </c>
      <c r="Z23" s="80" t="str">
        <f>IF(AND($O23=$Y$7,$B23&lt;'1331'!$I$9),"x","")</f>
        <v/>
      </c>
      <c r="AA23" s="80" t="str">
        <f>IF(AND($P23=$Y$7,$B23&lt;'1331'!$I$9),"x","")</f>
        <v/>
      </c>
      <c r="AB23" s="80" t="str">
        <f>IF(AND($B23&gt;='1332'!$I$9,$B23&lt;='1332'!$I$9,OR($O23=$AB$7,$P23=$AB$7)),"x","")</f>
        <v/>
      </c>
      <c r="AC23" s="80" t="str">
        <f>IF(AND($O23=$AB$7,$B23&lt;'1332'!$I$9),"x","")</f>
        <v/>
      </c>
      <c r="AD23" s="80" t="str">
        <f>IF(AND($P23=$AB$7,$B23&lt;'1332'!$I$9),"x","")</f>
        <v/>
      </c>
      <c r="AE23" s="80" t="str">
        <f>IF(AND('341-CT'!$H$9=H23,OR(LEFT(O23,3)=$AE$7,LEFT(P23,3)=$AE$7)),"x","")</f>
        <v/>
      </c>
      <c r="AF23" s="80" t="str">
        <f>IF(OR(TH!O23=TH!$AF$7,P23=TH!$AF$7),"x","")</f>
        <v/>
      </c>
      <c r="AG23" s="80"/>
      <c r="AH23" s="80" t="str">
        <f>IF(AND(B23&gt;='IN-NX'!$P$3,B23&lt;='IN-NX'!$Q$3,'IN-NX'!$D$7=D23,OR(LEFT(L23,2)="15",AND(LEFT(M23,2)&lt;&gt;"15",LEFT(M23,2)&lt;&gt;"33"))),"x","")</f>
        <v/>
      </c>
      <c r="AI23" s="80" t="str">
        <f>IF(AND(OR(LEFT(TH!O23,2)="15",LEFT(TH!P23,2)="15"),'152-CT'!$J$8=TH!F23),"x","")</f>
        <v/>
      </c>
      <c r="AJ23" s="80" t="str">
        <f>IF(AND(OR(LEFT(TH!O23,2)="15",LEFT(TH!P23,2)="15"),'THE KHO'!$E$7=TH!F23),"x","")</f>
        <v/>
      </c>
      <c r="AK23" s="80" t="str">
        <f>IF(AND(O23="1521",MONTH(C23)='BK NL'!$M$11),"x","")</f>
        <v/>
      </c>
    </row>
    <row r="24" spans="1:39" s="366" customFormat="1" ht="15.75" customHeight="1">
      <c r="A24" s="362" t="str">
        <f>IF(B24&lt;&gt;"",IF(AND(B24&gt;=_TM1,B24&lt;=_TM2,OR(TH!O24="1111",TH!P24="1111")),TH!D24,""),"")</f>
        <v/>
      </c>
      <c r="B24" s="63">
        <f t="shared" si="4"/>
        <v>12</v>
      </c>
      <c r="C24" s="1041">
        <f t="shared" si="2"/>
        <v>42735</v>
      </c>
      <c r="D24" s="1041" t="s">
        <v>149</v>
      </c>
      <c r="E24" s="1041">
        <v>42735</v>
      </c>
      <c r="F24" s="1042" t="s">
        <v>1209</v>
      </c>
      <c r="G24" s="350"/>
      <c r="H24" s="78"/>
      <c r="I24" s="474"/>
      <c r="J24" s="474"/>
      <c r="K24" s="467"/>
      <c r="L24" s="474"/>
      <c r="M24" s="79">
        <f>SUMIF(KHC,O24,TH)</f>
        <v>0</v>
      </c>
      <c r="N24" s="79"/>
      <c r="O24" s="1152">
        <v>3331</v>
      </c>
      <c r="P24" s="1044" t="s">
        <v>981</v>
      </c>
      <c r="Q24" s="80" t="str">
        <f>IF(AND('331-CT'!$E$7=TH!H24,OR(O24="331",P24="331")),"x","")</f>
        <v/>
      </c>
      <c r="R24" s="80" t="str">
        <f>IF(AND($B24&gt;='111'!$N$11,$B24&lt;='111'!$O$11,OR($O24=$R$7,$P24=$R$7)),"x","")</f>
        <v/>
      </c>
      <c r="S24" s="80" t="str">
        <f>IF(AND($O24=$R$7,$B24&lt;'111'!$N$11),"x","")</f>
        <v/>
      </c>
      <c r="T24" s="80" t="str">
        <f>IF(AND($P24=$R$7,$B24&lt;'111'!$N$11),"x","")</f>
        <v/>
      </c>
      <c r="U24" s="80" t="str">
        <f>IF(AND($B24&gt;='112'!$M$9,$B24&lt;='112'!$N$9,OR($O24='112'!$I$6,$P24='112'!$I$6)),"x","")</f>
        <v/>
      </c>
      <c r="V24" s="80" t="str">
        <f>IF(AND($O24='112'!$I$6,$B24&lt;'112'!$M$9),"x","")</f>
        <v/>
      </c>
      <c r="W24" s="80" t="str">
        <f>IF(AND($P24='112'!$I$6,$B24&lt;'112'!$M$9),"x","")</f>
        <v/>
      </c>
      <c r="X24" s="80" t="str">
        <f>IF(AND('131-CT'!$H$9=TH!H24,OR(O24="131",P24="131")),"x","")</f>
        <v/>
      </c>
      <c r="Y24" s="80" t="str">
        <f>IF(AND($B24&gt;='1331'!$I$9,$B24&lt;='1331'!$J$9,OR($O24=$Y$7,$P24=$Y$7)),"x","")</f>
        <v/>
      </c>
      <c r="Z24" s="80" t="str">
        <f>IF(AND($O24=$Y$7,$B24&lt;'1331'!$I$9),"x","")</f>
        <v/>
      </c>
      <c r="AA24" s="80" t="str">
        <f>IF(AND($P24=$Y$7,$B24&lt;'1331'!$I$9),"x","")</f>
        <v/>
      </c>
      <c r="AB24" s="80" t="str">
        <f>IF(AND($B24&gt;='1332'!$I$9,$B24&lt;='1332'!$I$9,OR($O24=$AB$7,$P24=$AB$7)),"x","")</f>
        <v/>
      </c>
      <c r="AC24" s="80" t="str">
        <f>IF(AND($O24=$AB$7,$B24&lt;'1332'!$I$9),"x","")</f>
        <v/>
      </c>
      <c r="AD24" s="80" t="str">
        <f>IF(AND($P24=$AB$7,$B24&lt;'1332'!$I$9),"x","")</f>
        <v/>
      </c>
      <c r="AE24" s="80" t="str">
        <f>IF(AND('341-CT'!$H$9=H24,OR(LEFT(O24,3)=$AE$7,LEFT(P24,3)=$AE$7)),"x","")</f>
        <v/>
      </c>
      <c r="AF24" s="80" t="str">
        <f>IF(OR(TH!O24=TH!$AF$7,P24=TH!$AF$7),"x","")</f>
        <v/>
      </c>
      <c r="AG24" s="80"/>
      <c r="AH24" s="80" t="str">
        <f>IF(AND(B24&gt;='IN-NX'!$P$3,B24&lt;='IN-NX'!$Q$3,'IN-NX'!$D$7=D24,OR(LEFT(L24,2)="15",AND(LEFT(M24,2)&lt;&gt;"15",LEFT(M24,2)&lt;&gt;"33"))),"x","")</f>
        <v/>
      </c>
      <c r="AI24" s="80" t="str">
        <f>IF(AND(OR(LEFT(TH!O24,2)="15",LEFT(TH!P24,2)="15"),'152-CT'!$J$8=TH!F24),"x","")</f>
        <v/>
      </c>
      <c r="AJ24" s="80" t="str">
        <f>IF(AND(OR(LEFT(TH!O24,2)="15",LEFT(TH!P24,2)="15"),'THE KHO'!$E$7=TH!F24),"x","")</f>
        <v/>
      </c>
      <c r="AK24" s="80" t="str">
        <f>IF(AND(O24="1521",MONTH(C24)='BK NL'!$M$11),"x","")</f>
        <v/>
      </c>
    </row>
    <row r="25" spans="1:39" s="1007" customFormat="1" ht="15.75" customHeight="1">
      <c r="A25" s="362" t="str">
        <f>IF(B25&lt;&gt;"",IF(AND(B25&gt;=_TM1,B25&lt;=_TM2,OR(TH!O25="1111",TH!P25="1111")),TH!D25,""),"")</f>
        <v/>
      </c>
      <c r="B25" s="63">
        <f t="shared" si="3"/>
        <v>1</v>
      </c>
      <c r="C25" s="337">
        <v>42371</v>
      </c>
      <c r="D25" s="337" t="s">
        <v>42</v>
      </c>
      <c r="E25" s="337">
        <v>42371</v>
      </c>
      <c r="F25" s="338" t="s">
        <v>361</v>
      </c>
      <c r="G25" s="1022" t="s">
        <v>219</v>
      </c>
      <c r="H25" s="339" t="s">
        <v>183</v>
      </c>
      <c r="I25" s="476"/>
      <c r="J25" s="476"/>
      <c r="K25" s="469"/>
      <c r="L25" s="476"/>
      <c r="M25" s="65">
        <v>4500000</v>
      </c>
      <c r="N25" s="65"/>
      <c r="O25" s="340" t="s">
        <v>242</v>
      </c>
      <c r="P25" s="340" t="s">
        <v>97</v>
      </c>
      <c r="Q25" s="66" t="str">
        <f>IF(AND('331-CT'!$E$7=TH!H25,OR(O25="331",P25="331")),"x","")</f>
        <v/>
      </c>
      <c r="R25" s="66" t="str">
        <f>IF(AND($B25&gt;='111'!$N$11,$B25&lt;='111'!$O$11,OR($O25=$R$7,$P25=$R$7)),"x","")</f>
        <v/>
      </c>
      <c r="S25" s="66" t="str">
        <f>IF(AND($O25=$R$7,$B25&lt;'111'!$N$11),"x","")</f>
        <v/>
      </c>
      <c r="T25" s="66" t="str">
        <f>IF(AND($P25=$R$7,$B25&lt;'111'!$N$11),"x","")</f>
        <v>x</v>
      </c>
      <c r="U25" s="66" t="str">
        <f>IF(AND($B25&gt;='112'!$M$9,$B25&lt;='112'!$N$9,OR($O25='112'!$I$6,$P25='112'!$I$6)),"x","")</f>
        <v/>
      </c>
      <c r="V25" s="66" t="str">
        <f>IF(AND($O25='112'!$I$6,$B25&lt;'112'!$M$9),"x","")</f>
        <v/>
      </c>
      <c r="W25" s="66" t="str">
        <f>IF(AND($P25='112'!$I$6,$B25&lt;'112'!$M$9),"x","")</f>
        <v/>
      </c>
      <c r="X25" s="66" t="str">
        <f>IF(AND('131-CT'!$H$9=TH!H25,OR(O25="131",P25="131")),"x","")</f>
        <v/>
      </c>
      <c r="Y25" s="80" t="str">
        <f>IF(AND($B25&gt;='1331'!$I$9,$B25&lt;='1331'!$J$9,OR($O25=$Y$7,$P25=$Y$7)),"x","")</f>
        <v/>
      </c>
      <c r="Z25" s="80" t="str">
        <f>IF(AND($O25=$Y$7,$B25&lt;'1331'!$I$9),"x","")</f>
        <v/>
      </c>
      <c r="AA25" s="80" t="str">
        <f>IF(AND($P25=$Y$7,$B25&lt;'1331'!$I$9),"x","")</f>
        <v/>
      </c>
      <c r="AB25" s="80" t="str">
        <f>IF(AND($B25&gt;='1332'!$I$9,$B25&lt;='1332'!$I$9,OR($O25=$AB$7,$P25=$AB$7)),"x","")</f>
        <v/>
      </c>
      <c r="AC25" s="80" t="str">
        <f>IF(AND($O25=$AB$7,$B25&lt;'1332'!$I$9),"x","")</f>
        <v/>
      </c>
      <c r="AD25" s="80" t="str">
        <f>IF(AND($P25=$AB$7,$B25&lt;'1332'!$I$9),"x","")</f>
        <v/>
      </c>
      <c r="AE25" s="80" t="str">
        <f>IF(AND('341-CT'!$H$9=H25,OR(LEFT(O25,3)=$AE$7,LEFT(P25,3)=$AE$7)),"x","")</f>
        <v/>
      </c>
      <c r="AF25" s="80" t="str">
        <f>IF(OR(TH!O25=TH!$AF$7,P25=TH!$AF$7),"x","")</f>
        <v/>
      </c>
      <c r="AG25" s="80"/>
      <c r="AH25" s="80" t="str">
        <f>IF(AND(B25&gt;='IN-NX'!$P$3,B25&lt;='IN-NX'!$Q$3,'IN-NX'!$D$7=D25,OR(LEFT(L25,2)="15",AND(LEFT(M25,2)&lt;&gt;"15",LEFT(M25,2)&lt;&gt;"33"))),"x","")</f>
        <v/>
      </c>
      <c r="AI25" s="80" t="str">
        <f>IF(AND(OR(LEFT(TH!O25,2)="15",LEFT(TH!P25,2)="15"),'152-CT'!$J$8=TH!F25),"x","")</f>
        <v/>
      </c>
      <c r="AJ25" s="80" t="str">
        <f>IF(AND(OR(LEFT(TH!O25,2)="15",LEFT(TH!P25,2)="15"),'THE KHO'!$E$7=TH!F25),"x","")</f>
        <v/>
      </c>
      <c r="AK25" s="80" t="str">
        <f>IF(AND(O25="1521",MONTH(C25)='BK NL'!$M$11),"x","")</f>
        <v/>
      </c>
      <c r="AM25" s="1007">
        <v>1</v>
      </c>
    </row>
    <row r="26" spans="1:39" s="1007" customFormat="1" ht="15.75" customHeight="1">
      <c r="A26" s="362" t="str">
        <f>IF(B26&lt;&gt;"",IF(AND(B26&gt;=_TM1,B26&lt;=_TM2,OR(TH!O26="1111",TH!P26="1111")),TH!D26,""),"")</f>
        <v/>
      </c>
      <c r="B26" s="63">
        <f t="shared" si="3"/>
        <v>1</v>
      </c>
      <c r="C26" s="337">
        <v>42371</v>
      </c>
      <c r="D26" s="337" t="s">
        <v>42</v>
      </c>
      <c r="E26" s="337">
        <v>42371</v>
      </c>
      <c r="F26" s="338" t="s">
        <v>362</v>
      </c>
      <c r="G26" s="1022" t="s">
        <v>219</v>
      </c>
      <c r="H26" s="339" t="s">
        <v>183</v>
      </c>
      <c r="I26" s="476"/>
      <c r="J26" s="476"/>
      <c r="K26" s="469"/>
      <c r="L26" s="476"/>
      <c r="M26" s="79">
        <v>450000</v>
      </c>
      <c r="N26" s="79"/>
      <c r="O26" s="340" t="s">
        <v>981</v>
      </c>
      <c r="P26" s="340" t="s">
        <v>97</v>
      </c>
      <c r="Q26" s="66" t="str">
        <f>IF(AND('331-CT'!$E$7=TH!H26,OR(O26="331",P26="331")),"x","")</f>
        <v/>
      </c>
      <c r="R26" s="66" t="str">
        <f>IF(AND($B26&gt;='111'!$N$11,$B26&lt;='111'!$O$11,OR($O26=$R$7,$P26=$R$7)),"x","")</f>
        <v/>
      </c>
      <c r="S26" s="66" t="str">
        <f>IF(AND($O26=$R$7,$B26&lt;'111'!$N$11),"x","")</f>
        <v/>
      </c>
      <c r="T26" s="66" t="str">
        <f>IF(AND($P26=$R$7,$B26&lt;'111'!$N$11),"x","")</f>
        <v>x</v>
      </c>
      <c r="U26" s="66" t="str">
        <f>IF(AND($B26&gt;='112'!$M$9,$B26&lt;='112'!$N$9,OR($O26='112'!$I$6,$P26='112'!$I$6)),"x","")</f>
        <v/>
      </c>
      <c r="V26" s="66" t="str">
        <f>IF(AND($O26='112'!$I$6,$B26&lt;'112'!$M$9),"x","")</f>
        <v/>
      </c>
      <c r="W26" s="66" t="str">
        <f>IF(AND($P26='112'!$I$6,$B26&lt;'112'!$M$9),"x","")</f>
        <v/>
      </c>
      <c r="X26" s="66" t="str">
        <f>IF(AND('131-CT'!$H$9=TH!H26,OR(O26="131",P26="131")),"x","")</f>
        <v/>
      </c>
      <c r="Y26" s="80" t="str">
        <f>IF(AND($B26&gt;='1331'!$I$9,$B26&lt;='1331'!$J$9,OR($O26=$Y$7,$P26=$Y$7)),"x","")</f>
        <v/>
      </c>
      <c r="Z26" s="80" t="str">
        <f>IF(AND($O26=$Y$7,$B26&lt;'1331'!$I$9),"x","")</f>
        <v/>
      </c>
      <c r="AA26" s="80" t="str">
        <f>IF(AND($P26=$Y$7,$B26&lt;'1331'!$I$9),"x","")</f>
        <v/>
      </c>
      <c r="AB26" s="80" t="str">
        <f>IF(AND($B26&gt;='1332'!$I$9,$B26&lt;='1332'!$I$9,OR($O26=$AB$7,$P26=$AB$7)),"x","")</f>
        <v/>
      </c>
      <c r="AC26" s="80" t="str">
        <f>IF(AND($O26=$AB$7,$B26&lt;'1332'!$I$9),"x","")</f>
        <v>x</v>
      </c>
      <c r="AD26" s="80" t="str">
        <f>IF(AND($P26=$AB$7,$B26&lt;'1332'!$I$9),"x","")</f>
        <v/>
      </c>
      <c r="AE26" s="80" t="str">
        <f>IF(AND('341-CT'!$H$9=H26,OR(LEFT(O26,3)=$AE$7,LEFT(P26,3)=$AE$7)),"x","")</f>
        <v/>
      </c>
      <c r="AF26" s="80" t="str">
        <f>IF(OR(TH!O26=TH!$AF$7,P26=TH!$AF$7),"x","")</f>
        <v/>
      </c>
      <c r="AG26" s="80"/>
      <c r="AH26" s="80" t="str">
        <f>IF(AND(B26&gt;='IN-NX'!$P$3,B26&lt;='IN-NX'!$Q$3,'IN-NX'!$D$7=D26,OR(LEFT(L26,2)="15",AND(LEFT(M26,2)&lt;&gt;"15",LEFT(M26,2)&lt;&gt;"33"))),"x","")</f>
        <v/>
      </c>
      <c r="AI26" s="80" t="str">
        <f>IF(AND(OR(LEFT(TH!O26,2)="15",LEFT(TH!P26,2)="15"),'152-CT'!$J$8=TH!F26),"x","")</f>
        <v/>
      </c>
      <c r="AJ26" s="80" t="str">
        <f>IF(AND(OR(LEFT(TH!O26,2)="15",LEFT(TH!P26,2)="15"),'THE KHO'!$E$7=TH!F26),"x","")</f>
        <v/>
      </c>
      <c r="AK26" s="80" t="str">
        <f>IF(AND(O26="1521",MONTH(C26)='BK NL'!$M$11),"x","")</f>
        <v/>
      </c>
      <c r="AM26" s="1007">
        <v>1</v>
      </c>
    </row>
    <row r="27" spans="1:39" s="1007" customFormat="1" ht="15.75" customHeight="1">
      <c r="A27" s="362" t="str">
        <f>IF(B27&lt;&gt;"",IF(AND(B27&gt;=_TM1,B27&lt;=_TM2,OR(TH!O27="1111",TH!P27="1111")),TH!D27,""),"")</f>
        <v/>
      </c>
      <c r="B27" s="63">
        <f t="shared" si="3"/>
        <v>1</v>
      </c>
      <c r="C27" s="367">
        <v>42373</v>
      </c>
      <c r="D27" s="337" t="s">
        <v>53</v>
      </c>
      <c r="E27" s="337">
        <v>42373</v>
      </c>
      <c r="F27" s="338" t="s">
        <v>361</v>
      </c>
      <c r="G27" s="1022" t="s">
        <v>220</v>
      </c>
      <c r="H27" s="339" t="s">
        <v>183</v>
      </c>
      <c r="I27" s="476"/>
      <c r="J27" s="476"/>
      <c r="K27" s="469"/>
      <c r="L27" s="476"/>
      <c r="M27" s="65">
        <v>18000000</v>
      </c>
      <c r="N27" s="65"/>
      <c r="O27" s="340" t="s">
        <v>242</v>
      </c>
      <c r="P27" s="340" t="s">
        <v>97</v>
      </c>
      <c r="Q27" s="66" t="str">
        <f>IF(AND('331-CT'!$E$7=TH!H27,OR(O27="331",P27="331")),"x","")</f>
        <v/>
      </c>
      <c r="R27" s="66" t="str">
        <f>IF(AND($B27&gt;='111'!$N$11,$B27&lt;='111'!$O$11,OR($O27=$R$7,$P27=$R$7)),"x","")</f>
        <v/>
      </c>
      <c r="S27" s="66" t="str">
        <f>IF(AND($O27=$R$7,$B27&lt;'111'!$N$11),"x","")</f>
        <v/>
      </c>
      <c r="T27" s="66" t="str">
        <f>IF(AND($P27=$R$7,$B27&lt;'111'!$N$11),"x","")</f>
        <v>x</v>
      </c>
      <c r="U27" s="66" t="str">
        <f>IF(AND($B27&gt;='112'!$M$9,$B27&lt;='112'!$N$9,OR($O27='112'!$I$6,$P27='112'!$I$6)),"x","")</f>
        <v/>
      </c>
      <c r="V27" s="66" t="str">
        <f>IF(AND($O27='112'!$I$6,$B27&lt;'112'!$M$9),"x","")</f>
        <v/>
      </c>
      <c r="W27" s="66" t="str">
        <f>IF(AND($P27='112'!$I$6,$B27&lt;'112'!$M$9),"x","")</f>
        <v/>
      </c>
      <c r="X27" s="66" t="str">
        <f>IF(AND('131-CT'!$H$9=TH!H27,OR(O27="131",P27="131")),"x","")</f>
        <v/>
      </c>
      <c r="Y27" s="80" t="str">
        <f>IF(AND($B27&gt;='1331'!$I$9,$B27&lt;='1331'!$J$9,OR($O27=$Y$7,$P27=$Y$7)),"x","")</f>
        <v/>
      </c>
      <c r="Z27" s="80" t="str">
        <f>IF(AND($O27=$Y$7,$B27&lt;'1331'!$I$9),"x","")</f>
        <v/>
      </c>
      <c r="AA27" s="80" t="str">
        <f>IF(AND($P27=$Y$7,$B27&lt;'1331'!$I$9),"x","")</f>
        <v/>
      </c>
      <c r="AB27" s="80" t="str">
        <f>IF(AND($B27&gt;='1332'!$I$9,$B27&lt;='1332'!$I$9,OR($O27=$AB$7,$P27=$AB$7)),"x","")</f>
        <v/>
      </c>
      <c r="AC27" s="80" t="str">
        <f>IF(AND($O27=$AB$7,$B27&lt;'1332'!$I$9),"x","")</f>
        <v/>
      </c>
      <c r="AD27" s="80" t="str">
        <f>IF(AND($P27=$AB$7,$B27&lt;'1332'!$I$9),"x","")</f>
        <v/>
      </c>
      <c r="AE27" s="80" t="str">
        <f>IF(AND('341-CT'!$H$9=H27,OR(LEFT(O27,3)=$AE$7,LEFT(P27,3)=$AE$7)),"x","")</f>
        <v/>
      </c>
      <c r="AF27" s="80" t="str">
        <f>IF(OR(TH!O27=TH!$AF$7,P27=TH!$AF$7),"x","")</f>
        <v/>
      </c>
      <c r="AG27" s="80"/>
      <c r="AH27" s="80" t="str">
        <f>IF(AND(B27&gt;='IN-NX'!$P$3,B27&lt;='IN-NX'!$Q$3,'IN-NX'!$D$7=D27,OR(LEFT(L27,2)="15",AND(LEFT(M27,2)&lt;&gt;"15",LEFT(M27,2)&lt;&gt;"33"))),"x","")</f>
        <v/>
      </c>
      <c r="AI27" s="80" t="str">
        <f>IF(AND(OR(LEFT(TH!O27,2)="15",LEFT(TH!P27,2)="15"),'152-CT'!$J$8=TH!F27),"x","")</f>
        <v/>
      </c>
      <c r="AJ27" s="80" t="str">
        <f>IF(AND(OR(LEFT(TH!O27,2)="15",LEFT(TH!P27,2)="15"),'THE KHO'!$E$7=TH!F27),"x","")</f>
        <v/>
      </c>
      <c r="AK27" s="80" t="str">
        <f>IF(AND(O27="1521",MONTH(C27)='BK NL'!$M$11),"x","")</f>
        <v/>
      </c>
      <c r="AL27" s="1007" t="s">
        <v>26</v>
      </c>
      <c r="AM27" s="1007">
        <v>2</v>
      </c>
    </row>
    <row r="28" spans="1:39" s="1007" customFormat="1" ht="15.75" customHeight="1">
      <c r="A28" s="362" t="str">
        <f>IF(B28&lt;&gt;"",IF(AND(B28&gt;=_TM1,B28&lt;=_TM2,OR(TH!O28="1111",TH!P28="1111")),TH!D28,""),"")</f>
        <v/>
      </c>
      <c r="B28" s="63">
        <f t="shared" si="3"/>
        <v>1</v>
      </c>
      <c r="C28" s="337">
        <v>42373</v>
      </c>
      <c r="D28" s="337" t="s">
        <v>53</v>
      </c>
      <c r="E28" s="337">
        <v>42373</v>
      </c>
      <c r="F28" s="338" t="s">
        <v>362</v>
      </c>
      <c r="G28" s="1022" t="s">
        <v>220</v>
      </c>
      <c r="H28" s="339" t="s">
        <v>183</v>
      </c>
      <c r="I28" s="476"/>
      <c r="J28" s="476"/>
      <c r="K28" s="469"/>
      <c r="L28" s="476"/>
      <c r="M28" s="79">
        <v>1800000</v>
      </c>
      <c r="N28" s="79"/>
      <c r="O28" s="340" t="s">
        <v>981</v>
      </c>
      <c r="P28" s="340" t="s">
        <v>97</v>
      </c>
      <c r="Q28" s="66" t="str">
        <f>IF(AND('331-CT'!$E$7=TH!H28,OR(O28="331",P28="331")),"x","")</f>
        <v/>
      </c>
      <c r="R28" s="66" t="str">
        <f>IF(AND($B28&gt;='111'!$N$11,$B28&lt;='111'!$O$11,OR($O28=$R$7,$P28=$R$7)),"x","")</f>
        <v/>
      </c>
      <c r="S28" s="66" t="str">
        <f>IF(AND($O28=$R$7,$B28&lt;'111'!$N$11),"x","")</f>
        <v/>
      </c>
      <c r="T28" s="66" t="str">
        <f>IF(AND($P28=$R$7,$B28&lt;'111'!$N$11),"x","")</f>
        <v>x</v>
      </c>
      <c r="U28" s="66" t="str">
        <f>IF(AND($B28&gt;='112'!$M$9,$B28&lt;='112'!$N$9,OR($O28='112'!$I$6,$P28='112'!$I$6)),"x","")</f>
        <v/>
      </c>
      <c r="V28" s="66" t="str">
        <f>IF(AND($O28='112'!$I$6,$B28&lt;'112'!$M$9),"x","")</f>
        <v/>
      </c>
      <c r="W28" s="66" t="str">
        <f>IF(AND($P28='112'!$I$6,$B28&lt;'112'!$M$9),"x","")</f>
        <v/>
      </c>
      <c r="X28" s="66" t="str">
        <f>IF(AND('131-CT'!$H$9=TH!H28,OR(O28="131",P28="131")),"x","")</f>
        <v/>
      </c>
      <c r="Y28" s="80" t="str">
        <f>IF(AND($B28&gt;='1331'!$I$9,$B28&lt;='1331'!$J$9,OR($O28=$Y$7,$P28=$Y$7)),"x","")</f>
        <v/>
      </c>
      <c r="Z28" s="80" t="str">
        <f>IF(AND($O28=$Y$7,$B28&lt;'1331'!$I$9),"x","")</f>
        <v/>
      </c>
      <c r="AA28" s="80" t="str">
        <f>IF(AND($P28=$Y$7,$B28&lt;'1331'!$I$9),"x","")</f>
        <v/>
      </c>
      <c r="AB28" s="80" t="str">
        <f>IF(AND($B28&gt;='1332'!$I$9,$B28&lt;='1332'!$I$9,OR($O28=$AB$7,$P28=$AB$7)),"x","")</f>
        <v/>
      </c>
      <c r="AC28" s="80" t="str">
        <f>IF(AND($O28=$AB$7,$B28&lt;'1332'!$I$9),"x","")</f>
        <v>x</v>
      </c>
      <c r="AD28" s="80" t="str">
        <f>IF(AND($P28=$AB$7,$B28&lt;'1332'!$I$9),"x","")</f>
        <v/>
      </c>
      <c r="AE28" s="80" t="str">
        <f>IF(AND('341-CT'!$H$9=H28,OR(LEFT(O28,3)=$AE$7,LEFT(P28,3)=$AE$7)),"x","")</f>
        <v/>
      </c>
      <c r="AF28" s="80" t="str">
        <f>IF(OR(TH!O28=TH!$AF$7,P28=TH!$AF$7),"x","")</f>
        <v/>
      </c>
      <c r="AG28" s="80"/>
      <c r="AH28" s="80" t="str">
        <f>IF(AND(B28&gt;='IN-NX'!$P$3,B28&lt;='IN-NX'!$Q$3,'IN-NX'!$D$7=D28,OR(LEFT(L28,2)="15",AND(LEFT(M28,2)&lt;&gt;"15",LEFT(M28,2)&lt;&gt;"33"))),"x","")</f>
        <v/>
      </c>
      <c r="AI28" s="80" t="str">
        <f>IF(AND(OR(LEFT(TH!O28,2)="15",LEFT(TH!P28,2)="15"),'152-CT'!$J$8=TH!F28),"x","")</f>
        <v/>
      </c>
      <c r="AJ28" s="80" t="str">
        <f>IF(AND(OR(LEFT(TH!O28,2)="15",LEFT(TH!P28,2)="15"),'THE KHO'!$E$7=TH!F28),"x","")</f>
        <v/>
      </c>
      <c r="AK28" s="80" t="str">
        <f>IF(AND(O28="1521",MONTH(C28)='BK NL'!$M$11),"x","")</f>
        <v/>
      </c>
      <c r="AM28" s="1007">
        <v>2</v>
      </c>
    </row>
    <row r="29" spans="1:39" s="1007" customFormat="1" ht="15.75" customHeight="1">
      <c r="A29" s="362" t="str">
        <f>IF(B29&lt;&gt;"",IF(AND(B29&gt;=_TM1,B29&lt;=_TM2,OR(TH!O29="1111",TH!P29="1111")),TH!D29,""),"")</f>
        <v/>
      </c>
      <c r="B29" s="63">
        <f t="shared" si="3"/>
        <v>1</v>
      </c>
      <c r="C29" s="337">
        <v>42374</v>
      </c>
      <c r="D29" s="337" t="s">
        <v>54</v>
      </c>
      <c r="E29" s="337">
        <v>42374</v>
      </c>
      <c r="F29" s="338" t="s">
        <v>363</v>
      </c>
      <c r="G29" s="1022" t="s">
        <v>364</v>
      </c>
      <c r="H29" s="339" t="s">
        <v>177</v>
      </c>
      <c r="I29" s="476"/>
      <c r="J29" s="476"/>
      <c r="K29" s="469"/>
      <c r="L29" s="476"/>
      <c r="M29" s="65">
        <v>1653598</v>
      </c>
      <c r="N29" s="65"/>
      <c r="O29" s="340" t="s">
        <v>242</v>
      </c>
      <c r="P29" s="340" t="s">
        <v>97</v>
      </c>
      <c r="Q29" s="66" t="str">
        <f>IF(AND('331-CT'!$E$7=TH!H29,OR(O29="331",P29="331")),"x","")</f>
        <v/>
      </c>
      <c r="R29" s="66" t="str">
        <f>IF(AND($B29&gt;='111'!$N$11,$B29&lt;='111'!$O$11,OR($O29=$R$7,$P29=$R$7)),"x","")</f>
        <v/>
      </c>
      <c r="S29" s="66" t="str">
        <f>IF(AND($O29=$R$7,$B29&lt;'111'!$N$11),"x","")</f>
        <v/>
      </c>
      <c r="T29" s="66" t="str">
        <f>IF(AND($P29=$R$7,$B29&lt;'111'!$N$11),"x","")</f>
        <v>x</v>
      </c>
      <c r="U29" s="66" t="str">
        <f>IF(AND($B29&gt;='112'!$M$9,$B29&lt;='112'!$N$9,OR($O29='112'!$I$6,$P29='112'!$I$6)),"x","")</f>
        <v/>
      </c>
      <c r="V29" s="66" t="str">
        <f>IF(AND($O29='112'!$I$6,$B29&lt;'112'!$M$9),"x","")</f>
        <v/>
      </c>
      <c r="W29" s="66" t="str">
        <f>IF(AND($P29='112'!$I$6,$B29&lt;'112'!$M$9),"x","")</f>
        <v/>
      </c>
      <c r="X29" s="66" t="str">
        <f>IF(AND('131-CT'!$H$9=TH!H29,OR(O29="131",P29="131")),"x","")</f>
        <v/>
      </c>
      <c r="Y29" s="80" t="str">
        <f>IF(AND($B29&gt;='1331'!$I$9,$B29&lt;='1331'!$J$9,OR($O29=$Y$7,$P29=$Y$7)),"x","")</f>
        <v/>
      </c>
      <c r="Z29" s="80" t="str">
        <f>IF(AND($O29=$Y$7,$B29&lt;'1331'!$I$9),"x","")</f>
        <v/>
      </c>
      <c r="AA29" s="80" t="str">
        <f>IF(AND($P29=$Y$7,$B29&lt;'1331'!$I$9),"x","")</f>
        <v/>
      </c>
      <c r="AB29" s="80" t="str">
        <f>IF(AND($B29&gt;='1332'!$I$9,$B29&lt;='1332'!$I$9,OR($O29=$AB$7,$P29=$AB$7)),"x","")</f>
        <v/>
      </c>
      <c r="AC29" s="80" t="str">
        <f>IF(AND($O29=$AB$7,$B29&lt;'1332'!$I$9),"x","")</f>
        <v/>
      </c>
      <c r="AD29" s="80" t="str">
        <f>IF(AND($P29=$AB$7,$B29&lt;'1332'!$I$9),"x","")</f>
        <v/>
      </c>
      <c r="AE29" s="80" t="str">
        <f>IF(AND('341-CT'!$H$9=H29,OR(LEFT(O29,3)=$AE$7,LEFT(P29,3)=$AE$7)),"x","")</f>
        <v/>
      </c>
      <c r="AF29" s="80" t="str">
        <f>IF(OR(TH!O29=TH!$AF$7,P29=TH!$AF$7),"x","")</f>
        <v/>
      </c>
      <c r="AG29" s="80"/>
      <c r="AH29" s="80" t="str">
        <f>IF(AND(B29&gt;='IN-NX'!$P$3,B29&lt;='IN-NX'!$Q$3,'IN-NX'!$D$7=D29,OR(LEFT(L29,2)="15",AND(LEFT(M29,2)&lt;&gt;"15",LEFT(M29,2)&lt;&gt;"33"))),"x","")</f>
        <v/>
      </c>
      <c r="AI29" s="80" t="str">
        <f>IF(AND(OR(LEFT(TH!O29,2)="15",LEFT(TH!P29,2)="15"),'152-CT'!$J$8=TH!F29),"x","")</f>
        <v/>
      </c>
      <c r="AJ29" s="80" t="str">
        <f>IF(AND(OR(LEFT(TH!O29,2)="15",LEFT(TH!P29,2)="15"),'THE KHO'!$E$7=TH!F29),"x","")</f>
        <v/>
      </c>
      <c r="AK29" s="80" t="str">
        <f>IF(AND(O29="1521",MONTH(C29)='BK NL'!$M$11),"x","")</f>
        <v/>
      </c>
      <c r="AL29" s="1007" t="s">
        <v>26</v>
      </c>
      <c r="AM29" s="1007">
        <v>2</v>
      </c>
    </row>
    <row r="30" spans="1:39" s="1007" customFormat="1" ht="15.75" customHeight="1">
      <c r="A30" s="362" t="str">
        <f>IF(B30&lt;&gt;"",IF(AND(B30&gt;=_TM1,B30&lt;=_TM2,OR(TH!O30="1111",TH!P30="1111")),TH!D30,""),"")</f>
        <v/>
      </c>
      <c r="B30" s="63">
        <f t="shared" si="3"/>
        <v>1</v>
      </c>
      <c r="C30" s="337">
        <v>42374</v>
      </c>
      <c r="D30" s="337" t="s">
        <v>54</v>
      </c>
      <c r="E30" s="337">
        <v>42374</v>
      </c>
      <c r="F30" s="338" t="s">
        <v>365</v>
      </c>
      <c r="G30" s="1022" t="s">
        <v>364</v>
      </c>
      <c r="H30" s="339" t="s">
        <v>177</v>
      </c>
      <c r="I30" s="476"/>
      <c r="J30" s="476"/>
      <c r="K30" s="469"/>
      <c r="L30" s="476"/>
      <c r="M30" s="79">
        <v>165359</v>
      </c>
      <c r="N30" s="79"/>
      <c r="O30" s="340" t="s">
        <v>981</v>
      </c>
      <c r="P30" s="340" t="s">
        <v>97</v>
      </c>
      <c r="Q30" s="66" t="str">
        <f>IF(AND('331-CT'!$E$7=TH!H30,OR(O30="331",P30="331")),"x","")</f>
        <v/>
      </c>
      <c r="R30" s="66" t="str">
        <f>IF(AND($B30&gt;='111'!$N$11,$B30&lt;='111'!$O$11,OR($O30=$R$7,$P30=$R$7)),"x","")</f>
        <v/>
      </c>
      <c r="S30" s="66" t="str">
        <f>IF(AND($O30=$R$7,$B30&lt;'111'!$N$11),"x","")</f>
        <v/>
      </c>
      <c r="T30" s="66" t="str">
        <f>IF(AND($P30=$R$7,$B30&lt;'111'!$N$11),"x","")</f>
        <v>x</v>
      </c>
      <c r="U30" s="66" t="str">
        <f>IF(AND($B30&gt;='112'!$M$9,$B30&lt;='112'!$N$9,OR($O30='112'!$I$6,$P30='112'!$I$6)),"x","")</f>
        <v/>
      </c>
      <c r="V30" s="66" t="str">
        <f>IF(AND($O30='112'!$I$6,$B30&lt;'112'!$M$9),"x","")</f>
        <v/>
      </c>
      <c r="W30" s="66" t="str">
        <f>IF(AND($P30='112'!$I$6,$B30&lt;'112'!$M$9),"x","")</f>
        <v/>
      </c>
      <c r="X30" s="66" t="str">
        <f>IF(AND('131-CT'!$H$9=TH!H30,OR(O30="131",P30="131")),"x","")</f>
        <v/>
      </c>
      <c r="Y30" s="80" t="str">
        <f>IF(AND($B30&gt;='1331'!$I$9,$B30&lt;='1331'!$J$9,OR($O30=$Y$7,$P30=$Y$7)),"x","")</f>
        <v/>
      </c>
      <c r="Z30" s="80" t="str">
        <f>IF(AND($O30=$Y$7,$B30&lt;'1331'!$I$9),"x","")</f>
        <v/>
      </c>
      <c r="AA30" s="80" t="str">
        <f>IF(AND($P30=$Y$7,$B30&lt;'1331'!$I$9),"x","")</f>
        <v/>
      </c>
      <c r="AB30" s="80" t="str">
        <f>IF(AND($B30&gt;='1332'!$I$9,$B30&lt;='1332'!$I$9,OR($O30=$AB$7,$P30=$AB$7)),"x","")</f>
        <v/>
      </c>
      <c r="AC30" s="80" t="str">
        <f>IF(AND($O30=$AB$7,$B30&lt;'1332'!$I$9),"x","")</f>
        <v>x</v>
      </c>
      <c r="AD30" s="80" t="str">
        <f>IF(AND($P30=$AB$7,$B30&lt;'1332'!$I$9),"x","")</f>
        <v/>
      </c>
      <c r="AE30" s="80" t="str">
        <f>IF(AND('341-CT'!$H$9=H30,OR(LEFT(O30,3)=$AE$7,LEFT(P30,3)=$AE$7)),"x","")</f>
        <v/>
      </c>
      <c r="AF30" s="80" t="str">
        <f>IF(OR(TH!O30=TH!$AF$7,P30=TH!$AF$7),"x","")</f>
        <v/>
      </c>
      <c r="AG30" s="80"/>
      <c r="AH30" s="80" t="str">
        <f>IF(AND(B30&gt;='IN-NX'!$P$3,B30&lt;='IN-NX'!$Q$3,'IN-NX'!$D$7=D30,OR(LEFT(L30,2)="15",AND(LEFT(M30,2)&lt;&gt;"15",LEFT(M30,2)&lt;&gt;"33"))),"x","")</f>
        <v/>
      </c>
      <c r="AI30" s="80" t="str">
        <f>IF(AND(OR(LEFT(TH!O30,2)="15",LEFT(TH!P30,2)="15"),'152-CT'!$J$8=TH!F30),"x","")</f>
        <v/>
      </c>
      <c r="AJ30" s="80" t="str">
        <f>IF(AND(OR(LEFT(TH!O30,2)="15",LEFT(TH!P30,2)="15"),'THE KHO'!$E$7=TH!F30),"x","")</f>
        <v/>
      </c>
      <c r="AK30" s="80" t="str">
        <f>IF(AND(O30="1521",MONTH(C30)='BK NL'!$M$11),"x","")</f>
        <v/>
      </c>
      <c r="AM30" s="1007">
        <v>2</v>
      </c>
    </row>
    <row r="31" spans="1:39" s="1007" customFormat="1" ht="15.75" customHeight="1">
      <c r="A31" s="362" t="str">
        <f>IF(B31&lt;&gt;"",IF(AND(B31&gt;=_TM1,B31&lt;=_TM2,OR(TH!O31="1111",TH!P31="1111")),TH!D31,""),"")</f>
        <v/>
      </c>
      <c r="B31" s="63">
        <f t="shared" si="3"/>
        <v>1</v>
      </c>
      <c r="C31" s="337">
        <v>42374</v>
      </c>
      <c r="D31" s="337" t="s">
        <v>8</v>
      </c>
      <c r="E31" s="337">
        <v>42374</v>
      </c>
      <c r="F31" s="338" t="s">
        <v>163</v>
      </c>
      <c r="G31" s="1022" t="s">
        <v>798</v>
      </c>
      <c r="H31" s="339" t="s">
        <v>165</v>
      </c>
      <c r="I31" s="476"/>
      <c r="J31" s="476"/>
      <c r="K31" s="469"/>
      <c r="L31" s="476"/>
      <c r="M31" s="65">
        <v>300000000</v>
      </c>
      <c r="N31" s="65"/>
      <c r="O31" s="340" t="s">
        <v>9</v>
      </c>
      <c r="P31" s="340" t="s">
        <v>31</v>
      </c>
      <c r="Q31" s="66" t="str">
        <f>IF(AND('331-CT'!$E$7=TH!H31,OR(O31="331",P31="331")),"x","")</f>
        <v/>
      </c>
      <c r="R31" s="66" t="str">
        <f>IF(AND($B31&gt;='111'!$N$11,$B31&lt;='111'!$O$11,OR($O31=$R$7,$P31=$R$7)),"x","")</f>
        <v/>
      </c>
      <c r="S31" s="66" t="str">
        <f>IF(AND($O31=$R$7,$B31&lt;'111'!$N$11),"x","")</f>
        <v/>
      </c>
      <c r="T31" s="66" t="str">
        <f>IF(AND($P31=$R$7,$B31&lt;'111'!$N$11),"x","")</f>
        <v/>
      </c>
      <c r="U31" s="66" t="str">
        <f>IF(AND($B31&gt;='112'!$M$9,$B31&lt;='112'!$N$9,OR($O31='112'!$I$6,$P31='112'!$I$6)),"x","")</f>
        <v/>
      </c>
      <c r="V31" s="66" t="str">
        <f>IF(AND($O31='112'!$I$6,$B31&lt;'112'!$M$9),"x","")</f>
        <v/>
      </c>
      <c r="W31" s="66" t="str">
        <f>IF(AND($P31='112'!$I$6,$B31&lt;'112'!$M$9),"x","")</f>
        <v>x</v>
      </c>
      <c r="X31" s="66" t="str">
        <f>IF(AND('131-CT'!$H$9=TH!H31,OR(O31="131",P31="131")),"x","")</f>
        <v/>
      </c>
      <c r="Y31" s="80" t="str">
        <f>IF(AND($B31&gt;='1331'!$I$9,$B31&lt;='1331'!$J$9,OR($O31=$Y$7,$P31=$Y$7)),"x","")</f>
        <v/>
      </c>
      <c r="Z31" s="80" t="str">
        <f>IF(AND($O31=$Y$7,$B31&lt;'1331'!$I$9),"x","")</f>
        <v/>
      </c>
      <c r="AA31" s="80" t="str">
        <f>IF(AND($P31=$Y$7,$B31&lt;'1331'!$I$9),"x","")</f>
        <v/>
      </c>
      <c r="AB31" s="80" t="str">
        <f>IF(AND($B31&gt;='1332'!$I$9,$B31&lt;='1332'!$I$9,OR($O31=$AB$7,$P31=$AB$7)),"x","")</f>
        <v/>
      </c>
      <c r="AC31" s="80" t="str">
        <f>IF(AND($O31=$AB$7,$B31&lt;'1332'!$I$9),"x","")</f>
        <v/>
      </c>
      <c r="AD31" s="80" t="str">
        <f>IF(AND($P31=$AB$7,$B31&lt;'1332'!$I$9),"x","")</f>
        <v/>
      </c>
      <c r="AE31" s="80" t="str">
        <f>IF(AND('341-CT'!$H$9=H31,OR(LEFT(O31,3)=$AE$7,LEFT(P31,3)=$AE$7)),"x","")</f>
        <v/>
      </c>
      <c r="AF31" s="80" t="str">
        <f>IF(OR(TH!O31=TH!$AF$7,P31=TH!$AF$7),"x","")</f>
        <v/>
      </c>
      <c r="AG31" s="80"/>
      <c r="AH31" s="80" t="str">
        <f>IF(AND(B31&gt;='IN-NX'!$P$3,B31&lt;='IN-NX'!$Q$3,'IN-NX'!$D$7=D31,OR(LEFT(L31,2)="15",AND(LEFT(M31,2)&lt;&gt;"15",LEFT(M31,2)&lt;&gt;"33"))),"x","")</f>
        <v/>
      </c>
      <c r="AI31" s="80" t="str">
        <f>IF(AND(OR(LEFT(TH!O31,2)="15",LEFT(TH!P31,2)="15"),'152-CT'!$J$8=TH!F31),"x","")</f>
        <v/>
      </c>
      <c r="AJ31" s="80" t="str">
        <f>IF(AND(OR(LEFT(TH!O31,2)="15",LEFT(TH!P31,2)="15"),'THE KHO'!$E$7=TH!F31),"x","")</f>
        <v/>
      </c>
      <c r="AK31" s="80" t="str">
        <f>IF(AND(O31="1521",MONTH(C31)='BK NL'!$M$11),"x","")</f>
        <v/>
      </c>
    </row>
    <row r="32" spans="1:39" s="1007" customFormat="1" ht="15.75" customHeight="1">
      <c r="A32" s="362" t="str">
        <f>IF(B32&lt;&gt;"",IF(AND(B32&gt;=_TM1,B32&lt;=_TM2,OR(TH!O32="1111",TH!P32="1111")),TH!D32,""),"")</f>
        <v/>
      </c>
      <c r="B32" s="63">
        <f t="shared" si="3"/>
        <v>1</v>
      </c>
      <c r="C32" s="337">
        <v>42374</v>
      </c>
      <c r="D32" s="337" t="s">
        <v>8</v>
      </c>
      <c r="E32" s="337">
        <v>42374</v>
      </c>
      <c r="F32" s="338" t="s">
        <v>22</v>
      </c>
      <c r="G32" s="1022" t="s">
        <v>798</v>
      </c>
      <c r="H32" s="339"/>
      <c r="I32" s="476"/>
      <c r="J32" s="476"/>
      <c r="K32" s="469"/>
      <c r="L32" s="476"/>
      <c r="M32" s="65">
        <v>150000</v>
      </c>
      <c r="N32" s="65"/>
      <c r="O32" s="340" t="s">
        <v>135</v>
      </c>
      <c r="P32" s="340" t="s">
        <v>31</v>
      </c>
      <c r="Q32" s="66" t="str">
        <f>IF(AND('331-CT'!$E$7=TH!H32,OR(O32="331",P32="331")),"x","")</f>
        <v/>
      </c>
      <c r="R32" s="66" t="str">
        <f>IF(AND($B32&gt;='111'!$N$11,$B32&lt;='111'!$O$11,OR($O32=$R$7,$P32=$R$7)),"x","")</f>
        <v/>
      </c>
      <c r="S32" s="66" t="str">
        <f>IF(AND($O32=$R$7,$B32&lt;'111'!$N$11),"x","")</f>
        <v/>
      </c>
      <c r="T32" s="66" t="str">
        <f>IF(AND($P32=$R$7,$B32&lt;'111'!$N$11),"x","")</f>
        <v/>
      </c>
      <c r="U32" s="66" t="str">
        <f>IF(AND($B32&gt;='112'!$M$9,$B32&lt;='112'!$N$9,OR($O32='112'!$I$6,$P32='112'!$I$6)),"x","")</f>
        <v/>
      </c>
      <c r="V32" s="66" t="str">
        <f>IF(AND($O32='112'!$I$6,$B32&lt;'112'!$M$9),"x","")</f>
        <v/>
      </c>
      <c r="W32" s="66" t="str">
        <f>IF(AND($P32='112'!$I$6,$B32&lt;'112'!$M$9),"x","")</f>
        <v>x</v>
      </c>
      <c r="X32" s="66" t="str">
        <f>IF(AND('131-CT'!$H$9=TH!H32,OR(O32="131",P32="131")),"x","")</f>
        <v/>
      </c>
      <c r="Y32" s="80" t="str">
        <f>IF(AND($B32&gt;='1331'!$I$9,$B32&lt;='1331'!$J$9,OR($O32=$Y$7,$P32=$Y$7)),"x","")</f>
        <v/>
      </c>
      <c r="Z32" s="80" t="str">
        <f>IF(AND($O32=$Y$7,$B32&lt;'1331'!$I$9),"x","")</f>
        <v/>
      </c>
      <c r="AA32" s="80" t="str">
        <f>IF(AND($P32=$Y$7,$B32&lt;'1331'!$I$9),"x","")</f>
        <v/>
      </c>
      <c r="AB32" s="80" t="str">
        <f>IF(AND($B32&gt;='1332'!$I$9,$B32&lt;='1332'!$I$9,OR($O32=$AB$7,$P32=$AB$7)),"x","")</f>
        <v/>
      </c>
      <c r="AC32" s="80" t="str">
        <f>IF(AND($O32=$AB$7,$B32&lt;'1332'!$I$9),"x","")</f>
        <v/>
      </c>
      <c r="AD32" s="80" t="str">
        <f>IF(AND($P32=$AB$7,$B32&lt;'1332'!$I$9),"x","")</f>
        <v/>
      </c>
      <c r="AE32" s="80" t="str">
        <f>IF(AND('341-CT'!$H$9=H32,OR(LEFT(O32,3)=$AE$7,LEFT(P32,3)=$AE$7)),"x","")</f>
        <v/>
      </c>
      <c r="AF32" s="80" t="str">
        <f>IF(OR(TH!O32=TH!$AF$7,P32=TH!$AF$7),"x","")</f>
        <v/>
      </c>
      <c r="AG32" s="80"/>
      <c r="AH32" s="80" t="str">
        <f>IF(AND(B32&gt;='IN-NX'!$P$3,B32&lt;='IN-NX'!$Q$3,'IN-NX'!$D$7=D32,OR(LEFT(L32,2)="15",AND(LEFT(M32,2)&lt;&gt;"15",LEFT(M32,2)&lt;&gt;"33"))),"x","")</f>
        <v/>
      </c>
      <c r="AI32" s="80" t="str">
        <f>IF(AND(OR(LEFT(TH!O32,2)="15",LEFT(TH!P32,2)="15"),'152-CT'!$J$8=TH!F32),"x","")</f>
        <v/>
      </c>
      <c r="AJ32" s="80" t="str">
        <f>IF(AND(OR(LEFT(TH!O32,2)="15",LEFT(TH!P32,2)="15"),'THE KHO'!$E$7=TH!F32),"x","")</f>
        <v/>
      </c>
      <c r="AK32" s="80" t="str">
        <f>IF(AND(O32="1521",MONTH(C32)='BK NL'!$M$11),"x","")</f>
        <v/>
      </c>
      <c r="AM32" s="1007">
        <v>1</v>
      </c>
    </row>
    <row r="33" spans="1:39" s="1007" customFormat="1" ht="15.75" customHeight="1">
      <c r="A33" s="362" t="str">
        <f>IF(B33&lt;&gt;"",IF(AND(B33&gt;=_TM1,B33&lt;=_TM2,OR(TH!O33="1111",TH!P33="1111")),TH!D33,""),"")</f>
        <v/>
      </c>
      <c r="B33" s="63">
        <f t="shared" si="3"/>
        <v>1</v>
      </c>
      <c r="C33" s="337">
        <v>42374</v>
      </c>
      <c r="D33" s="337" t="s">
        <v>8</v>
      </c>
      <c r="E33" s="337">
        <v>42374</v>
      </c>
      <c r="F33" s="338" t="s">
        <v>23</v>
      </c>
      <c r="G33" s="1022" t="s">
        <v>798</v>
      </c>
      <c r="H33" s="339"/>
      <c r="I33" s="476"/>
      <c r="J33" s="476"/>
      <c r="K33" s="469"/>
      <c r="L33" s="476"/>
      <c r="M33" s="88">
        <v>15000</v>
      </c>
      <c r="N33" s="88"/>
      <c r="O33" s="340" t="s">
        <v>10</v>
      </c>
      <c r="P33" s="340" t="s">
        <v>31</v>
      </c>
      <c r="Q33" s="66" t="str">
        <f>IF(AND('331-CT'!$E$7=TH!H33,OR(O33="331",P33="331")),"x","")</f>
        <v/>
      </c>
      <c r="R33" s="66" t="str">
        <f>IF(AND($B33&gt;='111'!$N$11,$B33&lt;='111'!$O$11,OR($O33=$R$7,$P33=$R$7)),"x","")</f>
        <v/>
      </c>
      <c r="S33" s="66" t="str">
        <f>IF(AND($O33=$R$7,$B33&lt;'111'!$N$11),"x","")</f>
        <v/>
      </c>
      <c r="T33" s="66" t="str">
        <f>IF(AND($P33=$R$7,$B33&lt;'111'!$N$11),"x","")</f>
        <v/>
      </c>
      <c r="U33" s="66" t="str">
        <f>IF(AND($B33&gt;='112'!$M$9,$B33&lt;='112'!$N$9,OR($O33='112'!$I$6,$P33='112'!$I$6)),"x","")</f>
        <v/>
      </c>
      <c r="V33" s="66" t="str">
        <f>IF(AND($O33='112'!$I$6,$B33&lt;'112'!$M$9),"x","")</f>
        <v/>
      </c>
      <c r="W33" s="66" t="str">
        <f>IF(AND($P33='112'!$I$6,$B33&lt;'112'!$M$9),"x","")</f>
        <v>x</v>
      </c>
      <c r="X33" s="66" t="str">
        <f>IF(AND('131-CT'!$H$9=TH!H33,OR(O33="131",P33="131")),"x","")</f>
        <v/>
      </c>
      <c r="Y33" s="80" t="str">
        <f>IF(AND($B33&gt;='1331'!$I$9,$B33&lt;='1331'!$J$9,OR($O33=$Y$7,$P33=$Y$7)),"x","")</f>
        <v/>
      </c>
      <c r="Z33" s="80" t="str">
        <f>IF(AND($O33=$Y$7,$B33&lt;'1331'!$I$9),"x","")</f>
        <v>x</v>
      </c>
      <c r="AA33" s="80" t="str">
        <f>IF(AND($P33=$Y$7,$B33&lt;'1331'!$I$9),"x","")</f>
        <v/>
      </c>
      <c r="AB33" s="80" t="str">
        <f>IF(AND($B33&gt;='1332'!$I$9,$B33&lt;='1332'!$I$9,OR($O33=$AB$7,$P33=$AB$7)),"x","")</f>
        <v/>
      </c>
      <c r="AC33" s="80" t="str">
        <f>IF(AND($O33=$AB$7,$B33&lt;'1332'!$I$9),"x","")</f>
        <v/>
      </c>
      <c r="AD33" s="80" t="str">
        <f>IF(AND($P33=$AB$7,$B33&lt;'1332'!$I$9),"x","")</f>
        <v/>
      </c>
      <c r="AE33" s="80" t="str">
        <f>IF(AND('341-CT'!$H$9=H33,OR(LEFT(O33,3)=$AE$7,LEFT(P33,3)=$AE$7)),"x","")</f>
        <v/>
      </c>
      <c r="AF33" s="80" t="str">
        <f>IF(OR(TH!O33=TH!$AF$7,P33=TH!$AF$7),"x","")</f>
        <v/>
      </c>
      <c r="AG33" s="80"/>
      <c r="AH33" s="80" t="str">
        <f>IF(AND(B33&gt;='IN-NX'!$P$3,B33&lt;='IN-NX'!$Q$3,'IN-NX'!$D$7=D33,OR(LEFT(L33,2)="15",AND(LEFT(M33,2)&lt;&gt;"15",LEFT(M33,2)&lt;&gt;"33"))),"x","")</f>
        <v/>
      </c>
      <c r="AI33" s="80" t="str">
        <f>IF(AND(OR(LEFT(TH!O33,2)="15",LEFT(TH!P33,2)="15"),'152-CT'!$J$8=TH!F33),"x","")</f>
        <v/>
      </c>
      <c r="AJ33" s="80" t="str">
        <f>IF(AND(OR(LEFT(TH!O33,2)="15",LEFT(TH!P33,2)="15"),'THE KHO'!$E$7=TH!F33),"x","")</f>
        <v/>
      </c>
      <c r="AK33" s="80" t="str">
        <f>IF(AND(O33="1521",MONTH(C33)='BK NL'!$M$11),"x","")</f>
        <v/>
      </c>
      <c r="AM33" s="1007">
        <v>1</v>
      </c>
    </row>
    <row r="34" spans="1:39" s="1007" customFormat="1" ht="15.75" customHeight="1">
      <c r="A34" s="362" t="str">
        <f>IF(B34&lt;&gt;"",IF(AND(B34&gt;=_TM1,B34&lt;=_TM2,OR(TH!O34="1111",TH!P34="1111")),TH!D34,""),"")</f>
        <v/>
      </c>
      <c r="B34" s="63">
        <f t="shared" si="3"/>
        <v>1</v>
      </c>
      <c r="C34" s="337">
        <v>42375</v>
      </c>
      <c r="D34" s="337" t="s">
        <v>8</v>
      </c>
      <c r="E34" s="337">
        <v>42375</v>
      </c>
      <c r="F34" s="338" t="s">
        <v>163</v>
      </c>
      <c r="G34" s="1022" t="s">
        <v>798</v>
      </c>
      <c r="H34" s="339" t="s">
        <v>68</v>
      </c>
      <c r="I34" s="476"/>
      <c r="J34" s="476"/>
      <c r="K34" s="469"/>
      <c r="L34" s="476"/>
      <c r="M34" s="65">
        <v>314955000</v>
      </c>
      <c r="N34" s="65"/>
      <c r="O34" s="340" t="s">
        <v>9</v>
      </c>
      <c r="P34" s="340" t="s">
        <v>31</v>
      </c>
      <c r="Q34" s="66" t="str">
        <f>IF(AND('331-CT'!$E$7=TH!H34,OR(O34="331",P34="331")),"x","")</f>
        <v/>
      </c>
      <c r="R34" s="66" t="str">
        <f>IF(AND($B34&gt;='111'!$N$11,$B34&lt;='111'!$O$11,OR($O34=$R$7,$P34=$R$7)),"x","")</f>
        <v/>
      </c>
      <c r="S34" s="66" t="str">
        <f>IF(AND($O34=$R$7,$B34&lt;'111'!$N$11),"x","")</f>
        <v/>
      </c>
      <c r="T34" s="66" t="str">
        <f>IF(AND($P34=$R$7,$B34&lt;'111'!$N$11),"x","")</f>
        <v/>
      </c>
      <c r="U34" s="66" t="str">
        <f>IF(AND($B34&gt;='112'!$M$9,$B34&lt;='112'!$N$9,OR($O34='112'!$I$6,$P34='112'!$I$6)),"x","")</f>
        <v/>
      </c>
      <c r="V34" s="66" t="str">
        <f>IF(AND($O34='112'!$I$6,$B34&lt;'112'!$M$9),"x","")</f>
        <v/>
      </c>
      <c r="W34" s="66" t="str">
        <f>IF(AND($P34='112'!$I$6,$B34&lt;'112'!$M$9),"x","")</f>
        <v>x</v>
      </c>
      <c r="X34" s="66" t="str">
        <f>IF(AND('131-CT'!$H$9=TH!H34,OR(O34="131",P34="131")),"x","")</f>
        <v/>
      </c>
      <c r="Y34" s="80" t="str">
        <f>IF(AND($B34&gt;='1331'!$I$9,$B34&lt;='1331'!$J$9,OR($O34=$Y$7,$P34=$Y$7)),"x","")</f>
        <v/>
      </c>
      <c r="Z34" s="80" t="str">
        <f>IF(AND($O34=$Y$7,$B34&lt;'1331'!$I$9),"x","")</f>
        <v/>
      </c>
      <c r="AA34" s="80" t="str">
        <f>IF(AND($P34=$Y$7,$B34&lt;'1331'!$I$9),"x","")</f>
        <v/>
      </c>
      <c r="AB34" s="80" t="str">
        <f>IF(AND($B34&gt;='1332'!$I$9,$B34&lt;='1332'!$I$9,OR($O34=$AB$7,$P34=$AB$7)),"x","")</f>
        <v/>
      </c>
      <c r="AC34" s="80" t="str">
        <f>IF(AND($O34=$AB$7,$B34&lt;'1332'!$I$9),"x","")</f>
        <v/>
      </c>
      <c r="AD34" s="80" t="str">
        <f>IF(AND($P34=$AB$7,$B34&lt;'1332'!$I$9),"x","")</f>
        <v/>
      </c>
      <c r="AE34" s="80" t="str">
        <f>IF(AND('341-CT'!$H$9=H34,OR(LEFT(O34,3)=$AE$7,LEFT(P34,3)=$AE$7)),"x","")</f>
        <v/>
      </c>
      <c r="AF34" s="80" t="str">
        <f>IF(OR(TH!O34=TH!$AF$7,P34=TH!$AF$7),"x","")</f>
        <v/>
      </c>
      <c r="AG34" s="80"/>
      <c r="AH34" s="80" t="str">
        <f>IF(AND(B34&gt;='IN-NX'!$P$3,B34&lt;='IN-NX'!$Q$3,'IN-NX'!$D$7=D34,OR(LEFT(L34,2)="15",AND(LEFT(M34,2)&lt;&gt;"15",LEFT(M34,2)&lt;&gt;"33"))),"x","")</f>
        <v/>
      </c>
      <c r="AI34" s="80" t="str">
        <f>IF(AND(OR(LEFT(TH!O34,2)="15",LEFT(TH!P34,2)="15"),'152-CT'!$J$8=TH!F34),"x","")</f>
        <v/>
      </c>
      <c r="AJ34" s="80" t="str">
        <f>IF(AND(OR(LEFT(TH!O34,2)="15",LEFT(TH!P34,2)="15"),'THE KHO'!$E$7=TH!F34),"x","")</f>
        <v/>
      </c>
      <c r="AK34" s="80" t="str">
        <f>IF(AND(O34="1521",MONTH(C34)='BK NL'!$M$11),"x","")</f>
        <v/>
      </c>
      <c r="AM34" s="1007">
        <v>2</v>
      </c>
    </row>
    <row r="35" spans="1:39" s="1007" customFormat="1" ht="15.75" customHeight="1">
      <c r="A35" s="362" t="str">
        <f>IF(B35&lt;&gt;"",IF(AND(B35&gt;=_TM1,B35&lt;=_TM2,OR(TH!O35="1111",TH!P35="1111")),TH!D35,""),"")</f>
        <v/>
      </c>
      <c r="B35" s="63">
        <f t="shared" si="3"/>
        <v>1</v>
      </c>
      <c r="C35" s="337">
        <v>42375</v>
      </c>
      <c r="D35" s="337" t="s">
        <v>8</v>
      </c>
      <c r="E35" s="337">
        <v>42375</v>
      </c>
      <c r="F35" s="338" t="s">
        <v>22</v>
      </c>
      <c r="G35" s="1022" t="s">
        <v>798</v>
      </c>
      <c r="H35" s="339"/>
      <c r="I35" s="476"/>
      <c r="J35" s="476"/>
      <c r="K35" s="469"/>
      <c r="L35" s="476"/>
      <c r="M35" s="65">
        <v>157478</v>
      </c>
      <c r="N35" s="65"/>
      <c r="O35" s="340" t="s">
        <v>135</v>
      </c>
      <c r="P35" s="340" t="s">
        <v>31</v>
      </c>
      <c r="Q35" s="66" t="str">
        <f>IF(AND('331-CT'!$E$7=TH!H35,OR(O35="331",P35="331")),"x","")</f>
        <v/>
      </c>
      <c r="R35" s="66" t="str">
        <f>IF(AND($B35&gt;='111'!$N$11,$B35&lt;='111'!$O$11,OR($O35=$R$7,$P35=$R$7)),"x","")</f>
        <v/>
      </c>
      <c r="S35" s="66" t="str">
        <f>IF(AND($O35=$R$7,$B35&lt;'111'!$N$11),"x","")</f>
        <v/>
      </c>
      <c r="T35" s="66" t="str">
        <f>IF(AND($P35=$R$7,$B35&lt;'111'!$N$11),"x","")</f>
        <v/>
      </c>
      <c r="U35" s="66" t="str">
        <f>IF(AND($B35&gt;='112'!$M$9,$B35&lt;='112'!$N$9,OR($O35='112'!$I$6,$P35='112'!$I$6)),"x","")</f>
        <v/>
      </c>
      <c r="V35" s="66" t="str">
        <f>IF(AND($O35='112'!$I$6,$B35&lt;'112'!$M$9),"x","")</f>
        <v/>
      </c>
      <c r="W35" s="66" t="str">
        <f>IF(AND($P35='112'!$I$6,$B35&lt;'112'!$M$9),"x","")</f>
        <v>x</v>
      </c>
      <c r="X35" s="66" t="str">
        <f>IF(AND('131-CT'!$H$9=TH!H35,OR(O35="131",P35="131")),"x","")</f>
        <v/>
      </c>
      <c r="Y35" s="80" t="str">
        <f>IF(AND($B35&gt;='1331'!$I$9,$B35&lt;='1331'!$J$9,OR($O35=$Y$7,$P35=$Y$7)),"x","")</f>
        <v/>
      </c>
      <c r="Z35" s="80" t="str">
        <f>IF(AND($O35=$Y$7,$B35&lt;'1331'!$I$9),"x","")</f>
        <v/>
      </c>
      <c r="AA35" s="80" t="str">
        <f>IF(AND($P35=$Y$7,$B35&lt;'1331'!$I$9),"x","")</f>
        <v/>
      </c>
      <c r="AB35" s="80" t="str">
        <f>IF(AND($B35&gt;='1332'!$I$9,$B35&lt;='1332'!$I$9,OR($O35=$AB$7,$P35=$AB$7)),"x","")</f>
        <v/>
      </c>
      <c r="AC35" s="80" t="str">
        <f>IF(AND($O35=$AB$7,$B35&lt;'1332'!$I$9),"x","")</f>
        <v/>
      </c>
      <c r="AD35" s="80" t="str">
        <f>IF(AND($P35=$AB$7,$B35&lt;'1332'!$I$9),"x","")</f>
        <v/>
      </c>
      <c r="AE35" s="80" t="str">
        <f>IF(AND('341-CT'!$H$9=H35,OR(LEFT(O35,3)=$AE$7,LEFT(P35,3)=$AE$7)),"x","")</f>
        <v/>
      </c>
      <c r="AF35" s="80" t="str">
        <f>IF(OR(TH!O35=TH!$AF$7,P35=TH!$AF$7),"x","")</f>
        <v/>
      </c>
      <c r="AG35" s="80"/>
      <c r="AH35" s="80" t="str">
        <f>IF(AND(B35&gt;='IN-NX'!$P$3,B35&lt;='IN-NX'!$Q$3,'IN-NX'!$D$7=D35,OR(LEFT(L35,2)="15",AND(LEFT(M35,2)&lt;&gt;"15",LEFT(M35,2)&lt;&gt;"33"))),"x","")</f>
        <v/>
      </c>
      <c r="AI35" s="80" t="str">
        <f>IF(AND(OR(LEFT(TH!O35,2)="15",LEFT(TH!P35,2)="15"),'152-CT'!$J$8=TH!F35),"x","")</f>
        <v/>
      </c>
      <c r="AJ35" s="80" t="str">
        <f>IF(AND(OR(LEFT(TH!O35,2)="15",LEFT(TH!P35,2)="15"),'THE KHO'!$E$7=TH!F35),"x","")</f>
        <v/>
      </c>
      <c r="AK35" s="80" t="str">
        <f>IF(AND(O35="1521",MONTH(C35)='BK NL'!$M$11),"x","")</f>
        <v/>
      </c>
      <c r="AM35" s="1007">
        <v>2</v>
      </c>
    </row>
    <row r="36" spans="1:39" s="1007" customFormat="1" ht="15.75" customHeight="1">
      <c r="A36" s="362" t="str">
        <f>IF(B36&lt;&gt;"",IF(AND(B36&gt;=_TM1,B36&lt;=_TM2,OR(TH!O36="1111",TH!P36="1111")),TH!D36,""),"")</f>
        <v/>
      </c>
      <c r="B36" s="63">
        <f t="shared" si="3"/>
        <v>1</v>
      </c>
      <c r="C36" s="367">
        <v>42375</v>
      </c>
      <c r="D36" s="337" t="s">
        <v>8</v>
      </c>
      <c r="E36" s="337">
        <v>42375</v>
      </c>
      <c r="F36" s="338" t="s">
        <v>23</v>
      </c>
      <c r="G36" s="1022" t="s">
        <v>798</v>
      </c>
      <c r="H36" s="339"/>
      <c r="I36" s="476"/>
      <c r="J36" s="476"/>
      <c r="K36" s="469"/>
      <c r="L36" s="476"/>
      <c r="M36" s="88">
        <v>15748</v>
      </c>
      <c r="N36" s="88"/>
      <c r="O36" s="340" t="s">
        <v>10</v>
      </c>
      <c r="P36" s="340" t="s">
        <v>31</v>
      </c>
      <c r="Q36" s="66" t="str">
        <f>IF(AND('331-CT'!$E$7=TH!H36,OR(O36="331",P36="331")),"x","")</f>
        <v/>
      </c>
      <c r="R36" s="66" t="str">
        <f>IF(AND($B36&gt;='111'!$N$11,$B36&lt;='111'!$O$11,OR($O36=$R$7,$P36=$R$7)),"x","")</f>
        <v/>
      </c>
      <c r="S36" s="66" t="str">
        <f>IF(AND($O36=$R$7,$B36&lt;'111'!$N$11),"x","")</f>
        <v/>
      </c>
      <c r="T36" s="66" t="str">
        <f>IF(AND($P36=$R$7,$B36&lt;'111'!$N$11),"x","")</f>
        <v/>
      </c>
      <c r="U36" s="66" t="str">
        <f>IF(AND($B36&gt;='112'!$M$9,$B36&lt;='112'!$N$9,OR($O36='112'!$I$6,$P36='112'!$I$6)),"x","")</f>
        <v/>
      </c>
      <c r="V36" s="66" t="str">
        <f>IF(AND($O36='112'!$I$6,$B36&lt;'112'!$M$9),"x","")</f>
        <v/>
      </c>
      <c r="W36" s="66" t="str">
        <f>IF(AND($P36='112'!$I$6,$B36&lt;'112'!$M$9),"x","")</f>
        <v>x</v>
      </c>
      <c r="X36" s="66" t="str">
        <f>IF(AND('131-CT'!$H$9=TH!H36,OR(O36="131",P36="131")),"x","")</f>
        <v/>
      </c>
      <c r="Y36" s="80" t="str">
        <f>IF(AND($B36&gt;='1331'!$I$9,$B36&lt;='1331'!$J$9,OR($O36=$Y$7,$P36=$Y$7)),"x","")</f>
        <v/>
      </c>
      <c r="Z36" s="80" t="str">
        <f>IF(AND($O36=$Y$7,$B36&lt;'1331'!$I$9),"x","")</f>
        <v>x</v>
      </c>
      <c r="AA36" s="80" t="str">
        <f>IF(AND($P36=$Y$7,$B36&lt;'1331'!$I$9),"x","")</f>
        <v/>
      </c>
      <c r="AB36" s="80" t="str">
        <f>IF(AND($B36&gt;='1332'!$I$9,$B36&lt;='1332'!$I$9,OR($O36=$AB$7,$P36=$AB$7)),"x","")</f>
        <v/>
      </c>
      <c r="AC36" s="80" t="str">
        <f>IF(AND($O36=$AB$7,$B36&lt;'1332'!$I$9),"x","")</f>
        <v/>
      </c>
      <c r="AD36" s="80" t="str">
        <f>IF(AND($P36=$AB$7,$B36&lt;'1332'!$I$9),"x","")</f>
        <v/>
      </c>
      <c r="AE36" s="80" t="str">
        <f>IF(AND('341-CT'!$H$9=H36,OR(LEFT(O36,3)=$AE$7,LEFT(P36,3)=$AE$7)),"x","")</f>
        <v/>
      </c>
      <c r="AF36" s="80" t="str">
        <f>IF(OR(TH!O36=TH!$AF$7,P36=TH!$AF$7),"x","")</f>
        <v/>
      </c>
      <c r="AG36" s="80"/>
      <c r="AH36" s="80" t="str">
        <f>IF(AND(B36&gt;='IN-NX'!$P$3,B36&lt;='IN-NX'!$Q$3,'IN-NX'!$D$7=D36,OR(LEFT(L36,2)="15",AND(LEFT(M36,2)&lt;&gt;"15",LEFT(M36,2)&lt;&gt;"33"))),"x","")</f>
        <v/>
      </c>
      <c r="AI36" s="80" t="str">
        <f>IF(AND(OR(LEFT(TH!O36,2)="15",LEFT(TH!P36,2)="15"),'152-CT'!$J$8=TH!F36),"x","")</f>
        <v/>
      </c>
      <c r="AJ36" s="80" t="str">
        <f>IF(AND(OR(LEFT(TH!O36,2)="15",LEFT(TH!P36,2)="15"),'THE KHO'!$E$7=TH!F36),"x","")</f>
        <v/>
      </c>
      <c r="AK36" s="80" t="str">
        <f>IF(AND(O36="1521",MONTH(C36)='BK NL'!$M$11),"x","")</f>
        <v/>
      </c>
      <c r="AM36" s="1007">
        <v>2</v>
      </c>
    </row>
    <row r="37" spans="1:39" s="1007" customFormat="1" ht="15.75" customHeight="1">
      <c r="A37" s="362" t="str">
        <f>IF(B37&lt;&gt;"",IF(AND(B37&gt;=_TM1,B37&lt;=_TM2,OR(TH!O37="1111",TH!P37="1111")),TH!D37,""),"")</f>
        <v/>
      </c>
      <c r="B37" s="63">
        <f t="shared" si="3"/>
        <v>1</v>
      </c>
      <c r="C37" s="337">
        <v>42379</v>
      </c>
      <c r="D37" s="337" t="s">
        <v>41</v>
      </c>
      <c r="E37" s="337">
        <v>42379</v>
      </c>
      <c r="F37" s="338" t="s">
        <v>372</v>
      </c>
      <c r="G37" s="1022" t="s">
        <v>373</v>
      </c>
      <c r="H37" s="339" t="s">
        <v>315</v>
      </c>
      <c r="I37" s="476"/>
      <c r="J37" s="476"/>
      <c r="K37" s="469"/>
      <c r="L37" s="476"/>
      <c r="M37" s="65">
        <v>6818182</v>
      </c>
      <c r="N37" s="65"/>
      <c r="O37" s="340" t="s">
        <v>135</v>
      </c>
      <c r="P37" s="340" t="s">
        <v>97</v>
      </c>
      <c r="Q37" s="66" t="str">
        <f>IF(AND('331-CT'!$E$7=TH!H37,OR(O37="331",P37="331")),"x","")</f>
        <v/>
      </c>
      <c r="R37" s="66" t="str">
        <f>IF(AND($B37&gt;='111'!$N$11,$B37&lt;='111'!$O$11,OR($O37=$R$7,$P37=$R$7)),"x","")</f>
        <v/>
      </c>
      <c r="S37" s="66" t="str">
        <f>IF(AND($O37=$R$7,$B37&lt;'111'!$N$11),"x","")</f>
        <v/>
      </c>
      <c r="T37" s="66" t="str">
        <f>IF(AND($P37=$R$7,$B37&lt;'111'!$N$11),"x","")</f>
        <v>x</v>
      </c>
      <c r="U37" s="66" t="str">
        <f>IF(AND($B37&gt;='112'!$M$9,$B37&lt;='112'!$N$9,OR($O37='112'!$I$6,$P37='112'!$I$6)),"x","")</f>
        <v/>
      </c>
      <c r="V37" s="66" t="str">
        <f>IF(AND($O37='112'!$I$6,$B37&lt;'112'!$M$9),"x","")</f>
        <v/>
      </c>
      <c r="W37" s="66" t="str">
        <f>IF(AND($P37='112'!$I$6,$B37&lt;'112'!$M$9),"x","")</f>
        <v/>
      </c>
      <c r="X37" s="66" t="str">
        <f>IF(AND('131-CT'!$H$9=TH!H37,OR(O37="131",P37="131")),"x","")</f>
        <v/>
      </c>
      <c r="Y37" s="80" t="str">
        <f>IF(AND($B37&gt;='1331'!$I$9,$B37&lt;='1331'!$J$9,OR($O37=$Y$7,$P37=$Y$7)),"x","")</f>
        <v/>
      </c>
      <c r="Z37" s="80" t="str">
        <f>IF(AND($O37=$Y$7,$B37&lt;'1331'!$I$9),"x","")</f>
        <v/>
      </c>
      <c r="AA37" s="80" t="str">
        <f>IF(AND($P37=$Y$7,$B37&lt;'1331'!$I$9),"x","")</f>
        <v/>
      </c>
      <c r="AB37" s="80" t="str">
        <f>IF(AND($B37&gt;='1332'!$I$9,$B37&lt;='1332'!$I$9,OR($O37=$AB$7,$P37=$AB$7)),"x","")</f>
        <v/>
      </c>
      <c r="AC37" s="80" t="str">
        <f>IF(AND($O37=$AB$7,$B37&lt;'1332'!$I$9),"x","")</f>
        <v/>
      </c>
      <c r="AD37" s="80" t="str">
        <f>IF(AND($P37=$AB$7,$B37&lt;'1332'!$I$9),"x","")</f>
        <v/>
      </c>
      <c r="AE37" s="80" t="str">
        <f>IF(AND('341-CT'!$H$9=H37,OR(LEFT(O37,3)=$AE$7,LEFT(P37,3)=$AE$7)),"x","")</f>
        <v/>
      </c>
      <c r="AF37" s="80" t="str">
        <f>IF(OR(TH!O37=TH!$AF$7,P37=TH!$AF$7),"x","")</f>
        <v/>
      </c>
      <c r="AG37" s="80"/>
      <c r="AH37" s="80" t="str">
        <f>IF(AND(B37&gt;='IN-NX'!$P$3,B37&lt;='IN-NX'!$Q$3,'IN-NX'!$D$7=D37,OR(LEFT(L37,2)="15",AND(LEFT(M37,2)&lt;&gt;"15",LEFT(M37,2)&lt;&gt;"33"))),"x","")</f>
        <v/>
      </c>
      <c r="AI37" s="80" t="str">
        <f>IF(AND(OR(LEFT(TH!O37,2)="15",LEFT(TH!P37,2)="15"),'152-CT'!$J$8=TH!F37),"x","")</f>
        <v/>
      </c>
      <c r="AJ37" s="80" t="str">
        <f>IF(AND(OR(LEFT(TH!O37,2)="15",LEFT(TH!P37,2)="15"),'THE KHO'!$E$7=TH!F37),"x","")</f>
        <v/>
      </c>
      <c r="AK37" s="80" t="str">
        <f>IF(AND(O37="1521",MONTH(C37)='BK NL'!$M$11),"x","")</f>
        <v/>
      </c>
      <c r="AM37" s="1007">
        <v>2</v>
      </c>
    </row>
    <row r="38" spans="1:39" s="1007" customFormat="1" ht="15.75" customHeight="1">
      <c r="A38" s="362" t="str">
        <f>IF(B38&lt;&gt;"",IF(AND(B38&gt;=_TM1,B38&lt;=_TM2,OR(TH!O38="1111",TH!P38="1111")),TH!D38,""),"")</f>
        <v/>
      </c>
      <c r="B38" s="63">
        <f t="shared" si="3"/>
        <v>1</v>
      </c>
      <c r="C38" s="337">
        <v>42379</v>
      </c>
      <c r="D38" s="337" t="s">
        <v>41</v>
      </c>
      <c r="E38" s="337">
        <v>42379</v>
      </c>
      <c r="F38" s="338" t="s">
        <v>374</v>
      </c>
      <c r="G38" s="1022" t="s">
        <v>373</v>
      </c>
      <c r="H38" s="339" t="s">
        <v>315</v>
      </c>
      <c r="I38" s="476"/>
      <c r="J38" s="476"/>
      <c r="K38" s="469"/>
      <c r="L38" s="476"/>
      <c r="M38" s="88">
        <v>681818</v>
      </c>
      <c r="N38" s="88"/>
      <c r="O38" s="340" t="s">
        <v>10</v>
      </c>
      <c r="P38" s="340" t="s">
        <v>97</v>
      </c>
      <c r="Q38" s="66" t="str">
        <f>IF(AND('331-CT'!$E$7=TH!H38,OR(O38="331",P38="331")),"x","")</f>
        <v/>
      </c>
      <c r="R38" s="66" t="str">
        <f>IF(AND($B38&gt;='111'!$N$11,$B38&lt;='111'!$O$11,OR($O38=$R$7,$P38=$R$7)),"x","")</f>
        <v/>
      </c>
      <c r="S38" s="66" t="str">
        <f>IF(AND($O38=$R$7,$B38&lt;'111'!$N$11),"x","")</f>
        <v/>
      </c>
      <c r="T38" s="66" t="str">
        <f>IF(AND($P38=$R$7,$B38&lt;'111'!$N$11),"x","")</f>
        <v>x</v>
      </c>
      <c r="U38" s="66" t="str">
        <f>IF(AND($B38&gt;='112'!$M$9,$B38&lt;='112'!$N$9,OR($O38='112'!$I$6,$P38='112'!$I$6)),"x","")</f>
        <v/>
      </c>
      <c r="V38" s="66" t="str">
        <f>IF(AND($O38='112'!$I$6,$B38&lt;'112'!$M$9),"x","")</f>
        <v/>
      </c>
      <c r="W38" s="66" t="str">
        <f>IF(AND($P38='112'!$I$6,$B38&lt;'112'!$M$9),"x","")</f>
        <v/>
      </c>
      <c r="X38" s="66" t="str">
        <f>IF(AND('131-CT'!$H$9=TH!H38,OR(O38="131",P38="131")),"x","")</f>
        <v/>
      </c>
      <c r="Y38" s="80" t="str">
        <f>IF(AND($B38&gt;='1331'!$I$9,$B38&lt;='1331'!$J$9,OR($O38=$Y$7,$P38=$Y$7)),"x","")</f>
        <v/>
      </c>
      <c r="Z38" s="80" t="str">
        <f>IF(AND($O38=$Y$7,$B38&lt;'1331'!$I$9),"x","")</f>
        <v>x</v>
      </c>
      <c r="AA38" s="80" t="str">
        <f>IF(AND($P38=$Y$7,$B38&lt;'1331'!$I$9),"x","")</f>
        <v/>
      </c>
      <c r="AB38" s="80" t="str">
        <f>IF(AND($B38&gt;='1332'!$I$9,$B38&lt;='1332'!$I$9,OR($O38=$AB$7,$P38=$AB$7)),"x","")</f>
        <v/>
      </c>
      <c r="AC38" s="80" t="str">
        <f>IF(AND($O38=$AB$7,$B38&lt;'1332'!$I$9),"x","")</f>
        <v/>
      </c>
      <c r="AD38" s="80" t="str">
        <f>IF(AND($P38=$AB$7,$B38&lt;'1332'!$I$9),"x","")</f>
        <v/>
      </c>
      <c r="AE38" s="80" t="str">
        <f>IF(AND('341-CT'!$H$9=H38,OR(LEFT(O38,3)=$AE$7,LEFT(P38,3)=$AE$7)),"x","")</f>
        <v/>
      </c>
      <c r="AF38" s="80" t="str">
        <f>IF(OR(TH!O38=TH!$AF$7,P38=TH!$AF$7),"x","")</f>
        <v/>
      </c>
      <c r="AG38" s="80"/>
      <c r="AH38" s="80" t="str">
        <f>IF(AND(B38&gt;='IN-NX'!$P$3,B38&lt;='IN-NX'!$Q$3,'IN-NX'!$D$7=D38,OR(LEFT(L38,2)="15",AND(LEFT(M38,2)&lt;&gt;"15",LEFT(M38,2)&lt;&gt;"33"))),"x","")</f>
        <v/>
      </c>
      <c r="AI38" s="80" t="str">
        <f>IF(AND(OR(LEFT(TH!O38,2)="15",LEFT(TH!P38,2)="15"),'152-CT'!$J$8=TH!F38),"x","")</f>
        <v/>
      </c>
      <c r="AJ38" s="80" t="str">
        <f>IF(AND(OR(LEFT(TH!O38,2)="15",LEFT(TH!P38,2)="15"),'THE KHO'!$E$7=TH!F38),"x","")</f>
        <v/>
      </c>
      <c r="AK38" s="80" t="str">
        <f>IF(AND(O38="1521",MONTH(C38)='BK NL'!$M$11),"x","")</f>
        <v/>
      </c>
    </row>
    <row r="39" spans="1:39" s="1007" customFormat="1" ht="15.75" customHeight="1">
      <c r="A39" s="362" t="str">
        <f>IF(B39&lt;&gt;"",IF(AND(B39&gt;=_TM1,B39&lt;=_TM2,OR(TH!O39="1111",TH!P39="1111")),TH!D39,""),"")</f>
        <v/>
      </c>
      <c r="B39" s="63">
        <f t="shared" si="3"/>
        <v>1</v>
      </c>
      <c r="C39" s="367">
        <v>42380</v>
      </c>
      <c r="D39" s="337" t="s">
        <v>40</v>
      </c>
      <c r="E39" s="337">
        <v>42380</v>
      </c>
      <c r="F39" s="338" t="s">
        <v>324</v>
      </c>
      <c r="G39" s="1022" t="s">
        <v>375</v>
      </c>
      <c r="H39" s="339" t="s">
        <v>161</v>
      </c>
      <c r="I39" s="476"/>
      <c r="J39" s="476"/>
      <c r="K39" s="469"/>
      <c r="L39" s="476"/>
      <c r="M39" s="65">
        <v>497553</v>
      </c>
      <c r="N39" s="65"/>
      <c r="O39" s="1023" t="s">
        <v>135</v>
      </c>
      <c r="P39" s="340" t="s">
        <v>97</v>
      </c>
      <c r="Q39" s="66" t="str">
        <f>IF(AND('331-CT'!$E$7=TH!H39,OR(O39="331",P39="331")),"x","")</f>
        <v/>
      </c>
      <c r="R39" s="66" t="str">
        <f>IF(AND($B39&gt;='111'!$N$11,$B39&lt;='111'!$O$11,OR($O39=$R$7,$P39=$R$7)),"x","")</f>
        <v/>
      </c>
      <c r="S39" s="66" t="str">
        <f>IF(AND($O39=$R$7,$B39&lt;'111'!$N$11),"x","")</f>
        <v/>
      </c>
      <c r="T39" s="66" t="str">
        <f>IF(AND($P39=$R$7,$B39&lt;'111'!$N$11),"x","")</f>
        <v>x</v>
      </c>
      <c r="U39" s="66" t="str">
        <f>IF(AND($B39&gt;='112'!$M$9,$B39&lt;='112'!$N$9,OR($O39='112'!$I$6,$P39='112'!$I$6)),"x","")</f>
        <v/>
      </c>
      <c r="V39" s="66" t="str">
        <f>IF(AND($O39='112'!$I$6,$B39&lt;'112'!$M$9),"x","")</f>
        <v/>
      </c>
      <c r="W39" s="66" t="str">
        <f>IF(AND($P39='112'!$I$6,$B39&lt;'112'!$M$9),"x","")</f>
        <v/>
      </c>
      <c r="X39" s="66" t="str">
        <f>IF(AND('131-CT'!$H$9=TH!H39,OR(O39="131",P39="131")),"x","")</f>
        <v/>
      </c>
      <c r="Y39" s="80" t="str">
        <f>IF(AND($B39&gt;='1331'!$I$9,$B39&lt;='1331'!$J$9,OR($O39=$Y$7,$P39=$Y$7)),"x","")</f>
        <v/>
      </c>
      <c r="Z39" s="80" t="str">
        <f>IF(AND($O39=$Y$7,$B39&lt;'1331'!$I$9),"x","")</f>
        <v/>
      </c>
      <c r="AA39" s="80" t="str">
        <f>IF(AND($P39=$Y$7,$B39&lt;'1331'!$I$9),"x","")</f>
        <v/>
      </c>
      <c r="AB39" s="80" t="str">
        <f>IF(AND($B39&gt;='1332'!$I$9,$B39&lt;='1332'!$I$9,OR($O39=$AB$7,$P39=$AB$7)),"x","")</f>
        <v/>
      </c>
      <c r="AC39" s="80" t="str">
        <f>IF(AND($O39=$AB$7,$B39&lt;'1332'!$I$9),"x","")</f>
        <v/>
      </c>
      <c r="AD39" s="80" t="str">
        <f>IF(AND($P39=$AB$7,$B39&lt;'1332'!$I$9),"x","")</f>
        <v/>
      </c>
      <c r="AE39" s="80" t="str">
        <f>IF(AND('341-CT'!$H$9=H39,OR(LEFT(O39,3)=$AE$7,LEFT(P39,3)=$AE$7)),"x","")</f>
        <v/>
      </c>
      <c r="AF39" s="80" t="str">
        <f>IF(OR(TH!O39=TH!$AF$7,P39=TH!$AF$7),"x","")</f>
        <v/>
      </c>
      <c r="AG39" s="80"/>
      <c r="AH39" s="80" t="str">
        <f>IF(AND(B39&gt;='IN-NX'!$P$3,B39&lt;='IN-NX'!$Q$3,'IN-NX'!$D$7=D39,OR(LEFT(L39,2)="15",AND(LEFT(M39,2)&lt;&gt;"15",LEFT(M39,2)&lt;&gt;"33"))),"x","")</f>
        <v/>
      </c>
      <c r="AI39" s="80" t="str">
        <f>IF(AND(OR(LEFT(TH!O39,2)="15",LEFT(TH!P39,2)="15"),'152-CT'!$J$8=TH!F39),"x","")</f>
        <v/>
      </c>
      <c r="AJ39" s="80" t="str">
        <f>IF(AND(OR(LEFT(TH!O39,2)="15",LEFT(TH!P39,2)="15"),'THE KHO'!$E$7=TH!F39),"x","")</f>
        <v/>
      </c>
      <c r="AK39" s="80" t="str">
        <f>IF(AND(O39="1521",MONTH(C39)='BK NL'!$M$11),"x","")</f>
        <v/>
      </c>
      <c r="AM39" s="1007">
        <v>1</v>
      </c>
    </row>
    <row r="40" spans="1:39" s="1007" customFormat="1" ht="15.75" customHeight="1">
      <c r="A40" s="362" t="str">
        <f>IF(B40&lt;&gt;"",IF(AND(B40&gt;=_TM1,B40&lt;=_TM2,OR(TH!O40="1111",TH!P40="1111")),TH!D40,""),"")</f>
        <v/>
      </c>
      <c r="B40" s="63">
        <f t="shared" si="3"/>
        <v>1</v>
      </c>
      <c r="C40" s="337">
        <v>42380</v>
      </c>
      <c r="D40" s="337" t="s">
        <v>40</v>
      </c>
      <c r="E40" s="337">
        <v>42380</v>
      </c>
      <c r="F40" s="338" t="s">
        <v>326</v>
      </c>
      <c r="G40" s="1022" t="s">
        <v>375</v>
      </c>
      <c r="H40" s="339" t="s">
        <v>161</v>
      </c>
      <c r="I40" s="476"/>
      <c r="J40" s="476"/>
      <c r="K40" s="469"/>
      <c r="L40" s="476"/>
      <c r="M40" s="88">
        <v>49755</v>
      </c>
      <c r="N40" s="88"/>
      <c r="O40" s="340" t="s">
        <v>10</v>
      </c>
      <c r="P40" s="340" t="s">
        <v>97</v>
      </c>
      <c r="Q40" s="66" t="str">
        <f>IF(AND('331-CT'!$E$7=TH!H40,OR(O40="331",P40="331")),"x","")</f>
        <v/>
      </c>
      <c r="R40" s="66" t="str">
        <f>IF(AND($B40&gt;='111'!$N$11,$B40&lt;='111'!$O$11,OR($O40=$R$7,$P40=$R$7)),"x","")</f>
        <v/>
      </c>
      <c r="S40" s="66" t="str">
        <f>IF(AND($O40=$R$7,$B40&lt;'111'!$N$11),"x","")</f>
        <v/>
      </c>
      <c r="T40" s="66" t="str">
        <f>IF(AND($P40=$R$7,$B40&lt;'111'!$N$11),"x","")</f>
        <v>x</v>
      </c>
      <c r="U40" s="66" t="str">
        <f>IF(AND($B40&gt;='112'!$M$9,$B40&lt;='112'!$N$9,OR($O40='112'!$I$6,$P40='112'!$I$6)),"x","")</f>
        <v/>
      </c>
      <c r="V40" s="66" t="str">
        <f>IF(AND($O40='112'!$I$6,$B40&lt;'112'!$M$9),"x","")</f>
        <v/>
      </c>
      <c r="W40" s="66" t="str">
        <f>IF(AND($P40='112'!$I$6,$B40&lt;'112'!$M$9),"x","")</f>
        <v/>
      </c>
      <c r="X40" s="66" t="str">
        <f>IF(AND('131-CT'!$H$9=TH!H40,OR(O40="131",P40="131")),"x","")</f>
        <v/>
      </c>
      <c r="Y40" s="80" t="str">
        <f>IF(AND($B40&gt;='1331'!$I$9,$B40&lt;='1331'!$J$9,OR($O40=$Y$7,$P40=$Y$7)),"x","")</f>
        <v/>
      </c>
      <c r="Z40" s="80" t="str">
        <f>IF(AND($O40=$Y$7,$B40&lt;'1331'!$I$9),"x","")</f>
        <v>x</v>
      </c>
      <c r="AA40" s="80" t="str">
        <f>IF(AND($P40=$Y$7,$B40&lt;'1331'!$I$9),"x","")</f>
        <v/>
      </c>
      <c r="AB40" s="80" t="str">
        <f>IF(AND($B40&gt;='1332'!$I$9,$B40&lt;='1332'!$I$9,OR($O40=$AB$7,$P40=$AB$7)),"x","")</f>
        <v/>
      </c>
      <c r="AC40" s="80" t="str">
        <f>IF(AND($O40=$AB$7,$B40&lt;'1332'!$I$9),"x","")</f>
        <v/>
      </c>
      <c r="AD40" s="80" t="str">
        <f>IF(AND($P40=$AB$7,$B40&lt;'1332'!$I$9),"x","")</f>
        <v/>
      </c>
      <c r="AE40" s="80" t="str">
        <f>IF(AND('341-CT'!$H$9=H40,OR(LEFT(O40,3)=$AE$7,LEFT(P40,3)=$AE$7)),"x","")</f>
        <v/>
      </c>
      <c r="AF40" s="80" t="str">
        <f>IF(OR(TH!O40=TH!$AF$7,P40=TH!$AF$7),"x","")</f>
        <v/>
      </c>
      <c r="AG40" s="80"/>
      <c r="AH40" s="80" t="str">
        <f>IF(AND(B40&gt;='IN-NX'!$P$3,B40&lt;='IN-NX'!$Q$3,'IN-NX'!$D$7=D40,OR(LEFT(L40,2)="15",AND(LEFT(M40,2)&lt;&gt;"15",LEFT(M40,2)&lt;&gt;"33"))),"x","")</f>
        <v/>
      </c>
      <c r="AI40" s="80" t="str">
        <f>IF(AND(OR(LEFT(TH!O40,2)="15",LEFT(TH!P40,2)="15"),'152-CT'!$J$8=TH!F40),"x","")</f>
        <v/>
      </c>
      <c r="AJ40" s="80" t="str">
        <f>IF(AND(OR(LEFT(TH!O40,2)="15",LEFT(TH!P40,2)="15"),'THE KHO'!$E$7=TH!F40),"x","")</f>
        <v/>
      </c>
      <c r="AK40" s="80" t="str">
        <f>IF(AND(O40="1521",MONTH(C40)='BK NL'!$M$11),"x","")</f>
        <v/>
      </c>
      <c r="AM40" s="1007">
        <v>1</v>
      </c>
    </row>
    <row r="41" spans="1:39" s="1007" customFormat="1" ht="15.75" customHeight="1">
      <c r="A41" s="362" t="str">
        <f>IF(B41&lt;&gt;"",IF(AND(B41&gt;=_TM1,B41&lt;=_TM2,OR(TH!O41="1111",TH!P41="1111")),TH!D41,""),"")</f>
        <v/>
      </c>
      <c r="B41" s="63">
        <f t="shared" si="3"/>
        <v>1</v>
      </c>
      <c r="C41" s="367">
        <v>42381</v>
      </c>
      <c r="D41" s="337" t="s">
        <v>63</v>
      </c>
      <c r="E41" s="337">
        <v>42381</v>
      </c>
      <c r="F41" s="338" t="s">
        <v>317</v>
      </c>
      <c r="G41" s="1022" t="s">
        <v>379</v>
      </c>
      <c r="H41" s="339" t="s">
        <v>316</v>
      </c>
      <c r="I41" s="476"/>
      <c r="J41" s="476"/>
      <c r="K41" s="469"/>
      <c r="L41" s="476"/>
      <c r="M41" s="65">
        <v>12150000</v>
      </c>
      <c r="N41" s="65"/>
      <c r="O41" s="340" t="s">
        <v>242</v>
      </c>
      <c r="P41" s="340" t="s">
        <v>97</v>
      </c>
      <c r="Q41" s="66" t="str">
        <f>IF(AND('331-CT'!$E$7=TH!H41,OR(O41="331",P41="331")),"x","")</f>
        <v/>
      </c>
      <c r="R41" s="66" t="str">
        <f>IF(AND($B41&gt;='111'!$N$11,$B41&lt;='111'!$O$11,OR($O41=$R$7,$P41=$R$7)),"x","")</f>
        <v/>
      </c>
      <c r="S41" s="66" t="str">
        <f>IF(AND($O41=$R$7,$B41&lt;'111'!$N$11),"x","")</f>
        <v/>
      </c>
      <c r="T41" s="66" t="str">
        <f>IF(AND($P41=$R$7,$B41&lt;'111'!$N$11),"x","")</f>
        <v>x</v>
      </c>
      <c r="U41" s="66" t="str">
        <f>IF(AND($B41&gt;='112'!$M$9,$B41&lt;='112'!$N$9,OR($O41='112'!$I$6,$P41='112'!$I$6)),"x","")</f>
        <v/>
      </c>
      <c r="V41" s="66" t="str">
        <f>IF(AND($O41='112'!$I$6,$B41&lt;'112'!$M$9),"x","")</f>
        <v/>
      </c>
      <c r="W41" s="66" t="str">
        <f>IF(AND($P41='112'!$I$6,$B41&lt;'112'!$M$9),"x","")</f>
        <v/>
      </c>
      <c r="X41" s="66" t="str">
        <f>IF(AND('131-CT'!$H$9=TH!H41,OR(O41="131",P41="131")),"x","")</f>
        <v/>
      </c>
      <c r="Y41" s="80" t="str">
        <f>IF(AND($B41&gt;='1331'!$I$9,$B41&lt;='1331'!$J$9,OR($O41=$Y$7,$P41=$Y$7)),"x","")</f>
        <v/>
      </c>
      <c r="Z41" s="80" t="str">
        <f>IF(AND($O41=$Y$7,$B41&lt;'1331'!$I$9),"x","")</f>
        <v/>
      </c>
      <c r="AA41" s="80" t="str">
        <f>IF(AND($P41=$Y$7,$B41&lt;'1331'!$I$9),"x","")</f>
        <v/>
      </c>
      <c r="AB41" s="80" t="str">
        <f>IF(AND($B41&gt;='1332'!$I$9,$B41&lt;='1332'!$I$9,OR($O41=$AB$7,$P41=$AB$7)),"x","")</f>
        <v/>
      </c>
      <c r="AC41" s="80" t="str">
        <f>IF(AND($O41=$AB$7,$B41&lt;'1332'!$I$9),"x","")</f>
        <v/>
      </c>
      <c r="AD41" s="80" t="str">
        <f>IF(AND($P41=$AB$7,$B41&lt;'1332'!$I$9),"x","")</f>
        <v/>
      </c>
      <c r="AE41" s="80" t="str">
        <f>IF(AND('341-CT'!$H$9=H41,OR(LEFT(O41,3)=$AE$7,LEFT(P41,3)=$AE$7)),"x","")</f>
        <v/>
      </c>
      <c r="AF41" s="80" t="str">
        <f>IF(OR(TH!O41=TH!$AF$7,P41=TH!$AF$7),"x","")</f>
        <v/>
      </c>
      <c r="AG41" s="80"/>
      <c r="AH41" s="80" t="str">
        <f>IF(AND(B41&gt;='IN-NX'!$P$3,B41&lt;='IN-NX'!$Q$3,'IN-NX'!$D$7=D41,OR(LEFT(L41,2)="15",AND(LEFT(M41,2)&lt;&gt;"15",LEFT(M41,2)&lt;&gt;"33"))),"x","")</f>
        <v/>
      </c>
      <c r="AI41" s="80" t="str">
        <f>IF(AND(OR(LEFT(TH!O41,2)="15",LEFT(TH!P41,2)="15"),'152-CT'!$J$8=TH!F41),"x","")</f>
        <v/>
      </c>
      <c r="AJ41" s="80" t="str">
        <f>IF(AND(OR(LEFT(TH!O41,2)="15",LEFT(TH!P41,2)="15"),'THE KHO'!$E$7=TH!F41),"x","")</f>
        <v/>
      </c>
      <c r="AK41" s="80" t="str">
        <f>IF(AND(O41="1521",MONTH(C41)='BK NL'!$M$11),"x","")</f>
        <v/>
      </c>
      <c r="AM41" s="1007">
        <v>2</v>
      </c>
    </row>
    <row r="42" spans="1:39" s="1007" customFormat="1" ht="15.75" customHeight="1">
      <c r="A42" s="362" t="str">
        <f>IF(B42&lt;&gt;"",IF(AND(B42&gt;=_TM1,B42&lt;=_TM2,OR(TH!O42="1111",TH!P42="1111")),TH!D42,""),"")</f>
        <v/>
      </c>
      <c r="B42" s="63">
        <f t="shared" si="3"/>
        <v>1</v>
      </c>
      <c r="C42" s="337">
        <v>42381</v>
      </c>
      <c r="D42" s="337" t="s">
        <v>63</v>
      </c>
      <c r="E42" s="337">
        <v>42381</v>
      </c>
      <c r="F42" s="338" t="s">
        <v>318</v>
      </c>
      <c r="G42" s="1022" t="s">
        <v>379</v>
      </c>
      <c r="H42" s="339" t="s">
        <v>316</v>
      </c>
      <c r="I42" s="476"/>
      <c r="J42" s="476"/>
      <c r="K42" s="469"/>
      <c r="L42" s="476"/>
      <c r="M42" s="79">
        <v>1215000</v>
      </c>
      <c r="N42" s="79"/>
      <c r="O42" s="340" t="s">
        <v>981</v>
      </c>
      <c r="P42" s="340" t="s">
        <v>97</v>
      </c>
      <c r="Q42" s="66" t="str">
        <f>IF(AND('331-CT'!$E$7=TH!H42,OR(O42="331",P42="331")),"x","")</f>
        <v/>
      </c>
      <c r="R42" s="66" t="str">
        <f>IF(AND($B42&gt;='111'!$N$11,$B42&lt;='111'!$O$11,OR($O42=$R$7,$P42=$R$7)),"x","")</f>
        <v/>
      </c>
      <c r="S42" s="66" t="str">
        <f>IF(AND($O42=$R$7,$B42&lt;'111'!$N$11),"x","")</f>
        <v/>
      </c>
      <c r="T42" s="66" t="str">
        <f>IF(AND($P42=$R$7,$B42&lt;'111'!$N$11),"x","")</f>
        <v>x</v>
      </c>
      <c r="U42" s="66" t="str">
        <f>IF(AND($B42&gt;='112'!$M$9,$B42&lt;='112'!$N$9,OR($O42='112'!$I$6,$P42='112'!$I$6)),"x","")</f>
        <v/>
      </c>
      <c r="V42" s="66" t="str">
        <f>IF(AND($O42='112'!$I$6,$B42&lt;'112'!$M$9),"x","")</f>
        <v/>
      </c>
      <c r="W42" s="66" t="str">
        <f>IF(AND($P42='112'!$I$6,$B42&lt;'112'!$M$9),"x","")</f>
        <v/>
      </c>
      <c r="X42" s="66" t="str">
        <f>IF(AND('131-CT'!$H$9=TH!H42,OR(O42="131",P42="131")),"x","")</f>
        <v/>
      </c>
      <c r="Y42" s="80" t="str">
        <f>IF(AND($B42&gt;='1331'!$I$9,$B42&lt;='1331'!$J$9,OR($O42=$Y$7,$P42=$Y$7)),"x","")</f>
        <v/>
      </c>
      <c r="Z42" s="80" t="str">
        <f>IF(AND($O42=$Y$7,$B42&lt;'1331'!$I$9),"x","")</f>
        <v/>
      </c>
      <c r="AA42" s="80" t="str">
        <f>IF(AND($P42=$Y$7,$B42&lt;'1331'!$I$9),"x","")</f>
        <v/>
      </c>
      <c r="AB42" s="80" t="str">
        <f>IF(AND($B42&gt;='1332'!$I$9,$B42&lt;='1332'!$I$9,OR($O42=$AB$7,$P42=$AB$7)),"x","")</f>
        <v/>
      </c>
      <c r="AC42" s="80" t="str">
        <f>IF(AND($O42=$AB$7,$B42&lt;'1332'!$I$9),"x","")</f>
        <v>x</v>
      </c>
      <c r="AD42" s="80" t="str">
        <f>IF(AND($P42=$AB$7,$B42&lt;'1332'!$I$9),"x","")</f>
        <v/>
      </c>
      <c r="AE42" s="80" t="str">
        <f>IF(AND('341-CT'!$H$9=H42,OR(LEFT(O42,3)=$AE$7,LEFT(P42,3)=$AE$7)),"x","")</f>
        <v/>
      </c>
      <c r="AF42" s="80" t="str">
        <f>IF(OR(TH!O42=TH!$AF$7,P42=TH!$AF$7),"x","")</f>
        <v/>
      </c>
      <c r="AG42" s="80"/>
      <c r="AH42" s="80" t="str">
        <f>IF(AND(B42&gt;='IN-NX'!$P$3,B42&lt;='IN-NX'!$Q$3,'IN-NX'!$D$7=D42,OR(LEFT(L42,2)="15",AND(LEFT(M42,2)&lt;&gt;"15",LEFT(M42,2)&lt;&gt;"33"))),"x","")</f>
        <v/>
      </c>
      <c r="AI42" s="80" t="str">
        <f>IF(AND(OR(LEFT(TH!O42,2)="15",LEFT(TH!P42,2)="15"),'152-CT'!$J$8=TH!F42),"x","")</f>
        <v/>
      </c>
      <c r="AJ42" s="80" t="str">
        <f>IF(AND(OR(LEFT(TH!O42,2)="15",LEFT(TH!P42,2)="15"),'THE KHO'!$E$7=TH!F42),"x","")</f>
        <v/>
      </c>
      <c r="AK42" s="80" t="str">
        <f>IF(AND(O42="1521",MONTH(C42)='BK NL'!$M$11),"x","")</f>
        <v/>
      </c>
      <c r="AM42" s="1007">
        <v>2</v>
      </c>
    </row>
    <row r="43" spans="1:39" s="1007" customFormat="1" ht="15.75" customHeight="1">
      <c r="A43" s="362" t="str">
        <f>IF(B43&lt;&gt;"",IF(AND(B43&gt;=_TM1,B43&lt;=_TM2,OR(TH!O43="1111",TH!P43="1111")),TH!D43,""),"")</f>
        <v/>
      </c>
      <c r="B43" s="63">
        <f t="shared" si="3"/>
        <v>1</v>
      </c>
      <c r="C43" s="337">
        <v>42381</v>
      </c>
      <c r="D43" s="337" t="s">
        <v>64</v>
      </c>
      <c r="E43" s="337">
        <v>42381</v>
      </c>
      <c r="F43" s="338" t="s">
        <v>380</v>
      </c>
      <c r="G43" s="1022" t="s">
        <v>381</v>
      </c>
      <c r="H43" s="339" t="s">
        <v>382</v>
      </c>
      <c r="I43" s="476"/>
      <c r="J43" s="476"/>
      <c r="K43" s="469"/>
      <c r="L43" s="476"/>
      <c r="M43" s="65">
        <v>800000</v>
      </c>
      <c r="N43" s="65"/>
      <c r="O43" s="340" t="s">
        <v>242</v>
      </c>
      <c r="P43" s="340" t="s">
        <v>97</v>
      </c>
      <c r="Q43" s="66" t="str">
        <f>IF(AND('331-CT'!$E$7=TH!H43,OR(O43="331",P43="331")),"x","")</f>
        <v/>
      </c>
      <c r="R43" s="66" t="str">
        <f>IF(AND($B43&gt;='111'!$N$11,$B43&lt;='111'!$O$11,OR($O43=$R$7,$P43=$R$7)),"x","")</f>
        <v/>
      </c>
      <c r="S43" s="66" t="str">
        <f>IF(AND($O43=$R$7,$B43&lt;'111'!$N$11),"x","")</f>
        <v/>
      </c>
      <c r="T43" s="66" t="str">
        <f>IF(AND($P43=$R$7,$B43&lt;'111'!$N$11),"x","")</f>
        <v>x</v>
      </c>
      <c r="U43" s="66" t="str">
        <f>IF(AND($B43&gt;='112'!$M$9,$B43&lt;='112'!$N$9,OR($O43='112'!$I$6,$P43='112'!$I$6)),"x","")</f>
        <v/>
      </c>
      <c r="V43" s="66" t="str">
        <f>IF(AND($O43='112'!$I$6,$B43&lt;'112'!$M$9),"x","")</f>
        <v/>
      </c>
      <c r="W43" s="66" t="str">
        <f>IF(AND($P43='112'!$I$6,$B43&lt;'112'!$M$9),"x","")</f>
        <v/>
      </c>
      <c r="X43" s="66" t="str">
        <f>IF(AND('131-CT'!$H$9=TH!H43,OR(O43="131",P43="131")),"x","")</f>
        <v/>
      </c>
      <c r="Y43" s="80" t="str">
        <f>IF(AND($B43&gt;='1331'!$I$9,$B43&lt;='1331'!$J$9,OR($O43=$Y$7,$P43=$Y$7)),"x","")</f>
        <v/>
      </c>
      <c r="Z43" s="80" t="str">
        <f>IF(AND($O43=$Y$7,$B43&lt;'1331'!$I$9),"x","")</f>
        <v/>
      </c>
      <c r="AA43" s="80" t="str">
        <f>IF(AND($P43=$Y$7,$B43&lt;'1331'!$I$9),"x","")</f>
        <v/>
      </c>
      <c r="AB43" s="80" t="str">
        <f>IF(AND($B43&gt;='1332'!$I$9,$B43&lt;='1332'!$I$9,OR($O43=$AB$7,$P43=$AB$7)),"x","")</f>
        <v/>
      </c>
      <c r="AC43" s="80" t="str">
        <f>IF(AND($O43=$AB$7,$B43&lt;'1332'!$I$9),"x","")</f>
        <v/>
      </c>
      <c r="AD43" s="80" t="str">
        <f>IF(AND($P43=$AB$7,$B43&lt;'1332'!$I$9),"x","")</f>
        <v/>
      </c>
      <c r="AE43" s="80" t="str">
        <f>IF(AND('341-CT'!$H$9=H43,OR(LEFT(O43,3)=$AE$7,LEFT(P43,3)=$AE$7)),"x","")</f>
        <v/>
      </c>
      <c r="AF43" s="80" t="str">
        <f>IF(OR(TH!O43=TH!$AF$7,P43=TH!$AF$7),"x","")</f>
        <v/>
      </c>
      <c r="AG43" s="80"/>
      <c r="AH43" s="80" t="str">
        <f>IF(AND(B43&gt;='IN-NX'!$P$3,B43&lt;='IN-NX'!$Q$3,'IN-NX'!$D$7=D43,OR(LEFT(L43,2)="15",AND(LEFT(M43,2)&lt;&gt;"15",LEFT(M43,2)&lt;&gt;"33"))),"x","")</f>
        <v/>
      </c>
      <c r="AI43" s="80" t="str">
        <f>IF(AND(OR(LEFT(TH!O43,2)="15",LEFT(TH!P43,2)="15"),'152-CT'!$J$8=TH!F43),"x","")</f>
        <v/>
      </c>
      <c r="AJ43" s="80" t="str">
        <f>IF(AND(OR(LEFT(TH!O43,2)="15",LEFT(TH!P43,2)="15"),'THE KHO'!$E$7=TH!F43),"x","")</f>
        <v/>
      </c>
      <c r="AK43" s="80" t="str">
        <f>IF(AND(O43="1521",MONTH(C43)='BK NL'!$M$11),"x","")</f>
        <v/>
      </c>
      <c r="AM43" s="1007">
        <v>1</v>
      </c>
    </row>
    <row r="44" spans="1:39" s="1007" customFormat="1" ht="15.75" customHeight="1">
      <c r="A44" s="362" t="str">
        <f>IF(B44&lt;&gt;"",IF(AND(B44&gt;=_TM1,B44&lt;=_TM2,OR(TH!O44="1111",TH!P44="1111")),TH!D44,""),"")</f>
        <v/>
      </c>
      <c r="B44" s="63">
        <f t="shared" si="3"/>
        <v>1</v>
      </c>
      <c r="C44" s="337">
        <v>42381</v>
      </c>
      <c r="D44" s="337" t="s">
        <v>8</v>
      </c>
      <c r="E44" s="337">
        <v>42381</v>
      </c>
      <c r="F44" s="338" t="s">
        <v>163</v>
      </c>
      <c r="G44" s="1022" t="s">
        <v>798</v>
      </c>
      <c r="H44" s="339" t="s">
        <v>67</v>
      </c>
      <c r="I44" s="476"/>
      <c r="J44" s="476"/>
      <c r="K44" s="469"/>
      <c r="L44" s="476"/>
      <c r="M44" s="65">
        <v>500000000</v>
      </c>
      <c r="N44" s="65"/>
      <c r="O44" s="340" t="s">
        <v>9</v>
      </c>
      <c r="P44" s="340" t="s">
        <v>31</v>
      </c>
      <c r="Q44" s="66" t="str">
        <f>IF(AND('331-CT'!$E$7=TH!H44,OR(O44="331",P44="331")),"x","")</f>
        <v>x</v>
      </c>
      <c r="R44" s="66" t="str">
        <f>IF(AND($B44&gt;='111'!$N$11,$B44&lt;='111'!$O$11,OR($O44=$R$7,$P44=$R$7)),"x","")</f>
        <v/>
      </c>
      <c r="S44" s="66" t="str">
        <f>IF(AND($O44=$R$7,$B44&lt;'111'!$N$11),"x","")</f>
        <v/>
      </c>
      <c r="T44" s="66" t="str">
        <f>IF(AND($P44=$R$7,$B44&lt;'111'!$N$11),"x","")</f>
        <v/>
      </c>
      <c r="U44" s="66" t="str">
        <f>IF(AND($B44&gt;='112'!$M$9,$B44&lt;='112'!$N$9,OR($O44='112'!$I$6,$P44='112'!$I$6)),"x","")</f>
        <v/>
      </c>
      <c r="V44" s="66" t="str">
        <f>IF(AND($O44='112'!$I$6,$B44&lt;'112'!$M$9),"x","")</f>
        <v/>
      </c>
      <c r="W44" s="66" t="str">
        <f>IF(AND($P44='112'!$I$6,$B44&lt;'112'!$M$9),"x","")</f>
        <v>x</v>
      </c>
      <c r="X44" s="66" t="str">
        <f>IF(AND('131-CT'!$H$9=TH!H44,OR(O44="131",P44="131")),"x","")</f>
        <v/>
      </c>
      <c r="Y44" s="80" t="str">
        <f>IF(AND($B44&gt;='1331'!$I$9,$B44&lt;='1331'!$J$9,OR($O44=$Y$7,$P44=$Y$7)),"x","")</f>
        <v/>
      </c>
      <c r="Z44" s="80" t="str">
        <f>IF(AND($O44=$Y$7,$B44&lt;'1331'!$I$9),"x","")</f>
        <v/>
      </c>
      <c r="AA44" s="80" t="str">
        <f>IF(AND($P44=$Y$7,$B44&lt;'1331'!$I$9),"x","")</f>
        <v/>
      </c>
      <c r="AB44" s="80" t="str">
        <f>IF(AND($B44&gt;='1332'!$I$9,$B44&lt;='1332'!$I$9,OR($O44=$AB$7,$P44=$AB$7)),"x","")</f>
        <v/>
      </c>
      <c r="AC44" s="80" t="str">
        <f>IF(AND($O44=$AB$7,$B44&lt;'1332'!$I$9),"x","")</f>
        <v/>
      </c>
      <c r="AD44" s="80" t="str">
        <f>IF(AND($P44=$AB$7,$B44&lt;'1332'!$I$9),"x","")</f>
        <v/>
      </c>
      <c r="AE44" s="80" t="str">
        <f>IF(AND('341-CT'!$H$9=H44,OR(LEFT(O44,3)=$AE$7,LEFT(P44,3)=$AE$7)),"x","")</f>
        <v/>
      </c>
      <c r="AF44" s="80" t="str">
        <f>IF(OR(TH!O44=TH!$AF$7,P44=TH!$AF$7),"x","")</f>
        <v/>
      </c>
      <c r="AG44" s="80"/>
      <c r="AH44" s="80" t="str">
        <f>IF(AND(B44&gt;='IN-NX'!$P$3,B44&lt;='IN-NX'!$Q$3,'IN-NX'!$D$7=D44,OR(LEFT(L44,2)="15",AND(LEFT(M44,2)&lt;&gt;"15",LEFT(M44,2)&lt;&gt;"33"))),"x","")</f>
        <v/>
      </c>
      <c r="AI44" s="80" t="str">
        <f>IF(AND(OR(LEFT(TH!O44,2)="15",LEFT(TH!P44,2)="15"),'152-CT'!$J$8=TH!F44),"x","")</f>
        <v/>
      </c>
      <c r="AJ44" s="80" t="str">
        <f>IF(AND(OR(LEFT(TH!O44,2)="15",LEFT(TH!P44,2)="15"),'THE KHO'!$E$7=TH!F44),"x","")</f>
        <v/>
      </c>
      <c r="AK44" s="80" t="str">
        <f>IF(AND(O44="1521",MONTH(C44)='BK NL'!$M$11),"x","")</f>
        <v/>
      </c>
      <c r="AM44" s="1007">
        <v>1</v>
      </c>
    </row>
    <row r="45" spans="1:39" s="1007" customFormat="1" ht="15.75" customHeight="1">
      <c r="A45" s="362" t="str">
        <f>IF(B45&lt;&gt;"",IF(AND(B45&gt;=_TM1,B45&lt;=_TM2,OR(TH!O45="1111",TH!P45="1111")),TH!D45,""),"")</f>
        <v/>
      </c>
      <c r="B45" s="63">
        <f t="shared" si="3"/>
        <v>1</v>
      </c>
      <c r="C45" s="337">
        <v>42381</v>
      </c>
      <c r="D45" s="337" t="s">
        <v>8</v>
      </c>
      <c r="E45" s="337">
        <v>42381</v>
      </c>
      <c r="F45" s="338" t="s">
        <v>163</v>
      </c>
      <c r="G45" s="1022" t="s">
        <v>798</v>
      </c>
      <c r="H45" s="339" t="s">
        <v>69</v>
      </c>
      <c r="I45" s="476"/>
      <c r="J45" s="476"/>
      <c r="K45" s="469"/>
      <c r="L45" s="476"/>
      <c r="M45" s="65">
        <v>200000000</v>
      </c>
      <c r="N45" s="65"/>
      <c r="O45" s="340" t="s">
        <v>9</v>
      </c>
      <c r="P45" s="340" t="s">
        <v>31</v>
      </c>
      <c r="Q45" s="66" t="str">
        <f>IF(AND('331-CT'!$E$7=TH!H45,OR(O45="331",P45="331")),"x","")</f>
        <v/>
      </c>
      <c r="R45" s="66" t="str">
        <f>IF(AND($B45&gt;='111'!$N$11,$B45&lt;='111'!$O$11,OR($O45=$R$7,$P45=$R$7)),"x","")</f>
        <v/>
      </c>
      <c r="S45" s="66" t="str">
        <f>IF(AND($O45=$R$7,$B45&lt;'111'!$N$11),"x","")</f>
        <v/>
      </c>
      <c r="T45" s="66" t="str">
        <f>IF(AND($P45=$R$7,$B45&lt;'111'!$N$11),"x","")</f>
        <v/>
      </c>
      <c r="U45" s="66" t="str">
        <f>IF(AND($B45&gt;='112'!$M$9,$B45&lt;='112'!$N$9,OR($O45='112'!$I$6,$P45='112'!$I$6)),"x","")</f>
        <v/>
      </c>
      <c r="V45" s="66" t="str">
        <f>IF(AND($O45='112'!$I$6,$B45&lt;'112'!$M$9),"x","")</f>
        <v/>
      </c>
      <c r="W45" s="66" t="str">
        <f>IF(AND($P45='112'!$I$6,$B45&lt;'112'!$M$9),"x","")</f>
        <v>x</v>
      </c>
      <c r="X45" s="66" t="str">
        <f>IF(AND('131-CT'!$H$9=TH!H45,OR(O45="131",P45="131")),"x","")</f>
        <v/>
      </c>
      <c r="Y45" s="80" t="str">
        <f>IF(AND($B45&gt;='1331'!$I$9,$B45&lt;='1331'!$J$9,OR($O45=$Y$7,$P45=$Y$7)),"x","")</f>
        <v/>
      </c>
      <c r="Z45" s="80" t="str">
        <f>IF(AND($O45=$Y$7,$B45&lt;'1331'!$I$9),"x","")</f>
        <v/>
      </c>
      <c r="AA45" s="80" t="str">
        <f>IF(AND($P45=$Y$7,$B45&lt;'1331'!$I$9),"x","")</f>
        <v/>
      </c>
      <c r="AB45" s="80" t="str">
        <f>IF(AND($B45&gt;='1332'!$I$9,$B45&lt;='1332'!$I$9,OR($O45=$AB$7,$P45=$AB$7)),"x","")</f>
        <v/>
      </c>
      <c r="AC45" s="80" t="str">
        <f>IF(AND($O45=$AB$7,$B45&lt;'1332'!$I$9),"x","")</f>
        <v/>
      </c>
      <c r="AD45" s="80" t="str">
        <f>IF(AND($P45=$AB$7,$B45&lt;'1332'!$I$9),"x","")</f>
        <v/>
      </c>
      <c r="AE45" s="80" t="str">
        <f>IF(AND('341-CT'!$H$9=H45,OR(LEFT(O45,3)=$AE$7,LEFT(P45,3)=$AE$7)),"x","")</f>
        <v/>
      </c>
      <c r="AF45" s="80" t="str">
        <f>IF(OR(TH!O45=TH!$AF$7,P45=TH!$AF$7),"x","")</f>
        <v/>
      </c>
      <c r="AG45" s="80"/>
      <c r="AH45" s="80" t="str">
        <f>IF(AND(B45&gt;='IN-NX'!$P$3,B45&lt;='IN-NX'!$Q$3,'IN-NX'!$D$7=D45,OR(LEFT(L45,2)="15",AND(LEFT(M45,2)&lt;&gt;"15",LEFT(M45,2)&lt;&gt;"33"))),"x","")</f>
        <v/>
      </c>
      <c r="AI45" s="80" t="str">
        <f>IF(AND(OR(LEFT(TH!O45,2)="15",LEFT(TH!P45,2)="15"),'152-CT'!$J$8=TH!F45),"x","")</f>
        <v/>
      </c>
      <c r="AJ45" s="80" t="str">
        <f>IF(AND(OR(LEFT(TH!O45,2)="15",LEFT(TH!P45,2)="15"),'THE KHO'!$E$7=TH!F45),"x","")</f>
        <v/>
      </c>
      <c r="AK45" s="80" t="str">
        <f>IF(AND(O45="1521",MONTH(C45)='BK NL'!$M$11),"x","")</f>
        <v/>
      </c>
      <c r="AM45" s="1007">
        <v>1</v>
      </c>
    </row>
    <row r="46" spans="1:39" s="1007" customFormat="1" ht="15.75" customHeight="1">
      <c r="A46" s="362" t="str">
        <f>IF(B46&lt;&gt;"",IF(AND(B46&gt;=_TM1,B46&lt;=_TM2,OR(TH!O46="1111",TH!P46="1111")),TH!D46,""),"")</f>
        <v/>
      </c>
      <c r="B46" s="63">
        <f t="shared" si="3"/>
        <v>1</v>
      </c>
      <c r="C46" s="367">
        <v>42381</v>
      </c>
      <c r="D46" s="337" t="s">
        <v>8</v>
      </c>
      <c r="E46" s="337">
        <v>42381</v>
      </c>
      <c r="F46" s="338" t="s">
        <v>22</v>
      </c>
      <c r="G46" s="1022" t="s">
        <v>798</v>
      </c>
      <c r="H46" s="339"/>
      <c r="I46" s="476"/>
      <c r="J46" s="476"/>
      <c r="K46" s="469"/>
      <c r="L46" s="476"/>
      <c r="M46" s="65">
        <v>60000</v>
      </c>
      <c r="N46" s="65"/>
      <c r="O46" s="340" t="s">
        <v>135</v>
      </c>
      <c r="P46" s="340" t="s">
        <v>31</v>
      </c>
      <c r="Q46" s="66" t="str">
        <f>IF(AND('331-CT'!$E$7=TH!H46,OR(O46="331",P46="331")),"x","")</f>
        <v/>
      </c>
      <c r="R46" s="66" t="str">
        <f>IF(AND($B46&gt;='111'!$N$11,$B46&lt;='111'!$O$11,OR($O46=$R$7,$P46=$R$7)),"x","")</f>
        <v/>
      </c>
      <c r="S46" s="66" t="str">
        <f>IF(AND($O46=$R$7,$B46&lt;'111'!$N$11),"x","")</f>
        <v/>
      </c>
      <c r="T46" s="66" t="str">
        <f>IF(AND($P46=$R$7,$B46&lt;'111'!$N$11),"x","")</f>
        <v/>
      </c>
      <c r="U46" s="66" t="str">
        <f>IF(AND($B46&gt;='112'!$M$9,$B46&lt;='112'!$N$9,OR($O46='112'!$I$6,$P46='112'!$I$6)),"x","")</f>
        <v/>
      </c>
      <c r="V46" s="66" t="str">
        <f>IF(AND($O46='112'!$I$6,$B46&lt;'112'!$M$9),"x","")</f>
        <v/>
      </c>
      <c r="W46" s="66" t="str">
        <f>IF(AND($P46='112'!$I$6,$B46&lt;'112'!$M$9),"x","")</f>
        <v>x</v>
      </c>
      <c r="X46" s="66" t="str">
        <f>IF(AND('131-CT'!$H$9=TH!H46,OR(O46="131",P46="131")),"x","")</f>
        <v/>
      </c>
      <c r="Y46" s="80" t="str">
        <f>IF(AND($B46&gt;='1331'!$I$9,$B46&lt;='1331'!$J$9,OR($O46=$Y$7,$P46=$Y$7)),"x","")</f>
        <v/>
      </c>
      <c r="Z46" s="80" t="str">
        <f>IF(AND($O46=$Y$7,$B46&lt;'1331'!$I$9),"x","")</f>
        <v/>
      </c>
      <c r="AA46" s="80" t="str">
        <f>IF(AND($P46=$Y$7,$B46&lt;'1331'!$I$9),"x","")</f>
        <v/>
      </c>
      <c r="AB46" s="80" t="str">
        <f>IF(AND($B46&gt;='1332'!$I$9,$B46&lt;='1332'!$I$9,OR($O46=$AB$7,$P46=$AB$7)),"x","")</f>
        <v/>
      </c>
      <c r="AC46" s="80" t="str">
        <f>IF(AND($O46=$AB$7,$B46&lt;'1332'!$I$9),"x","")</f>
        <v/>
      </c>
      <c r="AD46" s="80" t="str">
        <f>IF(AND($P46=$AB$7,$B46&lt;'1332'!$I$9),"x","")</f>
        <v/>
      </c>
      <c r="AE46" s="80" t="str">
        <f>IF(AND('341-CT'!$H$9=H46,OR(LEFT(O46,3)=$AE$7,LEFT(P46,3)=$AE$7)),"x","")</f>
        <v/>
      </c>
      <c r="AF46" s="80" t="str">
        <f>IF(OR(TH!O46=TH!$AF$7,P46=TH!$AF$7),"x","")</f>
        <v/>
      </c>
      <c r="AG46" s="80"/>
      <c r="AH46" s="80" t="str">
        <f>IF(AND(B46&gt;='IN-NX'!$P$3,B46&lt;='IN-NX'!$Q$3,'IN-NX'!$D$7=D46,OR(LEFT(L46,2)="15",AND(LEFT(M46,2)&lt;&gt;"15",LEFT(M46,2)&lt;&gt;"33"))),"x","")</f>
        <v/>
      </c>
      <c r="AI46" s="80" t="str">
        <f>IF(AND(OR(LEFT(TH!O46,2)="15",LEFT(TH!P46,2)="15"),'152-CT'!$J$8=TH!F46),"x","")</f>
        <v/>
      </c>
      <c r="AJ46" s="80" t="str">
        <f>IF(AND(OR(LEFT(TH!O46,2)="15",LEFT(TH!P46,2)="15"),'THE KHO'!$E$7=TH!F46),"x","")</f>
        <v/>
      </c>
      <c r="AK46" s="80" t="str">
        <f>IF(AND(O46="1521",MONTH(C46)='BK NL'!$M$11),"x","")</f>
        <v/>
      </c>
      <c r="AM46" s="1007">
        <v>1</v>
      </c>
    </row>
    <row r="47" spans="1:39" s="1007" customFormat="1" ht="15.75" customHeight="1">
      <c r="A47" s="362" t="str">
        <f>IF(B47&lt;&gt;"",IF(AND(B47&gt;=_TM1,B47&lt;=_TM2,OR(TH!O47="1111",TH!P47="1111")),TH!D47,""),"")</f>
        <v/>
      </c>
      <c r="B47" s="63">
        <f>IF(C47&lt;&gt;"",MONTH(C47),"")</f>
        <v>1</v>
      </c>
      <c r="C47" s="337">
        <v>42381</v>
      </c>
      <c r="D47" s="337" t="s">
        <v>8</v>
      </c>
      <c r="E47" s="337">
        <v>42381</v>
      </c>
      <c r="F47" s="338" t="s">
        <v>23</v>
      </c>
      <c r="G47" s="1022" t="s">
        <v>798</v>
      </c>
      <c r="H47" s="339"/>
      <c r="I47" s="476"/>
      <c r="J47" s="476"/>
      <c r="K47" s="469"/>
      <c r="L47" s="476"/>
      <c r="M47" s="88">
        <v>6000</v>
      </c>
      <c r="N47" s="88"/>
      <c r="O47" s="340" t="s">
        <v>10</v>
      </c>
      <c r="P47" s="340" t="s">
        <v>31</v>
      </c>
      <c r="Q47" s="66" t="str">
        <f>IF(AND('331-CT'!$E$7=TH!H47,OR(O47="331",P47="331")),"x","")</f>
        <v/>
      </c>
      <c r="R47" s="66" t="str">
        <f>IF(AND($B47&gt;='111'!$N$11,$B47&lt;='111'!$O$11,OR($O47=$R$7,$P47=$R$7)),"x","")</f>
        <v/>
      </c>
      <c r="S47" s="66" t="str">
        <f>IF(AND($O47=$R$7,$B47&lt;'111'!$N$11),"x","")</f>
        <v/>
      </c>
      <c r="T47" s="66" t="str">
        <f>IF(AND($P47=$R$7,$B47&lt;'111'!$N$11),"x","")</f>
        <v/>
      </c>
      <c r="U47" s="66" t="str">
        <f>IF(AND($B47&gt;='112'!$M$9,$B47&lt;='112'!$N$9,OR($O47='112'!$I$6,$P47='112'!$I$6)),"x","")</f>
        <v/>
      </c>
      <c r="V47" s="66" t="str">
        <f>IF(AND($O47='112'!$I$6,$B47&lt;'112'!$M$9),"x","")</f>
        <v/>
      </c>
      <c r="W47" s="66" t="str">
        <f>IF(AND($P47='112'!$I$6,$B47&lt;'112'!$M$9),"x","")</f>
        <v>x</v>
      </c>
      <c r="X47" s="66" t="str">
        <f>IF(AND('131-CT'!$H$9=TH!H47,OR(O47="131",P47="131")),"x","")</f>
        <v/>
      </c>
      <c r="Y47" s="80" t="str">
        <f>IF(AND($B47&gt;='1331'!$I$9,$B47&lt;='1331'!$J$9,OR($O47=$Y$7,$P47=$Y$7)),"x","")</f>
        <v/>
      </c>
      <c r="Z47" s="80" t="str">
        <f>IF(AND($O47=$Y$7,$B47&lt;'1331'!$I$9),"x","")</f>
        <v>x</v>
      </c>
      <c r="AA47" s="80" t="str">
        <f>IF(AND($P47=$Y$7,$B47&lt;'1331'!$I$9),"x","")</f>
        <v/>
      </c>
      <c r="AB47" s="80" t="str">
        <f>IF(AND($B47&gt;='1332'!$I$9,$B47&lt;='1332'!$I$9,OR($O47=$AB$7,$P47=$AB$7)),"x","")</f>
        <v/>
      </c>
      <c r="AC47" s="80" t="str">
        <f>IF(AND($O47=$AB$7,$B47&lt;'1332'!$I$9),"x","")</f>
        <v/>
      </c>
      <c r="AD47" s="80" t="str">
        <f>IF(AND($P47=$AB$7,$B47&lt;'1332'!$I$9),"x","")</f>
        <v/>
      </c>
      <c r="AE47" s="80" t="str">
        <f>IF(AND('341-CT'!$H$9=H47,OR(LEFT(O47,3)=$AE$7,LEFT(P47,3)=$AE$7)),"x","")</f>
        <v/>
      </c>
      <c r="AF47" s="80" t="str">
        <f>IF(OR(TH!O47=TH!$AF$7,P47=TH!$AF$7),"x","")</f>
        <v/>
      </c>
      <c r="AG47" s="80"/>
      <c r="AH47" s="80" t="str">
        <f>IF(AND(B47&gt;='IN-NX'!$P$3,B47&lt;='IN-NX'!$Q$3,'IN-NX'!$D$7=D47,OR(LEFT(L47,2)="15",AND(LEFT(M47,2)&lt;&gt;"15",LEFT(M47,2)&lt;&gt;"33"))),"x","")</f>
        <v/>
      </c>
      <c r="AI47" s="80" t="str">
        <f>IF(AND(OR(LEFT(TH!O47,2)="15",LEFT(TH!P47,2)="15"),'152-CT'!$J$8=TH!F47),"x","")</f>
        <v/>
      </c>
      <c r="AJ47" s="80" t="str">
        <f>IF(AND(OR(LEFT(TH!O47,2)="15",LEFT(TH!P47,2)="15"),'THE KHO'!$E$7=TH!F47),"x","")</f>
        <v/>
      </c>
      <c r="AK47" s="80" t="str">
        <f>IF(AND(O47="1521",MONTH(C47)='BK NL'!$M$11),"x","")</f>
        <v/>
      </c>
      <c r="AM47" s="1007">
        <v>1</v>
      </c>
    </row>
    <row r="48" spans="1:39" s="1007" customFormat="1" ht="15.75" customHeight="1">
      <c r="A48" s="362" t="str">
        <f>IF(B48&lt;&gt;"",IF(AND(B48&gt;=_TM1,B48&lt;=_TM2,OR(TH!O48="1111",TH!P48="1111")),TH!D48,""),"")</f>
        <v/>
      </c>
      <c r="B48" s="63">
        <f>IF(C48&lt;&gt;"",MONTH(C48),"")</f>
        <v>1</v>
      </c>
      <c r="C48" s="337">
        <v>42383</v>
      </c>
      <c r="D48" s="337" t="s">
        <v>8</v>
      </c>
      <c r="E48" s="337">
        <v>42383</v>
      </c>
      <c r="F48" s="338" t="s">
        <v>386</v>
      </c>
      <c r="G48" s="1022" t="s">
        <v>798</v>
      </c>
      <c r="H48" s="339"/>
      <c r="I48" s="476"/>
      <c r="J48" s="476"/>
      <c r="K48" s="469"/>
      <c r="L48" s="476"/>
      <c r="M48" s="65">
        <v>1500000</v>
      </c>
      <c r="N48" s="65"/>
      <c r="O48" s="340" t="s">
        <v>113</v>
      </c>
      <c r="P48" s="340" t="s">
        <v>31</v>
      </c>
      <c r="Q48" s="66" t="str">
        <f>IF(AND('331-CT'!$E$7=TH!H48,OR(O48="331",P48="331")),"x","")</f>
        <v/>
      </c>
      <c r="R48" s="66" t="str">
        <f>IF(AND($B48&gt;='111'!$N$11,$B48&lt;='111'!$O$11,OR($O48=$R$7,$P48=$R$7)),"x","")</f>
        <v/>
      </c>
      <c r="S48" s="66" t="str">
        <f>IF(AND($O48=$R$7,$B48&lt;'111'!$N$11),"x","")</f>
        <v/>
      </c>
      <c r="T48" s="66" t="str">
        <f>IF(AND($P48=$R$7,$B48&lt;'111'!$N$11),"x","")</f>
        <v/>
      </c>
      <c r="U48" s="66" t="str">
        <f>IF(AND($B48&gt;='112'!$M$9,$B48&lt;='112'!$N$9,OR($O48='112'!$I$6,$P48='112'!$I$6)),"x","")</f>
        <v/>
      </c>
      <c r="V48" s="66" t="str">
        <f>IF(AND($O48='112'!$I$6,$B48&lt;'112'!$M$9),"x","")</f>
        <v/>
      </c>
      <c r="W48" s="66" t="str">
        <f>IF(AND($P48='112'!$I$6,$B48&lt;'112'!$M$9),"x","")</f>
        <v>x</v>
      </c>
      <c r="X48" s="66" t="str">
        <f>IF(AND('131-CT'!$H$9=TH!H48,OR(O48="131",P48="131")),"x","")</f>
        <v/>
      </c>
      <c r="Y48" s="80" t="str">
        <f>IF(AND($B48&gt;='1331'!$I$9,$B48&lt;='1331'!$J$9,OR($O48=$Y$7,$P48=$Y$7)),"x","")</f>
        <v/>
      </c>
      <c r="Z48" s="80" t="str">
        <f>IF(AND($O48=$Y$7,$B48&lt;'1331'!$I$9),"x","")</f>
        <v/>
      </c>
      <c r="AA48" s="80" t="str">
        <f>IF(AND($P48=$Y$7,$B48&lt;'1331'!$I$9),"x","")</f>
        <v/>
      </c>
      <c r="AB48" s="80" t="str">
        <f>IF(AND($B48&gt;='1332'!$I$9,$B48&lt;='1332'!$I$9,OR($O48=$AB$7,$P48=$AB$7)),"x","")</f>
        <v/>
      </c>
      <c r="AC48" s="80" t="str">
        <f>IF(AND($O48=$AB$7,$B48&lt;'1332'!$I$9),"x","")</f>
        <v/>
      </c>
      <c r="AD48" s="80" t="str">
        <f>IF(AND($P48=$AB$7,$B48&lt;'1332'!$I$9),"x","")</f>
        <v/>
      </c>
      <c r="AE48" s="80" t="str">
        <f>IF(AND('341-CT'!$H$9=H48,OR(LEFT(O48,3)=$AE$7,LEFT(P48,3)=$AE$7)),"x","")</f>
        <v/>
      </c>
      <c r="AF48" s="80" t="str">
        <f>IF(OR(TH!O48=TH!$AF$7,P48=TH!$AF$7),"x","")</f>
        <v/>
      </c>
      <c r="AG48" s="80"/>
      <c r="AH48" s="80" t="str">
        <f>IF(AND(B48&gt;='IN-NX'!$P$3,B48&lt;='IN-NX'!$Q$3,'IN-NX'!$D$7=D48,OR(LEFT(L48,2)="15",AND(LEFT(M48,2)&lt;&gt;"15",LEFT(M48,2)&lt;&gt;"33"))),"x","")</f>
        <v/>
      </c>
      <c r="AI48" s="80" t="str">
        <f>IF(AND(OR(LEFT(TH!O48,2)="15",LEFT(TH!P48,2)="15"),'152-CT'!$J$8=TH!F48),"x","")</f>
        <v/>
      </c>
      <c r="AJ48" s="80" t="str">
        <f>IF(AND(OR(LEFT(TH!O48,2)="15",LEFT(TH!P48,2)="15"),'THE KHO'!$E$7=TH!F48),"x","")</f>
        <v/>
      </c>
      <c r="AK48" s="80" t="str">
        <f>IF(AND(O48="1521",MONTH(C48)='BK NL'!$M$11),"x","")</f>
        <v/>
      </c>
      <c r="AM48" s="1007">
        <v>1</v>
      </c>
    </row>
    <row r="49" spans="1:39" s="1007" customFormat="1" ht="15.75" customHeight="1">
      <c r="A49" s="362" t="str">
        <f>IF(B49&lt;&gt;"",IF(AND(B49&gt;=_TM1,B49&lt;=_TM2,OR(TH!O49="1111",TH!P49="1111")),TH!D49,""),"")</f>
        <v/>
      </c>
      <c r="B49" s="63">
        <f>IF(C49&lt;&gt;"",MONTH(C49),"")</f>
        <v>1</v>
      </c>
      <c r="C49" s="367">
        <v>42384</v>
      </c>
      <c r="D49" s="337" t="s">
        <v>65</v>
      </c>
      <c r="E49" s="337">
        <v>42384</v>
      </c>
      <c r="F49" s="338" t="s">
        <v>185</v>
      </c>
      <c r="G49" s="1022" t="s">
        <v>387</v>
      </c>
      <c r="H49" s="339" t="s">
        <v>319</v>
      </c>
      <c r="I49" s="476"/>
      <c r="J49" s="476"/>
      <c r="K49" s="469"/>
      <c r="L49" s="476"/>
      <c r="M49" s="65">
        <v>2010000</v>
      </c>
      <c r="N49" s="65"/>
      <c r="O49" s="340" t="s">
        <v>242</v>
      </c>
      <c r="P49" s="340" t="s">
        <v>97</v>
      </c>
      <c r="Q49" s="66" t="str">
        <f>IF(AND('331-CT'!$E$7=TH!H49,OR(O49="331",P49="331")),"x","")</f>
        <v/>
      </c>
      <c r="R49" s="66" t="str">
        <f>IF(AND($B49&gt;='111'!$N$11,$B49&lt;='111'!$O$11,OR($O49=$R$7,$P49=$R$7)),"x","")</f>
        <v/>
      </c>
      <c r="S49" s="66" t="str">
        <f>IF(AND($O49=$R$7,$B49&lt;'111'!$N$11),"x","")</f>
        <v/>
      </c>
      <c r="T49" s="66" t="str">
        <f>IF(AND($P49=$R$7,$B49&lt;'111'!$N$11),"x","")</f>
        <v>x</v>
      </c>
      <c r="U49" s="66" t="str">
        <f>IF(AND($B49&gt;='112'!$M$9,$B49&lt;='112'!$N$9,OR($O49='112'!$I$6,$P49='112'!$I$6)),"x","")</f>
        <v/>
      </c>
      <c r="V49" s="66" t="str">
        <f>IF(AND($O49='112'!$I$6,$B49&lt;'112'!$M$9),"x","")</f>
        <v/>
      </c>
      <c r="W49" s="66" t="str">
        <f>IF(AND($P49='112'!$I$6,$B49&lt;'112'!$M$9),"x","")</f>
        <v/>
      </c>
      <c r="X49" s="66" t="str">
        <f>IF(AND('131-CT'!$H$9=TH!H49,OR(O49="131",P49="131")),"x","")</f>
        <v/>
      </c>
      <c r="Y49" s="80" t="str">
        <f>IF(AND($B49&gt;='1331'!$I$9,$B49&lt;='1331'!$J$9,OR($O49=$Y$7,$P49=$Y$7)),"x","")</f>
        <v/>
      </c>
      <c r="Z49" s="80" t="str">
        <f>IF(AND($O49=$Y$7,$B49&lt;'1331'!$I$9),"x","")</f>
        <v/>
      </c>
      <c r="AA49" s="80" t="str">
        <f>IF(AND($P49=$Y$7,$B49&lt;'1331'!$I$9),"x","")</f>
        <v/>
      </c>
      <c r="AB49" s="80" t="str">
        <f>IF(AND($B49&gt;='1332'!$I$9,$B49&lt;='1332'!$I$9,OR($O49=$AB$7,$P49=$AB$7)),"x","")</f>
        <v/>
      </c>
      <c r="AC49" s="80" t="str">
        <f>IF(AND($O49=$AB$7,$B49&lt;'1332'!$I$9),"x","")</f>
        <v/>
      </c>
      <c r="AD49" s="80" t="str">
        <f>IF(AND($P49=$AB$7,$B49&lt;'1332'!$I$9),"x","")</f>
        <v/>
      </c>
      <c r="AE49" s="80" t="str">
        <f>IF(AND('341-CT'!$H$9=H49,OR(LEFT(O49,3)=$AE$7,LEFT(P49,3)=$AE$7)),"x","")</f>
        <v/>
      </c>
      <c r="AF49" s="80" t="str">
        <f>IF(OR(TH!O49=TH!$AF$7,P49=TH!$AF$7),"x","")</f>
        <v/>
      </c>
      <c r="AG49" s="80"/>
      <c r="AH49" s="80" t="str">
        <f>IF(AND(B49&gt;='IN-NX'!$P$3,B49&lt;='IN-NX'!$Q$3,'IN-NX'!$D$7=D49,OR(LEFT(L49,2)="15",AND(LEFT(M49,2)&lt;&gt;"15",LEFT(M49,2)&lt;&gt;"33"))),"x","")</f>
        <v/>
      </c>
      <c r="AI49" s="80" t="str">
        <f>IF(AND(OR(LEFT(TH!O49,2)="15",LEFT(TH!P49,2)="15"),'152-CT'!$J$8=TH!F49),"x","")</f>
        <v/>
      </c>
      <c r="AJ49" s="80" t="str">
        <f>IF(AND(OR(LEFT(TH!O49,2)="15",LEFT(TH!P49,2)="15"),'THE KHO'!$E$7=TH!F49),"x","")</f>
        <v/>
      </c>
      <c r="AK49" s="80" t="str">
        <f>IF(AND(O49="1521",MONTH(C49)='BK NL'!$M$11),"x","")</f>
        <v/>
      </c>
      <c r="AM49" s="1007">
        <v>1</v>
      </c>
    </row>
    <row r="50" spans="1:39" s="1007" customFormat="1" ht="15.75" customHeight="1">
      <c r="A50" s="362" t="str">
        <f>IF(B50&lt;&gt;"",IF(AND(B50&gt;=_TM1,B50&lt;=_TM2,OR(TH!O50="1111",TH!P50="1111")),TH!D50,""),"")</f>
        <v/>
      </c>
      <c r="B50" s="63">
        <f>IF(C50&lt;&gt;"",MONTH(C50),"")</f>
        <v>1</v>
      </c>
      <c r="C50" s="337">
        <v>42384</v>
      </c>
      <c r="D50" s="337" t="s">
        <v>11</v>
      </c>
      <c r="E50" s="337">
        <v>42384</v>
      </c>
      <c r="F50" s="338" t="s">
        <v>388</v>
      </c>
      <c r="G50" s="1022" t="s">
        <v>798</v>
      </c>
      <c r="H50" s="339" t="s">
        <v>160</v>
      </c>
      <c r="I50" s="476"/>
      <c r="J50" s="476"/>
      <c r="K50" s="469"/>
      <c r="L50" s="476"/>
      <c r="M50" s="65">
        <v>350000000</v>
      </c>
      <c r="N50" s="65"/>
      <c r="O50" s="340" t="s">
        <v>97</v>
      </c>
      <c r="P50" s="340" t="s">
        <v>31</v>
      </c>
      <c r="Q50" s="66" t="str">
        <f>IF(AND('331-CT'!$E$7=TH!H50,OR(O50="331",P50="331")),"x","")</f>
        <v/>
      </c>
      <c r="R50" s="66" t="str">
        <f>IF(AND($B50&gt;='111'!$N$11,$B50&lt;='111'!$O$11,OR($O50=$R$7,$P50=$R$7)),"x","")</f>
        <v/>
      </c>
      <c r="S50" s="66" t="str">
        <f>IF(AND($O50=$R$7,$B50&lt;'111'!$N$11),"x","")</f>
        <v>x</v>
      </c>
      <c r="T50" s="66" t="str">
        <f>IF(AND($P50=$R$7,$B50&lt;'111'!$N$11),"x","")</f>
        <v/>
      </c>
      <c r="U50" s="66" t="str">
        <f>IF(AND($B50&gt;='112'!$M$9,$B50&lt;='112'!$N$9,OR($O50='112'!$I$6,$P50='112'!$I$6)),"x","")</f>
        <v/>
      </c>
      <c r="V50" s="66" t="str">
        <f>IF(AND($O50='112'!$I$6,$B50&lt;'112'!$M$9),"x","")</f>
        <v/>
      </c>
      <c r="W50" s="66" t="str">
        <f>IF(AND($P50='112'!$I$6,$B50&lt;'112'!$M$9),"x","")</f>
        <v>x</v>
      </c>
      <c r="X50" s="66" t="str">
        <f>IF(AND('131-CT'!$H$9=TH!H50,OR(O50="131",P50="131")),"x","")</f>
        <v/>
      </c>
      <c r="Y50" s="80" t="str">
        <f>IF(AND($B50&gt;='1331'!$I$9,$B50&lt;='1331'!$J$9,OR($O50=$Y$7,$P50=$Y$7)),"x","")</f>
        <v/>
      </c>
      <c r="Z50" s="80" t="str">
        <f>IF(AND($O50=$Y$7,$B50&lt;'1331'!$I$9),"x","")</f>
        <v/>
      </c>
      <c r="AA50" s="80" t="str">
        <f>IF(AND($P50=$Y$7,$B50&lt;'1331'!$I$9),"x","")</f>
        <v/>
      </c>
      <c r="AB50" s="80" t="str">
        <f>IF(AND($B50&gt;='1332'!$I$9,$B50&lt;='1332'!$I$9,OR($O50=$AB$7,$P50=$AB$7)),"x","")</f>
        <v/>
      </c>
      <c r="AC50" s="80" t="str">
        <f>IF(AND($O50=$AB$7,$B50&lt;'1332'!$I$9),"x","")</f>
        <v/>
      </c>
      <c r="AD50" s="80" t="str">
        <f>IF(AND($P50=$AB$7,$B50&lt;'1332'!$I$9),"x","")</f>
        <v/>
      </c>
      <c r="AE50" s="80" t="str">
        <f>IF(AND('341-CT'!$H$9=H50,OR(LEFT(O50,3)=$AE$7,LEFT(P50,3)=$AE$7)),"x","")</f>
        <v/>
      </c>
      <c r="AF50" s="80" t="str">
        <f>IF(OR(TH!O50=TH!$AF$7,P50=TH!$AF$7),"x","")</f>
        <v/>
      </c>
      <c r="AG50" s="80"/>
      <c r="AH50" s="80" t="str">
        <f>IF(AND(B50&gt;='IN-NX'!$P$3,B50&lt;='IN-NX'!$Q$3,'IN-NX'!$D$7=D50,OR(LEFT(L50,2)="15",AND(LEFT(M50,2)&lt;&gt;"15",LEFT(M50,2)&lt;&gt;"33"))),"x","")</f>
        <v/>
      </c>
      <c r="AI50" s="80" t="str">
        <f>IF(AND(OR(LEFT(TH!O50,2)="15",LEFT(TH!P50,2)="15"),'152-CT'!$J$8=TH!F50),"x","")</f>
        <v/>
      </c>
      <c r="AJ50" s="80" t="str">
        <f>IF(AND(OR(LEFT(TH!O50,2)="15",LEFT(TH!P50,2)="15"),'THE KHO'!$E$7=TH!F50),"x","")</f>
        <v/>
      </c>
      <c r="AK50" s="80" t="str">
        <f>IF(AND(O50="1521",MONTH(C50)='BK NL'!$M$11),"x","")</f>
        <v/>
      </c>
      <c r="AM50" s="1007">
        <v>1</v>
      </c>
    </row>
    <row r="51" spans="1:39" s="1007" customFormat="1" ht="15.75" customHeight="1">
      <c r="A51" s="362" t="str">
        <f>IF(B51&lt;&gt;"",IF(AND(B51&gt;=_TM1,B51&lt;=_TM2,OR(TH!O51="1111",TH!P51="1111")),TH!D51,""),"")</f>
        <v/>
      </c>
      <c r="B51" s="63">
        <f t="shared" si="3"/>
        <v>1</v>
      </c>
      <c r="C51" s="337">
        <v>42385</v>
      </c>
      <c r="D51" s="337" t="s">
        <v>70</v>
      </c>
      <c r="E51" s="337">
        <v>42385</v>
      </c>
      <c r="F51" s="338" t="s">
        <v>389</v>
      </c>
      <c r="G51" s="1022" t="s">
        <v>217</v>
      </c>
      <c r="H51" s="339" t="s">
        <v>390</v>
      </c>
      <c r="I51" s="476"/>
      <c r="J51" s="476"/>
      <c r="K51" s="469"/>
      <c r="L51" s="476"/>
      <c r="M51" s="65">
        <v>12750000</v>
      </c>
      <c r="N51" s="65"/>
      <c r="O51" s="340" t="s">
        <v>242</v>
      </c>
      <c r="P51" s="340" t="s">
        <v>97</v>
      </c>
      <c r="Q51" s="66" t="str">
        <f>IF(AND('331-CT'!$E$7=TH!H51,OR(O51="331",P51="331")),"x","")</f>
        <v/>
      </c>
      <c r="R51" s="66" t="str">
        <f>IF(AND($B51&gt;='111'!$N$11,$B51&lt;='111'!$O$11,OR($O51=$R$7,$P51=$R$7)),"x","")</f>
        <v/>
      </c>
      <c r="S51" s="66" t="str">
        <f>IF(AND($O51=$R$7,$B51&lt;'111'!$N$11),"x","")</f>
        <v/>
      </c>
      <c r="T51" s="66" t="str">
        <f>IF(AND($P51=$R$7,$B51&lt;'111'!$N$11),"x","")</f>
        <v>x</v>
      </c>
      <c r="U51" s="66" t="str">
        <f>IF(AND($B51&gt;='112'!$M$9,$B51&lt;='112'!$N$9,OR($O51='112'!$I$6,$P51='112'!$I$6)),"x","")</f>
        <v/>
      </c>
      <c r="V51" s="66" t="str">
        <f>IF(AND($O51='112'!$I$6,$B51&lt;'112'!$M$9),"x","")</f>
        <v/>
      </c>
      <c r="W51" s="66" t="str">
        <f>IF(AND($P51='112'!$I$6,$B51&lt;'112'!$M$9),"x","")</f>
        <v/>
      </c>
      <c r="X51" s="66" t="str">
        <f>IF(AND('131-CT'!$H$9=TH!H51,OR(O51="131",P51="131")),"x","")</f>
        <v/>
      </c>
      <c r="Y51" s="80" t="str">
        <f>IF(AND($B51&gt;='1331'!$I$9,$B51&lt;='1331'!$J$9,OR($O51=$Y$7,$P51=$Y$7)),"x","")</f>
        <v/>
      </c>
      <c r="Z51" s="80" t="str">
        <f>IF(AND($O51=$Y$7,$B51&lt;'1331'!$I$9),"x","")</f>
        <v/>
      </c>
      <c r="AA51" s="80" t="str">
        <f>IF(AND($P51=$Y$7,$B51&lt;'1331'!$I$9),"x","")</f>
        <v/>
      </c>
      <c r="AB51" s="80" t="str">
        <f>IF(AND($B51&gt;='1332'!$I$9,$B51&lt;='1332'!$I$9,OR($O51=$AB$7,$P51=$AB$7)),"x","")</f>
        <v/>
      </c>
      <c r="AC51" s="80" t="str">
        <f>IF(AND($O51=$AB$7,$B51&lt;'1332'!$I$9),"x","")</f>
        <v/>
      </c>
      <c r="AD51" s="80" t="str">
        <f>IF(AND($P51=$AB$7,$B51&lt;'1332'!$I$9),"x","")</f>
        <v/>
      </c>
      <c r="AE51" s="80" t="str">
        <f>IF(AND('341-CT'!$H$9=H51,OR(LEFT(O51,3)=$AE$7,LEFT(P51,3)=$AE$7)),"x","")</f>
        <v/>
      </c>
      <c r="AF51" s="80" t="str">
        <f>IF(OR(TH!O51=TH!$AF$7,P51=TH!$AF$7),"x","")</f>
        <v/>
      </c>
      <c r="AG51" s="80"/>
      <c r="AH51" s="80" t="str">
        <f>IF(AND(B51&gt;='IN-NX'!$P$3,B51&lt;='IN-NX'!$Q$3,'IN-NX'!$D$7=D51,OR(LEFT(L51,2)="15",AND(LEFT(M51,2)&lt;&gt;"15",LEFT(M51,2)&lt;&gt;"33"))),"x","")</f>
        <v/>
      </c>
      <c r="AI51" s="80" t="str">
        <f>IF(AND(OR(LEFT(TH!O51,2)="15",LEFT(TH!P51,2)="15"),'152-CT'!$J$8=TH!F51),"x","")</f>
        <v/>
      </c>
      <c r="AJ51" s="80" t="str">
        <f>IF(AND(OR(LEFT(TH!O51,2)="15",LEFT(TH!P51,2)="15"),'THE KHO'!$E$7=TH!F51),"x","")</f>
        <v/>
      </c>
      <c r="AK51" s="80" t="str">
        <f>IF(AND(O51="1521",MONTH(C51)='BK NL'!$M$11),"x","")</f>
        <v/>
      </c>
      <c r="AM51" s="1007">
        <v>2</v>
      </c>
    </row>
    <row r="52" spans="1:39" s="1007" customFormat="1" ht="15.75" customHeight="1">
      <c r="A52" s="362" t="str">
        <f>IF(B52&lt;&gt;"",IF(AND(B52&gt;=_TM1,B52&lt;=_TM2,OR(TH!O52="1111",TH!P52="1111")),TH!D52,""),"")</f>
        <v/>
      </c>
      <c r="B52" s="63">
        <f t="shared" si="3"/>
        <v>1</v>
      </c>
      <c r="C52" s="337">
        <v>42385</v>
      </c>
      <c r="D52" s="337" t="s">
        <v>70</v>
      </c>
      <c r="E52" s="337">
        <v>42385</v>
      </c>
      <c r="F52" s="338" t="s">
        <v>391</v>
      </c>
      <c r="G52" s="1022" t="s">
        <v>217</v>
      </c>
      <c r="H52" s="339" t="s">
        <v>390</v>
      </c>
      <c r="I52" s="476"/>
      <c r="J52" s="476"/>
      <c r="K52" s="469"/>
      <c r="L52" s="476"/>
      <c r="M52" s="79">
        <v>1275000</v>
      </c>
      <c r="N52" s="79"/>
      <c r="O52" s="340" t="s">
        <v>981</v>
      </c>
      <c r="P52" s="340" t="s">
        <v>97</v>
      </c>
      <c r="Q52" s="66" t="str">
        <f>IF(AND('331-CT'!$E$7=TH!H52,OR(O52="331",P52="331")),"x","")</f>
        <v/>
      </c>
      <c r="R52" s="66" t="str">
        <f>IF(AND($B52&gt;='111'!$N$11,$B52&lt;='111'!$O$11,OR($O52=$R$7,$P52=$R$7)),"x","")</f>
        <v/>
      </c>
      <c r="S52" s="66" t="str">
        <f>IF(AND($O52=$R$7,$B52&lt;'111'!$N$11),"x","")</f>
        <v/>
      </c>
      <c r="T52" s="66" t="str">
        <f>IF(AND($P52=$R$7,$B52&lt;'111'!$N$11),"x","")</f>
        <v>x</v>
      </c>
      <c r="U52" s="66" t="str">
        <f>IF(AND($B52&gt;='112'!$M$9,$B52&lt;='112'!$N$9,OR($O52='112'!$I$6,$P52='112'!$I$6)),"x","")</f>
        <v/>
      </c>
      <c r="V52" s="66" t="str">
        <f>IF(AND($O52='112'!$I$6,$B52&lt;'112'!$M$9),"x","")</f>
        <v/>
      </c>
      <c r="W52" s="66" t="str">
        <f>IF(AND($P52='112'!$I$6,$B52&lt;'112'!$M$9),"x","")</f>
        <v/>
      </c>
      <c r="X52" s="66" t="str">
        <f>IF(AND('131-CT'!$H$9=TH!H52,OR(O52="131",P52="131")),"x","")</f>
        <v/>
      </c>
      <c r="Y52" s="80" t="str">
        <f>IF(AND($B52&gt;='1331'!$I$9,$B52&lt;='1331'!$J$9,OR($O52=$Y$7,$P52=$Y$7)),"x","")</f>
        <v/>
      </c>
      <c r="Z52" s="80" t="str">
        <f>IF(AND($O52=$Y$7,$B52&lt;'1331'!$I$9),"x","")</f>
        <v/>
      </c>
      <c r="AA52" s="80" t="str">
        <f>IF(AND($P52=$Y$7,$B52&lt;'1331'!$I$9),"x","")</f>
        <v/>
      </c>
      <c r="AB52" s="80" t="str">
        <f>IF(AND($B52&gt;='1332'!$I$9,$B52&lt;='1332'!$I$9,OR($O52=$AB$7,$P52=$AB$7)),"x","")</f>
        <v/>
      </c>
      <c r="AC52" s="80" t="str">
        <f>IF(AND($O52=$AB$7,$B52&lt;'1332'!$I$9),"x","")</f>
        <v>x</v>
      </c>
      <c r="AD52" s="80" t="str">
        <f>IF(AND($P52=$AB$7,$B52&lt;'1332'!$I$9),"x","")</f>
        <v/>
      </c>
      <c r="AE52" s="80" t="str">
        <f>IF(AND('341-CT'!$H$9=H52,OR(LEFT(O52,3)=$AE$7,LEFT(P52,3)=$AE$7)),"x","")</f>
        <v/>
      </c>
      <c r="AF52" s="80" t="str">
        <f>IF(OR(TH!O52=TH!$AF$7,P52=TH!$AF$7),"x","")</f>
        <v/>
      </c>
      <c r="AG52" s="80"/>
      <c r="AH52" s="80" t="str">
        <f>IF(AND(B52&gt;='IN-NX'!$P$3,B52&lt;='IN-NX'!$Q$3,'IN-NX'!$D$7=D52,OR(LEFT(L52,2)="15",AND(LEFT(M52,2)&lt;&gt;"15",LEFT(M52,2)&lt;&gt;"33"))),"x","")</f>
        <v/>
      </c>
      <c r="AI52" s="80" t="str">
        <f>IF(AND(OR(LEFT(TH!O52,2)="15",LEFT(TH!P52,2)="15"),'152-CT'!$J$8=TH!F52),"x","")</f>
        <v/>
      </c>
      <c r="AJ52" s="80" t="str">
        <f>IF(AND(OR(LEFT(TH!O52,2)="15",LEFT(TH!P52,2)="15"),'THE KHO'!$E$7=TH!F52),"x","")</f>
        <v/>
      </c>
      <c r="AK52" s="80" t="str">
        <f>IF(AND(O52="1521",MONTH(C52)='BK NL'!$M$11),"x","")</f>
        <v/>
      </c>
      <c r="AM52" s="1007">
        <v>2</v>
      </c>
    </row>
    <row r="53" spans="1:39" s="1007" customFormat="1" ht="15.75" customHeight="1">
      <c r="A53" s="362" t="str">
        <f>IF(B53&lt;&gt;"",IF(AND(B53&gt;=_TM1,B53&lt;=_TM2,OR(TH!O53="1111",TH!P53="1111")),TH!D53,""),"")</f>
        <v/>
      </c>
      <c r="B53" s="63">
        <f t="shared" si="3"/>
        <v>1</v>
      </c>
      <c r="C53" s="337">
        <v>42387</v>
      </c>
      <c r="D53" s="337" t="s">
        <v>71</v>
      </c>
      <c r="E53" s="337">
        <v>42387</v>
      </c>
      <c r="F53" s="338" t="s">
        <v>392</v>
      </c>
      <c r="G53" s="1022" t="s">
        <v>393</v>
      </c>
      <c r="H53" s="339" t="s">
        <v>390</v>
      </c>
      <c r="I53" s="476"/>
      <c r="J53" s="476"/>
      <c r="K53" s="469"/>
      <c r="L53" s="476"/>
      <c r="M53" s="65">
        <v>16600000</v>
      </c>
      <c r="N53" s="65"/>
      <c r="O53" s="340" t="s">
        <v>242</v>
      </c>
      <c r="P53" s="340" t="s">
        <v>97</v>
      </c>
      <c r="Q53" s="66" t="str">
        <f>IF(AND('331-CT'!$E$7=TH!H53,OR(O53="331",P53="331")),"x","")</f>
        <v/>
      </c>
      <c r="R53" s="66" t="str">
        <f>IF(AND($B53&gt;='111'!$N$11,$B53&lt;='111'!$O$11,OR($O53=$R$7,$P53=$R$7)),"x","")</f>
        <v/>
      </c>
      <c r="S53" s="66" t="str">
        <f>IF(AND($O53=$R$7,$B53&lt;'111'!$N$11),"x","")</f>
        <v/>
      </c>
      <c r="T53" s="66" t="str">
        <f>IF(AND($P53=$R$7,$B53&lt;'111'!$N$11),"x","")</f>
        <v>x</v>
      </c>
      <c r="U53" s="66" t="str">
        <f>IF(AND($B53&gt;='112'!$M$9,$B53&lt;='112'!$N$9,OR($O53='112'!$I$6,$P53='112'!$I$6)),"x","")</f>
        <v/>
      </c>
      <c r="V53" s="66" t="str">
        <f>IF(AND($O53='112'!$I$6,$B53&lt;'112'!$M$9),"x","")</f>
        <v/>
      </c>
      <c r="W53" s="66" t="str">
        <f>IF(AND($P53='112'!$I$6,$B53&lt;'112'!$M$9),"x","")</f>
        <v/>
      </c>
      <c r="X53" s="66" t="str">
        <f>IF(AND('131-CT'!$H$9=TH!H53,OR(O53="131",P53="131")),"x","")</f>
        <v/>
      </c>
      <c r="Y53" s="80" t="str">
        <f>IF(AND($B53&gt;='1331'!$I$9,$B53&lt;='1331'!$J$9,OR($O53=$Y$7,$P53=$Y$7)),"x","")</f>
        <v/>
      </c>
      <c r="Z53" s="80" t="str">
        <f>IF(AND($O53=$Y$7,$B53&lt;'1331'!$I$9),"x","")</f>
        <v/>
      </c>
      <c r="AA53" s="80" t="str">
        <f>IF(AND($P53=$Y$7,$B53&lt;'1331'!$I$9),"x","")</f>
        <v/>
      </c>
      <c r="AB53" s="80" t="str">
        <f>IF(AND($B53&gt;='1332'!$I$9,$B53&lt;='1332'!$I$9,OR($O53=$AB$7,$P53=$AB$7)),"x","")</f>
        <v/>
      </c>
      <c r="AC53" s="80" t="str">
        <f>IF(AND($O53=$AB$7,$B53&lt;'1332'!$I$9),"x","")</f>
        <v/>
      </c>
      <c r="AD53" s="80" t="str">
        <f>IF(AND($P53=$AB$7,$B53&lt;'1332'!$I$9),"x","")</f>
        <v/>
      </c>
      <c r="AE53" s="80" t="str">
        <f>IF(AND('341-CT'!$H$9=H53,OR(LEFT(O53,3)=$AE$7,LEFT(P53,3)=$AE$7)),"x","")</f>
        <v/>
      </c>
      <c r="AF53" s="80" t="str">
        <f>IF(OR(TH!O53=TH!$AF$7,P53=TH!$AF$7),"x","")</f>
        <v/>
      </c>
      <c r="AG53" s="80"/>
      <c r="AH53" s="80" t="str">
        <f>IF(AND(B53&gt;='IN-NX'!$P$3,B53&lt;='IN-NX'!$Q$3,'IN-NX'!$D$7=D53,OR(LEFT(L53,2)="15",AND(LEFT(M53,2)&lt;&gt;"15",LEFT(M53,2)&lt;&gt;"33"))),"x","")</f>
        <v/>
      </c>
      <c r="AI53" s="80" t="str">
        <f>IF(AND(OR(LEFT(TH!O53,2)="15",LEFT(TH!P53,2)="15"),'152-CT'!$J$8=TH!F53),"x","")</f>
        <v/>
      </c>
      <c r="AJ53" s="80" t="str">
        <f>IF(AND(OR(LEFT(TH!O53,2)="15",LEFT(TH!P53,2)="15"),'THE KHO'!$E$7=TH!F53),"x","")</f>
        <v/>
      </c>
      <c r="AK53" s="80" t="str">
        <f>IF(AND(O53="1521",MONTH(C53)='BK NL'!$M$11),"x","")</f>
        <v/>
      </c>
    </row>
    <row r="54" spans="1:39" s="1007" customFormat="1" ht="15.75" customHeight="1">
      <c r="A54" s="362" t="str">
        <f>IF(B54&lt;&gt;"",IF(AND(B54&gt;=_TM1,B54&lt;=_TM2,OR(TH!O54="1111",TH!P54="1111")),TH!D54,""),"")</f>
        <v/>
      </c>
      <c r="B54" s="63">
        <f t="shared" si="3"/>
        <v>1</v>
      </c>
      <c r="C54" s="337">
        <v>42387</v>
      </c>
      <c r="D54" s="337" t="s">
        <v>71</v>
      </c>
      <c r="E54" s="337">
        <v>42387</v>
      </c>
      <c r="F54" s="338" t="s">
        <v>394</v>
      </c>
      <c r="G54" s="1022" t="s">
        <v>393</v>
      </c>
      <c r="H54" s="339" t="s">
        <v>390</v>
      </c>
      <c r="I54" s="476"/>
      <c r="J54" s="476"/>
      <c r="K54" s="469"/>
      <c r="L54" s="476"/>
      <c r="M54" s="79">
        <v>1660000</v>
      </c>
      <c r="N54" s="79"/>
      <c r="O54" s="340" t="s">
        <v>981</v>
      </c>
      <c r="P54" s="340" t="s">
        <v>97</v>
      </c>
      <c r="Q54" s="66" t="str">
        <f>IF(AND('331-CT'!$E$7=TH!H54,OR(O54="331",P54="331")),"x","")</f>
        <v/>
      </c>
      <c r="R54" s="66" t="str">
        <f>IF(AND($B54&gt;='111'!$N$11,$B54&lt;='111'!$O$11,OR($O54=$R$7,$P54=$R$7)),"x","")</f>
        <v/>
      </c>
      <c r="S54" s="66" t="str">
        <f>IF(AND($O54=$R$7,$B54&lt;'111'!$N$11),"x","")</f>
        <v/>
      </c>
      <c r="T54" s="66" t="str">
        <f>IF(AND($P54=$R$7,$B54&lt;'111'!$N$11),"x","")</f>
        <v>x</v>
      </c>
      <c r="U54" s="66" t="str">
        <f>IF(AND($B54&gt;='112'!$M$9,$B54&lt;='112'!$N$9,OR($O54='112'!$I$6,$P54='112'!$I$6)),"x","")</f>
        <v/>
      </c>
      <c r="V54" s="66" t="str">
        <f>IF(AND($O54='112'!$I$6,$B54&lt;'112'!$M$9),"x","")</f>
        <v/>
      </c>
      <c r="W54" s="66" t="str">
        <f>IF(AND($P54='112'!$I$6,$B54&lt;'112'!$M$9),"x","")</f>
        <v/>
      </c>
      <c r="X54" s="66" t="str">
        <f>IF(AND('131-CT'!$H$9=TH!H54,OR(O54="131",P54="131")),"x","")</f>
        <v/>
      </c>
      <c r="Y54" s="80" t="str">
        <f>IF(AND($B54&gt;='1331'!$I$9,$B54&lt;='1331'!$J$9,OR($O54=$Y$7,$P54=$Y$7)),"x","")</f>
        <v/>
      </c>
      <c r="Z54" s="80" t="str">
        <f>IF(AND($O54=$Y$7,$B54&lt;'1331'!$I$9),"x","")</f>
        <v/>
      </c>
      <c r="AA54" s="80" t="str">
        <f>IF(AND($P54=$Y$7,$B54&lt;'1331'!$I$9),"x","")</f>
        <v/>
      </c>
      <c r="AB54" s="80" t="str">
        <f>IF(AND($B54&gt;='1332'!$I$9,$B54&lt;='1332'!$I$9,OR($O54=$AB$7,$P54=$AB$7)),"x","")</f>
        <v/>
      </c>
      <c r="AC54" s="80" t="str">
        <f>IF(AND($O54=$AB$7,$B54&lt;'1332'!$I$9),"x","")</f>
        <v>x</v>
      </c>
      <c r="AD54" s="80" t="str">
        <f>IF(AND($P54=$AB$7,$B54&lt;'1332'!$I$9),"x","")</f>
        <v/>
      </c>
      <c r="AE54" s="80" t="str">
        <f>IF(AND('341-CT'!$H$9=H54,OR(LEFT(O54,3)=$AE$7,LEFT(P54,3)=$AE$7)),"x","")</f>
        <v/>
      </c>
      <c r="AF54" s="80" t="str">
        <f>IF(OR(TH!O54=TH!$AF$7,P54=TH!$AF$7),"x","")</f>
        <v/>
      </c>
      <c r="AG54" s="80"/>
      <c r="AH54" s="80" t="str">
        <f>IF(AND(B54&gt;='IN-NX'!$P$3,B54&lt;='IN-NX'!$Q$3,'IN-NX'!$D$7=D54,OR(LEFT(L54,2)="15",AND(LEFT(M54,2)&lt;&gt;"15",LEFT(M54,2)&lt;&gt;"33"))),"x","")</f>
        <v/>
      </c>
      <c r="AI54" s="80" t="str">
        <f>IF(AND(OR(LEFT(TH!O54,2)="15",LEFT(TH!P54,2)="15"),'152-CT'!$J$8=TH!F54),"x","")</f>
        <v/>
      </c>
      <c r="AJ54" s="80" t="str">
        <f>IF(AND(OR(LEFT(TH!O54,2)="15",LEFT(TH!P54,2)="15"),'THE KHO'!$E$7=TH!F54),"x","")</f>
        <v/>
      </c>
      <c r="AK54" s="80" t="str">
        <f>IF(AND(O54="1521",MONTH(C54)='BK NL'!$M$11),"x","")</f>
        <v/>
      </c>
    </row>
    <row r="55" spans="1:39" s="1007" customFormat="1" ht="15.75" customHeight="1">
      <c r="A55" s="362" t="str">
        <f>IF(B55&lt;&gt;"",IF(AND(B55&gt;=_TM1,B55&lt;=_TM2,OR(TH!O55="1111",TH!P55="1111")),TH!D55,""),"")</f>
        <v/>
      </c>
      <c r="B55" s="63">
        <f t="shared" si="3"/>
        <v>1</v>
      </c>
      <c r="C55" s="337">
        <v>42388</v>
      </c>
      <c r="D55" s="337" t="s">
        <v>72</v>
      </c>
      <c r="E55" s="337">
        <v>42388</v>
      </c>
      <c r="F55" s="338" t="s">
        <v>395</v>
      </c>
      <c r="G55" s="1022" t="s">
        <v>396</v>
      </c>
      <c r="H55" s="339" t="s">
        <v>390</v>
      </c>
      <c r="I55" s="476"/>
      <c r="J55" s="476"/>
      <c r="K55" s="469"/>
      <c r="L55" s="476"/>
      <c r="M55" s="65">
        <v>16200000</v>
      </c>
      <c r="N55" s="65"/>
      <c r="O55" s="340" t="s">
        <v>242</v>
      </c>
      <c r="P55" s="340" t="s">
        <v>97</v>
      </c>
      <c r="Q55" s="66" t="str">
        <f>IF(AND('331-CT'!$E$7=TH!H55,OR(O55="331",P55="331")),"x","")</f>
        <v/>
      </c>
      <c r="R55" s="66" t="str">
        <f>IF(AND($B55&gt;='111'!$N$11,$B55&lt;='111'!$O$11,OR($O55=$R$7,$P55=$R$7)),"x","")</f>
        <v/>
      </c>
      <c r="S55" s="66" t="str">
        <f>IF(AND($O55=$R$7,$B55&lt;'111'!$N$11),"x","")</f>
        <v/>
      </c>
      <c r="T55" s="66" t="str">
        <f>IF(AND($P55=$R$7,$B55&lt;'111'!$N$11),"x","")</f>
        <v>x</v>
      </c>
      <c r="U55" s="66" t="str">
        <f>IF(AND($B55&gt;='112'!$M$9,$B55&lt;='112'!$N$9,OR($O55='112'!$I$6,$P55='112'!$I$6)),"x","")</f>
        <v/>
      </c>
      <c r="V55" s="66" t="str">
        <f>IF(AND($O55='112'!$I$6,$B55&lt;'112'!$M$9),"x","")</f>
        <v/>
      </c>
      <c r="W55" s="66" t="str">
        <f>IF(AND($P55='112'!$I$6,$B55&lt;'112'!$M$9),"x","")</f>
        <v/>
      </c>
      <c r="X55" s="66" t="str">
        <f>IF(AND('131-CT'!$H$9=TH!H55,OR(O55="131",P55="131")),"x","")</f>
        <v/>
      </c>
      <c r="Y55" s="80" t="str">
        <f>IF(AND($B55&gt;='1331'!$I$9,$B55&lt;='1331'!$J$9,OR($O55=$Y$7,$P55=$Y$7)),"x","")</f>
        <v/>
      </c>
      <c r="Z55" s="80" t="str">
        <f>IF(AND($O55=$Y$7,$B55&lt;'1331'!$I$9),"x","")</f>
        <v/>
      </c>
      <c r="AA55" s="80" t="str">
        <f>IF(AND($P55=$Y$7,$B55&lt;'1331'!$I$9),"x","")</f>
        <v/>
      </c>
      <c r="AB55" s="80" t="str">
        <f>IF(AND($B55&gt;='1332'!$I$9,$B55&lt;='1332'!$I$9,OR($O55=$AB$7,$P55=$AB$7)),"x","")</f>
        <v/>
      </c>
      <c r="AC55" s="80" t="str">
        <f>IF(AND($O55=$AB$7,$B55&lt;'1332'!$I$9),"x","")</f>
        <v/>
      </c>
      <c r="AD55" s="80" t="str">
        <f>IF(AND($P55=$AB$7,$B55&lt;'1332'!$I$9),"x","")</f>
        <v/>
      </c>
      <c r="AE55" s="80" t="str">
        <f>IF(AND('341-CT'!$H$9=H55,OR(LEFT(O55,3)=$AE$7,LEFT(P55,3)=$AE$7)),"x","")</f>
        <v/>
      </c>
      <c r="AF55" s="80" t="str">
        <f>IF(OR(TH!O55=TH!$AF$7,P55=TH!$AF$7),"x","")</f>
        <v/>
      </c>
      <c r="AG55" s="80"/>
      <c r="AH55" s="80" t="str">
        <f>IF(AND(B55&gt;='IN-NX'!$P$3,B55&lt;='IN-NX'!$Q$3,'IN-NX'!$D$7=D55,OR(LEFT(L55,2)="15",AND(LEFT(M55,2)&lt;&gt;"15",LEFT(M55,2)&lt;&gt;"33"))),"x","")</f>
        <v/>
      </c>
      <c r="AI55" s="80" t="str">
        <f>IF(AND(OR(LEFT(TH!O55,2)="15",LEFT(TH!P55,2)="15"),'152-CT'!$J$8=TH!F55),"x","")</f>
        <v/>
      </c>
      <c r="AJ55" s="80" t="str">
        <f>IF(AND(OR(LEFT(TH!O55,2)="15",LEFT(TH!P55,2)="15"),'THE KHO'!$E$7=TH!F55),"x","")</f>
        <v/>
      </c>
      <c r="AK55" s="80" t="str">
        <f>IF(AND(O55="1521",MONTH(C55)='BK NL'!$M$11),"x","")</f>
        <v/>
      </c>
      <c r="AM55" s="1007">
        <v>1</v>
      </c>
    </row>
    <row r="56" spans="1:39" s="1007" customFormat="1" ht="15.75" customHeight="1">
      <c r="A56" s="362" t="str">
        <f>IF(B56&lt;&gt;"",IF(AND(B56&gt;=_TM1,B56&lt;=_TM2,OR(TH!O56="1111",TH!P56="1111")),TH!D56,""),"")</f>
        <v/>
      </c>
      <c r="B56" s="63">
        <f t="shared" si="3"/>
        <v>1</v>
      </c>
      <c r="C56" s="337">
        <v>42388</v>
      </c>
      <c r="D56" s="337" t="s">
        <v>72</v>
      </c>
      <c r="E56" s="337">
        <v>42388</v>
      </c>
      <c r="F56" s="338" t="s">
        <v>397</v>
      </c>
      <c r="G56" s="1022" t="s">
        <v>396</v>
      </c>
      <c r="H56" s="339" t="s">
        <v>390</v>
      </c>
      <c r="I56" s="476"/>
      <c r="J56" s="476"/>
      <c r="K56" s="469"/>
      <c r="L56" s="476"/>
      <c r="M56" s="79">
        <v>1620000</v>
      </c>
      <c r="N56" s="79"/>
      <c r="O56" s="340" t="s">
        <v>981</v>
      </c>
      <c r="P56" s="340" t="s">
        <v>97</v>
      </c>
      <c r="Q56" s="66" t="str">
        <f>IF(AND('331-CT'!$E$7=TH!H56,OR(O56="331",P56="331")),"x","")</f>
        <v/>
      </c>
      <c r="R56" s="66" t="str">
        <f>IF(AND($B56&gt;='111'!$N$11,$B56&lt;='111'!$O$11,OR($O56=$R$7,$P56=$R$7)),"x","")</f>
        <v/>
      </c>
      <c r="S56" s="66" t="str">
        <f>IF(AND($O56=$R$7,$B56&lt;'111'!$N$11),"x","")</f>
        <v/>
      </c>
      <c r="T56" s="66" t="str">
        <f>IF(AND($P56=$R$7,$B56&lt;'111'!$N$11),"x","")</f>
        <v>x</v>
      </c>
      <c r="U56" s="66" t="str">
        <f>IF(AND($B56&gt;='112'!$M$9,$B56&lt;='112'!$N$9,OR($O56='112'!$I$6,$P56='112'!$I$6)),"x","")</f>
        <v/>
      </c>
      <c r="V56" s="66" t="str">
        <f>IF(AND($O56='112'!$I$6,$B56&lt;'112'!$M$9),"x","")</f>
        <v/>
      </c>
      <c r="W56" s="66" t="str">
        <f>IF(AND($P56='112'!$I$6,$B56&lt;'112'!$M$9),"x","")</f>
        <v/>
      </c>
      <c r="X56" s="66" t="str">
        <f>IF(AND('131-CT'!$H$9=TH!H56,OR(O56="131",P56="131")),"x","")</f>
        <v/>
      </c>
      <c r="Y56" s="80" t="str">
        <f>IF(AND($B56&gt;='1331'!$I$9,$B56&lt;='1331'!$J$9,OR($O56=$Y$7,$P56=$Y$7)),"x","")</f>
        <v/>
      </c>
      <c r="Z56" s="80" t="str">
        <f>IF(AND($O56=$Y$7,$B56&lt;'1331'!$I$9),"x","")</f>
        <v/>
      </c>
      <c r="AA56" s="80" t="str">
        <f>IF(AND($P56=$Y$7,$B56&lt;'1331'!$I$9),"x","")</f>
        <v/>
      </c>
      <c r="AB56" s="80" t="str">
        <f>IF(AND($B56&gt;='1332'!$I$9,$B56&lt;='1332'!$I$9,OR($O56=$AB$7,$P56=$AB$7)),"x","")</f>
        <v/>
      </c>
      <c r="AC56" s="80" t="str">
        <f>IF(AND($O56=$AB$7,$B56&lt;'1332'!$I$9),"x","")</f>
        <v>x</v>
      </c>
      <c r="AD56" s="80" t="str">
        <f>IF(AND($P56=$AB$7,$B56&lt;'1332'!$I$9),"x","")</f>
        <v/>
      </c>
      <c r="AE56" s="80" t="str">
        <f>IF(AND('341-CT'!$H$9=H56,OR(LEFT(O56,3)=$AE$7,LEFT(P56,3)=$AE$7)),"x","")</f>
        <v/>
      </c>
      <c r="AF56" s="80" t="str">
        <f>IF(OR(TH!O56=TH!$AF$7,P56=TH!$AF$7),"x","")</f>
        <v/>
      </c>
      <c r="AG56" s="80"/>
      <c r="AH56" s="80" t="str">
        <f>IF(AND(B56&gt;='IN-NX'!$P$3,B56&lt;='IN-NX'!$Q$3,'IN-NX'!$D$7=D56,OR(LEFT(L56,2)="15",AND(LEFT(M56,2)&lt;&gt;"15",LEFT(M56,2)&lt;&gt;"33"))),"x","")</f>
        <v/>
      </c>
      <c r="AI56" s="80" t="str">
        <f>IF(AND(OR(LEFT(TH!O56,2)="15",LEFT(TH!P56,2)="15"),'152-CT'!$J$8=TH!F56),"x","")</f>
        <v/>
      </c>
      <c r="AJ56" s="80" t="str">
        <f>IF(AND(OR(LEFT(TH!O56,2)="15",LEFT(TH!P56,2)="15"),'THE KHO'!$E$7=TH!F56),"x","")</f>
        <v/>
      </c>
      <c r="AK56" s="80" t="str">
        <f>IF(AND(O56="1521",MONTH(C56)='BK NL'!$M$11),"x","")</f>
        <v/>
      </c>
      <c r="AM56" s="1007">
        <v>1</v>
      </c>
    </row>
    <row r="57" spans="1:39" s="1007" customFormat="1" ht="15.75" customHeight="1">
      <c r="A57" s="362" t="str">
        <f>IF(B57&lt;&gt;"",IF(AND(B57&gt;=_TM1,B57&lt;=_TM2,OR(TH!O57="1111",TH!P57="1111")),TH!D57,""),"")</f>
        <v/>
      </c>
      <c r="B57" s="63">
        <f t="shared" si="3"/>
        <v>1</v>
      </c>
      <c r="C57" s="337">
        <v>42389</v>
      </c>
      <c r="D57" s="337" t="s">
        <v>73</v>
      </c>
      <c r="E57" s="337">
        <v>42389</v>
      </c>
      <c r="F57" s="338" t="s">
        <v>185</v>
      </c>
      <c r="G57" s="1022" t="s">
        <v>398</v>
      </c>
      <c r="H57" s="339" t="s">
        <v>319</v>
      </c>
      <c r="I57" s="476"/>
      <c r="J57" s="476"/>
      <c r="K57" s="469"/>
      <c r="L57" s="476"/>
      <c r="M57" s="65">
        <v>1357000</v>
      </c>
      <c r="N57" s="65"/>
      <c r="O57" s="340" t="s">
        <v>242</v>
      </c>
      <c r="P57" s="340" t="s">
        <v>97</v>
      </c>
      <c r="Q57" s="66" t="str">
        <f>IF(AND('331-CT'!$E$7=TH!H57,OR(O57="331",P57="331")),"x","")</f>
        <v/>
      </c>
      <c r="R57" s="66" t="str">
        <f>IF(AND($B57&gt;='111'!$N$11,$B57&lt;='111'!$O$11,OR($O57=$R$7,$P57=$R$7)),"x","")</f>
        <v/>
      </c>
      <c r="S57" s="66" t="str">
        <f>IF(AND($O57=$R$7,$B57&lt;'111'!$N$11),"x","")</f>
        <v/>
      </c>
      <c r="T57" s="66" t="str">
        <f>IF(AND($P57=$R$7,$B57&lt;'111'!$N$11),"x","")</f>
        <v>x</v>
      </c>
      <c r="U57" s="66" t="str">
        <f>IF(AND($B57&gt;='112'!$M$9,$B57&lt;='112'!$N$9,OR($O57='112'!$I$6,$P57='112'!$I$6)),"x","")</f>
        <v/>
      </c>
      <c r="V57" s="66" t="str">
        <f>IF(AND($O57='112'!$I$6,$B57&lt;'112'!$M$9),"x","")</f>
        <v/>
      </c>
      <c r="W57" s="66" t="str">
        <f>IF(AND($P57='112'!$I$6,$B57&lt;'112'!$M$9),"x","")</f>
        <v/>
      </c>
      <c r="X57" s="66" t="str">
        <f>IF(AND('131-CT'!$H$9=TH!H57,OR(O57="131",P57="131")),"x","")</f>
        <v/>
      </c>
      <c r="Y57" s="80" t="str">
        <f>IF(AND($B57&gt;='1331'!$I$9,$B57&lt;='1331'!$J$9,OR($O57=$Y$7,$P57=$Y$7)),"x","")</f>
        <v/>
      </c>
      <c r="Z57" s="80" t="str">
        <f>IF(AND($O57=$Y$7,$B57&lt;'1331'!$I$9),"x","")</f>
        <v/>
      </c>
      <c r="AA57" s="80" t="str">
        <f>IF(AND($P57=$Y$7,$B57&lt;'1331'!$I$9),"x","")</f>
        <v/>
      </c>
      <c r="AB57" s="80" t="str">
        <f>IF(AND($B57&gt;='1332'!$I$9,$B57&lt;='1332'!$I$9,OR($O57=$AB$7,$P57=$AB$7)),"x","")</f>
        <v/>
      </c>
      <c r="AC57" s="80" t="str">
        <f>IF(AND($O57=$AB$7,$B57&lt;'1332'!$I$9),"x","")</f>
        <v/>
      </c>
      <c r="AD57" s="80" t="str">
        <f>IF(AND($P57=$AB$7,$B57&lt;'1332'!$I$9),"x","")</f>
        <v/>
      </c>
      <c r="AE57" s="80" t="str">
        <f>IF(AND('341-CT'!$H$9=H57,OR(LEFT(O57,3)=$AE$7,LEFT(P57,3)=$AE$7)),"x","")</f>
        <v/>
      </c>
      <c r="AF57" s="80" t="str">
        <f>IF(OR(TH!O57=TH!$AF$7,P57=TH!$AF$7),"x","")</f>
        <v/>
      </c>
      <c r="AG57" s="80"/>
      <c r="AH57" s="80" t="str">
        <f>IF(AND(B57&gt;='IN-NX'!$P$3,B57&lt;='IN-NX'!$Q$3,'IN-NX'!$D$7=D57,OR(LEFT(L57,2)="15",AND(LEFT(M57,2)&lt;&gt;"15",LEFT(M57,2)&lt;&gt;"33"))),"x","")</f>
        <v/>
      </c>
      <c r="AI57" s="80" t="str">
        <f>IF(AND(OR(LEFT(TH!O57,2)="15",LEFT(TH!P57,2)="15"),'152-CT'!$J$8=TH!F57),"x","")</f>
        <v/>
      </c>
      <c r="AJ57" s="80" t="str">
        <f>IF(AND(OR(LEFT(TH!O57,2)="15",LEFT(TH!P57,2)="15"),'THE KHO'!$E$7=TH!F57),"x","")</f>
        <v/>
      </c>
      <c r="AK57" s="80" t="str">
        <f>IF(AND(O57="1521",MONTH(C57)='BK NL'!$M$11),"x","")</f>
        <v/>
      </c>
      <c r="AM57" s="1007">
        <v>2</v>
      </c>
    </row>
    <row r="58" spans="1:39" s="1007" customFormat="1" ht="15.75" customHeight="1">
      <c r="A58" s="362" t="str">
        <f>IF(B58&lt;&gt;"",IF(AND(B58&gt;=_TM1,B58&lt;=_TM2,OR(TH!O58="1111",TH!P58="1111")),TH!D58,""),"")</f>
        <v/>
      </c>
      <c r="B58" s="63">
        <f t="shared" si="3"/>
        <v>1</v>
      </c>
      <c r="C58" s="337">
        <v>42389</v>
      </c>
      <c r="D58" s="337" t="s">
        <v>74</v>
      </c>
      <c r="E58" s="337">
        <v>42389</v>
      </c>
      <c r="F58" s="338" t="s">
        <v>399</v>
      </c>
      <c r="G58" s="1022" t="s">
        <v>400</v>
      </c>
      <c r="H58" s="339" t="s">
        <v>322</v>
      </c>
      <c r="I58" s="476"/>
      <c r="J58" s="476"/>
      <c r="K58" s="469"/>
      <c r="L58" s="476"/>
      <c r="M58" s="65">
        <v>2589000</v>
      </c>
      <c r="N58" s="65"/>
      <c r="O58" s="340" t="s">
        <v>242</v>
      </c>
      <c r="P58" s="340" t="s">
        <v>97</v>
      </c>
      <c r="Q58" s="66" t="str">
        <f>IF(AND('331-CT'!$E$7=TH!H58,OR(O58="331",P58="331")),"x","")</f>
        <v/>
      </c>
      <c r="R58" s="66" t="str">
        <f>IF(AND($B58&gt;='111'!$N$11,$B58&lt;='111'!$O$11,OR($O58=$R$7,$P58=$R$7)),"x","")</f>
        <v/>
      </c>
      <c r="S58" s="66" t="str">
        <f>IF(AND($O58=$R$7,$B58&lt;'111'!$N$11),"x","")</f>
        <v/>
      </c>
      <c r="T58" s="66" t="str">
        <f>IF(AND($P58=$R$7,$B58&lt;'111'!$N$11),"x","")</f>
        <v>x</v>
      </c>
      <c r="U58" s="66" t="str">
        <f>IF(AND($B58&gt;='112'!$M$9,$B58&lt;='112'!$N$9,OR($O58='112'!$I$6,$P58='112'!$I$6)),"x","")</f>
        <v/>
      </c>
      <c r="V58" s="66" t="str">
        <f>IF(AND($O58='112'!$I$6,$B58&lt;'112'!$M$9),"x","")</f>
        <v/>
      </c>
      <c r="W58" s="66" t="str">
        <f>IF(AND($P58='112'!$I$6,$B58&lt;'112'!$M$9),"x","")</f>
        <v/>
      </c>
      <c r="X58" s="66" t="str">
        <f>IF(AND('131-CT'!$H$9=TH!H58,OR(O58="131",P58="131")),"x","")</f>
        <v/>
      </c>
      <c r="Y58" s="80" t="str">
        <f>IF(AND($B58&gt;='1331'!$I$9,$B58&lt;='1331'!$J$9,OR($O58=$Y$7,$P58=$Y$7)),"x","")</f>
        <v/>
      </c>
      <c r="Z58" s="80" t="str">
        <f>IF(AND($O58=$Y$7,$B58&lt;'1331'!$I$9),"x","")</f>
        <v/>
      </c>
      <c r="AA58" s="80" t="str">
        <f>IF(AND($P58=$Y$7,$B58&lt;'1331'!$I$9),"x","")</f>
        <v/>
      </c>
      <c r="AB58" s="80" t="str">
        <f>IF(AND($B58&gt;='1332'!$I$9,$B58&lt;='1332'!$I$9,OR($O58=$AB$7,$P58=$AB$7)),"x","")</f>
        <v/>
      </c>
      <c r="AC58" s="80" t="str">
        <f>IF(AND($O58=$AB$7,$B58&lt;'1332'!$I$9),"x","")</f>
        <v/>
      </c>
      <c r="AD58" s="80" t="str">
        <f>IF(AND($P58=$AB$7,$B58&lt;'1332'!$I$9),"x","")</f>
        <v/>
      </c>
      <c r="AE58" s="80" t="str">
        <f>IF(AND('341-CT'!$H$9=H58,OR(LEFT(O58,3)=$AE$7,LEFT(P58,3)=$AE$7)),"x","")</f>
        <v/>
      </c>
      <c r="AF58" s="80" t="str">
        <f>IF(OR(TH!O58=TH!$AF$7,P58=TH!$AF$7),"x","")</f>
        <v/>
      </c>
      <c r="AG58" s="80"/>
      <c r="AH58" s="80" t="str">
        <f>IF(AND(B58&gt;='IN-NX'!$P$3,B58&lt;='IN-NX'!$Q$3,'IN-NX'!$D$7=D58,OR(LEFT(L58,2)="15",AND(LEFT(M58,2)&lt;&gt;"15",LEFT(M58,2)&lt;&gt;"33"))),"x","")</f>
        <v/>
      </c>
      <c r="AI58" s="80" t="str">
        <f>IF(AND(OR(LEFT(TH!O58,2)="15",LEFT(TH!P58,2)="15"),'152-CT'!$J$8=TH!F58),"x","")</f>
        <v/>
      </c>
      <c r="AJ58" s="80" t="str">
        <f>IF(AND(OR(LEFT(TH!O58,2)="15",LEFT(TH!P58,2)="15"),'THE KHO'!$E$7=TH!F58),"x","")</f>
        <v/>
      </c>
      <c r="AK58" s="80" t="str">
        <f>IF(AND(O58="1521",MONTH(C58)='BK NL'!$M$11),"x","")</f>
        <v/>
      </c>
      <c r="AM58" s="1007">
        <v>2</v>
      </c>
    </row>
    <row r="59" spans="1:39" s="1007" customFormat="1" ht="15.75" customHeight="1">
      <c r="A59" s="362" t="str">
        <f>IF(B59&lt;&gt;"",IF(AND(B59&gt;=_TM1,B59&lt;=_TM2,OR(TH!O59="1111",TH!P59="1111")),TH!D59,""),"")</f>
        <v/>
      </c>
      <c r="B59" s="63">
        <f t="shared" si="3"/>
        <v>1</v>
      </c>
      <c r="C59" s="337">
        <v>42390</v>
      </c>
      <c r="D59" s="337" t="s">
        <v>75</v>
      </c>
      <c r="E59" s="337">
        <v>42343</v>
      </c>
      <c r="F59" s="338" t="s">
        <v>401</v>
      </c>
      <c r="G59" s="1022" t="s">
        <v>402</v>
      </c>
      <c r="H59" s="339" t="s">
        <v>403</v>
      </c>
      <c r="I59" s="476"/>
      <c r="J59" s="476"/>
      <c r="K59" s="469"/>
      <c r="L59" s="476"/>
      <c r="M59" s="65">
        <v>13804000</v>
      </c>
      <c r="N59" s="65"/>
      <c r="O59" s="340" t="s">
        <v>242</v>
      </c>
      <c r="P59" s="340" t="s">
        <v>97</v>
      </c>
      <c r="Q59" s="66" t="str">
        <f>IF(AND('331-CT'!$E$7=TH!H59,OR(O59="331",P59="331")),"x","")</f>
        <v/>
      </c>
      <c r="R59" s="66" t="str">
        <f>IF(AND($B59&gt;='111'!$N$11,$B59&lt;='111'!$O$11,OR($O59=$R$7,$P59=$R$7)),"x","")</f>
        <v/>
      </c>
      <c r="S59" s="66" t="str">
        <f>IF(AND($O59=$R$7,$B59&lt;'111'!$N$11),"x","")</f>
        <v/>
      </c>
      <c r="T59" s="66" t="str">
        <f>IF(AND($P59=$R$7,$B59&lt;'111'!$N$11),"x","")</f>
        <v>x</v>
      </c>
      <c r="U59" s="66" t="str">
        <f>IF(AND($B59&gt;='112'!$M$9,$B59&lt;='112'!$N$9,OR($O59='112'!$I$6,$P59='112'!$I$6)),"x","")</f>
        <v/>
      </c>
      <c r="V59" s="66" t="str">
        <f>IF(AND($O59='112'!$I$6,$B59&lt;'112'!$M$9),"x","")</f>
        <v/>
      </c>
      <c r="W59" s="66" t="str">
        <f>IF(AND($P59='112'!$I$6,$B59&lt;'112'!$M$9),"x","")</f>
        <v/>
      </c>
      <c r="X59" s="66" t="str">
        <f>IF(AND('131-CT'!$H$9=TH!H59,OR(O59="131",P59="131")),"x","")</f>
        <v/>
      </c>
      <c r="Y59" s="80" t="str">
        <f>IF(AND($B59&gt;='1331'!$I$9,$B59&lt;='1331'!$J$9,OR($O59=$Y$7,$P59=$Y$7)),"x","")</f>
        <v/>
      </c>
      <c r="Z59" s="80" t="str">
        <f>IF(AND($O59=$Y$7,$B59&lt;'1331'!$I$9),"x","")</f>
        <v/>
      </c>
      <c r="AA59" s="80" t="str">
        <f>IF(AND($P59=$Y$7,$B59&lt;'1331'!$I$9),"x","")</f>
        <v/>
      </c>
      <c r="AB59" s="80" t="str">
        <f>IF(AND($B59&gt;='1332'!$I$9,$B59&lt;='1332'!$I$9,OR($O59=$AB$7,$P59=$AB$7)),"x","")</f>
        <v/>
      </c>
      <c r="AC59" s="80" t="str">
        <f>IF(AND($O59=$AB$7,$B59&lt;'1332'!$I$9),"x","")</f>
        <v/>
      </c>
      <c r="AD59" s="80" t="str">
        <f>IF(AND($P59=$AB$7,$B59&lt;'1332'!$I$9),"x","")</f>
        <v/>
      </c>
      <c r="AE59" s="80" t="str">
        <f>IF(AND('341-CT'!$H$9=H59,OR(LEFT(O59,3)=$AE$7,LEFT(P59,3)=$AE$7)),"x","")</f>
        <v/>
      </c>
      <c r="AF59" s="80" t="str">
        <f>IF(OR(TH!O59=TH!$AF$7,P59=TH!$AF$7),"x","")</f>
        <v/>
      </c>
      <c r="AG59" s="80"/>
      <c r="AH59" s="80" t="str">
        <f>IF(AND(B59&gt;='IN-NX'!$P$3,B59&lt;='IN-NX'!$Q$3,'IN-NX'!$D$7=D59,OR(LEFT(L59,2)="15",AND(LEFT(M59,2)&lt;&gt;"15",LEFT(M59,2)&lt;&gt;"33"))),"x","")</f>
        <v/>
      </c>
      <c r="AI59" s="80" t="str">
        <f>IF(AND(OR(LEFT(TH!O59,2)="15",LEFT(TH!P59,2)="15"),'152-CT'!$J$8=TH!F59),"x","")</f>
        <v/>
      </c>
      <c r="AJ59" s="80" t="str">
        <f>IF(AND(OR(LEFT(TH!O59,2)="15",LEFT(TH!P59,2)="15"),'THE KHO'!$E$7=TH!F59),"x","")</f>
        <v/>
      </c>
      <c r="AK59" s="80" t="str">
        <f>IF(AND(O59="1521",MONTH(C59)='BK NL'!$M$11),"x","")</f>
        <v/>
      </c>
    </row>
    <row r="60" spans="1:39" s="1007" customFormat="1" ht="15.75" customHeight="1">
      <c r="A60" s="362" t="str">
        <f>IF(B60&lt;&gt;"",IF(AND(B60&gt;=_TM1,B60&lt;=_TM2,OR(TH!O60="1111",TH!P60="1111")),TH!D60,""),"")</f>
        <v/>
      </c>
      <c r="B60" s="63">
        <f t="shared" si="3"/>
        <v>1</v>
      </c>
      <c r="C60" s="367">
        <v>42390</v>
      </c>
      <c r="D60" s="337" t="s">
        <v>75</v>
      </c>
      <c r="E60" s="337">
        <v>42343</v>
      </c>
      <c r="F60" s="338" t="s">
        <v>404</v>
      </c>
      <c r="G60" s="1022" t="s">
        <v>402</v>
      </c>
      <c r="H60" s="339" t="s">
        <v>403</v>
      </c>
      <c r="I60" s="476"/>
      <c r="J60" s="476"/>
      <c r="K60" s="469"/>
      <c r="L60" s="476"/>
      <c r="M60" s="79">
        <v>1380400</v>
      </c>
      <c r="N60" s="79"/>
      <c r="O60" s="340" t="s">
        <v>981</v>
      </c>
      <c r="P60" s="340" t="s">
        <v>97</v>
      </c>
      <c r="Q60" s="66" t="str">
        <f>IF(AND('331-CT'!$E$7=TH!H60,OR(O60="331",P60="331")),"x","")</f>
        <v/>
      </c>
      <c r="R60" s="66" t="str">
        <f>IF(AND($B60&gt;='111'!$N$11,$B60&lt;='111'!$O$11,OR($O60=$R$7,$P60=$R$7)),"x","")</f>
        <v/>
      </c>
      <c r="S60" s="66" t="str">
        <f>IF(AND($O60=$R$7,$B60&lt;'111'!$N$11),"x","")</f>
        <v/>
      </c>
      <c r="T60" s="66" t="str">
        <f>IF(AND($P60=$R$7,$B60&lt;'111'!$N$11),"x","")</f>
        <v>x</v>
      </c>
      <c r="U60" s="66" t="str">
        <f>IF(AND($B60&gt;='112'!$M$9,$B60&lt;='112'!$N$9,OR($O60='112'!$I$6,$P60='112'!$I$6)),"x","")</f>
        <v/>
      </c>
      <c r="V60" s="66" t="str">
        <f>IF(AND($O60='112'!$I$6,$B60&lt;'112'!$M$9),"x","")</f>
        <v/>
      </c>
      <c r="W60" s="66" t="str">
        <f>IF(AND($P60='112'!$I$6,$B60&lt;'112'!$M$9),"x","")</f>
        <v/>
      </c>
      <c r="X60" s="66" t="str">
        <f>IF(AND('131-CT'!$H$9=TH!H60,OR(O60="131",P60="131")),"x","")</f>
        <v/>
      </c>
      <c r="Y60" s="80" t="str">
        <f>IF(AND($B60&gt;='1331'!$I$9,$B60&lt;='1331'!$J$9,OR($O60=$Y$7,$P60=$Y$7)),"x","")</f>
        <v/>
      </c>
      <c r="Z60" s="80" t="str">
        <f>IF(AND($O60=$Y$7,$B60&lt;'1331'!$I$9),"x","")</f>
        <v/>
      </c>
      <c r="AA60" s="80" t="str">
        <f>IF(AND($P60=$Y$7,$B60&lt;'1331'!$I$9),"x","")</f>
        <v/>
      </c>
      <c r="AB60" s="80" t="str">
        <f>IF(AND($B60&gt;='1332'!$I$9,$B60&lt;='1332'!$I$9,OR($O60=$AB$7,$P60=$AB$7)),"x","")</f>
        <v/>
      </c>
      <c r="AC60" s="80" t="str">
        <f>IF(AND($O60=$AB$7,$B60&lt;'1332'!$I$9),"x","")</f>
        <v>x</v>
      </c>
      <c r="AD60" s="80" t="str">
        <f>IF(AND($P60=$AB$7,$B60&lt;'1332'!$I$9),"x","")</f>
        <v/>
      </c>
      <c r="AE60" s="80" t="str">
        <f>IF(AND('341-CT'!$H$9=H60,OR(LEFT(O60,3)=$AE$7,LEFT(P60,3)=$AE$7)),"x","")</f>
        <v/>
      </c>
      <c r="AF60" s="80" t="str">
        <f>IF(OR(TH!O60=TH!$AF$7,P60=TH!$AF$7),"x","")</f>
        <v/>
      </c>
      <c r="AG60" s="80"/>
      <c r="AH60" s="80" t="str">
        <f>IF(AND(B60&gt;='IN-NX'!$P$3,B60&lt;='IN-NX'!$Q$3,'IN-NX'!$D$7=D60,OR(LEFT(L60,2)="15",AND(LEFT(M60,2)&lt;&gt;"15",LEFT(M60,2)&lt;&gt;"33"))),"x","")</f>
        <v/>
      </c>
      <c r="AI60" s="80" t="str">
        <f>IF(AND(OR(LEFT(TH!O60,2)="15",LEFT(TH!P60,2)="15"),'152-CT'!$J$8=TH!F60),"x","")</f>
        <v/>
      </c>
      <c r="AJ60" s="80" t="str">
        <f>IF(AND(OR(LEFT(TH!O60,2)="15",LEFT(TH!P60,2)="15"),'THE KHO'!$E$7=TH!F60),"x","")</f>
        <v/>
      </c>
      <c r="AK60" s="80" t="str">
        <f>IF(AND(O60="1521",MONTH(C60)='BK NL'!$M$11),"x","")</f>
        <v/>
      </c>
      <c r="AM60" s="1007">
        <v>2</v>
      </c>
    </row>
    <row r="61" spans="1:39" s="1007" customFormat="1" ht="15.75" customHeight="1">
      <c r="A61" s="362" t="str">
        <f>IF(B61&lt;&gt;"",IF(AND(B61&gt;=_TM1,B61&lt;=_TM2,OR(TH!O61="1111",TH!P61="1111")),TH!D61,""),"")</f>
        <v/>
      </c>
      <c r="B61" s="63">
        <f t="shared" si="3"/>
        <v>1</v>
      </c>
      <c r="C61" s="337">
        <v>42390</v>
      </c>
      <c r="D61" s="337" t="s">
        <v>76</v>
      </c>
      <c r="E61" s="337">
        <v>42390</v>
      </c>
      <c r="F61" s="338" t="s">
        <v>399</v>
      </c>
      <c r="G61" s="1022" t="s">
        <v>406</v>
      </c>
      <c r="H61" s="339" t="s">
        <v>319</v>
      </c>
      <c r="I61" s="476"/>
      <c r="J61" s="476"/>
      <c r="K61" s="469"/>
      <c r="L61" s="476"/>
      <c r="M61" s="65">
        <v>2303000</v>
      </c>
      <c r="N61" s="65"/>
      <c r="O61" s="340" t="s">
        <v>242</v>
      </c>
      <c r="P61" s="340" t="s">
        <v>97</v>
      </c>
      <c r="Q61" s="66" t="str">
        <f>IF(AND('331-CT'!$E$7=TH!H61,OR(O61="331",P61="331")),"x","")</f>
        <v/>
      </c>
      <c r="R61" s="66" t="str">
        <f>IF(AND($B61&gt;='111'!$N$11,$B61&lt;='111'!$O$11,OR($O61=$R$7,$P61=$R$7)),"x","")</f>
        <v/>
      </c>
      <c r="S61" s="66" t="str">
        <f>IF(AND($O61=$R$7,$B61&lt;'111'!$N$11),"x","")</f>
        <v/>
      </c>
      <c r="T61" s="66" t="str">
        <f>IF(AND($P61=$R$7,$B61&lt;'111'!$N$11),"x","")</f>
        <v>x</v>
      </c>
      <c r="U61" s="66" t="str">
        <f>IF(AND($B61&gt;='112'!$M$9,$B61&lt;='112'!$N$9,OR($O61='112'!$I$6,$P61='112'!$I$6)),"x","")</f>
        <v/>
      </c>
      <c r="V61" s="66" t="str">
        <f>IF(AND($O61='112'!$I$6,$B61&lt;'112'!$M$9),"x","")</f>
        <v/>
      </c>
      <c r="W61" s="66" t="str">
        <f>IF(AND($P61='112'!$I$6,$B61&lt;'112'!$M$9),"x","")</f>
        <v/>
      </c>
      <c r="X61" s="66" t="str">
        <f>IF(AND('131-CT'!$H$9=TH!H61,OR(O61="131",P61="131")),"x","")</f>
        <v/>
      </c>
      <c r="Y61" s="80" t="str">
        <f>IF(AND($B61&gt;='1331'!$I$9,$B61&lt;='1331'!$J$9,OR($O61=$Y$7,$P61=$Y$7)),"x","")</f>
        <v/>
      </c>
      <c r="Z61" s="80" t="str">
        <f>IF(AND($O61=$Y$7,$B61&lt;'1331'!$I$9),"x","")</f>
        <v/>
      </c>
      <c r="AA61" s="80" t="str">
        <f>IF(AND($P61=$Y$7,$B61&lt;'1331'!$I$9),"x","")</f>
        <v/>
      </c>
      <c r="AB61" s="80" t="str">
        <f>IF(AND($B61&gt;='1332'!$I$9,$B61&lt;='1332'!$I$9,OR($O61=$AB$7,$P61=$AB$7)),"x","")</f>
        <v/>
      </c>
      <c r="AC61" s="80" t="str">
        <f>IF(AND($O61=$AB$7,$B61&lt;'1332'!$I$9),"x","")</f>
        <v/>
      </c>
      <c r="AD61" s="80" t="str">
        <f>IF(AND($P61=$AB$7,$B61&lt;'1332'!$I$9),"x","")</f>
        <v/>
      </c>
      <c r="AE61" s="80" t="str">
        <f>IF(AND('341-CT'!$H$9=H61,OR(LEFT(O61,3)=$AE$7,LEFT(P61,3)=$AE$7)),"x","")</f>
        <v/>
      </c>
      <c r="AF61" s="80" t="str">
        <f>IF(OR(TH!O61=TH!$AF$7,P61=TH!$AF$7),"x","")</f>
        <v/>
      </c>
      <c r="AG61" s="80"/>
      <c r="AH61" s="80" t="str">
        <f>IF(AND(B61&gt;='IN-NX'!$P$3,B61&lt;='IN-NX'!$Q$3,'IN-NX'!$D$7=D61,OR(LEFT(L61,2)="15",AND(LEFT(M61,2)&lt;&gt;"15",LEFT(M61,2)&lt;&gt;"33"))),"x","")</f>
        <v/>
      </c>
      <c r="AI61" s="80" t="str">
        <f>IF(AND(OR(LEFT(TH!O61,2)="15",LEFT(TH!P61,2)="15"),'152-CT'!$J$8=TH!F61),"x","")</f>
        <v/>
      </c>
      <c r="AJ61" s="80" t="str">
        <f>IF(AND(OR(LEFT(TH!O61,2)="15",LEFT(TH!P61,2)="15"),'THE KHO'!$E$7=TH!F61),"x","")</f>
        <v/>
      </c>
      <c r="AK61" s="80" t="str">
        <f>IF(AND(O61="1521",MONTH(C61)='BK NL'!$M$11),"x","")</f>
        <v/>
      </c>
      <c r="AM61" s="1007">
        <v>2</v>
      </c>
    </row>
    <row r="62" spans="1:39" s="1007" customFormat="1" ht="15.75" customHeight="1">
      <c r="A62" s="362" t="str">
        <f>IF(B62&lt;&gt;"",IF(AND(B62&gt;=_TM1,B62&lt;=_TM2,OR(TH!O62="1111",TH!P62="1111")),TH!D62,""),"")</f>
        <v/>
      </c>
      <c r="B62" s="63">
        <f t="shared" si="3"/>
        <v>1</v>
      </c>
      <c r="C62" s="337">
        <v>42390</v>
      </c>
      <c r="D62" s="337" t="s">
        <v>77</v>
      </c>
      <c r="E62" s="337">
        <v>42390</v>
      </c>
      <c r="F62" s="338" t="s">
        <v>407</v>
      </c>
      <c r="G62" s="1022" t="s">
        <v>408</v>
      </c>
      <c r="H62" s="339" t="s">
        <v>87</v>
      </c>
      <c r="I62" s="476"/>
      <c r="J62" s="476"/>
      <c r="K62" s="469"/>
      <c r="L62" s="476"/>
      <c r="M62" s="65">
        <v>7333400</v>
      </c>
      <c r="N62" s="65"/>
      <c r="O62" s="340" t="s">
        <v>135</v>
      </c>
      <c r="P62" s="340" t="s">
        <v>97</v>
      </c>
      <c r="Q62" s="66" t="str">
        <f>IF(AND('331-CT'!$E$7=TH!H62,OR(O62="331",P62="331")),"x","")</f>
        <v/>
      </c>
      <c r="R62" s="66" t="str">
        <f>IF(AND($B62&gt;='111'!$N$11,$B62&lt;='111'!$O$11,OR($O62=$R$7,$P62=$R$7)),"x","")</f>
        <v/>
      </c>
      <c r="S62" s="66" t="str">
        <f>IF(AND($O62=$R$7,$B62&lt;'111'!$N$11),"x","")</f>
        <v/>
      </c>
      <c r="T62" s="66" t="str">
        <f>IF(AND($P62=$R$7,$B62&lt;'111'!$N$11),"x","")</f>
        <v>x</v>
      </c>
      <c r="U62" s="66" t="str">
        <f>IF(AND($B62&gt;='112'!$M$9,$B62&lt;='112'!$N$9,OR($O62='112'!$I$6,$P62='112'!$I$6)),"x","")</f>
        <v/>
      </c>
      <c r="V62" s="66" t="str">
        <f>IF(AND($O62='112'!$I$6,$B62&lt;'112'!$M$9),"x","")</f>
        <v/>
      </c>
      <c r="W62" s="66" t="str">
        <f>IF(AND($P62='112'!$I$6,$B62&lt;'112'!$M$9),"x","")</f>
        <v/>
      </c>
      <c r="X62" s="66" t="str">
        <f>IF(AND('131-CT'!$H$9=TH!H62,OR(O62="131",P62="131")),"x","")</f>
        <v/>
      </c>
      <c r="Y62" s="80" t="str">
        <f>IF(AND($B62&gt;='1331'!$I$9,$B62&lt;='1331'!$J$9,OR($O62=$Y$7,$P62=$Y$7)),"x","")</f>
        <v/>
      </c>
      <c r="Z62" s="80" t="str">
        <f>IF(AND($O62=$Y$7,$B62&lt;'1331'!$I$9),"x","")</f>
        <v/>
      </c>
      <c r="AA62" s="80" t="str">
        <f>IF(AND($P62=$Y$7,$B62&lt;'1331'!$I$9),"x","")</f>
        <v/>
      </c>
      <c r="AB62" s="80" t="str">
        <f>IF(AND($B62&gt;='1332'!$I$9,$B62&lt;='1332'!$I$9,OR($O62=$AB$7,$P62=$AB$7)),"x","")</f>
        <v/>
      </c>
      <c r="AC62" s="80" t="str">
        <f>IF(AND($O62=$AB$7,$B62&lt;'1332'!$I$9),"x","")</f>
        <v/>
      </c>
      <c r="AD62" s="80" t="str">
        <f>IF(AND($P62=$AB$7,$B62&lt;'1332'!$I$9),"x","")</f>
        <v/>
      </c>
      <c r="AE62" s="80" t="str">
        <f>IF(AND('341-CT'!$H$9=H62,OR(LEFT(O62,3)=$AE$7,LEFT(P62,3)=$AE$7)),"x","")</f>
        <v/>
      </c>
      <c r="AF62" s="80" t="str">
        <f>IF(OR(TH!O62=TH!$AF$7,P62=TH!$AF$7),"x","")</f>
        <v/>
      </c>
      <c r="AG62" s="80"/>
      <c r="AH62" s="80" t="str">
        <f>IF(AND(B62&gt;='IN-NX'!$P$3,B62&lt;='IN-NX'!$Q$3,'IN-NX'!$D$7=D62,OR(LEFT(L62,2)="15",AND(LEFT(M62,2)&lt;&gt;"15",LEFT(M62,2)&lt;&gt;"33"))),"x","")</f>
        <v/>
      </c>
      <c r="AI62" s="80" t="str">
        <f>IF(AND(OR(LEFT(TH!O62,2)="15",LEFT(TH!P62,2)="15"),'152-CT'!$J$8=TH!F62),"x","")</f>
        <v/>
      </c>
      <c r="AJ62" s="80" t="str">
        <f>IF(AND(OR(LEFT(TH!O62,2)="15",LEFT(TH!P62,2)="15"),'THE KHO'!$E$7=TH!F62),"x","")</f>
        <v/>
      </c>
      <c r="AK62" s="80" t="str">
        <f>IF(AND(O62="1521",MONTH(C62)='BK NL'!$M$11),"x","")</f>
        <v/>
      </c>
    </row>
    <row r="63" spans="1:39" s="1007" customFormat="1" ht="15.75" customHeight="1">
      <c r="A63" s="362" t="str">
        <f>IF(B63&lt;&gt;"",IF(AND(B63&gt;=_TM1,B63&lt;=_TM2,OR(TH!O63="1111",TH!P63="1111")),TH!D63,""),"")</f>
        <v/>
      </c>
      <c r="B63" s="63">
        <f t="shared" si="3"/>
        <v>1</v>
      </c>
      <c r="C63" s="367">
        <v>42390</v>
      </c>
      <c r="D63" s="337" t="s">
        <v>77</v>
      </c>
      <c r="E63" s="337">
        <v>42390</v>
      </c>
      <c r="F63" s="338" t="s">
        <v>409</v>
      </c>
      <c r="G63" s="1022" t="s">
        <v>408</v>
      </c>
      <c r="H63" s="339" t="s">
        <v>87</v>
      </c>
      <c r="I63" s="476"/>
      <c r="J63" s="476"/>
      <c r="K63" s="469"/>
      <c r="L63" s="476"/>
      <c r="M63" s="88">
        <v>366670</v>
      </c>
      <c r="N63" s="88"/>
      <c r="O63" s="1024" t="s">
        <v>10</v>
      </c>
      <c r="P63" s="340" t="s">
        <v>97</v>
      </c>
      <c r="Q63" s="66" t="str">
        <f>IF(AND('331-CT'!$E$7=TH!H63,OR(O63="331",P63="331")),"x","")</f>
        <v/>
      </c>
      <c r="R63" s="66" t="str">
        <f>IF(AND($B63&gt;='111'!$N$11,$B63&lt;='111'!$O$11,OR($O63=$R$7,$P63=$R$7)),"x","")</f>
        <v/>
      </c>
      <c r="S63" s="66" t="str">
        <f>IF(AND($O63=$R$7,$B63&lt;'111'!$N$11),"x","")</f>
        <v/>
      </c>
      <c r="T63" s="66" t="str">
        <f>IF(AND($P63=$R$7,$B63&lt;'111'!$N$11),"x","")</f>
        <v>x</v>
      </c>
      <c r="U63" s="66" t="str">
        <f>IF(AND($B63&gt;='112'!$M$9,$B63&lt;='112'!$N$9,OR($O63='112'!$I$6,$P63='112'!$I$6)),"x","")</f>
        <v/>
      </c>
      <c r="V63" s="66" t="str">
        <f>IF(AND($O63='112'!$I$6,$B63&lt;'112'!$M$9),"x","")</f>
        <v/>
      </c>
      <c r="W63" s="66" t="str">
        <f>IF(AND($P63='112'!$I$6,$B63&lt;'112'!$M$9),"x","")</f>
        <v/>
      </c>
      <c r="X63" s="66" t="str">
        <f>IF(AND('131-CT'!$H$9=TH!H63,OR(O63="131",P63="131")),"x","")</f>
        <v/>
      </c>
      <c r="Y63" s="80" t="str">
        <f>IF(AND($B63&gt;='1331'!$I$9,$B63&lt;='1331'!$J$9,OR($O63=$Y$7,$P63=$Y$7)),"x","")</f>
        <v/>
      </c>
      <c r="Z63" s="80" t="str">
        <f>IF(AND($O63=$Y$7,$B63&lt;'1331'!$I$9),"x","")</f>
        <v>x</v>
      </c>
      <c r="AA63" s="80" t="str">
        <f>IF(AND($P63=$Y$7,$B63&lt;'1331'!$I$9),"x","")</f>
        <v/>
      </c>
      <c r="AB63" s="80" t="str">
        <f>IF(AND($B63&gt;='1332'!$I$9,$B63&lt;='1332'!$I$9,OR($O63=$AB$7,$P63=$AB$7)),"x","")</f>
        <v/>
      </c>
      <c r="AC63" s="80" t="str">
        <f>IF(AND($O63=$AB$7,$B63&lt;'1332'!$I$9),"x","")</f>
        <v/>
      </c>
      <c r="AD63" s="80" t="str">
        <f>IF(AND($P63=$AB$7,$B63&lt;'1332'!$I$9),"x","")</f>
        <v/>
      </c>
      <c r="AE63" s="80" t="str">
        <f>IF(AND('341-CT'!$H$9=H63,OR(LEFT(O63,3)=$AE$7,LEFT(P63,3)=$AE$7)),"x","")</f>
        <v/>
      </c>
      <c r="AF63" s="80" t="str">
        <f>IF(OR(TH!O63=TH!$AF$7,P63=TH!$AF$7),"x","")</f>
        <v/>
      </c>
      <c r="AG63" s="80"/>
      <c r="AH63" s="80" t="str">
        <f>IF(AND(B63&gt;='IN-NX'!$P$3,B63&lt;='IN-NX'!$Q$3,'IN-NX'!$D$7=D63,OR(LEFT(L63,2)="15",AND(LEFT(M63,2)&lt;&gt;"15",LEFT(M63,2)&lt;&gt;"33"))),"x","")</f>
        <v/>
      </c>
      <c r="AI63" s="80" t="str">
        <f>IF(AND(OR(LEFT(TH!O63,2)="15",LEFT(TH!P63,2)="15"),'152-CT'!$J$8=TH!F63),"x","")</f>
        <v/>
      </c>
      <c r="AJ63" s="80" t="str">
        <f>IF(AND(OR(LEFT(TH!O63,2)="15",LEFT(TH!P63,2)="15"),'THE KHO'!$E$7=TH!F63),"x","")</f>
        <v/>
      </c>
      <c r="AK63" s="80" t="str">
        <f>IF(AND(O63="1521",MONTH(C63)='BK NL'!$M$11),"x","")</f>
        <v/>
      </c>
    </row>
    <row r="64" spans="1:39" s="1007" customFormat="1" ht="15.75" customHeight="1">
      <c r="A64" s="362" t="str">
        <f>IF(B64&lt;&gt;"",IF(AND(B64&gt;=_TM1,B64&lt;=_TM2,OR(TH!O64="1111",TH!P64="1111")),TH!D64,""),"")</f>
        <v/>
      </c>
      <c r="B64" s="63">
        <f t="shared" si="3"/>
        <v>1</v>
      </c>
      <c r="C64" s="367">
        <v>42390</v>
      </c>
      <c r="D64" s="337" t="s">
        <v>8</v>
      </c>
      <c r="E64" s="337">
        <v>42390</v>
      </c>
      <c r="F64" s="338" t="s">
        <v>405</v>
      </c>
      <c r="G64" s="1022" t="s">
        <v>798</v>
      </c>
      <c r="H64" s="339" t="s">
        <v>166</v>
      </c>
      <c r="I64" s="476"/>
      <c r="J64" s="476"/>
      <c r="K64" s="469"/>
      <c r="L64" s="476"/>
      <c r="M64" s="65">
        <v>8187032</v>
      </c>
      <c r="N64" s="65"/>
      <c r="O64" s="340" t="s">
        <v>133</v>
      </c>
      <c r="P64" s="340" t="s">
        <v>31</v>
      </c>
      <c r="Q64" s="66" t="str">
        <f>IF(AND('331-CT'!$E$7=TH!H64,OR(O64="331",P64="331")),"x","")</f>
        <v/>
      </c>
      <c r="R64" s="66" t="str">
        <f>IF(AND($B64&gt;='111'!$N$11,$B64&lt;='111'!$O$11,OR($O64=$R$7,$P64=$R$7)),"x","")</f>
        <v/>
      </c>
      <c r="S64" s="66" t="str">
        <f>IF(AND($O64=$R$7,$B64&lt;'111'!$N$11),"x","")</f>
        <v/>
      </c>
      <c r="T64" s="66" t="str">
        <f>IF(AND($P64=$R$7,$B64&lt;'111'!$N$11),"x","")</f>
        <v/>
      </c>
      <c r="U64" s="66" t="str">
        <f>IF(AND($B64&gt;='112'!$M$9,$B64&lt;='112'!$N$9,OR($O64='112'!$I$6,$P64='112'!$I$6)),"x","")</f>
        <v/>
      </c>
      <c r="V64" s="66" t="str">
        <f>IF(AND($O64='112'!$I$6,$B64&lt;'112'!$M$9),"x","")</f>
        <v/>
      </c>
      <c r="W64" s="66" t="str">
        <f>IF(AND($P64='112'!$I$6,$B64&lt;'112'!$M$9),"x","")</f>
        <v>x</v>
      </c>
      <c r="X64" s="66" t="str">
        <f>IF(AND('131-CT'!$H$9=TH!H64,OR(O64="131",P64="131")),"x","")</f>
        <v/>
      </c>
      <c r="Y64" s="80" t="str">
        <f>IF(AND($B64&gt;='1331'!$I$9,$B64&lt;='1331'!$J$9,OR($O64=$Y$7,$P64=$Y$7)),"x","")</f>
        <v/>
      </c>
      <c r="Z64" s="80" t="str">
        <f>IF(AND($O64=$Y$7,$B64&lt;'1331'!$I$9),"x","")</f>
        <v/>
      </c>
      <c r="AA64" s="80" t="str">
        <f>IF(AND($P64=$Y$7,$B64&lt;'1331'!$I$9),"x","")</f>
        <v/>
      </c>
      <c r="AB64" s="80" t="str">
        <f>IF(AND($B64&gt;='1332'!$I$9,$B64&lt;='1332'!$I$9,OR($O64=$AB$7,$P64=$AB$7)),"x","")</f>
        <v/>
      </c>
      <c r="AC64" s="80" t="str">
        <f>IF(AND($O64=$AB$7,$B64&lt;'1332'!$I$9),"x","")</f>
        <v/>
      </c>
      <c r="AD64" s="80" t="str">
        <f>IF(AND($P64=$AB$7,$B64&lt;'1332'!$I$9),"x","")</f>
        <v/>
      </c>
      <c r="AE64" s="80" t="str">
        <f>IF(AND('341-CT'!$H$9=H64,OR(LEFT(O64,3)=$AE$7,LEFT(P64,3)=$AE$7)),"x","")</f>
        <v/>
      </c>
      <c r="AF64" s="80" t="str">
        <f>IF(OR(TH!O64=TH!$AF$7,P64=TH!$AF$7),"x","")</f>
        <v/>
      </c>
      <c r="AG64" s="80"/>
      <c r="AH64" s="80" t="str">
        <f>IF(AND(B64&gt;='IN-NX'!$P$3,B64&lt;='IN-NX'!$Q$3,'IN-NX'!$D$7=D64,OR(LEFT(L64,2)="15",AND(LEFT(M64,2)&lt;&gt;"15",LEFT(M64,2)&lt;&gt;"33"))),"x","")</f>
        <v/>
      </c>
      <c r="AI64" s="80" t="str">
        <f>IF(AND(OR(LEFT(TH!O64,2)="15",LEFT(TH!P64,2)="15"),'152-CT'!$J$8=TH!F64),"x","")</f>
        <v/>
      </c>
      <c r="AJ64" s="80" t="str">
        <f>IF(AND(OR(LEFT(TH!O64,2)="15",LEFT(TH!P64,2)="15"),'THE KHO'!$E$7=TH!F64),"x","")</f>
        <v/>
      </c>
      <c r="AK64" s="80" t="str">
        <f>IF(AND(O64="1521",MONTH(C64)='BK NL'!$M$11),"x","")</f>
        <v/>
      </c>
    </row>
    <row r="65" spans="1:39" s="1007" customFormat="1" ht="15.75" customHeight="1">
      <c r="A65" s="362" t="str">
        <f>IF(B65&lt;&gt;"",IF(AND(B65&gt;=_TM1,B65&lt;=_TM2,OR(TH!O65="1111",TH!P65="1111")),TH!D65,""),"")</f>
        <v/>
      </c>
      <c r="B65" s="63">
        <f t="shared" si="3"/>
        <v>1</v>
      </c>
      <c r="C65" s="367">
        <v>42390</v>
      </c>
      <c r="D65" s="337" t="s">
        <v>8</v>
      </c>
      <c r="E65" s="337">
        <v>42390</v>
      </c>
      <c r="F65" s="338" t="s">
        <v>405</v>
      </c>
      <c r="G65" s="1022" t="s">
        <v>798</v>
      </c>
      <c r="H65" s="339" t="s">
        <v>167</v>
      </c>
      <c r="I65" s="476"/>
      <c r="J65" s="476"/>
      <c r="K65" s="469"/>
      <c r="L65" s="476"/>
      <c r="M65" s="65">
        <v>16374064</v>
      </c>
      <c r="N65" s="65"/>
      <c r="O65" s="1024" t="s">
        <v>133</v>
      </c>
      <c r="P65" s="340" t="s">
        <v>31</v>
      </c>
      <c r="Q65" s="66" t="str">
        <f>IF(AND('331-CT'!$E$7=TH!H65,OR(O65="331",P65="331")),"x","")</f>
        <v/>
      </c>
      <c r="R65" s="66" t="str">
        <f>IF(AND($B65&gt;='111'!$N$11,$B65&lt;='111'!$O$11,OR($O65=$R$7,$P65=$R$7)),"x","")</f>
        <v/>
      </c>
      <c r="S65" s="66" t="str">
        <f>IF(AND($O65=$R$7,$B65&lt;'111'!$N$11),"x","")</f>
        <v/>
      </c>
      <c r="T65" s="66" t="str">
        <f>IF(AND($P65=$R$7,$B65&lt;'111'!$N$11),"x","")</f>
        <v/>
      </c>
      <c r="U65" s="66" t="str">
        <f>IF(AND($B65&gt;='112'!$M$9,$B65&lt;='112'!$N$9,OR($O65='112'!$I$6,$P65='112'!$I$6)),"x","")</f>
        <v/>
      </c>
      <c r="V65" s="66" t="str">
        <f>IF(AND($O65='112'!$I$6,$B65&lt;'112'!$M$9),"x","")</f>
        <v/>
      </c>
      <c r="W65" s="66" t="str">
        <f>IF(AND($P65='112'!$I$6,$B65&lt;'112'!$M$9),"x","")</f>
        <v>x</v>
      </c>
      <c r="X65" s="66" t="str">
        <f>IF(AND('131-CT'!$H$9=TH!H65,OR(O65="131",P65="131")),"x","")</f>
        <v/>
      </c>
      <c r="Y65" s="80" t="str">
        <f>IF(AND($B65&gt;='1331'!$I$9,$B65&lt;='1331'!$J$9,OR($O65=$Y$7,$P65=$Y$7)),"x","")</f>
        <v/>
      </c>
      <c r="Z65" s="80" t="str">
        <f>IF(AND($O65=$Y$7,$B65&lt;'1331'!$I$9),"x","")</f>
        <v/>
      </c>
      <c r="AA65" s="80" t="str">
        <f>IF(AND($P65=$Y$7,$B65&lt;'1331'!$I$9),"x","")</f>
        <v/>
      </c>
      <c r="AB65" s="80" t="str">
        <f>IF(AND($B65&gt;='1332'!$I$9,$B65&lt;='1332'!$I$9,OR($O65=$AB$7,$P65=$AB$7)),"x","")</f>
        <v/>
      </c>
      <c r="AC65" s="80" t="str">
        <f>IF(AND($O65=$AB$7,$B65&lt;'1332'!$I$9),"x","")</f>
        <v/>
      </c>
      <c r="AD65" s="80" t="str">
        <f>IF(AND($P65=$AB$7,$B65&lt;'1332'!$I$9),"x","")</f>
        <v/>
      </c>
      <c r="AE65" s="80" t="str">
        <f>IF(AND('341-CT'!$H$9=H65,OR(LEFT(O65,3)=$AE$7,LEFT(P65,3)=$AE$7)),"x","")</f>
        <v/>
      </c>
      <c r="AF65" s="80" t="str">
        <f>IF(OR(TH!O65=TH!$AF$7,P65=TH!$AF$7),"x","")</f>
        <v/>
      </c>
      <c r="AG65" s="80"/>
      <c r="AH65" s="80" t="str">
        <f>IF(AND(B65&gt;='IN-NX'!$P$3,B65&lt;='IN-NX'!$Q$3,'IN-NX'!$D$7=D65,OR(LEFT(L65,2)="15",AND(LEFT(M65,2)&lt;&gt;"15",LEFT(M65,2)&lt;&gt;"33"))),"x","")</f>
        <v/>
      </c>
      <c r="AI65" s="80" t="str">
        <f>IF(AND(OR(LEFT(TH!O65,2)="15",LEFT(TH!P65,2)="15"),'152-CT'!$J$8=TH!F65),"x","")</f>
        <v/>
      </c>
      <c r="AJ65" s="80" t="str">
        <f>IF(AND(OR(LEFT(TH!O65,2)="15",LEFT(TH!P65,2)="15"),'THE KHO'!$E$7=TH!F65),"x","")</f>
        <v/>
      </c>
      <c r="AK65" s="80" t="str">
        <f>IF(AND(O65="1521",MONTH(C65)='BK NL'!$M$11),"x","")</f>
        <v/>
      </c>
    </row>
    <row r="66" spans="1:39" s="1007" customFormat="1" ht="15.75" customHeight="1">
      <c r="A66" s="362" t="str">
        <f>IF(B66&lt;&gt;"",IF(AND(B66&gt;=_TM1,B66&lt;=_TM2,OR(TH!O66="1111",TH!P66="1111")),TH!D66,""),"")</f>
        <v/>
      </c>
      <c r="B66" s="63">
        <f t="shared" si="3"/>
        <v>1</v>
      </c>
      <c r="C66" s="367">
        <v>42391</v>
      </c>
      <c r="D66" s="337" t="s">
        <v>78</v>
      </c>
      <c r="E66" s="337">
        <v>42391</v>
      </c>
      <c r="F66" s="338" t="s">
        <v>410</v>
      </c>
      <c r="G66" s="1022" t="s">
        <v>798</v>
      </c>
      <c r="H66" s="339" t="s">
        <v>160</v>
      </c>
      <c r="I66" s="476"/>
      <c r="J66" s="476"/>
      <c r="K66" s="469"/>
      <c r="L66" s="476"/>
      <c r="M66" s="65">
        <v>170000000</v>
      </c>
      <c r="N66" s="65"/>
      <c r="O66" s="1024" t="s">
        <v>31</v>
      </c>
      <c r="P66" s="340" t="s">
        <v>97</v>
      </c>
      <c r="Q66" s="66" t="str">
        <f>IF(AND('331-CT'!$E$7=TH!H66,OR(O66="331",P66="331")),"x","")</f>
        <v/>
      </c>
      <c r="R66" s="66" t="str">
        <f>IF(AND($B66&gt;='111'!$N$11,$B66&lt;='111'!$O$11,OR($O66=$R$7,$P66=$R$7)),"x","")</f>
        <v/>
      </c>
      <c r="S66" s="66" t="str">
        <f>IF(AND($O66=$R$7,$B66&lt;'111'!$N$11),"x","")</f>
        <v/>
      </c>
      <c r="T66" s="66" t="str">
        <f>IF(AND($P66=$R$7,$B66&lt;'111'!$N$11),"x","")</f>
        <v>x</v>
      </c>
      <c r="U66" s="66" t="str">
        <f>IF(AND($B66&gt;='112'!$M$9,$B66&lt;='112'!$N$9,OR($O66='112'!$I$6,$P66='112'!$I$6)),"x","")</f>
        <v/>
      </c>
      <c r="V66" s="66" t="str">
        <f>IF(AND($O66='112'!$I$6,$B66&lt;'112'!$M$9),"x","")</f>
        <v>x</v>
      </c>
      <c r="W66" s="66" t="str">
        <f>IF(AND($P66='112'!$I$6,$B66&lt;'112'!$M$9),"x","")</f>
        <v/>
      </c>
      <c r="X66" s="66" t="str">
        <f>IF(AND('131-CT'!$H$9=TH!H66,OR(O66="131",P66="131")),"x","")</f>
        <v/>
      </c>
      <c r="Y66" s="80" t="str">
        <f>IF(AND($B66&gt;='1331'!$I$9,$B66&lt;='1331'!$J$9,OR($O66=$Y$7,$P66=$Y$7)),"x","")</f>
        <v/>
      </c>
      <c r="Z66" s="80" t="str">
        <f>IF(AND($O66=$Y$7,$B66&lt;'1331'!$I$9),"x","")</f>
        <v/>
      </c>
      <c r="AA66" s="80" t="str">
        <f>IF(AND($P66=$Y$7,$B66&lt;'1331'!$I$9),"x","")</f>
        <v/>
      </c>
      <c r="AB66" s="80" t="str">
        <f>IF(AND($B66&gt;='1332'!$I$9,$B66&lt;='1332'!$I$9,OR($O66=$AB$7,$P66=$AB$7)),"x","")</f>
        <v/>
      </c>
      <c r="AC66" s="80" t="str">
        <f>IF(AND($O66=$AB$7,$B66&lt;'1332'!$I$9),"x","")</f>
        <v/>
      </c>
      <c r="AD66" s="80" t="str">
        <f>IF(AND($P66=$AB$7,$B66&lt;'1332'!$I$9),"x","")</f>
        <v/>
      </c>
      <c r="AE66" s="80" t="str">
        <f>IF(AND('341-CT'!$H$9=H66,OR(LEFT(O66,3)=$AE$7,LEFT(P66,3)=$AE$7)),"x","")</f>
        <v/>
      </c>
      <c r="AF66" s="80" t="str">
        <f>IF(OR(TH!O66=TH!$AF$7,P66=TH!$AF$7),"x","")</f>
        <v/>
      </c>
      <c r="AG66" s="80"/>
      <c r="AH66" s="80" t="str">
        <f>IF(AND(B66&gt;='IN-NX'!$P$3,B66&lt;='IN-NX'!$Q$3,'IN-NX'!$D$7=D66,OR(LEFT(L66,2)="15",AND(LEFT(M66,2)&lt;&gt;"15",LEFT(M66,2)&lt;&gt;"33"))),"x","")</f>
        <v/>
      </c>
      <c r="AI66" s="80" t="str">
        <f>IF(AND(OR(LEFT(TH!O66,2)="15",LEFT(TH!P66,2)="15"),'152-CT'!$J$8=TH!F66),"x","")</f>
        <v/>
      </c>
      <c r="AJ66" s="80" t="str">
        <f>IF(AND(OR(LEFT(TH!O66,2)="15",LEFT(TH!P66,2)="15"),'THE KHO'!$E$7=TH!F66),"x","")</f>
        <v/>
      </c>
      <c r="AK66" s="80" t="str">
        <f>IF(AND(O66="1521",MONTH(C66)='BK NL'!$M$11),"x","")</f>
        <v/>
      </c>
      <c r="AM66" s="1007">
        <v>2</v>
      </c>
    </row>
    <row r="67" spans="1:39" s="1007" customFormat="1" ht="15.75" customHeight="1">
      <c r="A67" s="362" t="str">
        <f>IF(B67&lt;&gt;"",IF(AND(B67&gt;=_TM1,B67&lt;=_TM2,OR(TH!O67="1111",TH!P67="1111")),TH!D67,""),"")</f>
        <v/>
      </c>
      <c r="B67" s="63">
        <f t="shared" si="3"/>
        <v>1</v>
      </c>
      <c r="C67" s="337">
        <v>42391</v>
      </c>
      <c r="D67" s="337" t="s">
        <v>79</v>
      </c>
      <c r="E67" s="337">
        <v>42391</v>
      </c>
      <c r="F67" s="338" t="s">
        <v>411</v>
      </c>
      <c r="G67" s="1022" t="s">
        <v>412</v>
      </c>
      <c r="H67" s="339" t="s">
        <v>323</v>
      </c>
      <c r="I67" s="476"/>
      <c r="J67" s="476"/>
      <c r="K67" s="469"/>
      <c r="L67" s="476"/>
      <c r="M67" s="65">
        <v>3195000</v>
      </c>
      <c r="N67" s="65"/>
      <c r="O67" s="340" t="s">
        <v>242</v>
      </c>
      <c r="P67" s="340" t="s">
        <v>97</v>
      </c>
      <c r="Q67" s="66" t="str">
        <f>IF(AND('331-CT'!$E$7=TH!H67,OR(O67="331",P67="331")),"x","")</f>
        <v/>
      </c>
      <c r="R67" s="66" t="str">
        <f>IF(AND($B67&gt;='111'!$N$11,$B67&lt;='111'!$O$11,OR($O67=$R$7,$P67=$R$7)),"x","")</f>
        <v/>
      </c>
      <c r="S67" s="66" t="str">
        <f>IF(AND($O67=$R$7,$B67&lt;'111'!$N$11),"x","")</f>
        <v/>
      </c>
      <c r="T67" s="66" t="str">
        <f>IF(AND($P67=$R$7,$B67&lt;'111'!$N$11),"x","")</f>
        <v>x</v>
      </c>
      <c r="U67" s="66" t="str">
        <f>IF(AND($B67&gt;='112'!$M$9,$B67&lt;='112'!$N$9,OR($O67='112'!$I$6,$P67='112'!$I$6)),"x","")</f>
        <v/>
      </c>
      <c r="V67" s="66" t="str">
        <f>IF(AND($O67='112'!$I$6,$B67&lt;'112'!$M$9),"x","")</f>
        <v/>
      </c>
      <c r="W67" s="66" t="str">
        <f>IF(AND($P67='112'!$I$6,$B67&lt;'112'!$M$9),"x","")</f>
        <v/>
      </c>
      <c r="X67" s="66" t="str">
        <f>IF(AND('131-CT'!$H$9=TH!H67,OR(O67="131",P67="131")),"x","")</f>
        <v/>
      </c>
      <c r="Y67" s="80" t="str">
        <f>IF(AND($B67&gt;='1331'!$I$9,$B67&lt;='1331'!$J$9,OR($O67=$Y$7,$P67=$Y$7)),"x","")</f>
        <v/>
      </c>
      <c r="Z67" s="80" t="str">
        <f>IF(AND($O67=$Y$7,$B67&lt;'1331'!$I$9),"x","")</f>
        <v/>
      </c>
      <c r="AA67" s="80" t="str">
        <f>IF(AND($P67=$Y$7,$B67&lt;'1331'!$I$9),"x","")</f>
        <v/>
      </c>
      <c r="AB67" s="80" t="str">
        <f>IF(AND($B67&gt;='1332'!$I$9,$B67&lt;='1332'!$I$9,OR($O67=$AB$7,$P67=$AB$7)),"x","")</f>
        <v/>
      </c>
      <c r="AC67" s="80" t="str">
        <f>IF(AND($O67=$AB$7,$B67&lt;'1332'!$I$9),"x","")</f>
        <v/>
      </c>
      <c r="AD67" s="80" t="str">
        <f>IF(AND($P67=$AB$7,$B67&lt;'1332'!$I$9),"x","")</f>
        <v/>
      </c>
      <c r="AE67" s="80" t="str">
        <f>IF(AND('341-CT'!$H$9=H67,OR(LEFT(O67,3)=$AE$7,LEFT(P67,3)=$AE$7)),"x","")</f>
        <v/>
      </c>
      <c r="AF67" s="80" t="str">
        <f>IF(OR(TH!O67=TH!$AF$7,P67=TH!$AF$7),"x","")</f>
        <v/>
      </c>
      <c r="AG67" s="80"/>
      <c r="AH67" s="80" t="str">
        <f>IF(AND(B67&gt;='IN-NX'!$P$3,B67&lt;='IN-NX'!$Q$3,'IN-NX'!$D$7=D67,OR(LEFT(L67,2)="15",AND(LEFT(M67,2)&lt;&gt;"15",LEFT(M67,2)&lt;&gt;"33"))),"x","")</f>
        <v/>
      </c>
      <c r="AI67" s="80" t="str">
        <f>IF(AND(OR(LEFT(TH!O67,2)="15",LEFT(TH!P67,2)="15"),'152-CT'!$J$8=TH!F67),"x","")</f>
        <v/>
      </c>
      <c r="AJ67" s="80" t="str">
        <f>IF(AND(OR(LEFT(TH!O67,2)="15",LEFT(TH!P67,2)="15"),'THE KHO'!$E$7=TH!F67),"x","")</f>
        <v/>
      </c>
      <c r="AK67" s="80" t="str">
        <f>IF(AND(O67="1521",MONTH(C67)='BK NL'!$M$11),"x","")</f>
        <v/>
      </c>
      <c r="AM67" s="1007">
        <v>2</v>
      </c>
    </row>
    <row r="68" spans="1:39" s="1007" customFormat="1" ht="15.75" customHeight="1">
      <c r="A68" s="362" t="str">
        <f>IF(B68&lt;&gt;"",IF(AND(B68&gt;=_TM1,B68&lt;=_TM2,OR(TH!O68="1111",TH!P68="1111")),TH!D68,""),"")</f>
        <v/>
      </c>
      <c r="B68" s="63">
        <f t="shared" si="3"/>
        <v>1</v>
      </c>
      <c r="C68" s="337">
        <v>42391</v>
      </c>
      <c r="D68" s="337" t="s">
        <v>8</v>
      </c>
      <c r="E68" s="337">
        <v>42391</v>
      </c>
      <c r="F68" s="338" t="s">
        <v>405</v>
      </c>
      <c r="G68" s="1022" t="s">
        <v>798</v>
      </c>
      <c r="H68" s="339" t="s">
        <v>169</v>
      </c>
      <c r="I68" s="476"/>
      <c r="J68" s="476"/>
      <c r="K68" s="469"/>
      <c r="L68" s="476"/>
      <c r="M68" s="65">
        <v>13104432</v>
      </c>
      <c r="N68" s="65"/>
      <c r="O68" s="340" t="s">
        <v>133</v>
      </c>
      <c r="P68" s="340" t="s">
        <v>31</v>
      </c>
      <c r="Q68" s="66" t="str">
        <f>IF(AND('331-CT'!$E$7=TH!H68,OR(O68="331",P68="331")),"x","")</f>
        <v/>
      </c>
      <c r="R68" s="66" t="str">
        <f>IF(AND($B68&gt;='111'!$N$11,$B68&lt;='111'!$O$11,OR($O68=$R$7,$P68=$R$7)),"x","")</f>
        <v/>
      </c>
      <c r="S68" s="66" t="str">
        <f>IF(AND($O68=$R$7,$B68&lt;'111'!$N$11),"x","")</f>
        <v/>
      </c>
      <c r="T68" s="66" t="str">
        <f>IF(AND($P68=$R$7,$B68&lt;'111'!$N$11),"x","")</f>
        <v/>
      </c>
      <c r="U68" s="66" t="str">
        <f>IF(AND($B68&gt;='112'!$M$9,$B68&lt;='112'!$N$9,OR($O68='112'!$I$6,$P68='112'!$I$6)),"x","")</f>
        <v/>
      </c>
      <c r="V68" s="66" t="str">
        <f>IF(AND($O68='112'!$I$6,$B68&lt;'112'!$M$9),"x","")</f>
        <v/>
      </c>
      <c r="W68" s="66" t="str">
        <f>IF(AND($P68='112'!$I$6,$B68&lt;'112'!$M$9),"x","")</f>
        <v>x</v>
      </c>
      <c r="X68" s="66" t="str">
        <f>IF(AND('131-CT'!$H$9=TH!H68,OR(O68="131",P68="131")),"x","")</f>
        <v/>
      </c>
      <c r="Y68" s="80" t="str">
        <f>IF(AND($B68&gt;='1331'!$I$9,$B68&lt;='1331'!$J$9,OR($O68=$Y$7,$P68=$Y$7)),"x","")</f>
        <v/>
      </c>
      <c r="Z68" s="80" t="str">
        <f>IF(AND($O68=$Y$7,$B68&lt;'1331'!$I$9),"x","")</f>
        <v/>
      </c>
      <c r="AA68" s="80" t="str">
        <f>IF(AND($P68=$Y$7,$B68&lt;'1331'!$I$9),"x","")</f>
        <v/>
      </c>
      <c r="AB68" s="80" t="str">
        <f>IF(AND($B68&gt;='1332'!$I$9,$B68&lt;='1332'!$I$9,OR($O68=$AB$7,$P68=$AB$7)),"x","")</f>
        <v/>
      </c>
      <c r="AC68" s="80" t="str">
        <f>IF(AND($O68=$AB$7,$B68&lt;'1332'!$I$9),"x","")</f>
        <v/>
      </c>
      <c r="AD68" s="80" t="str">
        <f>IF(AND($P68=$AB$7,$B68&lt;'1332'!$I$9),"x","")</f>
        <v/>
      </c>
      <c r="AE68" s="80" t="str">
        <f>IF(AND('341-CT'!$H$9=H68,OR(LEFT(O68,3)=$AE$7,LEFT(P68,3)=$AE$7)),"x","")</f>
        <v/>
      </c>
      <c r="AF68" s="80" t="str">
        <f>IF(OR(TH!O68=TH!$AF$7,P68=TH!$AF$7),"x","")</f>
        <v/>
      </c>
      <c r="AG68" s="80"/>
      <c r="AH68" s="80" t="str">
        <f>IF(AND(B68&gt;='IN-NX'!$P$3,B68&lt;='IN-NX'!$Q$3,'IN-NX'!$D$7=D68,OR(LEFT(L68,2)="15",AND(LEFT(M68,2)&lt;&gt;"15",LEFT(M68,2)&lt;&gt;"33"))),"x","")</f>
        <v/>
      </c>
      <c r="AI68" s="80" t="str">
        <f>IF(AND(OR(LEFT(TH!O68,2)="15",LEFT(TH!P68,2)="15"),'152-CT'!$J$8=TH!F68),"x","")</f>
        <v/>
      </c>
      <c r="AJ68" s="80" t="str">
        <f>IF(AND(OR(LEFT(TH!O68,2)="15",LEFT(TH!P68,2)="15"),'THE KHO'!$E$7=TH!F68),"x","")</f>
        <v/>
      </c>
      <c r="AK68" s="80" t="str">
        <f>IF(AND(O68="1521",MONTH(C68)='BK NL'!$M$11),"x","")</f>
        <v/>
      </c>
      <c r="AM68" s="1007">
        <v>2</v>
      </c>
    </row>
    <row r="69" spans="1:39" s="1007" customFormat="1" ht="15.75" customHeight="1">
      <c r="A69" s="362" t="str">
        <f>IF(B69&lt;&gt;"",IF(AND(B69&gt;=_TM1,B69&lt;=_TM2,OR(TH!O69="1111",TH!P69="1111")),TH!D69,""),"")</f>
        <v/>
      </c>
      <c r="B69" s="63">
        <f t="shared" si="3"/>
        <v>1</v>
      </c>
      <c r="C69" s="337">
        <v>42391</v>
      </c>
      <c r="D69" s="337" t="s">
        <v>8</v>
      </c>
      <c r="E69" s="337">
        <v>42391</v>
      </c>
      <c r="F69" s="338" t="s">
        <v>405</v>
      </c>
      <c r="G69" s="1022" t="s">
        <v>798</v>
      </c>
      <c r="H69" s="339" t="s">
        <v>168</v>
      </c>
      <c r="I69" s="476"/>
      <c r="J69" s="476"/>
      <c r="K69" s="469"/>
      <c r="L69" s="476"/>
      <c r="M69" s="65">
        <v>12285405</v>
      </c>
      <c r="N69" s="65"/>
      <c r="O69" s="340" t="s">
        <v>133</v>
      </c>
      <c r="P69" s="340" t="s">
        <v>31</v>
      </c>
      <c r="Q69" s="66" t="str">
        <f>IF(AND('331-CT'!$E$7=TH!H69,OR(O69="331",P69="331")),"x","")</f>
        <v/>
      </c>
      <c r="R69" s="66" t="str">
        <f>IF(AND($B69&gt;='111'!$N$11,$B69&lt;='111'!$O$11,OR($O69=$R$7,$P69=$R$7)),"x","")</f>
        <v/>
      </c>
      <c r="S69" s="66" t="str">
        <f>IF(AND($O69=$R$7,$B69&lt;'111'!$N$11),"x","")</f>
        <v/>
      </c>
      <c r="T69" s="66" t="str">
        <f>IF(AND($P69=$R$7,$B69&lt;'111'!$N$11),"x","")</f>
        <v/>
      </c>
      <c r="U69" s="66" t="str">
        <f>IF(AND($B69&gt;='112'!$M$9,$B69&lt;='112'!$N$9,OR($O69='112'!$I$6,$P69='112'!$I$6)),"x","")</f>
        <v/>
      </c>
      <c r="V69" s="66" t="str">
        <f>IF(AND($O69='112'!$I$6,$B69&lt;'112'!$M$9),"x","")</f>
        <v/>
      </c>
      <c r="W69" s="66" t="str">
        <f>IF(AND($P69='112'!$I$6,$B69&lt;'112'!$M$9),"x","")</f>
        <v>x</v>
      </c>
      <c r="X69" s="66" t="str">
        <f>IF(AND('131-CT'!$H$9=TH!H69,OR(O69="131",P69="131")),"x","")</f>
        <v/>
      </c>
      <c r="Y69" s="80" t="str">
        <f>IF(AND($B69&gt;='1331'!$I$9,$B69&lt;='1331'!$J$9,OR($O69=$Y$7,$P69=$Y$7)),"x","")</f>
        <v/>
      </c>
      <c r="Z69" s="80" t="str">
        <f>IF(AND($O69=$Y$7,$B69&lt;'1331'!$I$9),"x","")</f>
        <v/>
      </c>
      <c r="AA69" s="80" t="str">
        <f>IF(AND($P69=$Y$7,$B69&lt;'1331'!$I$9),"x","")</f>
        <v/>
      </c>
      <c r="AB69" s="80" t="str">
        <f>IF(AND($B69&gt;='1332'!$I$9,$B69&lt;='1332'!$I$9,OR($O69=$AB$7,$P69=$AB$7)),"x","")</f>
        <v/>
      </c>
      <c r="AC69" s="80" t="str">
        <f>IF(AND($O69=$AB$7,$B69&lt;'1332'!$I$9),"x","")</f>
        <v/>
      </c>
      <c r="AD69" s="80" t="str">
        <f>IF(AND($P69=$AB$7,$B69&lt;'1332'!$I$9),"x","")</f>
        <v/>
      </c>
      <c r="AE69" s="80" t="str">
        <f>IF(AND('341-CT'!$H$9=H69,OR(LEFT(O69,3)=$AE$7,LEFT(P69,3)=$AE$7)),"x","")</f>
        <v/>
      </c>
      <c r="AF69" s="80" t="str">
        <f>IF(OR(TH!O69=TH!$AF$7,P69=TH!$AF$7),"x","")</f>
        <v/>
      </c>
      <c r="AG69" s="80"/>
      <c r="AH69" s="80" t="str">
        <f>IF(AND(B69&gt;='IN-NX'!$P$3,B69&lt;='IN-NX'!$Q$3,'IN-NX'!$D$7=D69,OR(LEFT(L69,2)="15",AND(LEFT(M69,2)&lt;&gt;"15",LEFT(M69,2)&lt;&gt;"33"))),"x","")</f>
        <v/>
      </c>
      <c r="AI69" s="80" t="str">
        <f>IF(AND(OR(LEFT(TH!O69,2)="15",LEFT(TH!P69,2)="15"),'152-CT'!$J$8=TH!F69),"x","")</f>
        <v/>
      </c>
      <c r="AJ69" s="80" t="str">
        <f>IF(AND(OR(LEFT(TH!O69,2)="15",LEFT(TH!P69,2)="15"),'THE KHO'!$E$7=TH!F69),"x","")</f>
        <v/>
      </c>
      <c r="AK69" s="80" t="str">
        <f>IF(AND(O69="1521",MONTH(C69)='BK NL'!$M$11),"x","")</f>
        <v/>
      </c>
      <c r="AM69" s="1007">
        <v>2</v>
      </c>
    </row>
    <row r="70" spans="1:39" s="1007" customFormat="1" ht="15.75" customHeight="1">
      <c r="A70" s="362" t="str">
        <f>IF(B70&lt;&gt;"",IF(AND(B70&gt;=_TM1,B70&lt;=_TM2,OR(TH!O70="1111",TH!P70="1111")),TH!D70,""),"")</f>
        <v/>
      </c>
      <c r="B70" s="63">
        <f t="shared" si="3"/>
        <v>1</v>
      </c>
      <c r="C70" s="337">
        <v>42391</v>
      </c>
      <c r="D70" s="337" t="s">
        <v>8</v>
      </c>
      <c r="E70" s="337">
        <v>42391</v>
      </c>
      <c r="F70" s="338" t="s">
        <v>405</v>
      </c>
      <c r="G70" s="1022" t="s">
        <v>798</v>
      </c>
      <c r="H70" s="339" t="s">
        <v>170</v>
      </c>
      <c r="I70" s="476"/>
      <c r="J70" s="476"/>
      <c r="K70" s="469"/>
      <c r="L70" s="476"/>
      <c r="M70" s="65">
        <v>8190270</v>
      </c>
      <c r="N70" s="65"/>
      <c r="O70" s="340" t="s">
        <v>133</v>
      </c>
      <c r="P70" s="340" t="s">
        <v>31</v>
      </c>
      <c r="Q70" s="66" t="str">
        <f>IF(AND('331-CT'!$E$7=TH!H70,OR(O70="331",P70="331")),"x","")</f>
        <v/>
      </c>
      <c r="R70" s="66" t="str">
        <f>IF(AND($B70&gt;='111'!$N$11,$B70&lt;='111'!$O$11,OR($O70=$R$7,$P70=$R$7)),"x","")</f>
        <v/>
      </c>
      <c r="S70" s="66" t="str">
        <f>IF(AND($O70=$R$7,$B70&lt;'111'!$N$11),"x","")</f>
        <v/>
      </c>
      <c r="T70" s="66" t="str">
        <f>IF(AND($P70=$R$7,$B70&lt;'111'!$N$11),"x","")</f>
        <v/>
      </c>
      <c r="U70" s="66" t="str">
        <f>IF(AND($B70&gt;='112'!$M$9,$B70&lt;='112'!$N$9,OR($O70='112'!$I$6,$P70='112'!$I$6)),"x","")</f>
        <v/>
      </c>
      <c r="V70" s="66" t="str">
        <f>IF(AND($O70='112'!$I$6,$B70&lt;'112'!$M$9),"x","")</f>
        <v/>
      </c>
      <c r="W70" s="66" t="str">
        <f>IF(AND($P70='112'!$I$6,$B70&lt;'112'!$M$9),"x","")</f>
        <v>x</v>
      </c>
      <c r="X70" s="66" t="str">
        <f>IF(AND('131-CT'!$H$9=TH!H70,OR(O70="131",P70="131")),"x","")</f>
        <v/>
      </c>
      <c r="Y70" s="80" t="str">
        <f>IF(AND($B70&gt;='1331'!$I$9,$B70&lt;='1331'!$J$9,OR($O70=$Y$7,$P70=$Y$7)),"x","")</f>
        <v/>
      </c>
      <c r="Z70" s="80" t="str">
        <f>IF(AND($O70=$Y$7,$B70&lt;'1331'!$I$9),"x","")</f>
        <v/>
      </c>
      <c r="AA70" s="80" t="str">
        <f>IF(AND($P70=$Y$7,$B70&lt;'1331'!$I$9),"x","")</f>
        <v/>
      </c>
      <c r="AB70" s="80" t="str">
        <f>IF(AND($B70&gt;='1332'!$I$9,$B70&lt;='1332'!$I$9,OR($O70=$AB$7,$P70=$AB$7)),"x","")</f>
        <v/>
      </c>
      <c r="AC70" s="80" t="str">
        <f>IF(AND($O70=$AB$7,$B70&lt;'1332'!$I$9),"x","")</f>
        <v/>
      </c>
      <c r="AD70" s="80" t="str">
        <f>IF(AND($P70=$AB$7,$B70&lt;'1332'!$I$9),"x","")</f>
        <v/>
      </c>
      <c r="AE70" s="80" t="str">
        <f>IF(AND('341-CT'!$H$9=H70,OR(LEFT(O70,3)=$AE$7,LEFT(P70,3)=$AE$7)),"x","")</f>
        <v/>
      </c>
      <c r="AF70" s="80" t="str">
        <f>IF(OR(TH!O70=TH!$AF$7,P70=TH!$AF$7),"x","")</f>
        <v/>
      </c>
      <c r="AG70" s="80"/>
      <c r="AH70" s="80" t="str">
        <f>IF(AND(B70&gt;='IN-NX'!$P$3,B70&lt;='IN-NX'!$Q$3,'IN-NX'!$D$7=D70,OR(LEFT(L70,2)="15",AND(LEFT(M70,2)&lt;&gt;"15",LEFT(M70,2)&lt;&gt;"33"))),"x","")</f>
        <v/>
      </c>
      <c r="AI70" s="80" t="str">
        <f>IF(AND(OR(LEFT(TH!O70,2)="15",LEFT(TH!P70,2)="15"),'152-CT'!$J$8=TH!F70),"x","")</f>
        <v/>
      </c>
      <c r="AJ70" s="80" t="str">
        <f>IF(AND(OR(LEFT(TH!O70,2)="15",LEFT(TH!P70,2)="15"),'THE KHO'!$E$7=TH!F70),"x","")</f>
        <v/>
      </c>
      <c r="AK70" s="80" t="str">
        <f>IF(AND(O70="1521",MONTH(C70)='BK NL'!$M$11),"x","")</f>
        <v/>
      </c>
      <c r="AM70" s="1007">
        <v>2</v>
      </c>
    </row>
    <row r="71" spans="1:39" s="1007" customFormat="1" ht="15.75" customHeight="1">
      <c r="A71" s="362" t="str">
        <f>IF(B71&lt;&gt;"",IF(AND(B71&gt;=_TM1,B71&lt;=_TM2,OR(TH!O71="1111",TH!P71="1111")),TH!D71,""),"")</f>
        <v/>
      </c>
      <c r="B71" s="63">
        <f t="shared" si="3"/>
        <v>1</v>
      </c>
      <c r="C71" s="337">
        <v>42391</v>
      </c>
      <c r="D71" s="337" t="s">
        <v>8</v>
      </c>
      <c r="E71" s="337">
        <v>42391</v>
      </c>
      <c r="F71" s="338" t="s">
        <v>405</v>
      </c>
      <c r="G71" s="1022" t="s">
        <v>798</v>
      </c>
      <c r="H71" s="339" t="s">
        <v>171</v>
      </c>
      <c r="I71" s="476"/>
      <c r="J71" s="476"/>
      <c r="K71" s="469"/>
      <c r="L71" s="476"/>
      <c r="M71" s="65">
        <v>12285405</v>
      </c>
      <c r="N71" s="65"/>
      <c r="O71" s="340" t="s">
        <v>133</v>
      </c>
      <c r="P71" s="340" t="s">
        <v>31</v>
      </c>
      <c r="Q71" s="66" t="str">
        <f>IF(AND('331-CT'!$E$7=TH!H71,OR(O71="331",P71="331")),"x","")</f>
        <v/>
      </c>
      <c r="R71" s="66" t="str">
        <f>IF(AND($B71&gt;='111'!$N$11,$B71&lt;='111'!$O$11,OR($O71=$R$7,$P71=$R$7)),"x","")</f>
        <v/>
      </c>
      <c r="S71" s="66" t="str">
        <f>IF(AND($O71=$R$7,$B71&lt;'111'!$N$11),"x","")</f>
        <v/>
      </c>
      <c r="T71" s="66" t="str">
        <f>IF(AND($P71=$R$7,$B71&lt;'111'!$N$11),"x","")</f>
        <v/>
      </c>
      <c r="U71" s="66" t="str">
        <f>IF(AND($B71&gt;='112'!$M$9,$B71&lt;='112'!$N$9,OR($O71='112'!$I$6,$P71='112'!$I$6)),"x","")</f>
        <v/>
      </c>
      <c r="V71" s="66" t="str">
        <f>IF(AND($O71='112'!$I$6,$B71&lt;'112'!$M$9),"x","")</f>
        <v/>
      </c>
      <c r="W71" s="66" t="str">
        <f>IF(AND($P71='112'!$I$6,$B71&lt;'112'!$M$9),"x","")</f>
        <v>x</v>
      </c>
      <c r="X71" s="66" t="str">
        <f>IF(AND('131-CT'!$H$9=TH!H71,OR(O71="131",P71="131")),"x","")</f>
        <v/>
      </c>
      <c r="Y71" s="80" t="str">
        <f>IF(AND($B71&gt;='1331'!$I$9,$B71&lt;='1331'!$J$9,OR($O71=$Y$7,$P71=$Y$7)),"x","")</f>
        <v/>
      </c>
      <c r="Z71" s="80" t="str">
        <f>IF(AND($O71=$Y$7,$B71&lt;'1331'!$I$9),"x","")</f>
        <v/>
      </c>
      <c r="AA71" s="80" t="str">
        <f>IF(AND($P71=$Y$7,$B71&lt;'1331'!$I$9),"x","")</f>
        <v/>
      </c>
      <c r="AB71" s="80" t="str">
        <f>IF(AND($B71&gt;='1332'!$I$9,$B71&lt;='1332'!$I$9,OR($O71=$AB$7,$P71=$AB$7)),"x","")</f>
        <v/>
      </c>
      <c r="AC71" s="80" t="str">
        <f>IF(AND($O71=$AB$7,$B71&lt;'1332'!$I$9),"x","")</f>
        <v/>
      </c>
      <c r="AD71" s="80" t="str">
        <f>IF(AND($P71=$AB$7,$B71&lt;'1332'!$I$9),"x","")</f>
        <v/>
      </c>
      <c r="AE71" s="80" t="str">
        <f>IF(AND('341-CT'!$H$9=H71,OR(LEFT(O71,3)=$AE$7,LEFT(P71,3)=$AE$7)),"x","")</f>
        <v/>
      </c>
      <c r="AF71" s="80" t="str">
        <f>IF(OR(TH!O71=TH!$AF$7,P71=TH!$AF$7),"x","")</f>
        <v/>
      </c>
      <c r="AG71" s="80"/>
      <c r="AH71" s="80" t="str">
        <f>IF(AND(B71&gt;='IN-NX'!$P$3,B71&lt;='IN-NX'!$Q$3,'IN-NX'!$D$7=D71,OR(LEFT(L71,2)="15",AND(LEFT(M71,2)&lt;&gt;"15",LEFT(M71,2)&lt;&gt;"33"))),"x","")</f>
        <v/>
      </c>
      <c r="AI71" s="80" t="str">
        <f>IF(AND(OR(LEFT(TH!O71,2)="15",LEFT(TH!P71,2)="15"),'152-CT'!$J$8=TH!F71),"x","")</f>
        <v/>
      </c>
      <c r="AJ71" s="80" t="str">
        <f>IF(AND(OR(LEFT(TH!O71,2)="15",LEFT(TH!P71,2)="15"),'THE KHO'!$E$7=TH!F71),"x","")</f>
        <v/>
      </c>
      <c r="AK71" s="80" t="str">
        <f>IF(AND(O71="1521",MONTH(C71)='BK NL'!$M$11),"x","")</f>
        <v/>
      </c>
      <c r="AM71" s="1007">
        <v>2</v>
      </c>
    </row>
    <row r="72" spans="1:39" s="1007" customFormat="1" ht="15.75" customHeight="1">
      <c r="A72" s="362" t="str">
        <f>IF(B72&lt;&gt;"",IF(AND(B72&gt;=_TM1,B72&lt;=_TM2,OR(TH!O72="1111",TH!P72="1111")),TH!D72,""),"")</f>
        <v/>
      </c>
      <c r="B72" s="63">
        <f t="shared" si="3"/>
        <v>1</v>
      </c>
      <c r="C72" s="367">
        <v>42391</v>
      </c>
      <c r="D72" s="337" t="s">
        <v>8</v>
      </c>
      <c r="E72" s="337">
        <v>42391</v>
      </c>
      <c r="F72" s="338" t="s">
        <v>405</v>
      </c>
      <c r="G72" s="1022" t="s">
        <v>798</v>
      </c>
      <c r="H72" s="339" t="s">
        <v>172</v>
      </c>
      <c r="I72" s="476"/>
      <c r="J72" s="476"/>
      <c r="K72" s="469"/>
      <c r="L72" s="476"/>
      <c r="M72" s="65">
        <v>16380540</v>
      </c>
      <c r="N72" s="65"/>
      <c r="O72" s="1024" t="s">
        <v>133</v>
      </c>
      <c r="P72" s="340" t="s">
        <v>31</v>
      </c>
      <c r="Q72" s="66" t="str">
        <f>IF(AND('331-CT'!$E$7=TH!H72,OR(O72="331",P72="331")),"x","")</f>
        <v/>
      </c>
      <c r="R72" s="66" t="str">
        <f>IF(AND($B72&gt;='111'!$N$11,$B72&lt;='111'!$O$11,OR($O72=$R$7,$P72=$R$7)),"x","")</f>
        <v/>
      </c>
      <c r="S72" s="66" t="str">
        <f>IF(AND($O72=$R$7,$B72&lt;'111'!$N$11),"x","")</f>
        <v/>
      </c>
      <c r="T72" s="66" t="str">
        <f>IF(AND($P72=$R$7,$B72&lt;'111'!$N$11),"x","")</f>
        <v/>
      </c>
      <c r="U72" s="66" t="str">
        <f>IF(AND($B72&gt;='112'!$M$9,$B72&lt;='112'!$N$9,OR($O72='112'!$I$6,$P72='112'!$I$6)),"x","")</f>
        <v/>
      </c>
      <c r="V72" s="66" t="str">
        <f>IF(AND($O72='112'!$I$6,$B72&lt;'112'!$M$9),"x","")</f>
        <v/>
      </c>
      <c r="W72" s="66" t="str">
        <f>IF(AND($P72='112'!$I$6,$B72&lt;'112'!$M$9),"x","")</f>
        <v>x</v>
      </c>
      <c r="X72" s="66" t="str">
        <f>IF(AND('131-CT'!$H$9=TH!H72,OR(O72="131",P72="131")),"x","")</f>
        <v/>
      </c>
      <c r="Y72" s="80" t="str">
        <f>IF(AND($B72&gt;='1331'!$I$9,$B72&lt;='1331'!$J$9,OR($O72=$Y$7,$P72=$Y$7)),"x","")</f>
        <v/>
      </c>
      <c r="Z72" s="80" t="str">
        <f>IF(AND($O72=$Y$7,$B72&lt;'1331'!$I$9),"x","")</f>
        <v/>
      </c>
      <c r="AA72" s="80" t="str">
        <f>IF(AND($P72=$Y$7,$B72&lt;'1331'!$I$9),"x","")</f>
        <v/>
      </c>
      <c r="AB72" s="80" t="str">
        <f>IF(AND($B72&gt;='1332'!$I$9,$B72&lt;='1332'!$I$9,OR($O72=$AB$7,$P72=$AB$7)),"x","")</f>
        <v/>
      </c>
      <c r="AC72" s="80" t="str">
        <f>IF(AND($O72=$AB$7,$B72&lt;'1332'!$I$9),"x","")</f>
        <v/>
      </c>
      <c r="AD72" s="80" t="str">
        <f>IF(AND($P72=$AB$7,$B72&lt;'1332'!$I$9),"x","")</f>
        <v/>
      </c>
      <c r="AE72" s="80" t="str">
        <f>IF(AND('341-CT'!$H$9=H72,OR(LEFT(O72,3)=$AE$7,LEFT(P72,3)=$AE$7)),"x","")</f>
        <v/>
      </c>
      <c r="AF72" s="80" t="str">
        <f>IF(OR(TH!O72=TH!$AF$7,P72=TH!$AF$7),"x","")</f>
        <v/>
      </c>
      <c r="AG72" s="80"/>
      <c r="AH72" s="80" t="str">
        <f>IF(AND(B72&gt;='IN-NX'!$P$3,B72&lt;='IN-NX'!$Q$3,'IN-NX'!$D$7=D72,OR(LEFT(L72,2)="15",AND(LEFT(M72,2)&lt;&gt;"15",LEFT(M72,2)&lt;&gt;"33"))),"x","")</f>
        <v/>
      </c>
      <c r="AI72" s="80" t="str">
        <f>IF(AND(OR(LEFT(TH!O72,2)="15",LEFT(TH!P72,2)="15"),'152-CT'!$J$8=TH!F72),"x","")</f>
        <v/>
      </c>
      <c r="AJ72" s="80" t="str">
        <f>IF(AND(OR(LEFT(TH!O72,2)="15",LEFT(TH!P72,2)="15"),'THE KHO'!$E$7=TH!F72),"x","")</f>
        <v/>
      </c>
      <c r="AK72" s="80" t="str">
        <f>IF(AND(O72="1521",MONTH(C72)='BK NL'!$M$11),"x","")</f>
        <v/>
      </c>
    </row>
    <row r="73" spans="1:39" s="1007" customFormat="1" ht="15.75" customHeight="1">
      <c r="A73" s="362" t="str">
        <f>IF(B73&lt;&gt;"",IF(AND(B73&gt;=_TM1,B73&lt;=_TM2,OR(TH!O73="1111",TH!P73="1111")),TH!D73,""),"")</f>
        <v/>
      </c>
      <c r="B73" s="63">
        <f t="shared" si="3"/>
        <v>1</v>
      </c>
      <c r="C73" s="337">
        <v>42391</v>
      </c>
      <c r="D73" s="337" t="s">
        <v>8</v>
      </c>
      <c r="E73" s="337">
        <v>42391</v>
      </c>
      <c r="F73" s="338" t="s">
        <v>405</v>
      </c>
      <c r="G73" s="1022" t="s">
        <v>798</v>
      </c>
      <c r="H73" s="339" t="s">
        <v>173</v>
      </c>
      <c r="I73" s="476"/>
      <c r="J73" s="476"/>
      <c r="K73" s="469"/>
      <c r="L73" s="476"/>
      <c r="M73" s="65">
        <v>11466378</v>
      </c>
      <c r="N73" s="65"/>
      <c r="O73" s="340" t="s">
        <v>133</v>
      </c>
      <c r="P73" s="340" t="s">
        <v>31</v>
      </c>
      <c r="Q73" s="66" t="str">
        <f>IF(AND('331-CT'!$E$7=TH!H73,OR(O73="331",P73="331")),"x","")</f>
        <v/>
      </c>
      <c r="R73" s="66" t="str">
        <f>IF(AND($B73&gt;='111'!$N$11,$B73&lt;='111'!$O$11,OR($O73=$R$7,$P73=$R$7)),"x","")</f>
        <v/>
      </c>
      <c r="S73" s="66" t="str">
        <f>IF(AND($O73=$R$7,$B73&lt;'111'!$N$11),"x","")</f>
        <v/>
      </c>
      <c r="T73" s="66" t="str">
        <f>IF(AND($P73=$R$7,$B73&lt;'111'!$N$11),"x","")</f>
        <v/>
      </c>
      <c r="U73" s="66" t="str">
        <f>IF(AND($B73&gt;='112'!$M$9,$B73&lt;='112'!$N$9,OR($O73='112'!$I$6,$P73='112'!$I$6)),"x","")</f>
        <v/>
      </c>
      <c r="V73" s="66" t="str">
        <f>IF(AND($O73='112'!$I$6,$B73&lt;'112'!$M$9),"x","")</f>
        <v/>
      </c>
      <c r="W73" s="66" t="str">
        <f>IF(AND($P73='112'!$I$6,$B73&lt;'112'!$M$9),"x","")</f>
        <v>x</v>
      </c>
      <c r="X73" s="66" t="str">
        <f>IF(AND('131-CT'!$H$9=TH!H73,OR(O73="131",P73="131")),"x","")</f>
        <v/>
      </c>
      <c r="Y73" s="80" t="str">
        <f>IF(AND($B73&gt;='1331'!$I$9,$B73&lt;='1331'!$J$9,OR($O73=$Y$7,$P73=$Y$7)),"x","")</f>
        <v/>
      </c>
      <c r="Z73" s="80" t="str">
        <f>IF(AND($O73=$Y$7,$B73&lt;'1331'!$I$9),"x","")</f>
        <v/>
      </c>
      <c r="AA73" s="80" t="str">
        <f>IF(AND($P73=$Y$7,$B73&lt;'1331'!$I$9),"x","")</f>
        <v/>
      </c>
      <c r="AB73" s="80" t="str">
        <f>IF(AND($B73&gt;='1332'!$I$9,$B73&lt;='1332'!$I$9,OR($O73=$AB$7,$P73=$AB$7)),"x","")</f>
        <v/>
      </c>
      <c r="AC73" s="80" t="str">
        <f>IF(AND($O73=$AB$7,$B73&lt;'1332'!$I$9),"x","")</f>
        <v/>
      </c>
      <c r="AD73" s="80" t="str">
        <f>IF(AND($P73=$AB$7,$B73&lt;'1332'!$I$9),"x","")</f>
        <v/>
      </c>
      <c r="AE73" s="80" t="str">
        <f>IF(AND('341-CT'!$H$9=H73,OR(LEFT(O73,3)=$AE$7,LEFT(P73,3)=$AE$7)),"x","")</f>
        <v/>
      </c>
      <c r="AF73" s="80" t="str">
        <f>IF(OR(TH!O73=TH!$AF$7,P73=TH!$AF$7),"x","")</f>
        <v/>
      </c>
      <c r="AG73" s="80"/>
      <c r="AH73" s="80" t="str">
        <f>IF(AND(B73&gt;='IN-NX'!$P$3,B73&lt;='IN-NX'!$Q$3,'IN-NX'!$D$7=D73,OR(LEFT(L73,2)="15",AND(LEFT(M73,2)&lt;&gt;"15",LEFT(M73,2)&lt;&gt;"33"))),"x","")</f>
        <v/>
      </c>
      <c r="AI73" s="80" t="str">
        <f>IF(AND(OR(LEFT(TH!O73,2)="15",LEFT(TH!P73,2)="15"),'152-CT'!$J$8=TH!F73),"x","")</f>
        <v/>
      </c>
      <c r="AJ73" s="80" t="str">
        <f>IF(AND(OR(LEFT(TH!O73,2)="15",LEFT(TH!P73,2)="15"),'THE KHO'!$E$7=TH!F73),"x","")</f>
        <v/>
      </c>
      <c r="AK73" s="80" t="str">
        <f>IF(AND(O73="1521",MONTH(C73)='BK NL'!$M$11),"x","")</f>
        <v/>
      </c>
    </row>
    <row r="74" spans="1:39" s="1007" customFormat="1" ht="15.75" customHeight="1">
      <c r="A74" s="362" t="str">
        <f>IF(B74&lt;&gt;"",IF(AND(B74&gt;=_TM1,B74&lt;=_TM2,OR(TH!O74="1111",TH!P74="1111")),TH!D74,""),"")</f>
        <v/>
      </c>
      <c r="B74" s="63">
        <f t="shared" si="3"/>
        <v>1</v>
      </c>
      <c r="C74" s="337">
        <v>42391</v>
      </c>
      <c r="D74" s="337" t="s">
        <v>8</v>
      </c>
      <c r="E74" s="337">
        <v>42391</v>
      </c>
      <c r="F74" s="338" t="s">
        <v>405</v>
      </c>
      <c r="G74" s="1022" t="s">
        <v>798</v>
      </c>
      <c r="H74" s="339" t="s">
        <v>174</v>
      </c>
      <c r="I74" s="476"/>
      <c r="J74" s="476"/>
      <c r="K74" s="469"/>
      <c r="L74" s="476"/>
      <c r="M74" s="65">
        <v>12285405</v>
      </c>
      <c r="N74" s="65"/>
      <c r="O74" s="340" t="s">
        <v>133</v>
      </c>
      <c r="P74" s="340" t="s">
        <v>31</v>
      </c>
      <c r="Q74" s="66" t="str">
        <f>IF(AND('331-CT'!$E$7=TH!H74,OR(O74="331",P74="331")),"x","")</f>
        <v/>
      </c>
      <c r="R74" s="66" t="str">
        <f>IF(AND($B74&gt;='111'!$N$11,$B74&lt;='111'!$O$11,OR($O74=$R$7,$P74=$R$7)),"x","")</f>
        <v/>
      </c>
      <c r="S74" s="66" t="str">
        <f>IF(AND($O74=$R$7,$B74&lt;'111'!$N$11),"x","")</f>
        <v/>
      </c>
      <c r="T74" s="66" t="str">
        <f>IF(AND($P74=$R$7,$B74&lt;'111'!$N$11),"x","")</f>
        <v/>
      </c>
      <c r="U74" s="66" t="str">
        <f>IF(AND($B74&gt;='112'!$M$9,$B74&lt;='112'!$N$9,OR($O74='112'!$I$6,$P74='112'!$I$6)),"x","")</f>
        <v/>
      </c>
      <c r="V74" s="66" t="str">
        <f>IF(AND($O74='112'!$I$6,$B74&lt;'112'!$M$9),"x","")</f>
        <v/>
      </c>
      <c r="W74" s="66" t="str">
        <f>IF(AND($P74='112'!$I$6,$B74&lt;'112'!$M$9),"x","")</f>
        <v>x</v>
      </c>
      <c r="X74" s="66" t="str">
        <f>IF(AND('131-CT'!$H$9=TH!H74,OR(O74="131",P74="131")),"x","")</f>
        <v/>
      </c>
      <c r="Y74" s="80" t="str">
        <f>IF(AND($B74&gt;='1331'!$I$9,$B74&lt;='1331'!$J$9,OR($O74=$Y$7,$P74=$Y$7)),"x","")</f>
        <v/>
      </c>
      <c r="Z74" s="80" t="str">
        <f>IF(AND($O74=$Y$7,$B74&lt;'1331'!$I$9),"x","")</f>
        <v/>
      </c>
      <c r="AA74" s="80" t="str">
        <f>IF(AND($P74=$Y$7,$B74&lt;'1331'!$I$9),"x","")</f>
        <v/>
      </c>
      <c r="AB74" s="80" t="str">
        <f>IF(AND($B74&gt;='1332'!$I$9,$B74&lt;='1332'!$I$9,OR($O74=$AB$7,$P74=$AB$7)),"x","")</f>
        <v/>
      </c>
      <c r="AC74" s="80" t="str">
        <f>IF(AND($O74=$AB$7,$B74&lt;'1332'!$I$9),"x","")</f>
        <v/>
      </c>
      <c r="AD74" s="80" t="str">
        <f>IF(AND($P74=$AB$7,$B74&lt;'1332'!$I$9),"x","")</f>
        <v/>
      </c>
      <c r="AE74" s="80" t="str">
        <f>IF(AND('341-CT'!$H$9=H74,OR(LEFT(O74,3)=$AE$7,LEFT(P74,3)=$AE$7)),"x","")</f>
        <v/>
      </c>
      <c r="AF74" s="80" t="str">
        <f>IF(OR(TH!O74=TH!$AF$7,P74=TH!$AF$7),"x","")</f>
        <v/>
      </c>
      <c r="AG74" s="80"/>
      <c r="AH74" s="80" t="str">
        <f>IF(AND(B74&gt;='IN-NX'!$P$3,B74&lt;='IN-NX'!$Q$3,'IN-NX'!$D$7=D74,OR(LEFT(L74,2)="15",AND(LEFT(M74,2)&lt;&gt;"15",LEFT(M74,2)&lt;&gt;"33"))),"x","")</f>
        <v/>
      </c>
      <c r="AI74" s="80" t="str">
        <f>IF(AND(OR(LEFT(TH!O74,2)="15",LEFT(TH!P74,2)="15"),'152-CT'!$J$8=TH!F74),"x","")</f>
        <v/>
      </c>
      <c r="AJ74" s="80" t="str">
        <f>IF(AND(OR(LEFT(TH!O74,2)="15",LEFT(TH!P74,2)="15"),'THE KHO'!$E$7=TH!F74),"x","")</f>
        <v/>
      </c>
      <c r="AK74" s="80" t="str">
        <f>IF(AND(O74="1521",MONTH(C74)='BK NL'!$M$11),"x","")</f>
        <v/>
      </c>
      <c r="AM74" s="1007">
        <v>2</v>
      </c>
    </row>
    <row r="75" spans="1:39" s="1007" customFormat="1" ht="15.75" customHeight="1">
      <c r="A75" s="362" t="str">
        <f>IF(B75&lt;&gt;"",IF(AND(B75&gt;=_TM1,B75&lt;=_TM2,OR(TH!O75="1111",TH!P75="1111")),TH!D75,""),"")</f>
        <v/>
      </c>
      <c r="B75" s="63">
        <f t="shared" si="3"/>
        <v>1</v>
      </c>
      <c r="C75" s="337">
        <v>42391</v>
      </c>
      <c r="D75" s="337" t="s">
        <v>8</v>
      </c>
      <c r="E75" s="337">
        <v>42391</v>
      </c>
      <c r="F75" s="338" t="s">
        <v>405</v>
      </c>
      <c r="G75" s="1022" t="s">
        <v>798</v>
      </c>
      <c r="H75" s="339" t="s">
        <v>176</v>
      </c>
      <c r="I75" s="476"/>
      <c r="J75" s="476"/>
      <c r="K75" s="469"/>
      <c r="L75" s="476"/>
      <c r="M75" s="65">
        <v>12285405</v>
      </c>
      <c r="N75" s="65"/>
      <c r="O75" s="340" t="s">
        <v>133</v>
      </c>
      <c r="P75" s="340" t="s">
        <v>31</v>
      </c>
      <c r="Q75" s="66" t="str">
        <f>IF(AND('331-CT'!$E$7=TH!H75,OR(O75="331",P75="331")),"x","")</f>
        <v/>
      </c>
      <c r="R75" s="66" t="str">
        <f>IF(AND($B75&gt;='111'!$N$11,$B75&lt;='111'!$O$11,OR($O75=$R$7,$P75=$R$7)),"x","")</f>
        <v/>
      </c>
      <c r="S75" s="66" t="str">
        <f>IF(AND($O75=$R$7,$B75&lt;'111'!$N$11),"x","")</f>
        <v/>
      </c>
      <c r="T75" s="66" t="str">
        <f>IF(AND($P75=$R$7,$B75&lt;'111'!$N$11),"x","")</f>
        <v/>
      </c>
      <c r="U75" s="66" t="str">
        <f>IF(AND($B75&gt;='112'!$M$9,$B75&lt;='112'!$N$9,OR($O75='112'!$I$6,$P75='112'!$I$6)),"x","")</f>
        <v/>
      </c>
      <c r="V75" s="66" t="str">
        <f>IF(AND($O75='112'!$I$6,$B75&lt;'112'!$M$9),"x","")</f>
        <v/>
      </c>
      <c r="W75" s="66" t="str">
        <f>IF(AND($P75='112'!$I$6,$B75&lt;'112'!$M$9),"x","")</f>
        <v>x</v>
      </c>
      <c r="X75" s="66" t="str">
        <f>IF(AND('131-CT'!$H$9=TH!H75,OR(O75="131",P75="131")),"x","")</f>
        <v/>
      </c>
      <c r="Y75" s="80" t="str">
        <f>IF(AND($B75&gt;='1331'!$I$9,$B75&lt;='1331'!$J$9,OR($O75=$Y$7,$P75=$Y$7)),"x","")</f>
        <v/>
      </c>
      <c r="Z75" s="80" t="str">
        <f>IF(AND($O75=$Y$7,$B75&lt;'1331'!$I$9),"x","")</f>
        <v/>
      </c>
      <c r="AA75" s="80" t="str">
        <f>IF(AND($P75=$Y$7,$B75&lt;'1331'!$I$9),"x","")</f>
        <v/>
      </c>
      <c r="AB75" s="80" t="str">
        <f>IF(AND($B75&gt;='1332'!$I$9,$B75&lt;='1332'!$I$9,OR($O75=$AB$7,$P75=$AB$7)),"x","")</f>
        <v/>
      </c>
      <c r="AC75" s="80" t="str">
        <f>IF(AND($O75=$AB$7,$B75&lt;'1332'!$I$9),"x","")</f>
        <v/>
      </c>
      <c r="AD75" s="80" t="str">
        <f>IF(AND($P75=$AB$7,$B75&lt;'1332'!$I$9),"x","")</f>
        <v/>
      </c>
      <c r="AE75" s="80" t="str">
        <f>IF(AND('341-CT'!$H$9=H75,OR(LEFT(O75,3)=$AE$7,LEFT(P75,3)=$AE$7)),"x","")</f>
        <v/>
      </c>
      <c r="AF75" s="80" t="str">
        <f>IF(OR(TH!O75=TH!$AF$7,P75=TH!$AF$7),"x","")</f>
        <v/>
      </c>
      <c r="AG75" s="80"/>
      <c r="AH75" s="80" t="str">
        <f>IF(AND(B75&gt;='IN-NX'!$P$3,B75&lt;='IN-NX'!$Q$3,'IN-NX'!$D$7=D75,OR(LEFT(L75,2)="15",AND(LEFT(M75,2)&lt;&gt;"15",LEFT(M75,2)&lt;&gt;"33"))),"x","")</f>
        <v/>
      </c>
      <c r="AI75" s="80" t="str">
        <f>IF(AND(OR(LEFT(TH!O75,2)="15",LEFT(TH!P75,2)="15"),'152-CT'!$J$8=TH!F75),"x","")</f>
        <v/>
      </c>
      <c r="AJ75" s="80" t="str">
        <f>IF(AND(OR(LEFT(TH!O75,2)="15",LEFT(TH!P75,2)="15"),'THE KHO'!$E$7=TH!F75),"x","")</f>
        <v/>
      </c>
      <c r="AK75" s="80" t="str">
        <f>IF(AND(O75="1521",MONTH(C75)='BK NL'!$M$11),"x","")</f>
        <v/>
      </c>
      <c r="AM75" s="1007">
        <v>2</v>
      </c>
    </row>
    <row r="76" spans="1:39" s="1007" customFormat="1" ht="15.75" customHeight="1">
      <c r="A76" s="362" t="str">
        <f>IF(B76&lt;&gt;"",IF(AND(B76&gt;=_TM1,B76&lt;=_TM2,OR(TH!O76="1111",TH!P76="1111")),TH!D76,""),"")</f>
        <v/>
      </c>
      <c r="B76" s="63">
        <f t="shared" si="3"/>
        <v>1</v>
      </c>
      <c r="C76" s="337">
        <v>42391</v>
      </c>
      <c r="D76" s="337" t="s">
        <v>8</v>
      </c>
      <c r="E76" s="337">
        <v>42391</v>
      </c>
      <c r="F76" s="338" t="s">
        <v>405</v>
      </c>
      <c r="G76" s="1022" t="s">
        <v>798</v>
      </c>
      <c r="H76" s="339" t="s">
        <v>179</v>
      </c>
      <c r="I76" s="476"/>
      <c r="J76" s="476"/>
      <c r="K76" s="469"/>
      <c r="L76" s="476"/>
      <c r="M76" s="65">
        <v>12285405</v>
      </c>
      <c r="N76" s="65"/>
      <c r="O76" s="340" t="s">
        <v>133</v>
      </c>
      <c r="P76" s="340" t="s">
        <v>31</v>
      </c>
      <c r="Q76" s="66" t="str">
        <f>IF(AND('331-CT'!$E$7=TH!H76,OR(O76="331",P76="331")),"x","")</f>
        <v/>
      </c>
      <c r="R76" s="66" t="str">
        <f>IF(AND($B76&gt;='111'!$N$11,$B76&lt;='111'!$O$11,OR($O76=$R$7,$P76=$R$7)),"x","")</f>
        <v/>
      </c>
      <c r="S76" s="66" t="str">
        <f>IF(AND($O76=$R$7,$B76&lt;'111'!$N$11),"x","")</f>
        <v/>
      </c>
      <c r="T76" s="66" t="str">
        <f>IF(AND($P76=$R$7,$B76&lt;'111'!$N$11),"x","")</f>
        <v/>
      </c>
      <c r="U76" s="66" t="str">
        <f>IF(AND($B76&gt;='112'!$M$9,$B76&lt;='112'!$N$9,OR($O76='112'!$I$6,$P76='112'!$I$6)),"x","")</f>
        <v/>
      </c>
      <c r="V76" s="66" t="str">
        <f>IF(AND($O76='112'!$I$6,$B76&lt;'112'!$M$9),"x","")</f>
        <v/>
      </c>
      <c r="W76" s="66" t="str">
        <f>IF(AND($P76='112'!$I$6,$B76&lt;'112'!$M$9),"x","")</f>
        <v>x</v>
      </c>
      <c r="X76" s="66" t="str">
        <f>IF(AND('131-CT'!$H$9=TH!H76,OR(O76="131",P76="131")),"x","")</f>
        <v/>
      </c>
      <c r="Y76" s="80" t="str">
        <f>IF(AND($B76&gt;='1331'!$I$9,$B76&lt;='1331'!$J$9,OR($O76=$Y$7,$P76=$Y$7)),"x","")</f>
        <v/>
      </c>
      <c r="Z76" s="80" t="str">
        <f>IF(AND($O76=$Y$7,$B76&lt;'1331'!$I$9),"x","")</f>
        <v/>
      </c>
      <c r="AA76" s="80" t="str">
        <f>IF(AND($P76=$Y$7,$B76&lt;'1331'!$I$9),"x","")</f>
        <v/>
      </c>
      <c r="AB76" s="80" t="str">
        <f>IF(AND($B76&gt;='1332'!$I$9,$B76&lt;='1332'!$I$9,OR($O76=$AB$7,$P76=$AB$7)),"x","")</f>
        <v/>
      </c>
      <c r="AC76" s="80" t="str">
        <f>IF(AND($O76=$AB$7,$B76&lt;'1332'!$I$9),"x","")</f>
        <v/>
      </c>
      <c r="AD76" s="80" t="str">
        <f>IF(AND($P76=$AB$7,$B76&lt;'1332'!$I$9),"x","")</f>
        <v/>
      </c>
      <c r="AE76" s="80" t="str">
        <f>IF(AND('341-CT'!$H$9=H76,OR(LEFT(O76,3)=$AE$7,LEFT(P76,3)=$AE$7)),"x","")</f>
        <v/>
      </c>
      <c r="AF76" s="80" t="str">
        <f>IF(OR(TH!O76=TH!$AF$7,P76=TH!$AF$7),"x","")</f>
        <v/>
      </c>
      <c r="AG76" s="80"/>
      <c r="AH76" s="80" t="str">
        <f>IF(AND(B76&gt;='IN-NX'!$P$3,B76&lt;='IN-NX'!$Q$3,'IN-NX'!$D$7=D76,OR(LEFT(L76,2)="15",AND(LEFT(M76,2)&lt;&gt;"15",LEFT(M76,2)&lt;&gt;"33"))),"x","")</f>
        <v/>
      </c>
      <c r="AI76" s="80" t="str">
        <f>IF(AND(OR(LEFT(TH!O76,2)="15",LEFT(TH!P76,2)="15"),'152-CT'!$J$8=TH!F76),"x","")</f>
        <v/>
      </c>
      <c r="AJ76" s="80" t="str">
        <f>IF(AND(OR(LEFT(TH!O76,2)="15",LEFT(TH!P76,2)="15"),'THE KHO'!$E$7=TH!F76),"x","")</f>
        <v/>
      </c>
      <c r="AK76" s="80" t="str">
        <f>IF(AND(O76="1521",MONTH(C76)='BK NL'!$M$11),"x","")</f>
        <v/>
      </c>
    </row>
    <row r="77" spans="1:39" s="1007" customFormat="1" ht="15.75" customHeight="1">
      <c r="A77" s="362" t="str">
        <f>IF(B77&lt;&gt;"",IF(AND(B77&gt;=_TM1,B77&lt;=_TM2,OR(TH!O77="1111",TH!P77="1111")),TH!D77,""),"")</f>
        <v/>
      </c>
      <c r="B77" s="63">
        <f t="shared" si="3"/>
        <v>1</v>
      </c>
      <c r="C77" s="337">
        <v>42391</v>
      </c>
      <c r="D77" s="337" t="s">
        <v>8</v>
      </c>
      <c r="E77" s="337">
        <v>42391</v>
      </c>
      <c r="F77" s="338" t="s">
        <v>405</v>
      </c>
      <c r="G77" s="1022" t="s">
        <v>798</v>
      </c>
      <c r="H77" s="339" t="s">
        <v>180</v>
      </c>
      <c r="I77" s="476"/>
      <c r="J77" s="476"/>
      <c r="K77" s="469"/>
      <c r="L77" s="476"/>
      <c r="M77" s="65">
        <v>8190270</v>
      </c>
      <c r="N77" s="65"/>
      <c r="O77" s="340" t="s">
        <v>133</v>
      </c>
      <c r="P77" s="340" t="s">
        <v>31</v>
      </c>
      <c r="Q77" s="66" t="str">
        <f>IF(AND('331-CT'!$E$7=TH!H77,OR(O77="331",P77="331")),"x","")</f>
        <v/>
      </c>
      <c r="R77" s="66" t="str">
        <f>IF(AND($B77&gt;='111'!$N$11,$B77&lt;='111'!$O$11,OR($O77=$R$7,$P77=$R$7)),"x","")</f>
        <v/>
      </c>
      <c r="S77" s="66" t="str">
        <f>IF(AND($O77=$R$7,$B77&lt;'111'!$N$11),"x","")</f>
        <v/>
      </c>
      <c r="T77" s="66" t="str">
        <f>IF(AND($P77=$R$7,$B77&lt;'111'!$N$11),"x","")</f>
        <v/>
      </c>
      <c r="U77" s="66" t="str">
        <f>IF(AND($B77&gt;='112'!$M$9,$B77&lt;='112'!$N$9,OR($O77='112'!$I$6,$P77='112'!$I$6)),"x","")</f>
        <v/>
      </c>
      <c r="V77" s="66" t="str">
        <f>IF(AND($O77='112'!$I$6,$B77&lt;'112'!$M$9),"x","")</f>
        <v/>
      </c>
      <c r="W77" s="66" t="str">
        <f>IF(AND($P77='112'!$I$6,$B77&lt;'112'!$M$9),"x","")</f>
        <v>x</v>
      </c>
      <c r="X77" s="66" t="str">
        <f>IF(AND('131-CT'!$H$9=TH!H77,OR(O77="131",P77="131")),"x","")</f>
        <v/>
      </c>
      <c r="Y77" s="80" t="str">
        <f>IF(AND($B77&gt;='1331'!$I$9,$B77&lt;='1331'!$J$9,OR($O77=$Y$7,$P77=$Y$7)),"x","")</f>
        <v/>
      </c>
      <c r="Z77" s="80" t="str">
        <f>IF(AND($O77=$Y$7,$B77&lt;'1331'!$I$9),"x","")</f>
        <v/>
      </c>
      <c r="AA77" s="80" t="str">
        <f>IF(AND($P77=$Y$7,$B77&lt;'1331'!$I$9),"x","")</f>
        <v/>
      </c>
      <c r="AB77" s="80" t="str">
        <f>IF(AND($B77&gt;='1332'!$I$9,$B77&lt;='1332'!$I$9,OR($O77=$AB$7,$P77=$AB$7)),"x","")</f>
        <v/>
      </c>
      <c r="AC77" s="80" t="str">
        <f>IF(AND($O77=$AB$7,$B77&lt;'1332'!$I$9),"x","")</f>
        <v/>
      </c>
      <c r="AD77" s="80" t="str">
        <f>IF(AND($P77=$AB$7,$B77&lt;'1332'!$I$9),"x","")</f>
        <v/>
      </c>
      <c r="AE77" s="80" t="str">
        <f>IF(AND('341-CT'!$H$9=H77,OR(LEFT(O77,3)=$AE$7,LEFT(P77,3)=$AE$7)),"x","")</f>
        <v/>
      </c>
      <c r="AF77" s="80" t="str">
        <f>IF(OR(TH!O77=TH!$AF$7,P77=TH!$AF$7),"x","")</f>
        <v/>
      </c>
      <c r="AG77" s="80"/>
      <c r="AH77" s="80" t="str">
        <f>IF(AND(B77&gt;='IN-NX'!$P$3,B77&lt;='IN-NX'!$Q$3,'IN-NX'!$D$7=D77,OR(LEFT(L77,2)="15",AND(LEFT(M77,2)&lt;&gt;"15",LEFT(M77,2)&lt;&gt;"33"))),"x","")</f>
        <v/>
      </c>
      <c r="AI77" s="80" t="str">
        <f>IF(AND(OR(LEFT(TH!O77,2)="15",LEFT(TH!P77,2)="15"),'152-CT'!$J$8=TH!F77),"x","")</f>
        <v/>
      </c>
      <c r="AJ77" s="80" t="str">
        <f>IF(AND(OR(LEFT(TH!O77,2)="15",LEFT(TH!P77,2)="15"),'THE KHO'!$E$7=TH!F77),"x","")</f>
        <v/>
      </c>
      <c r="AK77" s="80" t="str">
        <f>IF(AND(O77="1521",MONTH(C77)='BK NL'!$M$11),"x","")</f>
        <v/>
      </c>
    </row>
    <row r="78" spans="1:39" s="1007" customFormat="1" ht="15.75" customHeight="1">
      <c r="A78" s="362" t="str">
        <f>IF(B78&lt;&gt;"",IF(AND(B78&gt;=_TM1,B78&lt;=_TM2,OR(TH!O78="1111",TH!P78="1111")),TH!D78,""),"")</f>
        <v/>
      </c>
      <c r="B78" s="63">
        <f t="shared" si="3"/>
        <v>1</v>
      </c>
      <c r="C78" s="337">
        <v>42391</v>
      </c>
      <c r="D78" s="337" t="s">
        <v>8</v>
      </c>
      <c r="E78" s="337">
        <v>42391</v>
      </c>
      <c r="F78" s="338" t="s">
        <v>405</v>
      </c>
      <c r="G78" s="1022" t="s">
        <v>798</v>
      </c>
      <c r="H78" s="339" t="s">
        <v>184</v>
      </c>
      <c r="I78" s="476"/>
      <c r="J78" s="476"/>
      <c r="K78" s="469"/>
      <c r="L78" s="476"/>
      <c r="M78" s="65">
        <v>8190270</v>
      </c>
      <c r="N78" s="65"/>
      <c r="O78" s="340" t="s">
        <v>133</v>
      </c>
      <c r="P78" s="340" t="s">
        <v>31</v>
      </c>
      <c r="Q78" s="66" t="str">
        <f>IF(AND('331-CT'!$E$7=TH!H78,OR(O78="331",P78="331")),"x","")</f>
        <v/>
      </c>
      <c r="R78" s="66" t="str">
        <f>IF(AND($B78&gt;='111'!$N$11,$B78&lt;='111'!$O$11,OR($O78=$R$7,$P78=$R$7)),"x","")</f>
        <v/>
      </c>
      <c r="S78" s="66" t="str">
        <f>IF(AND($O78=$R$7,$B78&lt;'111'!$N$11),"x","")</f>
        <v/>
      </c>
      <c r="T78" s="66" t="str">
        <f>IF(AND($P78=$R$7,$B78&lt;'111'!$N$11),"x","")</f>
        <v/>
      </c>
      <c r="U78" s="66" t="str">
        <f>IF(AND($B78&gt;='112'!$M$9,$B78&lt;='112'!$N$9,OR($O78='112'!$I$6,$P78='112'!$I$6)),"x","")</f>
        <v/>
      </c>
      <c r="V78" s="66" t="str">
        <f>IF(AND($O78='112'!$I$6,$B78&lt;'112'!$M$9),"x","")</f>
        <v/>
      </c>
      <c r="W78" s="66" t="str">
        <f>IF(AND($P78='112'!$I$6,$B78&lt;'112'!$M$9),"x","")</f>
        <v>x</v>
      </c>
      <c r="X78" s="66" t="str">
        <f>IF(AND('131-CT'!$H$9=TH!H78,OR(O78="131",P78="131")),"x","")</f>
        <v/>
      </c>
      <c r="Y78" s="80" t="str">
        <f>IF(AND($B78&gt;='1331'!$I$9,$B78&lt;='1331'!$J$9,OR($O78=$Y$7,$P78=$Y$7)),"x","")</f>
        <v/>
      </c>
      <c r="Z78" s="80" t="str">
        <f>IF(AND($O78=$Y$7,$B78&lt;'1331'!$I$9),"x","")</f>
        <v/>
      </c>
      <c r="AA78" s="80" t="str">
        <f>IF(AND($P78=$Y$7,$B78&lt;'1331'!$I$9),"x","")</f>
        <v/>
      </c>
      <c r="AB78" s="80" t="str">
        <f>IF(AND($B78&gt;='1332'!$I$9,$B78&lt;='1332'!$I$9,OR($O78=$AB$7,$P78=$AB$7)),"x","")</f>
        <v/>
      </c>
      <c r="AC78" s="80" t="str">
        <f>IF(AND($O78=$AB$7,$B78&lt;'1332'!$I$9),"x","")</f>
        <v/>
      </c>
      <c r="AD78" s="80" t="str">
        <f>IF(AND($P78=$AB$7,$B78&lt;'1332'!$I$9),"x","")</f>
        <v/>
      </c>
      <c r="AE78" s="80" t="str">
        <f>IF(AND('341-CT'!$H$9=H78,OR(LEFT(O78,3)=$AE$7,LEFT(P78,3)=$AE$7)),"x","")</f>
        <v/>
      </c>
      <c r="AF78" s="80" t="str">
        <f>IF(OR(TH!O78=TH!$AF$7,P78=TH!$AF$7),"x","")</f>
        <v/>
      </c>
      <c r="AG78" s="80"/>
      <c r="AH78" s="80" t="str">
        <f>IF(AND(B78&gt;='IN-NX'!$P$3,B78&lt;='IN-NX'!$Q$3,'IN-NX'!$D$7=D78,OR(LEFT(L78,2)="15",AND(LEFT(M78,2)&lt;&gt;"15",LEFT(M78,2)&lt;&gt;"33"))),"x","")</f>
        <v/>
      </c>
      <c r="AI78" s="80" t="str">
        <f>IF(AND(OR(LEFT(TH!O78,2)="15",LEFT(TH!P78,2)="15"),'152-CT'!$J$8=TH!F78),"x","")</f>
        <v/>
      </c>
      <c r="AJ78" s="80" t="str">
        <f>IF(AND(OR(LEFT(TH!O78,2)="15",LEFT(TH!P78,2)="15"),'THE KHO'!$E$7=TH!F78),"x","")</f>
        <v/>
      </c>
      <c r="AK78" s="80" t="str">
        <f>IF(AND(O78="1521",MONTH(C78)='BK NL'!$M$11),"x","")</f>
        <v/>
      </c>
    </row>
    <row r="79" spans="1:39" s="1007" customFormat="1" ht="15.75" customHeight="1">
      <c r="A79" s="362" t="str">
        <f>IF(B79&lt;&gt;"",IF(AND(B79&gt;=_TM1,B79&lt;=_TM2,OR(TH!O79="1111",TH!P79="1111")),TH!D79,""),"")</f>
        <v/>
      </c>
      <c r="B79" s="63">
        <f t="shared" si="3"/>
        <v>1</v>
      </c>
      <c r="C79" s="367">
        <v>42391</v>
      </c>
      <c r="D79" s="337" t="s">
        <v>8</v>
      </c>
      <c r="E79" s="337">
        <v>42391</v>
      </c>
      <c r="F79" s="338" t="s">
        <v>405</v>
      </c>
      <c r="G79" s="1022" t="s">
        <v>798</v>
      </c>
      <c r="H79" s="339" t="s">
        <v>175</v>
      </c>
      <c r="I79" s="476"/>
      <c r="J79" s="476"/>
      <c r="K79" s="469"/>
      <c r="L79" s="476"/>
      <c r="M79" s="65">
        <v>12285405</v>
      </c>
      <c r="N79" s="65"/>
      <c r="O79" s="1024" t="s">
        <v>133</v>
      </c>
      <c r="P79" s="340" t="s">
        <v>31</v>
      </c>
      <c r="Q79" s="66" t="str">
        <f>IF(AND('331-CT'!$E$7=TH!H79,OR(O79="331",P79="331")),"x","")</f>
        <v/>
      </c>
      <c r="R79" s="66" t="str">
        <f>IF(AND($B79&gt;='111'!$N$11,$B79&lt;='111'!$O$11,OR($O79=$R$7,$P79=$R$7)),"x","")</f>
        <v/>
      </c>
      <c r="S79" s="66" t="str">
        <f>IF(AND($O79=$R$7,$B79&lt;'111'!$N$11),"x","")</f>
        <v/>
      </c>
      <c r="T79" s="66" t="str">
        <f>IF(AND($P79=$R$7,$B79&lt;'111'!$N$11),"x","")</f>
        <v/>
      </c>
      <c r="U79" s="66" t="str">
        <f>IF(AND($B79&gt;='112'!$M$9,$B79&lt;='112'!$N$9,OR($O79='112'!$I$6,$P79='112'!$I$6)),"x","")</f>
        <v/>
      </c>
      <c r="V79" s="66" t="str">
        <f>IF(AND($O79='112'!$I$6,$B79&lt;'112'!$M$9),"x","")</f>
        <v/>
      </c>
      <c r="W79" s="66" t="str">
        <f>IF(AND($P79='112'!$I$6,$B79&lt;'112'!$M$9),"x","")</f>
        <v>x</v>
      </c>
      <c r="X79" s="66" t="str">
        <f>IF(AND('131-CT'!$H$9=TH!H79,OR(O79="131",P79="131")),"x","")</f>
        <v/>
      </c>
      <c r="Y79" s="80" t="str">
        <f>IF(AND($B79&gt;='1331'!$I$9,$B79&lt;='1331'!$J$9,OR($O79=$Y$7,$P79=$Y$7)),"x","")</f>
        <v/>
      </c>
      <c r="Z79" s="80" t="str">
        <f>IF(AND($O79=$Y$7,$B79&lt;'1331'!$I$9),"x","")</f>
        <v/>
      </c>
      <c r="AA79" s="80" t="str">
        <f>IF(AND($P79=$Y$7,$B79&lt;'1331'!$I$9),"x","")</f>
        <v/>
      </c>
      <c r="AB79" s="80" t="str">
        <f>IF(AND($B79&gt;='1332'!$I$9,$B79&lt;='1332'!$I$9,OR($O79=$AB$7,$P79=$AB$7)),"x","")</f>
        <v/>
      </c>
      <c r="AC79" s="80" t="str">
        <f>IF(AND($O79=$AB$7,$B79&lt;'1332'!$I$9),"x","")</f>
        <v/>
      </c>
      <c r="AD79" s="80" t="str">
        <f>IF(AND($P79=$AB$7,$B79&lt;'1332'!$I$9),"x","")</f>
        <v/>
      </c>
      <c r="AE79" s="80" t="str">
        <f>IF(AND('341-CT'!$H$9=H79,OR(LEFT(O79,3)=$AE$7,LEFT(P79,3)=$AE$7)),"x","")</f>
        <v/>
      </c>
      <c r="AF79" s="80" t="str">
        <f>IF(OR(TH!O79=TH!$AF$7,P79=TH!$AF$7),"x","")</f>
        <v/>
      </c>
      <c r="AG79" s="80"/>
      <c r="AH79" s="80" t="str">
        <f>IF(AND(B79&gt;='IN-NX'!$P$3,B79&lt;='IN-NX'!$Q$3,'IN-NX'!$D$7=D79,OR(LEFT(L79,2)="15",AND(LEFT(M79,2)&lt;&gt;"15",LEFT(M79,2)&lt;&gt;"33"))),"x","")</f>
        <v/>
      </c>
      <c r="AI79" s="80" t="str">
        <f>IF(AND(OR(LEFT(TH!O79,2)="15",LEFT(TH!P79,2)="15"),'152-CT'!$J$8=TH!F79),"x","")</f>
        <v/>
      </c>
      <c r="AJ79" s="80" t="str">
        <f>IF(AND(OR(LEFT(TH!O79,2)="15",LEFT(TH!P79,2)="15"),'THE KHO'!$E$7=TH!F79),"x","")</f>
        <v/>
      </c>
      <c r="AK79" s="80" t="str">
        <f>IF(AND(O79="1521",MONTH(C79)='BK NL'!$M$11),"x","")</f>
        <v/>
      </c>
      <c r="AM79" s="1007">
        <v>1</v>
      </c>
    </row>
    <row r="80" spans="1:39" s="1007" customFormat="1" ht="15.75" customHeight="1">
      <c r="A80" s="362" t="str">
        <f>IF(B80&lt;&gt;"",IF(AND(B80&gt;=_TM1,B80&lt;=_TM2,OR(TH!O80="1111",TH!P80="1111")),TH!D80,""),"")</f>
        <v/>
      </c>
      <c r="B80" s="63">
        <f t="shared" si="3"/>
        <v>1</v>
      </c>
      <c r="C80" s="337">
        <v>42392</v>
      </c>
      <c r="D80" s="337" t="s">
        <v>80</v>
      </c>
      <c r="E80" s="337">
        <v>42392</v>
      </c>
      <c r="F80" s="338" t="s">
        <v>413</v>
      </c>
      <c r="G80" s="351" t="s">
        <v>414</v>
      </c>
      <c r="H80" s="339" t="s">
        <v>415</v>
      </c>
      <c r="I80" s="476"/>
      <c r="J80" s="476"/>
      <c r="K80" s="469"/>
      <c r="L80" s="476"/>
      <c r="M80" s="65">
        <v>12000000</v>
      </c>
      <c r="N80" s="65"/>
      <c r="O80" s="340" t="s">
        <v>242</v>
      </c>
      <c r="P80" s="340" t="s">
        <v>97</v>
      </c>
      <c r="Q80" s="66" t="str">
        <f>IF(AND('331-CT'!$E$7=TH!H80,OR(O80="331",P80="331")),"x","")</f>
        <v/>
      </c>
      <c r="R80" s="66" t="str">
        <f>IF(AND($B80&gt;='111'!$N$11,$B80&lt;='111'!$O$11,OR($O80=$R$7,$P80=$R$7)),"x","")</f>
        <v/>
      </c>
      <c r="S80" s="66" t="str">
        <f>IF(AND($O80=$R$7,$B80&lt;'111'!$N$11),"x","")</f>
        <v/>
      </c>
      <c r="T80" s="66" t="str">
        <f>IF(AND($P80=$R$7,$B80&lt;'111'!$N$11),"x","")</f>
        <v>x</v>
      </c>
      <c r="U80" s="66" t="str">
        <f>IF(AND($B80&gt;='112'!$M$9,$B80&lt;='112'!$N$9,OR($O80='112'!$I$6,$P80='112'!$I$6)),"x","")</f>
        <v/>
      </c>
      <c r="V80" s="66" t="str">
        <f>IF(AND($O80='112'!$I$6,$B80&lt;'112'!$M$9),"x","")</f>
        <v/>
      </c>
      <c r="W80" s="66" t="str">
        <f>IF(AND($P80='112'!$I$6,$B80&lt;'112'!$M$9),"x","")</f>
        <v/>
      </c>
      <c r="X80" s="66" t="str">
        <f>IF(AND('131-CT'!$H$9=TH!H80,OR(O80="131",P80="131")),"x","")</f>
        <v/>
      </c>
      <c r="Y80" s="80" t="str">
        <f>IF(AND($B80&gt;='1331'!$I$9,$B80&lt;='1331'!$J$9,OR($O80=$Y$7,$P80=$Y$7)),"x","")</f>
        <v/>
      </c>
      <c r="Z80" s="80" t="str">
        <f>IF(AND($O80=$Y$7,$B80&lt;'1331'!$I$9),"x","")</f>
        <v/>
      </c>
      <c r="AA80" s="80" t="str">
        <f>IF(AND($P80=$Y$7,$B80&lt;'1331'!$I$9),"x","")</f>
        <v/>
      </c>
      <c r="AB80" s="80" t="str">
        <f>IF(AND($B80&gt;='1332'!$I$9,$B80&lt;='1332'!$I$9,OR($O80=$AB$7,$P80=$AB$7)),"x","")</f>
        <v/>
      </c>
      <c r="AC80" s="80" t="str">
        <f>IF(AND($O80=$AB$7,$B80&lt;'1332'!$I$9),"x","")</f>
        <v/>
      </c>
      <c r="AD80" s="80" t="str">
        <f>IF(AND($P80=$AB$7,$B80&lt;'1332'!$I$9),"x","")</f>
        <v/>
      </c>
      <c r="AE80" s="80" t="str">
        <f>IF(AND('341-CT'!$H$9=H80,OR(LEFT(O80,3)=$AE$7,LEFT(P80,3)=$AE$7)),"x","")</f>
        <v/>
      </c>
      <c r="AF80" s="80" t="str">
        <f>IF(OR(TH!O80=TH!$AF$7,P80=TH!$AF$7),"x","")</f>
        <v/>
      </c>
      <c r="AG80" s="80"/>
      <c r="AH80" s="80" t="str">
        <f>IF(AND(B80&gt;='IN-NX'!$P$3,B80&lt;='IN-NX'!$Q$3,'IN-NX'!$D$7=D80,OR(LEFT(L80,2)="15",AND(LEFT(M80,2)&lt;&gt;"15",LEFT(M80,2)&lt;&gt;"33"))),"x","")</f>
        <v/>
      </c>
      <c r="AI80" s="80" t="str">
        <f>IF(AND(OR(LEFT(TH!O80,2)="15",LEFT(TH!P80,2)="15"),'152-CT'!$J$8=TH!F80),"x","")</f>
        <v/>
      </c>
      <c r="AJ80" s="80" t="str">
        <f>IF(AND(OR(LEFT(TH!O80,2)="15",LEFT(TH!P80,2)="15"),'THE KHO'!$E$7=TH!F80),"x","")</f>
        <v/>
      </c>
      <c r="AK80" s="80" t="str">
        <f>IF(AND(O80="1521",MONTH(C80)='BK NL'!$M$11),"x","")</f>
        <v/>
      </c>
      <c r="AM80" s="1007">
        <v>1</v>
      </c>
    </row>
    <row r="81" spans="1:37" s="1007" customFormat="1" ht="15.75" customHeight="1">
      <c r="A81" s="362" t="str">
        <f>IF(B81&lt;&gt;"",IF(AND(B81&gt;=_TM1,B81&lt;=_TM2,OR(TH!O81="1111",TH!P81="1111")),TH!D81,""),"")</f>
        <v/>
      </c>
      <c r="B81" s="63">
        <f t="shared" si="3"/>
        <v>1</v>
      </c>
      <c r="C81" s="337">
        <v>42392</v>
      </c>
      <c r="D81" s="337" t="s">
        <v>81</v>
      </c>
      <c r="E81" s="337">
        <v>42392</v>
      </c>
      <c r="F81" s="338" t="s">
        <v>399</v>
      </c>
      <c r="G81" s="351" t="s">
        <v>416</v>
      </c>
      <c r="H81" s="339" t="s">
        <v>417</v>
      </c>
      <c r="I81" s="476"/>
      <c r="J81" s="476"/>
      <c r="K81" s="469"/>
      <c r="L81" s="476"/>
      <c r="M81" s="65">
        <v>2080000</v>
      </c>
      <c r="N81" s="65"/>
      <c r="O81" s="340" t="s">
        <v>242</v>
      </c>
      <c r="P81" s="340" t="s">
        <v>97</v>
      </c>
      <c r="Q81" s="66" t="str">
        <f>IF(AND('331-CT'!$E$7=TH!H81,OR(O81="331",P81="331")),"x","")</f>
        <v/>
      </c>
      <c r="R81" s="66" t="str">
        <f>IF(AND($B81&gt;='111'!$N$11,$B81&lt;='111'!$O$11,OR($O81=$R$7,$P81=$R$7)),"x","")</f>
        <v/>
      </c>
      <c r="S81" s="66" t="str">
        <f>IF(AND($O81=$R$7,$B81&lt;'111'!$N$11),"x","")</f>
        <v/>
      </c>
      <c r="T81" s="66" t="str">
        <f>IF(AND($P81=$R$7,$B81&lt;'111'!$N$11),"x","")</f>
        <v>x</v>
      </c>
      <c r="U81" s="66" t="str">
        <f>IF(AND($B81&gt;='112'!$M$9,$B81&lt;='112'!$N$9,OR($O81='112'!$I$6,$P81='112'!$I$6)),"x","")</f>
        <v/>
      </c>
      <c r="V81" s="66" t="str">
        <f>IF(AND($O81='112'!$I$6,$B81&lt;'112'!$M$9),"x","")</f>
        <v/>
      </c>
      <c r="W81" s="66" t="str">
        <f>IF(AND($P81='112'!$I$6,$B81&lt;'112'!$M$9),"x","")</f>
        <v/>
      </c>
      <c r="X81" s="66" t="str">
        <f>IF(AND('131-CT'!$H$9=TH!H81,OR(O81="131",P81="131")),"x","")</f>
        <v/>
      </c>
      <c r="Y81" s="80" t="str">
        <f>IF(AND($B81&gt;='1331'!$I$9,$B81&lt;='1331'!$J$9,OR($O81=$Y$7,$P81=$Y$7)),"x","")</f>
        <v/>
      </c>
      <c r="Z81" s="80" t="str">
        <f>IF(AND($O81=$Y$7,$B81&lt;'1331'!$I$9),"x","")</f>
        <v/>
      </c>
      <c r="AA81" s="80" t="str">
        <f>IF(AND($P81=$Y$7,$B81&lt;'1331'!$I$9),"x","")</f>
        <v/>
      </c>
      <c r="AB81" s="80" t="str">
        <f>IF(AND($B81&gt;='1332'!$I$9,$B81&lt;='1332'!$I$9,OR($O81=$AB$7,$P81=$AB$7)),"x","")</f>
        <v/>
      </c>
      <c r="AC81" s="80" t="str">
        <f>IF(AND($O81=$AB$7,$B81&lt;'1332'!$I$9),"x","")</f>
        <v/>
      </c>
      <c r="AD81" s="80" t="str">
        <f>IF(AND($P81=$AB$7,$B81&lt;'1332'!$I$9),"x","")</f>
        <v/>
      </c>
      <c r="AE81" s="80" t="str">
        <f>IF(AND('341-CT'!$H$9=H81,OR(LEFT(O81,3)=$AE$7,LEFT(P81,3)=$AE$7)),"x","")</f>
        <v/>
      </c>
      <c r="AF81" s="80" t="str">
        <f>IF(OR(TH!O81=TH!$AF$7,P81=TH!$AF$7),"x","")</f>
        <v/>
      </c>
      <c r="AG81" s="80"/>
      <c r="AH81" s="80" t="str">
        <f>IF(AND(B81&gt;='IN-NX'!$P$3,B81&lt;='IN-NX'!$Q$3,'IN-NX'!$D$7=D81,OR(LEFT(L81,2)="15",AND(LEFT(M81,2)&lt;&gt;"15",LEFT(M81,2)&lt;&gt;"33"))),"x","")</f>
        <v/>
      </c>
      <c r="AI81" s="80" t="str">
        <f>IF(AND(OR(LEFT(TH!O81,2)="15",LEFT(TH!P81,2)="15"),'152-CT'!$J$8=TH!F81),"x","")</f>
        <v/>
      </c>
      <c r="AJ81" s="80" t="str">
        <f>IF(AND(OR(LEFT(TH!O81,2)="15",LEFT(TH!P81,2)="15"),'THE KHO'!$E$7=TH!F81),"x","")</f>
        <v/>
      </c>
      <c r="AK81" s="80" t="str">
        <f>IF(AND(O81="1521",MONTH(C81)='BK NL'!$M$11),"x","")</f>
        <v/>
      </c>
    </row>
    <row r="82" spans="1:37" s="1007" customFormat="1" ht="15.75" customHeight="1">
      <c r="A82" s="362" t="str">
        <f>IF(B82&lt;&gt;"",IF(AND(B82&gt;=_TM1,B82&lt;=_TM2,OR(TH!O82="1111",TH!P82="1111")),TH!D82,""),"")</f>
        <v/>
      </c>
      <c r="B82" s="63">
        <f t="shared" si="3"/>
        <v>1</v>
      </c>
      <c r="C82" s="337">
        <v>42392</v>
      </c>
      <c r="D82" s="337" t="s">
        <v>8</v>
      </c>
      <c r="E82" s="337">
        <v>42392</v>
      </c>
      <c r="F82" s="338" t="s">
        <v>57</v>
      </c>
      <c r="G82" s="1022" t="s">
        <v>798</v>
      </c>
      <c r="H82" s="339"/>
      <c r="I82" s="476"/>
      <c r="J82" s="476"/>
      <c r="K82" s="469"/>
      <c r="L82" s="476"/>
      <c r="M82" s="65">
        <v>163571</v>
      </c>
      <c r="N82" s="65"/>
      <c r="O82" s="340" t="s">
        <v>31</v>
      </c>
      <c r="P82" s="340" t="s">
        <v>58</v>
      </c>
      <c r="Q82" s="66" t="str">
        <f>IF(AND('331-CT'!$E$7=TH!H82,OR(O82="331",P82="331")),"x","")</f>
        <v/>
      </c>
      <c r="R82" s="66" t="str">
        <f>IF(AND($B82&gt;='111'!$N$11,$B82&lt;='111'!$O$11,OR($O82=$R$7,$P82=$R$7)),"x","")</f>
        <v/>
      </c>
      <c r="S82" s="66" t="str">
        <f>IF(AND($O82=$R$7,$B82&lt;'111'!$N$11),"x","")</f>
        <v/>
      </c>
      <c r="T82" s="66" t="str">
        <f>IF(AND($P82=$R$7,$B82&lt;'111'!$N$11),"x","")</f>
        <v/>
      </c>
      <c r="U82" s="66" t="str">
        <f>IF(AND($B82&gt;='112'!$M$9,$B82&lt;='112'!$N$9,OR($O82='112'!$I$6,$P82='112'!$I$6)),"x","")</f>
        <v/>
      </c>
      <c r="V82" s="66" t="str">
        <f>IF(AND($O82='112'!$I$6,$B82&lt;'112'!$M$9),"x","")</f>
        <v>x</v>
      </c>
      <c r="W82" s="66" t="str">
        <f>IF(AND($P82='112'!$I$6,$B82&lt;'112'!$M$9),"x","")</f>
        <v/>
      </c>
      <c r="X82" s="66" t="str">
        <f>IF(AND('131-CT'!$H$9=TH!H82,OR(O82="131",P82="131")),"x","")</f>
        <v/>
      </c>
      <c r="Y82" s="80" t="str">
        <f>IF(AND($B82&gt;='1331'!$I$9,$B82&lt;='1331'!$J$9,OR($O82=$Y$7,$P82=$Y$7)),"x","")</f>
        <v/>
      </c>
      <c r="Z82" s="80" t="str">
        <f>IF(AND($O82=$Y$7,$B82&lt;'1331'!$I$9),"x","")</f>
        <v/>
      </c>
      <c r="AA82" s="80" t="str">
        <f>IF(AND($P82=$Y$7,$B82&lt;'1331'!$I$9),"x","")</f>
        <v/>
      </c>
      <c r="AB82" s="80" t="str">
        <f>IF(AND($B82&gt;='1332'!$I$9,$B82&lt;='1332'!$I$9,OR($O82=$AB$7,$P82=$AB$7)),"x","")</f>
        <v/>
      </c>
      <c r="AC82" s="80" t="str">
        <f>IF(AND($O82=$AB$7,$B82&lt;'1332'!$I$9),"x","")</f>
        <v/>
      </c>
      <c r="AD82" s="80" t="str">
        <f>IF(AND($P82=$AB$7,$B82&lt;'1332'!$I$9),"x","")</f>
        <v/>
      </c>
      <c r="AE82" s="80" t="str">
        <f>IF(AND('341-CT'!$H$9=H82,OR(LEFT(O82,3)=$AE$7,LEFT(P82,3)=$AE$7)),"x","")</f>
        <v/>
      </c>
      <c r="AF82" s="80" t="str">
        <f>IF(OR(TH!O82=TH!$AF$7,P82=TH!$AF$7),"x","")</f>
        <v/>
      </c>
      <c r="AG82" s="80"/>
      <c r="AH82" s="80" t="str">
        <f>IF(AND(B82&gt;='IN-NX'!$P$3,B82&lt;='IN-NX'!$Q$3,'IN-NX'!$D$7=D82,OR(LEFT(L82,2)="15",AND(LEFT(M82,2)&lt;&gt;"15",LEFT(M82,2)&lt;&gt;"33"))),"x","")</f>
        <v/>
      </c>
      <c r="AI82" s="80" t="str">
        <f>IF(AND(OR(LEFT(TH!O82,2)="15",LEFT(TH!P82,2)="15"),'152-CT'!$J$8=TH!F82),"x","")</f>
        <v/>
      </c>
      <c r="AJ82" s="80" t="str">
        <f>IF(AND(OR(LEFT(TH!O82,2)="15",LEFT(TH!P82,2)="15"),'THE KHO'!$E$7=TH!F82),"x","")</f>
        <v/>
      </c>
      <c r="AK82" s="80" t="str">
        <f>IF(AND(O82="1521",MONTH(C82)='BK NL'!$M$11),"x","")</f>
        <v/>
      </c>
    </row>
    <row r="83" spans="1:37" s="1007" customFormat="1" ht="15.75" customHeight="1">
      <c r="A83" s="362" t="str">
        <f>IF(B83&lt;&gt;"",IF(AND(B83&gt;=_TM1,B83&lt;=_TM2,OR(TH!O83="1111",TH!P83="1111")),TH!D83,""),"")</f>
        <v/>
      </c>
      <c r="B83" s="63">
        <f t="shared" si="3"/>
        <v>1</v>
      </c>
      <c r="C83" s="337">
        <v>42395</v>
      </c>
      <c r="D83" s="337" t="s">
        <v>187</v>
      </c>
      <c r="E83" s="337">
        <v>42395</v>
      </c>
      <c r="F83" s="338" t="s">
        <v>418</v>
      </c>
      <c r="G83" s="1022"/>
      <c r="H83" s="339" t="s">
        <v>419</v>
      </c>
      <c r="I83" s="476"/>
      <c r="J83" s="476"/>
      <c r="K83" s="469"/>
      <c r="L83" s="476"/>
      <c r="M83" s="65">
        <v>449822</v>
      </c>
      <c r="N83" s="65"/>
      <c r="O83" s="340" t="s">
        <v>242</v>
      </c>
      <c r="P83" s="340" t="s">
        <v>97</v>
      </c>
      <c r="Q83" s="66" t="str">
        <f>IF(AND('331-CT'!$E$7=TH!H83,OR(O83="331",P83="331")),"x","")</f>
        <v/>
      </c>
      <c r="R83" s="66" t="str">
        <f>IF(AND($B83&gt;='111'!$N$11,$B83&lt;='111'!$O$11,OR($O83=$R$7,$P83=$R$7)),"x","")</f>
        <v/>
      </c>
      <c r="S83" s="66" t="str">
        <f>IF(AND($O83=$R$7,$B83&lt;'111'!$N$11),"x","")</f>
        <v/>
      </c>
      <c r="T83" s="66" t="str">
        <f>IF(AND($P83=$R$7,$B83&lt;'111'!$N$11),"x","")</f>
        <v>x</v>
      </c>
      <c r="U83" s="66" t="str">
        <f>IF(AND($B83&gt;='112'!$M$9,$B83&lt;='112'!$N$9,OR($O83='112'!$I$6,$P83='112'!$I$6)),"x","")</f>
        <v/>
      </c>
      <c r="V83" s="66" t="str">
        <f>IF(AND($O83='112'!$I$6,$B83&lt;'112'!$M$9),"x","")</f>
        <v/>
      </c>
      <c r="W83" s="66" t="str">
        <f>IF(AND($P83='112'!$I$6,$B83&lt;'112'!$M$9),"x","")</f>
        <v/>
      </c>
      <c r="X83" s="66" t="str">
        <f>IF(AND('131-CT'!$H$9=TH!H83,OR(O83="131",P83="131")),"x","")</f>
        <v/>
      </c>
      <c r="Y83" s="80" t="str">
        <f>IF(AND($B83&gt;='1331'!$I$9,$B83&lt;='1331'!$J$9,OR($O83=$Y$7,$P83=$Y$7)),"x","")</f>
        <v/>
      </c>
      <c r="Z83" s="80" t="str">
        <f>IF(AND($O83=$Y$7,$B83&lt;'1331'!$I$9),"x","")</f>
        <v/>
      </c>
      <c r="AA83" s="80" t="str">
        <f>IF(AND($P83=$Y$7,$B83&lt;'1331'!$I$9),"x","")</f>
        <v/>
      </c>
      <c r="AB83" s="80" t="str">
        <f>IF(AND($B83&gt;='1332'!$I$9,$B83&lt;='1332'!$I$9,OR($O83=$AB$7,$P83=$AB$7)),"x","")</f>
        <v/>
      </c>
      <c r="AC83" s="80" t="str">
        <f>IF(AND($O83=$AB$7,$B83&lt;'1332'!$I$9),"x","")</f>
        <v/>
      </c>
      <c r="AD83" s="80" t="str">
        <f>IF(AND($P83=$AB$7,$B83&lt;'1332'!$I$9),"x","")</f>
        <v/>
      </c>
      <c r="AE83" s="80" t="str">
        <f>IF(AND('341-CT'!$H$9=H83,OR(LEFT(O83,3)=$AE$7,LEFT(P83,3)=$AE$7)),"x","")</f>
        <v/>
      </c>
      <c r="AF83" s="80" t="str">
        <f>IF(OR(TH!O83=TH!$AF$7,P83=TH!$AF$7),"x","")</f>
        <v/>
      </c>
      <c r="AG83" s="80"/>
      <c r="AH83" s="80" t="str">
        <f>IF(AND(B83&gt;='IN-NX'!$P$3,B83&lt;='IN-NX'!$Q$3,'IN-NX'!$D$7=D83,OR(LEFT(L83,2)="15",AND(LEFT(M83,2)&lt;&gt;"15",LEFT(M83,2)&lt;&gt;"33"))),"x","")</f>
        <v/>
      </c>
      <c r="AI83" s="80" t="str">
        <f>IF(AND(OR(LEFT(TH!O83,2)="15",LEFT(TH!P83,2)="15"),'152-CT'!$J$8=TH!F83),"x","")</f>
        <v/>
      </c>
      <c r="AJ83" s="80" t="str">
        <f>IF(AND(OR(LEFT(TH!O83,2)="15",LEFT(TH!P83,2)="15"),'THE KHO'!$E$7=TH!F83),"x","")</f>
        <v/>
      </c>
      <c r="AK83" s="80" t="str">
        <f>IF(AND(O83="1521",MONTH(C83)='BK NL'!$M$11),"x","")</f>
        <v/>
      </c>
    </row>
    <row r="84" spans="1:37" s="1007" customFormat="1" ht="15.75" customHeight="1">
      <c r="A84" s="362" t="str">
        <f>IF(B84&lt;&gt;"",IF(AND(B84&gt;=_TM1,B84&lt;=_TM2,OR(TH!O84="1111",TH!P84="1111")),TH!D84,""),"")</f>
        <v/>
      </c>
      <c r="B84" s="63">
        <f t="shared" si="3"/>
        <v>1</v>
      </c>
      <c r="C84" s="337">
        <v>42395</v>
      </c>
      <c r="D84" s="337" t="s">
        <v>1014</v>
      </c>
      <c r="E84" s="337">
        <v>42370</v>
      </c>
      <c r="F84" s="338" t="s">
        <v>308</v>
      </c>
      <c r="G84" s="1022" t="s">
        <v>360</v>
      </c>
      <c r="H84" s="339" t="s">
        <v>309</v>
      </c>
      <c r="I84" s="476"/>
      <c r="J84" s="476"/>
      <c r="K84" s="469"/>
      <c r="L84" s="476"/>
      <c r="M84" s="65">
        <v>10490880</v>
      </c>
      <c r="N84" s="65"/>
      <c r="O84" s="1023" t="s">
        <v>135</v>
      </c>
      <c r="P84" s="340" t="s">
        <v>9</v>
      </c>
      <c r="Q84" s="66" t="str">
        <f>IF(AND('331-CT'!$E$7=TH!H84,OR(O84="331",P84="331")),"x","")</f>
        <v/>
      </c>
      <c r="R84" s="66" t="str">
        <f>IF(AND($B84&gt;='111'!$N$11,$B84&lt;='111'!$O$11,OR($O84=$R$7,$P84=$R$7)),"x","")</f>
        <v/>
      </c>
      <c r="S84" s="66" t="str">
        <f>IF(AND($O84=$R$7,$B84&lt;'111'!$N$11),"x","")</f>
        <v/>
      </c>
      <c r="T84" s="66" t="str">
        <f>IF(AND($P84=$R$7,$B84&lt;'111'!$N$11),"x","")</f>
        <v/>
      </c>
      <c r="U84" s="66" t="str">
        <f>IF(AND($B84&gt;='112'!$M$9,$B84&lt;='112'!$N$9,OR($O84='112'!$I$6,$P84='112'!$I$6)),"x","")</f>
        <v/>
      </c>
      <c r="V84" s="66" t="str">
        <f>IF(AND($O84='112'!$I$6,$B84&lt;'112'!$M$9),"x","")</f>
        <v/>
      </c>
      <c r="W84" s="66" t="str">
        <f>IF(AND($P84='112'!$I$6,$B84&lt;'112'!$M$9),"x","")</f>
        <v/>
      </c>
      <c r="X84" s="66" t="str">
        <f>IF(AND('131-CT'!$H$9=TH!H84,OR(O84="131",P84="131")),"x","")</f>
        <v/>
      </c>
      <c r="Y84" s="80" t="str">
        <f>IF(AND($B84&gt;='1331'!$I$9,$B84&lt;='1331'!$J$9,OR($O84=$Y$7,$P84=$Y$7)),"x","")</f>
        <v/>
      </c>
      <c r="Z84" s="80" t="str">
        <f>IF(AND($O84=$Y$7,$B84&lt;'1331'!$I$9),"x","")</f>
        <v/>
      </c>
      <c r="AA84" s="80" t="str">
        <f>IF(AND($P84=$Y$7,$B84&lt;'1331'!$I$9),"x","")</f>
        <v/>
      </c>
      <c r="AB84" s="80" t="str">
        <f>IF(AND($B84&gt;='1332'!$I$9,$B84&lt;='1332'!$I$9,OR($O84=$AB$7,$P84=$AB$7)),"x","")</f>
        <v/>
      </c>
      <c r="AC84" s="80" t="str">
        <f>IF(AND($O84=$AB$7,$B84&lt;'1332'!$I$9),"x","")</f>
        <v/>
      </c>
      <c r="AD84" s="80" t="str">
        <f>IF(AND($P84=$AB$7,$B84&lt;'1332'!$I$9),"x","")</f>
        <v/>
      </c>
      <c r="AE84" s="80" t="str">
        <f>IF(AND('341-CT'!$H$9=H84,OR(LEFT(O84,3)=$AE$7,LEFT(P84,3)=$AE$7)),"x","")</f>
        <v/>
      </c>
      <c r="AF84" s="80" t="str">
        <f>IF(OR(TH!O84=TH!$AF$7,P84=TH!$AF$7),"x","")</f>
        <v/>
      </c>
      <c r="AG84" s="80"/>
      <c r="AH84" s="80" t="str">
        <f>IF(AND(B84&gt;='IN-NX'!$P$3,B84&lt;='IN-NX'!$Q$3,'IN-NX'!$D$7=D84,OR(LEFT(L84,2)="15",AND(LEFT(M84,2)&lt;&gt;"15",LEFT(M84,2)&lt;&gt;"33"))),"x","")</f>
        <v/>
      </c>
      <c r="AI84" s="80" t="str">
        <f>IF(AND(OR(LEFT(TH!O84,2)="15",LEFT(TH!P84,2)="15"),'152-CT'!$J$8=TH!F84),"x","")</f>
        <v/>
      </c>
      <c r="AJ84" s="80" t="str">
        <f>IF(AND(OR(LEFT(TH!O84,2)="15",LEFT(TH!P84,2)="15"),'THE KHO'!$E$7=TH!F84),"x","")</f>
        <v/>
      </c>
      <c r="AK84" s="80" t="str">
        <f>IF(AND(O84="1521",MONTH(C84)='BK NL'!$M$11),"x","")</f>
        <v/>
      </c>
    </row>
    <row r="85" spans="1:37" s="1007" customFormat="1" ht="15.75" customHeight="1">
      <c r="A85" s="362" t="str">
        <f>IF(B85&lt;&gt;"",IF(AND(B85&gt;=_TM1,B85&lt;=_TM2,OR(TH!O85="1111",TH!P85="1111")),TH!D85,""),"")</f>
        <v/>
      </c>
      <c r="B85" s="63">
        <f t="shared" si="3"/>
        <v>1</v>
      </c>
      <c r="C85" s="337">
        <v>42395</v>
      </c>
      <c r="D85" s="337" t="s">
        <v>1014</v>
      </c>
      <c r="E85" s="337">
        <v>42370</v>
      </c>
      <c r="F85" s="338" t="s">
        <v>310</v>
      </c>
      <c r="G85" s="1022" t="s">
        <v>360</v>
      </c>
      <c r="H85" s="339" t="s">
        <v>309</v>
      </c>
      <c r="I85" s="476"/>
      <c r="J85" s="476"/>
      <c r="K85" s="469"/>
      <c r="L85" s="476"/>
      <c r="M85" s="88">
        <v>1049088</v>
      </c>
      <c r="N85" s="88"/>
      <c r="O85" s="340" t="s">
        <v>10</v>
      </c>
      <c r="P85" s="340" t="s">
        <v>9</v>
      </c>
      <c r="Q85" s="66" t="str">
        <f>IF(AND('331-CT'!$E$7=TH!H85,OR(O85="331",P85="331")),"x","")</f>
        <v/>
      </c>
      <c r="R85" s="66" t="str">
        <f>IF(AND($B85&gt;='111'!$N$11,$B85&lt;='111'!$O$11,OR($O85=$R$7,$P85=$R$7)),"x","")</f>
        <v/>
      </c>
      <c r="S85" s="66" t="str">
        <f>IF(AND($O85=$R$7,$B85&lt;'111'!$N$11),"x","")</f>
        <v/>
      </c>
      <c r="T85" s="66" t="str">
        <f>IF(AND($P85=$R$7,$B85&lt;'111'!$N$11),"x","")</f>
        <v/>
      </c>
      <c r="U85" s="66" t="str">
        <f>IF(AND($B85&gt;='112'!$M$9,$B85&lt;='112'!$N$9,OR($O85='112'!$I$6,$P85='112'!$I$6)),"x","")</f>
        <v/>
      </c>
      <c r="V85" s="66" t="str">
        <f>IF(AND($O85='112'!$I$6,$B85&lt;'112'!$M$9),"x","")</f>
        <v/>
      </c>
      <c r="W85" s="66" t="str">
        <f>IF(AND($P85='112'!$I$6,$B85&lt;'112'!$M$9),"x","")</f>
        <v/>
      </c>
      <c r="X85" s="66" t="str">
        <f>IF(AND('131-CT'!$H$9=TH!H85,OR(O85="131",P85="131")),"x","")</f>
        <v/>
      </c>
      <c r="Y85" s="80" t="str">
        <f>IF(AND($B85&gt;='1331'!$I$9,$B85&lt;='1331'!$J$9,OR($O85=$Y$7,$P85=$Y$7)),"x","")</f>
        <v/>
      </c>
      <c r="Z85" s="80" t="str">
        <f>IF(AND($O85=$Y$7,$B85&lt;'1331'!$I$9),"x","")</f>
        <v>x</v>
      </c>
      <c r="AA85" s="80" t="str">
        <f>IF(AND($P85=$Y$7,$B85&lt;'1331'!$I$9),"x","")</f>
        <v/>
      </c>
      <c r="AB85" s="80" t="str">
        <f>IF(AND($B85&gt;='1332'!$I$9,$B85&lt;='1332'!$I$9,OR($O85=$AB$7,$P85=$AB$7)),"x","")</f>
        <v/>
      </c>
      <c r="AC85" s="80" t="str">
        <f>IF(AND($O85=$AB$7,$B85&lt;'1332'!$I$9),"x","")</f>
        <v/>
      </c>
      <c r="AD85" s="80" t="str">
        <f>IF(AND($P85=$AB$7,$B85&lt;'1332'!$I$9),"x","")</f>
        <v/>
      </c>
      <c r="AE85" s="80" t="str">
        <f>IF(AND('341-CT'!$H$9=H85,OR(LEFT(O85,3)=$AE$7,LEFT(P85,3)=$AE$7)),"x","")</f>
        <v/>
      </c>
      <c r="AF85" s="80" t="str">
        <f>IF(OR(TH!O85=TH!$AF$7,P85=TH!$AF$7),"x","")</f>
        <v/>
      </c>
      <c r="AG85" s="80"/>
      <c r="AH85" s="80" t="str">
        <f>IF(AND(B85&gt;='IN-NX'!$P$3,B85&lt;='IN-NX'!$Q$3,'IN-NX'!$D$7=D85,OR(LEFT(L85,2)="15",AND(LEFT(M85,2)&lt;&gt;"15",LEFT(M85,2)&lt;&gt;"33"))),"x","")</f>
        <v/>
      </c>
      <c r="AI85" s="80" t="str">
        <f>IF(AND(OR(LEFT(TH!O85,2)="15",LEFT(TH!P85,2)="15"),'152-CT'!$J$8=TH!F85),"x","")</f>
        <v/>
      </c>
      <c r="AJ85" s="80" t="str">
        <f>IF(AND(OR(LEFT(TH!O85,2)="15",LEFT(TH!P85,2)="15"),'THE KHO'!$E$7=TH!F85),"x","")</f>
        <v/>
      </c>
      <c r="AK85" s="80" t="str">
        <f>IF(AND(O85="1521",MONTH(C85)='BK NL'!$M$11),"x","")</f>
        <v/>
      </c>
    </row>
    <row r="86" spans="1:37" s="1007" customFormat="1" ht="15.75" customHeight="1">
      <c r="A86" s="362" t="str">
        <f>IF(B86&lt;&gt;"",IF(AND(B86&gt;=_TM1,B86&lt;=_TM2,OR(TH!O86="1111",TH!P86="1111")),TH!D86,""),"")</f>
        <v/>
      </c>
      <c r="B86" s="63">
        <f t="shared" si="3"/>
        <v>1</v>
      </c>
      <c r="C86" s="337">
        <v>42395</v>
      </c>
      <c r="D86" s="337" t="s">
        <v>1014</v>
      </c>
      <c r="E86" s="337">
        <v>42374</v>
      </c>
      <c r="F86" s="338" t="s">
        <v>366</v>
      </c>
      <c r="G86" s="1022" t="s">
        <v>367</v>
      </c>
      <c r="H86" s="339" t="s">
        <v>82</v>
      </c>
      <c r="I86" s="476"/>
      <c r="J86" s="476"/>
      <c r="K86" s="469"/>
      <c r="L86" s="476"/>
      <c r="M86" s="65">
        <v>809090909</v>
      </c>
      <c r="N86" s="65"/>
      <c r="O86" s="340" t="s">
        <v>242</v>
      </c>
      <c r="P86" s="340" t="s">
        <v>9</v>
      </c>
      <c r="Q86" s="66" t="str">
        <f>IF(AND('331-CT'!$E$7=TH!H86,OR(O86="331",P86="331")),"x","")</f>
        <v/>
      </c>
      <c r="R86" s="66" t="str">
        <f>IF(AND($B86&gt;='111'!$N$11,$B86&lt;='111'!$O$11,OR($O86=$R$7,$P86=$R$7)),"x","")</f>
        <v/>
      </c>
      <c r="S86" s="66" t="str">
        <f>IF(AND($O86=$R$7,$B86&lt;'111'!$N$11),"x","")</f>
        <v/>
      </c>
      <c r="T86" s="66" t="str">
        <f>IF(AND($P86=$R$7,$B86&lt;'111'!$N$11),"x","")</f>
        <v/>
      </c>
      <c r="U86" s="66" t="str">
        <f>IF(AND($B86&gt;='112'!$M$9,$B86&lt;='112'!$N$9,OR($O86='112'!$I$6,$P86='112'!$I$6)),"x","")</f>
        <v/>
      </c>
      <c r="V86" s="66" t="str">
        <f>IF(AND($O86='112'!$I$6,$B86&lt;'112'!$M$9),"x","")</f>
        <v/>
      </c>
      <c r="W86" s="66" t="str">
        <f>IF(AND($P86='112'!$I$6,$B86&lt;'112'!$M$9),"x","")</f>
        <v/>
      </c>
      <c r="X86" s="66" t="str">
        <f>IF(AND('131-CT'!$H$9=TH!H86,OR(O86="131",P86="131")),"x","")</f>
        <v/>
      </c>
      <c r="Y86" s="80" t="str">
        <f>IF(AND($B86&gt;='1331'!$I$9,$B86&lt;='1331'!$J$9,OR($O86=$Y$7,$P86=$Y$7)),"x","")</f>
        <v/>
      </c>
      <c r="Z86" s="80" t="str">
        <f>IF(AND($O86=$Y$7,$B86&lt;'1331'!$I$9),"x","")</f>
        <v/>
      </c>
      <c r="AA86" s="80" t="str">
        <f>IF(AND($P86=$Y$7,$B86&lt;'1331'!$I$9),"x","")</f>
        <v/>
      </c>
      <c r="AB86" s="80" t="str">
        <f>IF(AND($B86&gt;='1332'!$I$9,$B86&lt;='1332'!$I$9,OR($O86=$AB$7,$P86=$AB$7)),"x","")</f>
        <v/>
      </c>
      <c r="AC86" s="80" t="str">
        <f>IF(AND($O86=$AB$7,$B86&lt;'1332'!$I$9),"x","")</f>
        <v/>
      </c>
      <c r="AD86" s="80" t="str">
        <f>IF(AND($P86=$AB$7,$B86&lt;'1332'!$I$9),"x","")</f>
        <v/>
      </c>
      <c r="AE86" s="80" t="str">
        <f>IF(AND('341-CT'!$H$9=H86,OR(LEFT(O86,3)=$AE$7,LEFT(P86,3)=$AE$7)),"x","")</f>
        <v/>
      </c>
      <c r="AF86" s="80" t="str">
        <f>IF(OR(TH!O86=TH!$AF$7,P86=TH!$AF$7),"x","")</f>
        <v/>
      </c>
      <c r="AG86" s="80"/>
      <c r="AH86" s="80" t="str">
        <f>IF(AND(B86&gt;='IN-NX'!$P$3,B86&lt;='IN-NX'!$Q$3,'IN-NX'!$D$7=D86,OR(LEFT(L86,2)="15",AND(LEFT(M86,2)&lt;&gt;"15",LEFT(M86,2)&lt;&gt;"33"))),"x","")</f>
        <v/>
      </c>
      <c r="AI86" s="80" t="str">
        <f>IF(AND(OR(LEFT(TH!O86,2)="15",LEFT(TH!P86,2)="15"),'152-CT'!$J$8=TH!F86),"x","")</f>
        <v/>
      </c>
      <c r="AJ86" s="80" t="str">
        <f>IF(AND(OR(LEFT(TH!O86,2)="15",LEFT(TH!P86,2)="15"),'THE KHO'!$E$7=TH!F86),"x","")</f>
        <v/>
      </c>
      <c r="AK86" s="80" t="str">
        <f>IF(AND(O86="1521",MONTH(C86)='BK NL'!$M$11),"x","")</f>
        <v/>
      </c>
    </row>
    <row r="87" spans="1:37" s="1007" customFormat="1" ht="15.75" customHeight="1">
      <c r="A87" s="362" t="str">
        <f>IF(B87&lt;&gt;"",IF(AND(B87&gt;=_TM1,B87&lt;=_TM2,OR(TH!O87="1111",TH!P87="1111")),TH!D87,""),"")</f>
        <v/>
      </c>
      <c r="B87" s="63">
        <f t="shared" si="3"/>
        <v>1</v>
      </c>
      <c r="C87" s="337">
        <v>42395</v>
      </c>
      <c r="D87" s="337" t="s">
        <v>1014</v>
      </c>
      <c r="E87" s="337">
        <v>42374</v>
      </c>
      <c r="F87" s="338" t="s">
        <v>368</v>
      </c>
      <c r="G87" s="1022" t="s">
        <v>367</v>
      </c>
      <c r="H87" s="339" t="s">
        <v>82</v>
      </c>
      <c r="I87" s="476"/>
      <c r="J87" s="476"/>
      <c r="K87" s="469"/>
      <c r="L87" s="476"/>
      <c r="M87" s="79">
        <v>80909091</v>
      </c>
      <c r="N87" s="79"/>
      <c r="O87" s="340" t="s">
        <v>981</v>
      </c>
      <c r="P87" s="340" t="s">
        <v>9</v>
      </c>
      <c r="Q87" s="66" t="str">
        <f>IF(AND('331-CT'!$E$7=TH!H87,OR(O87="331",P87="331")),"x","")</f>
        <v/>
      </c>
      <c r="R87" s="66" t="str">
        <f>IF(AND($B87&gt;='111'!$N$11,$B87&lt;='111'!$O$11,OR($O87=$R$7,$P87=$R$7)),"x","")</f>
        <v/>
      </c>
      <c r="S87" s="66" t="str">
        <f>IF(AND($O87=$R$7,$B87&lt;'111'!$N$11),"x","")</f>
        <v/>
      </c>
      <c r="T87" s="66" t="str">
        <f>IF(AND($P87=$R$7,$B87&lt;'111'!$N$11),"x","")</f>
        <v/>
      </c>
      <c r="U87" s="66" t="str">
        <f>IF(AND($B87&gt;='112'!$M$9,$B87&lt;='112'!$N$9,OR($O87='112'!$I$6,$P87='112'!$I$6)),"x","")</f>
        <v/>
      </c>
      <c r="V87" s="66" t="str">
        <f>IF(AND($O87='112'!$I$6,$B87&lt;'112'!$M$9),"x","")</f>
        <v/>
      </c>
      <c r="W87" s="66" t="str">
        <f>IF(AND($P87='112'!$I$6,$B87&lt;'112'!$M$9),"x","")</f>
        <v/>
      </c>
      <c r="X87" s="66" t="str">
        <f>IF(AND('131-CT'!$H$9=TH!H87,OR(O87="131",P87="131")),"x","")</f>
        <v/>
      </c>
      <c r="Y87" s="80" t="str">
        <f>IF(AND($B87&gt;='1331'!$I$9,$B87&lt;='1331'!$J$9,OR($O87=$Y$7,$P87=$Y$7)),"x","")</f>
        <v/>
      </c>
      <c r="Z87" s="80" t="str">
        <f>IF(AND($O87=$Y$7,$B87&lt;'1331'!$I$9),"x","")</f>
        <v/>
      </c>
      <c r="AA87" s="80" t="str">
        <f>IF(AND($P87=$Y$7,$B87&lt;'1331'!$I$9),"x","")</f>
        <v/>
      </c>
      <c r="AB87" s="80" t="str">
        <f>IF(AND($B87&gt;='1332'!$I$9,$B87&lt;='1332'!$I$9,OR($O87=$AB$7,$P87=$AB$7)),"x","")</f>
        <v/>
      </c>
      <c r="AC87" s="80" t="str">
        <f>IF(AND($O87=$AB$7,$B87&lt;'1332'!$I$9),"x","")</f>
        <v>x</v>
      </c>
      <c r="AD87" s="80" t="str">
        <f>IF(AND($P87=$AB$7,$B87&lt;'1332'!$I$9),"x","")</f>
        <v/>
      </c>
      <c r="AE87" s="80" t="str">
        <f>IF(AND('341-CT'!$H$9=H87,OR(LEFT(O87,3)=$AE$7,LEFT(P87,3)=$AE$7)),"x","")</f>
        <v/>
      </c>
      <c r="AF87" s="80" t="str">
        <f>IF(OR(TH!O87=TH!$AF$7,P87=TH!$AF$7),"x","")</f>
        <v/>
      </c>
      <c r="AG87" s="80"/>
      <c r="AH87" s="80" t="str">
        <f>IF(AND(B87&gt;='IN-NX'!$P$3,B87&lt;='IN-NX'!$Q$3,'IN-NX'!$D$7=D87,OR(LEFT(L87,2)="15",AND(LEFT(M87,2)&lt;&gt;"15",LEFT(M87,2)&lt;&gt;"33"))),"x","")</f>
        <v/>
      </c>
      <c r="AI87" s="80" t="str">
        <f>IF(AND(OR(LEFT(TH!O87,2)="15",LEFT(TH!P87,2)="15"),'152-CT'!$J$8=TH!F87),"x","")</f>
        <v/>
      </c>
      <c r="AJ87" s="80" t="str">
        <f>IF(AND(OR(LEFT(TH!O87,2)="15",LEFT(TH!P87,2)="15"),'THE KHO'!$E$7=TH!F87),"x","")</f>
        <v/>
      </c>
      <c r="AK87" s="80" t="str">
        <f>IF(AND(O87="1521",MONTH(C87)='BK NL'!$M$11),"x","")</f>
        <v/>
      </c>
    </row>
    <row r="88" spans="1:37" s="1007" customFormat="1" ht="15.75" customHeight="1">
      <c r="A88" s="362" t="str">
        <f>IF(B88&lt;&gt;"",IF(AND(B88&gt;=_TM1,B88&lt;=_TM2,OR(TH!O88="1111",TH!P88="1111")),TH!D88,""),"")</f>
        <v/>
      </c>
      <c r="B88" s="63">
        <f t="shared" si="3"/>
        <v>1</v>
      </c>
      <c r="C88" s="337">
        <v>42395</v>
      </c>
      <c r="D88" s="337" t="s">
        <v>1014</v>
      </c>
      <c r="E88" s="337">
        <v>42375</v>
      </c>
      <c r="F88" s="338" t="s">
        <v>369</v>
      </c>
      <c r="G88" s="1022" t="s">
        <v>370</v>
      </c>
      <c r="H88" s="339" t="s">
        <v>164</v>
      </c>
      <c r="I88" s="476"/>
      <c r="J88" s="476"/>
      <c r="K88" s="469"/>
      <c r="L88" s="476"/>
      <c r="M88" s="65">
        <v>155454545</v>
      </c>
      <c r="N88" s="65"/>
      <c r="O88" s="340" t="s">
        <v>242</v>
      </c>
      <c r="P88" s="340" t="s">
        <v>9</v>
      </c>
      <c r="Q88" s="66" t="str">
        <f>IF(AND('331-CT'!$E$7=TH!H88,OR(O88="331",P88="331")),"x","")</f>
        <v/>
      </c>
      <c r="R88" s="66" t="str">
        <f>IF(AND($B88&gt;='111'!$N$11,$B88&lt;='111'!$O$11,OR($O88=$R$7,$P88=$R$7)),"x","")</f>
        <v/>
      </c>
      <c r="S88" s="66" t="str">
        <f>IF(AND($O88=$R$7,$B88&lt;'111'!$N$11),"x","")</f>
        <v/>
      </c>
      <c r="T88" s="66" t="str">
        <f>IF(AND($P88=$R$7,$B88&lt;'111'!$N$11),"x","")</f>
        <v/>
      </c>
      <c r="U88" s="66" t="str">
        <f>IF(AND($B88&gt;='112'!$M$9,$B88&lt;='112'!$N$9,OR($O88='112'!$I$6,$P88='112'!$I$6)),"x","")</f>
        <v/>
      </c>
      <c r="V88" s="66" t="str">
        <f>IF(AND($O88='112'!$I$6,$B88&lt;'112'!$M$9),"x","")</f>
        <v/>
      </c>
      <c r="W88" s="66" t="str">
        <f>IF(AND($P88='112'!$I$6,$B88&lt;'112'!$M$9),"x","")</f>
        <v/>
      </c>
      <c r="X88" s="66" t="str">
        <f>IF(AND('131-CT'!$H$9=TH!H88,OR(O88="131",P88="131")),"x","")</f>
        <v/>
      </c>
      <c r="Y88" s="80" t="str">
        <f>IF(AND($B88&gt;='1331'!$I$9,$B88&lt;='1331'!$J$9,OR($O88=$Y$7,$P88=$Y$7)),"x","")</f>
        <v/>
      </c>
      <c r="Z88" s="80" t="str">
        <f>IF(AND($O88=$Y$7,$B88&lt;'1331'!$I$9),"x","")</f>
        <v/>
      </c>
      <c r="AA88" s="80" t="str">
        <f>IF(AND($P88=$Y$7,$B88&lt;'1331'!$I$9),"x","")</f>
        <v/>
      </c>
      <c r="AB88" s="80" t="str">
        <f>IF(AND($B88&gt;='1332'!$I$9,$B88&lt;='1332'!$I$9,OR($O88=$AB$7,$P88=$AB$7)),"x","")</f>
        <v/>
      </c>
      <c r="AC88" s="80" t="str">
        <f>IF(AND($O88=$AB$7,$B88&lt;'1332'!$I$9),"x","")</f>
        <v/>
      </c>
      <c r="AD88" s="80" t="str">
        <f>IF(AND($P88=$AB$7,$B88&lt;'1332'!$I$9),"x","")</f>
        <v/>
      </c>
      <c r="AE88" s="80" t="str">
        <f>IF(AND('341-CT'!$H$9=H88,OR(LEFT(O88,3)=$AE$7,LEFT(P88,3)=$AE$7)),"x","")</f>
        <v/>
      </c>
      <c r="AF88" s="80" t="str">
        <f>IF(OR(TH!O88=TH!$AF$7,P88=TH!$AF$7),"x","")</f>
        <v/>
      </c>
      <c r="AG88" s="80"/>
      <c r="AH88" s="80" t="str">
        <f>IF(AND(B88&gt;='IN-NX'!$P$3,B88&lt;='IN-NX'!$Q$3,'IN-NX'!$D$7=D88,OR(LEFT(L88,2)="15",AND(LEFT(M88,2)&lt;&gt;"15",LEFT(M88,2)&lt;&gt;"33"))),"x","")</f>
        <v/>
      </c>
      <c r="AI88" s="80" t="str">
        <f>IF(AND(OR(LEFT(TH!O88,2)="15",LEFT(TH!P88,2)="15"),'152-CT'!$J$8=TH!F88),"x","")</f>
        <v/>
      </c>
      <c r="AJ88" s="80" t="str">
        <f>IF(AND(OR(LEFT(TH!O88,2)="15",LEFT(TH!P88,2)="15"),'THE KHO'!$E$7=TH!F88),"x","")</f>
        <v/>
      </c>
      <c r="AK88" s="80" t="str">
        <f>IF(AND(O88="1521",MONTH(C88)='BK NL'!$M$11),"x","")</f>
        <v/>
      </c>
    </row>
    <row r="89" spans="1:37" s="1007" customFormat="1" ht="15.75" customHeight="1">
      <c r="A89" s="362" t="str">
        <f>IF(B89&lt;&gt;"",IF(AND(B89&gt;=_TM1,B89&lt;=_TM2,OR(TH!O89="1111",TH!P89="1111")),TH!D89,""),"")</f>
        <v/>
      </c>
      <c r="B89" s="63">
        <f t="shared" si="3"/>
        <v>1</v>
      </c>
      <c r="C89" s="337">
        <v>42395</v>
      </c>
      <c r="D89" s="337" t="s">
        <v>1014</v>
      </c>
      <c r="E89" s="337">
        <v>42375</v>
      </c>
      <c r="F89" s="338" t="s">
        <v>371</v>
      </c>
      <c r="G89" s="1022" t="s">
        <v>370</v>
      </c>
      <c r="H89" s="339" t="s">
        <v>164</v>
      </c>
      <c r="I89" s="476"/>
      <c r="J89" s="476"/>
      <c r="K89" s="469"/>
      <c r="L89" s="476"/>
      <c r="M89" s="79">
        <v>15545455</v>
      </c>
      <c r="N89" s="79"/>
      <c r="O89" s="340" t="s">
        <v>981</v>
      </c>
      <c r="P89" s="340" t="s">
        <v>9</v>
      </c>
      <c r="Q89" s="66" t="str">
        <f>IF(AND('331-CT'!$E$7=TH!H89,OR(O89="331",P89="331")),"x","")</f>
        <v/>
      </c>
      <c r="R89" s="66" t="str">
        <f>IF(AND($B89&gt;='111'!$N$11,$B89&lt;='111'!$O$11,OR($O89=$R$7,$P89=$R$7)),"x","")</f>
        <v/>
      </c>
      <c r="S89" s="66" t="str">
        <f>IF(AND($O89=$R$7,$B89&lt;'111'!$N$11),"x","")</f>
        <v/>
      </c>
      <c r="T89" s="66" t="str">
        <f>IF(AND($P89=$R$7,$B89&lt;'111'!$N$11),"x","")</f>
        <v/>
      </c>
      <c r="U89" s="66" t="str">
        <f>IF(AND($B89&gt;='112'!$M$9,$B89&lt;='112'!$N$9,OR($O89='112'!$I$6,$P89='112'!$I$6)),"x","")</f>
        <v/>
      </c>
      <c r="V89" s="66" t="str">
        <f>IF(AND($O89='112'!$I$6,$B89&lt;'112'!$M$9),"x","")</f>
        <v/>
      </c>
      <c r="W89" s="66" t="str">
        <f>IF(AND($P89='112'!$I$6,$B89&lt;'112'!$M$9),"x","")</f>
        <v/>
      </c>
      <c r="X89" s="66" t="str">
        <f>IF(AND('131-CT'!$H$9=TH!H89,OR(O89="131",P89="131")),"x","")</f>
        <v/>
      </c>
      <c r="Y89" s="80" t="str">
        <f>IF(AND($B89&gt;='1331'!$I$9,$B89&lt;='1331'!$J$9,OR($O89=$Y$7,$P89=$Y$7)),"x","")</f>
        <v/>
      </c>
      <c r="Z89" s="80" t="str">
        <f>IF(AND($O89=$Y$7,$B89&lt;'1331'!$I$9),"x","")</f>
        <v/>
      </c>
      <c r="AA89" s="80" t="str">
        <f>IF(AND($P89=$Y$7,$B89&lt;'1331'!$I$9),"x","")</f>
        <v/>
      </c>
      <c r="AB89" s="80" t="str">
        <f>IF(AND($B89&gt;='1332'!$I$9,$B89&lt;='1332'!$I$9,OR($O89=$AB$7,$P89=$AB$7)),"x","")</f>
        <v/>
      </c>
      <c r="AC89" s="80" t="str">
        <f>IF(AND($O89=$AB$7,$B89&lt;'1332'!$I$9),"x","")</f>
        <v>x</v>
      </c>
      <c r="AD89" s="80" t="str">
        <f>IF(AND($P89=$AB$7,$B89&lt;'1332'!$I$9),"x","")</f>
        <v/>
      </c>
      <c r="AE89" s="80" t="str">
        <f>IF(AND('341-CT'!$H$9=H89,OR(LEFT(O89,3)=$AE$7,LEFT(P89,3)=$AE$7)),"x","")</f>
        <v/>
      </c>
      <c r="AF89" s="80" t="str">
        <f>IF(OR(TH!O89=TH!$AF$7,P89=TH!$AF$7),"x","")</f>
        <v/>
      </c>
      <c r="AG89" s="80"/>
      <c r="AH89" s="80" t="str">
        <f>IF(AND(B89&gt;='IN-NX'!$P$3,B89&lt;='IN-NX'!$Q$3,'IN-NX'!$D$7=D89,OR(LEFT(L89,2)="15",AND(LEFT(M89,2)&lt;&gt;"15",LEFT(M89,2)&lt;&gt;"33"))),"x","")</f>
        <v/>
      </c>
      <c r="AI89" s="80" t="str">
        <f>IF(AND(OR(LEFT(TH!O89,2)="15",LEFT(TH!P89,2)="15"),'152-CT'!$J$8=TH!F89),"x","")</f>
        <v/>
      </c>
      <c r="AJ89" s="80" t="str">
        <f>IF(AND(OR(LEFT(TH!O89,2)="15",LEFT(TH!P89,2)="15"),'THE KHO'!$E$7=TH!F89),"x","")</f>
        <v/>
      </c>
      <c r="AK89" s="80" t="str">
        <f>IF(AND(O89="1521",MONTH(C89)='BK NL'!$M$11),"x","")</f>
        <v/>
      </c>
    </row>
    <row r="90" spans="1:37" s="1007" customFormat="1" ht="15.75" customHeight="1">
      <c r="A90" s="362" t="str">
        <f>IF(B90&lt;&gt;"",IF(AND(B90&gt;=_TM1,B90&lt;=_TM2,OR(TH!O90="1111",TH!P90="1111")),TH!D90,""),"")</f>
        <v/>
      </c>
      <c r="B90" s="63">
        <f t="shared" si="3"/>
        <v>1</v>
      </c>
      <c r="C90" s="337">
        <v>42395</v>
      </c>
      <c r="D90" s="337" t="s">
        <v>1014</v>
      </c>
      <c r="E90" s="337">
        <v>42380</v>
      </c>
      <c r="F90" s="338" t="s">
        <v>447</v>
      </c>
      <c r="G90" s="1025" t="s">
        <v>445</v>
      </c>
      <c r="H90" s="339" t="s">
        <v>221</v>
      </c>
      <c r="I90" s="476"/>
      <c r="J90" s="476"/>
      <c r="K90" s="469"/>
      <c r="L90" s="476"/>
      <c r="M90" s="65">
        <v>28280100</v>
      </c>
      <c r="N90" s="65"/>
      <c r="O90" s="340" t="s">
        <v>135</v>
      </c>
      <c r="P90" s="340" t="s">
        <v>9</v>
      </c>
      <c r="Q90" s="66" t="str">
        <f>IF(AND('331-CT'!$E$7=TH!H90,OR(O90="331",P90="331")),"x","")</f>
        <v/>
      </c>
      <c r="R90" s="66" t="str">
        <f>IF(AND($B90&gt;='111'!$N$11,$B90&lt;='111'!$O$11,OR($O90=$R$7,$P90=$R$7)),"x","")</f>
        <v/>
      </c>
      <c r="S90" s="66" t="str">
        <f>IF(AND($O90=$R$7,$B90&lt;'111'!$N$11),"x","")</f>
        <v/>
      </c>
      <c r="T90" s="66" t="str">
        <f>IF(AND($P90=$R$7,$B90&lt;'111'!$N$11),"x","")</f>
        <v/>
      </c>
      <c r="U90" s="66" t="str">
        <f>IF(AND($B90&gt;='112'!$M$9,$B90&lt;='112'!$N$9,OR($O90='112'!$I$6,$P90='112'!$I$6)),"x","")</f>
        <v/>
      </c>
      <c r="V90" s="66" t="str">
        <f>IF(AND($O90='112'!$I$6,$B90&lt;'112'!$M$9),"x","")</f>
        <v/>
      </c>
      <c r="W90" s="66" t="str">
        <f>IF(AND($P90='112'!$I$6,$B90&lt;'112'!$M$9),"x","")</f>
        <v/>
      </c>
      <c r="X90" s="66" t="str">
        <f>IF(AND('131-CT'!$H$9=TH!H90,OR(O90="131",P90="131")),"x","")</f>
        <v/>
      </c>
      <c r="Y90" s="80" t="str">
        <f>IF(AND($B90&gt;='1331'!$I$9,$B90&lt;='1331'!$J$9,OR($O90=$Y$7,$P90=$Y$7)),"x","")</f>
        <v/>
      </c>
      <c r="Z90" s="80" t="str">
        <f>IF(AND($O90=$Y$7,$B90&lt;'1331'!$I$9),"x","")</f>
        <v/>
      </c>
      <c r="AA90" s="80" t="str">
        <f>IF(AND($P90=$Y$7,$B90&lt;'1331'!$I$9),"x","")</f>
        <v/>
      </c>
      <c r="AB90" s="80" t="str">
        <f>IF(AND($B90&gt;='1332'!$I$9,$B90&lt;='1332'!$I$9,OR($O90=$AB$7,$P90=$AB$7)),"x","")</f>
        <v/>
      </c>
      <c r="AC90" s="80" t="str">
        <f>IF(AND($O90=$AB$7,$B90&lt;'1332'!$I$9),"x","")</f>
        <v/>
      </c>
      <c r="AD90" s="80" t="str">
        <f>IF(AND($P90=$AB$7,$B90&lt;'1332'!$I$9),"x","")</f>
        <v/>
      </c>
      <c r="AE90" s="80" t="str">
        <f>IF(AND('341-CT'!$H$9=H90,OR(LEFT(O90,3)=$AE$7,LEFT(P90,3)=$AE$7)),"x","")</f>
        <v/>
      </c>
      <c r="AF90" s="80" t="str">
        <f>IF(OR(TH!O90=TH!$AF$7,P90=TH!$AF$7),"x","")</f>
        <v/>
      </c>
      <c r="AG90" s="80"/>
      <c r="AH90" s="80" t="str">
        <f>IF(AND(B90&gt;='IN-NX'!$P$3,B90&lt;='IN-NX'!$Q$3,'IN-NX'!$D$7=D90,OR(LEFT(L90,2)="15",AND(LEFT(M90,2)&lt;&gt;"15",LEFT(M90,2)&lt;&gt;"33"))),"x","")</f>
        <v/>
      </c>
      <c r="AI90" s="80" t="str">
        <f>IF(AND(OR(LEFT(TH!O90,2)="15",LEFT(TH!P90,2)="15"),'152-CT'!$J$8=TH!F90),"x","")</f>
        <v/>
      </c>
      <c r="AJ90" s="80" t="str">
        <f>IF(AND(OR(LEFT(TH!O90,2)="15",LEFT(TH!P90,2)="15"),'THE KHO'!$E$7=TH!F90),"x","")</f>
        <v/>
      </c>
      <c r="AK90" s="80" t="str">
        <f>IF(AND(O90="1521",MONTH(C90)='BK NL'!$M$11),"x","")</f>
        <v/>
      </c>
    </row>
    <row r="91" spans="1:37" s="1007" customFormat="1" ht="15.75" customHeight="1">
      <c r="A91" s="362" t="str">
        <f>IF(B91&lt;&gt;"",IF(AND(B91&gt;=_TM1,B91&lt;=_TM2,OR(TH!O91="1111",TH!P91="1111")),TH!D91,""),"")</f>
        <v/>
      </c>
      <c r="B91" s="63">
        <f t="shared" ref="B91:B154" si="5">IF(C91&lt;&gt;"",MONTH(C91),"")</f>
        <v>1</v>
      </c>
      <c r="C91" s="337">
        <v>42395</v>
      </c>
      <c r="D91" s="337" t="s">
        <v>1014</v>
      </c>
      <c r="E91" s="337">
        <v>42380</v>
      </c>
      <c r="F91" s="338" t="s">
        <v>448</v>
      </c>
      <c r="G91" s="1025" t="s">
        <v>445</v>
      </c>
      <c r="H91" s="339" t="s">
        <v>221</v>
      </c>
      <c r="I91" s="476"/>
      <c r="J91" s="476"/>
      <c r="K91" s="469"/>
      <c r="L91" s="476"/>
      <c r="M91" s="88">
        <v>2828010</v>
      </c>
      <c r="N91" s="88"/>
      <c r="O91" s="340" t="s">
        <v>10</v>
      </c>
      <c r="P91" s="340" t="s">
        <v>9</v>
      </c>
      <c r="Q91" s="66" t="str">
        <f>IF(AND('331-CT'!$E$7=TH!H91,OR(O91="331",P91="331")),"x","")</f>
        <v/>
      </c>
      <c r="R91" s="66" t="str">
        <f>IF(AND($B91&gt;='111'!$N$11,$B91&lt;='111'!$O$11,OR($O91=$R$7,$P91=$R$7)),"x","")</f>
        <v/>
      </c>
      <c r="S91" s="66" t="str">
        <f>IF(AND($O91=$R$7,$B91&lt;'111'!$N$11),"x","")</f>
        <v/>
      </c>
      <c r="T91" s="66" t="str">
        <f>IF(AND($P91=$R$7,$B91&lt;'111'!$N$11),"x","")</f>
        <v/>
      </c>
      <c r="U91" s="66" t="str">
        <f>IF(AND($B91&gt;='112'!$M$9,$B91&lt;='112'!$N$9,OR($O91='112'!$I$6,$P91='112'!$I$6)),"x","")</f>
        <v/>
      </c>
      <c r="V91" s="66" t="str">
        <f>IF(AND($O91='112'!$I$6,$B91&lt;'112'!$M$9),"x","")</f>
        <v/>
      </c>
      <c r="W91" s="66" t="str">
        <f>IF(AND($P91='112'!$I$6,$B91&lt;'112'!$M$9),"x","")</f>
        <v/>
      </c>
      <c r="X91" s="66" t="str">
        <f>IF(AND('131-CT'!$H$9=TH!H91,OR(O91="131",P91="131")),"x","")</f>
        <v/>
      </c>
      <c r="Y91" s="80" t="str">
        <f>IF(AND($B91&gt;='1331'!$I$9,$B91&lt;='1331'!$J$9,OR($O91=$Y$7,$P91=$Y$7)),"x","")</f>
        <v/>
      </c>
      <c r="Z91" s="80" t="str">
        <f>IF(AND($O91=$Y$7,$B91&lt;'1331'!$I$9),"x","")</f>
        <v>x</v>
      </c>
      <c r="AA91" s="80" t="str">
        <f>IF(AND($P91=$Y$7,$B91&lt;'1331'!$I$9),"x","")</f>
        <v/>
      </c>
      <c r="AB91" s="80" t="str">
        <f>IF(AND($B91&gt;='1332'!$I$9,$B91&lt;='1332'!$I$9,OR($O91=$AB$7,$P91=$AB$7)),"x","")</f>
        <v/>
      </c>
      <c r="AC91" s="80" t="str">
        <f>IF(AND($O91=$AB$7,$B91&lt;'1332'!$I$9),"x","")</f>
        <v/>
      </c>
      <c r="AD91" s="80" t="str">
        <f>IF(AND($P91=$AB$7,$B91&lt;'1332'!$I$9),"x","")</f>
        <v/>
      </c>
      <c r="AE91" s="80" t="str">
        <f>IF(AND('341-CT'!$H$9=H91,OR(LEFT(O91,3)=$AE$7,LEFT(P91,3)=$AE$7)),"x","")</f>
        <v/>
      </c>
      <c r="AF91" s="80" t="str">
        <f>IF(OR(TH!O91=TH!$AF$7,P91=TH!$AF$7),"x","")</f>
        <v/>
      </c>
      <c r="AG91" s="80"/>
      <c r="AH91" s="80" t="str">
        <f>IF(AND(B91&gt;='IN-NX'!$P$3,B91&lt;='IN-NX'!$Q$3,'IN-NX'!$D$7=D91,OR(LEFT(L91,2)="15",AND(LEFT(M91,2)&lt;&gt;"15",LEFT(M91,2)&lt;&gt;"33"))),"x","")</f>
        <v/>
      </c>
      <c r="AI91" s="80" t="str">
        <f>IF(AND(OR(LEFT(TH!O91,2)="15",LEFT(TH!P91,2)="15"),'152-CT'!$J$8=TH!F91),"x","")</f>
        <v/>
      </c>
      <c r="AJ91" s="80" t="str">
        <f>IF(AND(OR(LEFT(TH!O91,2)="15",LEFT(TH!P91,2)="15"),'THE KHO'!$E$7=TH!F91),"x","")</f>
        <v/>
      </c>
      <c r="AK91" s="80" t="str">
        <f>IF(AND(O91="1521",MONTH(C91)='BK NL'!$M$11),"x","")</f>
        <v/>
      </c>
    </row>
    <row r="92" spans="1:37" s="1007" customFormat="1" ht="15.75" customHeight="1">
      <c r="A92" s="362" t="str">
        <f>IF(B92&lt;&gt;"",IF(AND(B92&gt;=_TM1,B92&lt;=_TM2,OR(TH!O92="1111",TH!P92="1111")),TH!D92,""),"")</f>
        <v/>
      </c>
      <c r="B92" s="63">
        <f t="shared" si="5"/>
        <v>1</v>
      </c>
      <c r="C92" s="337">
        <v>42395</v>
      </c>
      <c r="D92" s="337" t="s">
        <v>1014</v>
      </c>
      <c r="E92" s="337">
        <v>42381</v>
      </c>
      <c r="F92" s="338" t="s">
        <v>376</v>
      </c>
      <c r="G92" s="1022" t="s">
        <v>377</v>
      </c>
      <c r="H92" s="339" t="s">
        <v>69</v>
      </c>
      <c r="I92" s="476"/>
      <c r="J92" s="476"/>
      <c r="K92" s="469"/>
      <c r="L92" s="476"/>
      <c r="M92" s="65">
        <v>358272727</v>
      </c>
      <c r="N92" s="65"/>
      <c r="O92" s="340" t="s">
        <v>242</v>
      </c>
      <c r="P92" s="340" t="s">
        <v>9</v>
      </c>
      <c r="Q92" s="66" t="str">
        <f>IF(AND('331-CT'!$E$7=TH!H92,OR(O92="331",P92="331")),"x","")</f>
        <v/>
      </c>
      <c r="R92" s="66" t="str">
        <f>IF(AND($B92&gt;='111'!$N$11,$B92&lt;='111'!$O$11,OR($O92=$R$7,$P92=$R$7)),"x","")</f>
        <v/>
      </c>
      <c r="S92" s="66" t="str">
        <f>IF(AND($O92=$R$7,$B92&lt;'111'!$N$11),"x","")</f>
        <v/>
      </c>
      <c r="T92" s="66" t="str">
        <f>IF(AND($P92=$R$7,$B92&lt;'111'!$N$11),"x","")</f>
        <v/>
      </c>
      <c r="U92" s="66" t="str">
        <f>IF(AND($B92&gt;='112'!$M$9,$B92&lt;='112'!$N$9,OR($O92='112'!$I$6,$P92='112'!$I$6)),"x","")</f>
        <v/>
      </c>
      <c r="V92" s="66" t="str">
        <f>IF(AND($O92='112'!$I$6,$B92&lt;'112'!$M$9),"x","")</f>
        <v/>
      </c>
      <c r="W92" s="66" t="str">
        <f>IF(AND($P92='112'!$I$6,$B92&lt;'112'!$M$9),"x","")</f>
        <v/>
      </c>
      <c r="X92" s="66" t="str">
        <f>IF(AND('131-CT'!$H$9=TH!H92,OR(O92="131",P92="131")),"x","")</f>
        <v/>
      </c>
      <c r="Y92" s="80" t="str">
        <f>IF(AND($B92&gt;='1331'!$I$9,$B92&lt;='1331'!$J$9,OR($O92=$Y$7,$P92=$Y$7)),"x","")</f>
        <v/>
      </c>
      <c r="Z92" s="80" t="str">
        <f>IF(AND($O92=$Y$7,$B92&lt;'1331'!$I$9),"x","")</f>
        <v/>
      </c>
      <c r="AA92" s="80" t="str">
        <f>IF(AND($P92=$Y$7,$B92&lt;'1331'!$I$9),"x","")</f>
        <v/>
      </c>
      <c r="AB92" s="80" t="str">
        <f>IF(AND($B92&gt;='1332'!$I$9,$B92&lt;='1332'!$I$9,OR($O92=$AB$7,$P92=$AB$7)),"x","")</f>
        <v/>
      </c>
      <c r="AC92" s="80" t="str">
        <f>IF(AND($O92=$AB$7,$B92&lt;'1332'!$I$9),"x","")</f>
        <v/>
      </c>
      <c r="AD92" s="80" t="str">
        <f>IF(AND($P92=$AB$7,$B92&lt;'1332'!$I$9),"x","")</f>
        <v/>
      </c>
      <c r="AE92" s="80" t="str">
        <f>IF(AND('341-CT'!$H$9=H92,OR(LEFT(O92,3)=$AE$7,LEFT(P92,3)=$AE$7)),"x","")</f>
        <v/>
      </c>
      <c r="AF92" s="80" t="str">
        <f>IF(OR(TH!O92=TH!$AF$7,P92=TH!$AF$7),"x","")</f>
        <v/>
      </c>
      <c r="AG92" s="80"/>
      <c r="AH92" s="80" t="str">
        <f>IF(AND(B92&gt;='IN-NX'!$P$3,B92&lt;='IN-NX'!$Q$3,'IN-NX'!$D$7=D92,OR(LEFT(L92,2)="15",AND(LEFT(M92,2)&lt;&gt;"15",LEFT(M92,2)&lt;&gt;"33"))),"x","")</f>
        <v/>
      </c>
      <c r="AI92" s="80" t="str">
        <f>IF(AND(OR(LEFT(TH!O92,2)="15",LEFT(TH!P92,2)="15"),'152-CT'!$J$8=TH!F92),"x","")</f>
        <v/>
      </c>
      <c r="AJ92" s="80" t="str">
        <f>IF(AND(OR(LEFT(TH!O92,2)="15",LEFT(TH!P92,2)="15"),'THE KHO'!$E$7=TH!F92),"x","")</f>
        <v/>
      </c>
      <c r="AK92" s="80" t="str">
        <f>IF(AND(O92="1521",MONTH(C92)='BK NL'!$M$11),"x","")</f>
        <v/>
      </c>
    </row>
    <row r="93" spans="1:37" s="1007" customFormat="1" ht="15.75" customHeight="1">
      <c r="A93" s="362" t="str">
        <f>IF(B93&lt;&gt;"",IF(AND(B93&gt;=_TM1,B93&lt;=_TM2,OR(TH!O93="1111",TH!P93="1111")),TH!D93,""),"")</f>
        <v/>
      </c>
      <c r="B93" s="63">
        <f t="shared" si="5"/>
        <v>1</v>
      </c>
      <c r="C93" s="337">
        <v>42395</v>
      </c>
      <c r="D93" s="337" t="s">
        <v>1014</v>
      </c>
      <c r="E93" s="337">
        <v>42381</v>
      </c>
      <c r="F93" s="338" t="s">
        <v>378</v>
      </c>
      <c r="G93" s="1022" t="s">
        <v>377</v>
      </c>
      <c r="H93" s="339" t="s">
        <v>69</v>
      </c>
      <c r="I93" s="476"/>
      <c r="J93" s="476"/>
      <c r="K93" s="469"/>
      <c r="L93" s="476"/>
      <c r="M93" s="79">
        <v>35827273</v>
      </c>
      <c r="N93" s="79"/>
      <c r="O93" s="1023" t="s">
        <v>981</v>
      </c>
      <c r="P93" s="340" t="s">
        <v>9</v>
      </c>
      <c r="Q93" s="66" t="str">
        <f>IF(AND('331-CT'!$E$7=TH!H93,OR(O93="331",P93="331")),"x","")</f>
        <v/>
      </c>
      <c r="R93" s="66" t="str">
        <f>IF(AND($B93&gt;='111'!$N$11,$B93&lt;='111'!$O$11,OR($O93=$R$7,$P93=$R$7)),"x","")</f>
        <v/>
      </c>
      <c r="S93" s="66" t="str">
        <f>IF(AND($O93=$R$7,$B93&lt;'111'!$N$11),"x","")</f>
        <v/>
      </c>
      <c r="T93" s="66" t="str">
        <f>IF(AND($P93=$R$7,$B93&lt;'111'!$N$11),"x","")</f>
        <v/>
      </c>
      <c r="U93" s="66" t="str">
        <f>IF(AND($B93&gt;='112'!$M$9,$B93&lt;='112'!$N$9,OR($O93='112'!$I$6,$P93='112'!$I$6)),"x","")</f>
        <v/>
      </c>
      <c r="V93" s="66" t="str">
        <f>IF(AND($O93='112'!$I$6,$B93&lt;'112'!$M$9),"x","")</f>
        <v/>
      </c>
      <c r="W93" s="66" t="str">
        <f>IF(AND($P93='112'!$I$6,$B93&lt;'112'!$M$9),"x","")</f>
        <v/>
      </c>
      <c r="X93" s="66" t="str">
        <f>IF(AND('131-CT'!$H$9=TH!H93,OR(O93="131",P93="131")),"x","")</f>
        <v/>
      </c>
      <c r="Y93" s="80" t="str">
        <f>IF(AND($B93&gt;='1331'!$I$9,$B93&lt;='1331'!$J$9,OR($O93=$Y$7,$P93=$Y$7)),"x","")</f>
        <v/>
      </c>
      <c r="Z93" s="80" t="str">
        <f>IF(AND($O93=$Y$7,$B93&lt;'1331'!$I$9),"x","")</f>
        <v/>
      </c>
      <c r="AA93" s="80" t="str">
        <f>IF(AND($P93=$Y$7,$B93&lt;'1331'!$I$9),"x","")</f>
        <v/>
      </c>
      <c r="AB93" s="80" t="str">
        <f>IF(AND($B93&gt;='1332'!$I$9,$B93&lt;='1332'!$I$9,OR($O93=$AB$7,$P93=$AB$7)),"x","")</f>
        <v/>
      </c>
      <c r="AC93" s="80" t="str">
        <f>IF(AND($O93=$AB$7,$B93&lt;'1332'!$I$9),"x","")</f>
        <v>x</v>
      </c>
      <c r="AD93" s="80" t="str">
        <f>IF(AND($P93=$AB$7,$B93&lt;'1332'!$I$9),"x","")</f>
        <v/>
      </c>
      <c r="AE93" s="80" t="str">
        <f>IF(AND('341-CT'!$H$9=H93,OR(LEFT(O93,3)=$AE$7,LEFT(P93,3)=$AE$7)),"x","")</f>
        <v/>
      </c>
      <c r="AF93" s="80" t="str">
        <f>IF(OR(TH!O93=TH!$AF$7,P93=TH!$AF$7),"x","")</f>
        <v/>
      </c>
      <c r="AG93" s="80"/>
      <c r="AH93" s="80" t="str">
        <f>IF(AND(B93&gt;='IN-NX'!$P$3,B93&lt;='IN-NX'!$Q$3,'IN-NX'!$D$7=D93,OR(LEFT(L93,2)="15",AND(LEFT(M93,2)&lt;&gt;"15",LEFT(M93,2)&lt;&gt;"33"))),"x","")</f>
        <v/>
      </c>
      <c r="AI93" s="80" t="str">
        <f>IF(AND(OR(LEFT(TH!O93,2)="15",LEFT(TH!P93,2)="15"),'152-CT'!$J$8=TH!F93),"x","")</f>
        <v/>
      </c>
      <c r="AJ93" s="80" t="str">
        <f>IF(AND(OR(LEFT(TH!O93,2)="15",LEFT(TH!P93,2)="15"),'THE KHO'!$E$7=TH!F93),"x","")</f>
        <v/>
      </c>
      <c r="AK93" s="80" t="str">
        <f>IF(AND(O93="1521",MONTH(C93)='BK NL'!$M$11),"x","")</f>
        <v/>
      </c>
    </row>
    <row r="94" spans="1:37" s="1007" customFormat="1" ht="15.75" customHeight="1">
      <c r="A94" s="362" t="str">
        <f>IF(B94&lt;&gt;"",IF(AND(B94&gt;=_TM1,B94&lt;=_TM2,OR(TH!O94="1111",TH!P94="1111")),TH!D94,""),"")</f>
        <v/>
      </c>
      <c r="B94" s="63">
        <f t="shared" si="5"/>
        <v>1</v>
      </c>
      <c r="C94" s="337">
        <v>42395</v>
      </c>
      <c r="D94" s="337" t="s">
        <v>1014</v>
      </c>
      <c r="E94" s="337">
        <v>42382</v>
      </c>
      <c r="F94" s="338" t="s">
        <v>383</v>
      </c>
      <c r="G94" s="1022" t="s">
        <v>384</v>
      </c>
      <c r="H94" s="339" t="s">
        <v>51</v>
      </c>
      <c r="I94" s="476"/>
      <c r="J94" s="476"/>
      <c r="K94" s="469"/>
      <c r="L94" s="476"/>
      <c r="M94" s="65">
        <v>389090909</v>
      </c>
      <c r="N94" s="65"/>
      <c r="O94" s="340" t="s">
        <v>242</v>
      </c>
      <c r="P94" s="340" t="s">
        <v>9</v>
      </c>
      <c r="Q94" s="66" t="str">
        <f>IF(AND('331-CT'!$E$7=TH!H94,OR(O94="331",P94="331")),"x","")</f>
        <v/>
      </c>
      <c r="R94" s="66" t="str">
        <f>IF(AND($B94&gt;='111'!$N$11,$B94&lt;='111'!$O$11,OR($O94=$R$7,$P94=$R$7)),"x","")</f>
        <v/>
      </c>
      <c r="S94" s="66" t="str">
        <f>IF(AND($O94=$R$7,$B94&lt;'111'!$N$11),"x","")</f>
        <v/>
      </c>
      <c r="T94" s="66" t="str">
        <f>IF(AND($P94=$R$7,$B94&lt;'111'!$N$11),"x","")</f>
        <v/>
      </c>
      <c r="U94" s="66" t="str">
        <f>IF(AND($B94&gt;='112'!$M$9,$B94&lt;='112'!$N$9,OR($O94='112'!$I$6,$P94='112'!$I$6)),"x","")</f>
        <v/>
      </c>
      <c r="V94" s="66" t="str">
        <f>IF(AND($O94='112'!$I$6,$B94&lt;'112'!$M$9),"x","")</f>
        <v/>
      </c>
      <c r="W94" s="66" t="str">
        <f>IF(AND($P94='112'!$I$6,$B94&lt;'112'!$M$9),"x","")</f>
        <v/>
      </c>
      <c r="X94" s="66" t="str">
        <f>IF(AND('131-CT'!$H$9=TH!H94,OR(O94="131",P94="131")),"x","")</f>
        <v/>
      </c>
      <c r="Y94" s="80" t="str">
        <f>IF(AND($B94&gt;='1331'!$I$9,$B94&lt;='1331'!$J$9,OR($O94=$Y$7,$P94=$Y$7)),"x","")</f>
        <v/>
      </c>
      <c r="Z94" s="80" t="str">
        <f>IF(AND($O94=$Y$7,$B94&lt;'1331'!$I$9),"x","")</f>
        <v/>
      </c>
      <c r="AA94" s="80" t="str">
        <f>IF(AND($P94=$Y$7,$B94&lt;'1331'!$I$9),"x","")</f>
        <v/>
      </c>
      <c r="AB94" s="80" t="str">
        <f>IF(AND($B94&gt;='1332'!$I$9,$B94&lt;='1332'!$I$9,OR($O94=$AB$7,$P94=$AB$7)),"x","")</f>
        <v/>
      </c>
      <c r="AC94" s="80" t="str">
        <f>IF(AND($O94=$AB$7,$B94&lt;'1332'!$I$9),"x","")</f>
        <v/>
      </c>
      <c r="AD94" s="80" t="str">
        <f>IF(AND($P94=$AB$7,$B94&lt;'1332'!$I$9),"x","")</f>
        <v/>
      </c>
      <c r="AE94" s="80" t="str">
        <f>IF(AND('341-CT'!$H$9=H94,OR(LEFT(O94,3)=$AE$7,LEFT(P94,3)=$AE$7)),"x","")</f>
        <v/>
      </c>
      <c r="AF94" s="80" t="str">
        <f>IF(OR(TH!O94=TH!$AF$7,P94=TH!$AF$7),"x","")</f>
        <v/>
      </c>
      <c r="AG94" s="80"/>
      <c r="AH94" s="80" t="str">
        <f>IF(AND(B94&gt;='IN-NX'!$P$3,B94&lt;='IN-NX'!$Q$3,'IN-NX'!$D$7=D94,OR(LEFT(L94,2)="15",AND(LEFT(M94,2)&lt;&gt;"15",LEFT(M94,2)&lt;&gt;"33"))),"x","")</f>
        <v/>
      </c>
      <c r="AI94" s="80" t="str">
        <f>IF(AND(OR(LEFT(TH!O94,2)="15",LEFT(TH!P94,2)="15"),'152-CT'!$J$8=TH!F94),"x","")</f>
        <v/>
      </c>
      <c r="AJ94" s="80" t="str">
        <f>IF(AND(OR(LEFT(TH!O94,2)="15",LEFT(TH!P94,2)="15"),'THE KHO'!$E$7=TH!F94),"x","")</f>
        <v/>
      </c>
      <c r="AK94" s="80" t="str">
        <f>IF(AND(O94="1521",MONTH(C94)='BK NL'!$M$11),"x","")</f>
        <v/>
      </c>
    </row>
    <row r="95" spans="1:37" s="1007" customFormat="1" ht="15.75" customHeight="1">
      <c r="A95" s="362" t="str">
        <f>IF(B95&lt;&gt;"",IF(AND(B95&gt;=_TM1,B95&lt;=_TM2,OR(TH!O95="1111",TH!P95="1111")),TH!D95,""),"")</f>
        <v/>
      </c>
      <c r="B95" s="63">
        <f t="shared" si="5"/>
        <v>1</v>
      </c>
      <c r="C95" s="337">
        <v>42395</v>
      </c>
      <c r="D95" s="337" t="s">
        <v>1014</v>
      </c>
      <c r="E95" s="337">
        <v>42382</v>
      </c>
      <c r="F95" s="338" t="s">
        <v>385</v>
      </c>
      <c r="G95" s="1022" t="s">
        <v>384</v>
      </c>
      <c r="H95" s="339" t="s">
        <v>51</v>
      </c>
      <c r="I95" s="476"/>
      <c r="J95" s="476"/>
      <c r="K95" s="469"/>
      <c r="L95" s="476"/>
      <c r="M95" s="79">
        <v>38909091</v>
      </c>
      <c r="N95" s="79"/>
      <c r="O95" s="340" t="s">
        <v>981</v>
      </c>
      <c r="P95" s="340" t="s">
        <v>9</v>
      </c>
      <c r="Q95" s="66" t="str">
        <f>IF(AND('331-CT'!$E$7=TH!H95,OR(O95="331",P95="331")),"x","")</f>
        <v/>
      </c>
      <c r="R95" s="66" t="str">
        <f>IF(AND($B95&gt;='111'!$N$11,$B95&lt;='111'!$O$11,OR($O95=$R$7,$P95=$R$7)),"x","")</f>
        <v/>
      </c>
      <c r="S95" s="66" t="str">
        <f>IF(AND($O95=$R$7,$B95&lt;'111'!$N$11),"x","")</f>
        <v/>
      </c>
      <c r="T95" s="66" t="str">
        <f>IF(AND($P95=$R$7,$B95&lt;'111'!$N$11),"x","")</f>
        <v/>
      </c>
      <c r="U95" s="66" t="str">
        <f>IF(AND($B95&gt;='112'!$M$9,$B95&lt;='112'!$N$9,OR($O95='112'!$I$6,$P95='112'!$I$6)),"x","")</f>
        <v/>
      </c>
      <c r="V95" s="66" t="str">
        <f>IF(AND($O95='112'!$I$6,$B95&lt;'112'!$M$9),"x","")</f>
        <v/>
      </c>
      <c r="W95" s="66" t="str">
        <f>IF(AND($P95='112'!$I$6,$B95&lt;'112'!$M$9),"x","")</f>
        <v/>
      </c>
      <c r="X95" s="66" t="str">
        <f>IF(AND('131-CT'!$H$9=TH!H95,OR(O95="131",P95="131")),"x","")</f>
        <v/>
      </c>
      <c r="Y95" s="80" t="str">
        <f>IF(AND($B95&gt;='1331'!$I$9,$B95&lt;='1331'!$J$9,OR($O95=$Y$7,$P95=$Y$7)),"x","")</f>
        <v/>
      </c>
      <c r="Z95" s="80" t="str">
        <f>IF(AND($O95=$Y$7,$B95&lt;'1331'!$I$9),"x","")</f>
        <v/>
      </c>
      <c r="AA95" s="80" t="str">
        <f>IF(AND($P95=$Y$7,$B95&lt;'1331'!$I$9),"x","")</f>
        <v/>
      </c>
      <c r="AB95" s="80" t="str">
        <f>IF(AND($B95&gt;='1332'!$I$9,$B95&lt;='1332'!$I$9,OR($O95=$AB$7,$P95=$AB$7)),"x","")</f>
        <v/>
      </c>
      <c r="AC95" s="80" t="str">
        <f>IF(AND($O95=$AB$7,$B95&lt;'1332'!$I$9),"x","")</f>
        <v>x</v>
      </c>
      <c r="AD95" s="80" t="str">
        <f>IF(AND($P95=$AB$7,$B95&lt;'1332'!$I$9),"x","")</f>
        <v/>
      </c>
      <c r="AE95" s="80" t="str">
        <f>IF(AND('341-CT'!$H$9=H95,OR(LEFT(O95,3)=$AE$7,LEFT(P95,3)=$AE$7)),"x","")</f>
        <v/>
      </c>
      <c r="AF95" s="80" t="str">
        <f>IF(OR(TH!O95=TH!$AF$7,P95=TH!$AF$7),"x","")</f>
        <v/>
      </c>
      <c r="AG95" s="80"/>
      <c r="AH95" s="80" t="str">
        <f>IF(AND(B95&gt;='IN-NX'!$P$3,B95&lt;='IN-NX'!$Q$3,'IN-NX'!$D$7=D95,OR(LEFT(L95,2)="15",AND(LEFT(M95,2)&lt;&gt;"15",LEFT(M95,2)&lt;&gt;"33"))),"x","")</f>
        <v/>
      </c>
      <c r="AI95" s="80" t="str">
        <f>IF(AND(OR(LEFT(TH!O95,2)="15",LEFT(TH!P95,2)="15"),'152-CT'!$J$8=TH!F95),"x","")</f>
        <v/>
      </c>
      <c r="AJ95" s="80" t="str">
        <f>IF(AND(OR(LEFT(TH!O95,2)="15",LEFT(TH!P95,2)="15"),'THE KHO'!$E$7=TH!F95),"x","")</f>
        <v/>
      </c>
      <c r="AK95" s="80" t="str">
        <f>IF(AND(O95="1521",MONTH(C95)='BK NL'!$M$11),"x","")</f>
        <v/>
      </c>
    </row>
    <row r="96" spans="1:37" s="1007" customFormat="1" ht="15.75" customHeight="1">
      <c r="A96" s="362" t="str">
        <f>IF(B96&lt;&gt;"",IF(AND(B96&gt;=_TM1,B96&lt;=_TM2,OR(TH!O96="1111",TH!P96="1111")),TH!D96,""),"")</f>
        <v/>
      </c>
      <c r="B96" s="63">
        <f t="shared" si="5"/>
        <v>1</v>
      </c>
      <c r="C96" s="337">
        <v>42395</v>
      </c>
      <c r="D96" s="337" t="s">
        <v>1014</v>
      </c>
      <c r="E96" s="337">
        <v>42383</v>
      </c>
      <c r="F96" s="338" t="s">
        <v>386</v>
      </c>
      <c r="G96" s="1022"/>
      <c r="H96" s="339"/>
      <c r="I96" s="476"/>
      <c r="J96" s="476"/>
      <c r="K96" s="469"/>
      <c r="L96" s="476"/>
      <c r="M96" s="65">
        <v>1500000</v>
      </c>
      <c r="N96" s="65"/>
      <c r="O96" s="340" t="s">
        <v>135</v>
      </c>
      <c r="P96" s="340" t="s">
        <v>113</v>
      </c>
      <c r="Q96" s="66" t="str">
        <f>IF(AND('331-CT'!$E$7=TH!H96,OR(O96="331",P96="331")),"x","")</f>
        <v/>
      </c>
      <c r="R96" s="66" t="str">
        <f>IF(AND($B96&gt;='111'!$N$11,$B96&lt;='111'!$O$11,OR($O96=$R$7,$P96=$R$7)),"x","")</f>
        <v/>
      </c>
      <c r="S96" s="66" t="str">
        <f>IF(AND($O96=$R$7,$B96&lt;'111'!$N$11),"x","")</f>
        <v/>
      </c>
      <c r="T96" s="66" t="str">
        <f>IF(AND($P96=$R$7,$B96&lt;'111'!$N$11),"x","")</f>
        <v/>
      </c>
      <c r="U96" s="66" t="str">
        <f>IF(AND($B96&gt;='112'!$M$9,$B96&lt;='112'!$N$9,OR($O96='112'!$I$6,$P96='112'!$I$6)),"x","")</f>
        <v/>
      </c>
      <c r="V96" s="66" t="str">
        <f>IF(AND($O96='112'!$I$6,$B96&lt;'112'!$M$9),"x","")</f>
        <v/>
      </c>
      <c r="W96" s="66" t="str">
        <f>IF(AND($P96='112'!$I$6,$B96&lt;'112'!$M$9),"x","")</f>
        <v/>
      </c>
      <c r="X96" s="66" t="str">
        <f>IF(AND('131-CT'!$H$9=TH!H96,OR(O96="131",P96="131")),"x","")</f>
        <v/>
      </c>
      <c r="Y96" s="80" t="str">
        <f>IF(AND($B96&gt;='1331'!$I$9,$B96&lt;='1331'!$J$9,OR($O96=$Y$7,$P96=$Y$7)),"x","")</f>
        <v/>
      </c>
      <c r="Z96" s="80" t="str">
        <f>IF(AND($O96=$Y$7,$B96&lt;'1331'!$I$9),"x","")</f>
        <v/>
      </c>
      <c r="AA96" s="80" t="str">
        <f>IF(AND($P96=$Y$7,$B96&lt;'1331'!$I$9),"x","")</f>
        <v/>
      </c>
      <c r="AB96" s="80" t="str">
        <f>IF(AND($B96&gt;='1332'!$I$9,$B96&lt;='1332'!$I$9,OR($O96=$AB$7,$P96=$AB$7)),"x","")</f>
        <v/>
      </c>
      <c r="AC96" s="80" t="str">
        <f>IF(AND($O96=$AB$7,$B96&lt;'1332'!$I$9),"x","")</f>
        <v/>
      </c>
      <c r="AD96" s="80" t="str">
        <f>IF(AND($P96=$AB$7,$B96&lt;'1332'!$I$9),"x","")</f>
        <v/>
      </c>
      <c r="AE96" s="80" t="str">
        <f>IF(AND('341-CT'!$H$9=H96,OR(LEFT(O96,3)=$AE$7,LEFT(P96,3)=$AE$7)),"x","")</f>
        <v/>
      </c>
      <c r="AF96" s="80" t="str">
        <f>IF(OR(TH!O96=TH!$AF$7,P96=TH!$AF$7),"x","")</f>
        <v/>
      </c>
      <c r="AG96" s="80"/>
      <c r="AH96" s="80" t="str">
        <f>IF(AND(B96&gt;='IN-NX'!$P$3,B96&lt;='IN-NX'!$Q$3,'IN-NX'!$D$7=D96,OR(LEFT(L96,2)="15",AND(LEFT(M96,2)&lt;&gt;"15",LEFT(M96,2)&lt;&gt;"33"))),"x","")</f>
        <v/>
      </c>
      <c r="AI96" s="80" t="str">
        <f>IF(AND(OR(LEFT(TH!O96,2)="15",LEFT(TH!P96,2)="15"),'152-CT'!$J$8=TH!F96),"x","")</f>
        <v/>
      </c>
      <c r="AJ96" s="80" t="str">
        <f>IF(AND(OR(LEFT(TH!O96,2)="15",LEFT(TH!P96,2)="15"),'THE KHO'!$E$7=TH!F96),"x","")</f>
        <v/>
      </c>
      <c r="AK96" s="80" t="str">
        <f>IF(AND(O96="1521",MONTH(C96)='BK NL'!$M$11),"x","")</f>
        <v/>
      </c>
    </row>
    <row r="97" spans="1:39" s="1007" customFormat="1" ht="15.75" customHeight="1">
      <c r="A97" s="362" t="str">
        <f>IF(B97&lt;&gt;"",IF(AND(B97&gt;=_TM1,B97&lt;=_TM2,OR(TH!O97="1111",TH!P97="1111")),TH!D97,""),"")</f>
        <v/>
      </c>
      <c r="B97" s="63">
        <f t="shared" si="5"/>
        <v>1</v>
      </c>
      <c r="C97" s="337">
        <v>42395</v>
      </c>
      <c r="D97" s="337" t="s">
        <v>1014</v>
      </c>
      <c r="E97" s="337">
        <v>42395</v>
      </c>
      <c r="F97" s="338" t="s">
        <v>450</v>
      </c>
      <c r="G97" s="1025" t="s">
        <v>446</v>
      </c>
      <c r="H97" s="339" t="s">
        <v>221</v>
      </c>
      <c r="I97" s="476"/>
      <c r="J97" s="476"/>
      <c r="K97" s="469"/>
      <c r="L97" s="476"/>
      <c r="M97" s="65">
        <v>37562900</v>
      </c>
      <c r="N97" s="65"/>
      <c r="O97" s="340" t="s">
        <v>135</v>
      </c>
      <c r="P97" s="340" t="s">
        <v>9</v>
      </c>
      <c r="Q97" s="66" t="str">
        <f>IF(AND('331-CT'!$E$7=TH!H97,OR(O97="331",P97="331")),"x","")</f>
        <v/>
      </c>
      <c r="R97" s="66" t="str">
        <f>IF(AND($B97&gt;='111'!$N$11,$B97&lt;='111'!$O$11,OR($O97=$R$7,$P97=$R$7)),"x","")</f>
        <v/>
      </c>
      <c r="S97" s="66" t="str">
        <f>IF(AND($O97=$R$7,$B97&lt;'111'!$N$11),"x","")</f>
        <v/>
      </c>
      <c r="T97" s="66" t="str">
        <f>IF(AND($P97=$R$7,$B97&lt;'111'!$N$11),"x","")</f>
        <v/>
      </c>
      <c r="U97" s="66" t="str">
        <f>IF(AND($B97&gt;='112'!$M$9,$B97&lt;='112'!$N$9,OR($O97='112'!$I$6,$P97='112'!$I$6)),"x","")</f>
        <v/>
      </c>
      <c r="V97" s="66" t="str">
        <f>IF(AND($O97='112'!$I$6,$B97&lt;'112'!$M$9),"x","")</f>
        <v/>
      </c>
      <c r="W97" s="66" t="str">
        <f>IF(AND($P97='112'!$I$6,$B97&lt;'112'!$M$9),"x","")</f>
        <v/>
      </c>
      <c r="X97" s="66" t="str">
        <f>IF(AND('131-CT'!$H$9=TH!H97,OR(O97="131",P97="131")),"x","")</f>
        <v/>
      </c>
      <c r="Y97" s="80" t="str">
        <f>IF(AND($B97&gt;='1331'!$I$9,$B97&lt;='1331'!$J$9,OR($O97=$Y$7,$P97=$Y$7)),"x","")</f>
        <v/>
      </c>
      <c r="Z97" s="80" t="str">
        <f>IF(AND($O97=$Y$7,$B97&lt;'1331'!$I$9),"x","")</f>
        <v/>
      </c>
      <c r="AA97" s="80" t="str">
        <f>IF(AND($P97=$Y$7,$B97&lt;'1331'!$I$9),"x","")</f>
        <v/>
      </c>
      <c r="AB97" s="80" t="str">
        <f>IF(AND($B97&gt;='1332'!$I$9,$B97&lt;='1332'!$I$9,OR($O97=$AB$7,$P97=$AB$7)),"x","")</f>
        <v/>
      </c>
      <c r="AC97" s="80" t="str">
        <f>IF(AND($O97=$AB$7,$B97&lt;'1332'!$I$9),"x","")</f>
        <v/>
      </c>
      <c r="AD97" s="80" t="str">
        <f>IF(AND($P97=$AB$7,$B97&lt;'1332'!$I$9),"x","")</f>
        <v/>
      </c>
      <c r="AE97" s="80" t="str">
        <f>IF(AND('341-CT'!$H$9=H97,OR(LEFT(O97,3)=$AE$7,LEFT(P97,3)=$AE$7)),"x","")</f>
        <v/>
      </c>
      <c r="AF97" s="80" t="str">
        <f>IF(OR(TH!O97=TH!$AF$7,P97=TH!$AF$7),"x","")</f>
        <v/>
      </c>
      <c r="AG97" s="80"/>
      <c r="AH97" s="80" t="str">
        <f>IF(AND(B97&gt;='IN-NX'!$P$3,B97&lt;='IN-NX'!$Q$3,'IN-NX'!$D$7=D97,OR(LEFT(L97,2)="15",AND(LEFT(M97,2)&lt;&gt;"15",LEFT(M97,2)&lt;&gt;"33"))),"x","")</f>
        <v/>
      </c>
      <c r="AI97" s="80" t="str">
        <f>IF(AND(OR(LEFT(TH!O97,2)="15",LEFT(TH!P97,2)="15"),'152-CT'!$J$8=TH!F97),"x","")</f>
        <v/>
      </c>
      <c r="AJ97" s="80" t="str">
        <f>IF(AND(OR(LEFT(TH!O97,2)="15",LEFT(TH!P97,2)="15"),'THE KHO'!$E$7=TH!F97),"x","")</f>
        <v/>
      </c>
      <c r="AK97" s="80" t="str">
        <f>IF(AND(O97="1521",MONTH(C97)='BK NL'!$M$11),"x","")</f>
        <v/>
      </c>
    </row>
    <row r="98" spans="1:39" s="1007" customFormat="1" ht="15.75" customHeight="1">
      <c r="A98" s="362" t="str">
        <f>IF(B98&lt;&gt;"",IF(AND(B98&gt;=_TM1,B98&lt;=_TM2,OR(TH!O98="1111",TH!P98="1111")),TH!D98,""),"")</f>
        <v/>
      </c>
      <c r="B98" s="63">
        <f t="shared" si="5"/>
        <v>1</v>
      </c>
      <c r="C98" s="337">
        <v>42395</v>
      </c>
      <c r="D98" s="337" t="s">
        <v>1014</v>
      </c>
      <c r="E98" s="337">
        <v>42395</v>
      </c>
      <c r="F98" s="338" t="s">
        <v>449</v>
      </c>
      <c r="G98" s="1025" t="s">
        <v>446</v>
      </c>
      <c r="H98" s="339" t="s">
        <v>221</v>
      </c>
      <c r="I98" s="476"/>
      <c r="J98" s="476"/>
      <c r="K98" s="469"/>
      <c r="L98" s="476"/>
      <c r="M98" s="88">
        <v>3756290</v>
      </c>
      <c r="N98" s="88"/>
      <c r="O98" s="340" t="s">
        <v>10</v>
      </c>
      <c r="P98" s="340" t="s">
        <v>9</v>
      </c>
      <c r="Q98" s="66" t="str">
        <f>IF(AND('331-CT'!$E$7=TH!H98,OR(O98="331",P98="331")),"x","")</f>
        <v/>
      </c>
      <c r="R98" s="66" t="str">
        <f>IF(AND($B98&gt;='111'!$N$11,$B98&lt;='111'!$O$11,OR($O98=$R$7,$P98=$R$7)),"x","")</f>
        <v/>
      </c>
      <c r="S98" s="66" t="str">
        <f>IF(AND($O98=$R$7,$B98&lt;'111'!$N$11),"x","")</f>
        <v/>
      </c>
      <c r="T98" s="66" t="str">
        <f>IF(AND($P98=$R$7,$B98&lt;'111'!$N$11),"x","")</f>
        <v/>
      </c>
      <c r="U98" s="66" t="str">
        <f>IF(AND($B98&gt;='112'!$M$9,$B98&lt;='112'!$N$9,OR($O98='112'!$I$6,$P98='112'!$I$6)),"x","")</f>
        <v/>
      </c>
      <c r="V98" s="66" t="str">
        <f>IF(AND($O98='112'!$I$6,$B98&lt;'112'!$M$9),"x","")</f>
        <v/>
      </c>
      <c r="W98" s="66" t="str">
        <f>IF(AND($P98='112'!$I$6,$B98&lt;'112'!$M$9),"x","")</f>
        <v/>
      </c>
      <c r="X98" s="66" t="str">
        <f>IF(AND('131-CT'!$H$9=TH!H98,OR(O98="131",P98="131")),"x","")</f>
        <v/>
      </c>
      <c r="Y98" s="80" t="str">
        <f>IF(AND($B98&gt;='1331'!$I$9,$B98&lt;='1331'!$J$9,OR($O98=$Y$7,$P98=$Y$7)),"x","")</f>
        <v/>
      </c>
      <c r="Z98" s="80" t="str">
        <f>IF(AND($O98=$Y$7,$B98&lt;'1331'!$I$9),"x","")</f>
        <v>x</v>
      </c>
      <c r="AA98" s="80" t="str">
        <f>IF(AND($P98=$Y$7,$B98&lt;'1331'!$I$9),"x","")</f>
        <v/>
      </c>
      <c r="AB98" s="80" t="str">
        <f>IF(AND($B98&gt;='1332'!$I$9,$B98&lt;='1332'!$I$9,OR($O98=$AB$7,$P98=$AB$7)),"x","")</f>
        <v/>
      </c>
      <c r="AC98" s="80" t="str">
        <f>IF(AND($O98=$AB$7,$B98&lt;'1332'!$I$9),"x","")</f>
        <v/>
      </c>
      <c r="AD98" s="80" t="str">
        <f>IF(AND($P98=$AB$7,$B98&lt;'1332'!$I$9),"x","")</f>
        <v/>
      </c>
      <c r="AE98" s="80" t="str">
        <f>IF(AND('341-CT'!$H$9=H98,OR(LEFT(O98,3)=$AE$7,LEFT(P98,3)=$AE$7)),"x","")</f>
        <v/>
      </c>
      <c r="AF98" s="80" t="str">
        <f>IF(OR(TH!O98=TH!$AF$7,P98=TH!$AF$7),"x","")</f>
        <v/>
      </c>
      <c r="AG98" s="80"/>
      <c r="AH98" s="80" t="str">
        <f>IF(AND(B98&gt;='IN-NX'!$P$3,B98&lt;='IN-NX'!$Q$3,'IN-NX'!$D$7=D98,OR(LEFT(L98,2)="15",AND(LEFT(M98,2)&lt;&gt;"15",LEFT(M98,2)&lt;&gt;"33"))),"x","")</f>
        <v/>
      </c>
      <c r="AI98" s="80" t="str">
        <f>IF(AND(OR(LEFT(TH!O98,2)="15",LEFT(TH!P98,2)="15"),'152-CT'!$J$8=TH!F98),"x","")</f>
        <v/>
      </c>
      <c r="AJ98" s="80" t="str">
        <f>IF(AND(OR(LEFT(TH!O98,2)="15",LEFT(TH!P98,2)="15"),'THE KHO'!$E$7=TH!F98),"x","")</f>
        <v/>
      </c>
      <c r="AK98" s="80" t="str">
        <f>IF(AND(O98="1521",MONTH(C98)='BK NL'!$M$11),"x","")</f>
        <v/>
      </c>
      <c r="AL98" s="1007" t="s">
        <v>26</v>
      </c>
    </row>
    <row r="99" spans="1:39" s="1007" customFormat="1" ht="15.75" customHeight="1">
      <c r="A99" s="362" t="str">
        <f>IF(B99&lt;&gt;"",IF(AND(B99&gt;=_TM1,B99&lt;=_TM2,OR(TH!O99="1111",TH!P99="1111")),TH!D99,""),"")</f>
        <v/>
      </c>
      <c r="B99" s="63">
        <f t="shared" si="5"/>
        <v>1</v>
      </c>
      <c r="C99" s="337">
        <v>42396</v>
      </c>
      <c r="D99" s="337" t="s">
        <v>188</v>
      </c>
      <c r="E99" s="337">
        <v>42392</v>
      </c>
      <c r="F99" s="338" t="s">
        <v>420</v>
      </c>
      <c r="G99" s="1022" t="s">
        <v>421</v>
      </c>
      <c r="H99" s="339" t="s">
        <v>415</v>
      </c>
      <c r="I99" s="476"/>
      <c r="J99" s="476"/>
      <c r="K99" s="469"/>
      <c r="L99" s="476"/>
      <c r="M99" s="65">
        <v>15000000</v>
      </c>
      <c r="N99" s="65"/>
      <c r="O99" s="340" t="s">
        <v>242</v>
      </c>
      <c r="P99" s="340" t="s">
        <v>97</v>
      </c>
      <c r="Q99" s="66" t="str">
        <f>IF(AND('331-CT'!$E$7=TH!H99,OR(O99="331",P99="331")),"x","")</f>
        <v/>
      </c>
      <c r="R99" s="66" t="str">
        <f>IF(AND($B99&gt;='111'!$N$11,$B99&lt;='111'!$O$11,OR($O99=$R$7,$P99=$R$7)),"x","")</f>
        <v/>
      </c>
      <c r="S99" s="66" t="str">
        <f>IF(AND($O99=$R$7,$B99&lt;'111'!$N$11),"x","")</f>
        <v/>
      </c>
      <c r="T99" s="66" t="str">
        <f>IF(AND($P99=$R$7,$B99&lt;'111'!$N$11),"x","")</f>
        <v>x</v>
      </c>
      <c r="U99" s="66" t="str">
        <f>IF(AND($B99&gt;='112'!$M$9,$B99&lt;='112'!$N$9,OR($O99='112'!$I$6,$P99='112'!$I$6)),"x","")</f>
        <v/>
      </c>
      <c r="V99" s="66" t="str">
        <f>IF(AND($O99='112'!$I$6,$B99&lt;'112'!$M$9),"x","")</f>
        <v/>
      </c>
      <c r="W99" s="66" t="str">
        <f>IF(AND($P99='112'!$I$6,$B99&lt;'112'!$M$9),"x","")</f>
        <v/>
      </c>
      <c r="X99" s="66" t="str">
        <f>IF(AND('131-CT'!$H$9=TH!H99,OR(O99="131",P99="131")),"x","")</f>
        <v/>
      </c>
      <c r="Y99" s="80" t="str">
        <f>IF(AND($B99&gt;='1331'!$I$9,$B99&lt;='1331'!$J$9,OR($O99=$Y$7,$P99=$Y$7)),"x","")</f>
        <v/>
      </c>
      <c r="Z99" s="80" t="str">
        <f>IF(AND($O99=$Y$7,$B99&lt;'1331'!$I$9),"x","")</f>
        <v/>
      </c>
      <c r="AA99" s="80" t="str">
        <f>IF(AND($P99=$Y$7,$B99&lt;'1331'!$I$9),"x","")</f>
        <v/>
      </c>
      <c r="AB99" s="80" t="str">
        <f>IF(AND($B99&gt;='1332'!$I$9,$B99&lt;='1332'!$I$9,OR($O99=$AB$7,$P99=$AB$7)),"x","")</f>
        <v/>
      </c>
      <c r="AC99" s="80" t="str">
        <f>IF(AND($O99=$AB$7,$B99&lt;'1332'!$I$9),"x","")</f>
        <v/>
      </c>
      <c r="AD99" s="80" t="str">
        <f>IF(AND($P99=$AB$7,$B99&lt;'1332'!$I$9),"x","")</f>
        <v/>
      </c>
      <c r="AE99" s="80" t="str">
        <f>IF(AND('341-CT'!$H$9=H99,OR(LEFT(O99,3)=$AE$7,LEFT(P99,3)=$AE$7)),"x","")</f>
        <v/>
      </c>
      <c r="AF99" s="80" t="str">
        <f>IF(OR(TH!O99=TH!$AF$7,P99=TH!$AF$7),"x","")</f>
        <v/>
      </c>
      <c r="AG99" s="80"/>
      <c r="AH99" s="80" t="str">
        <f>IF(AND(B99&gt;='IN-NX'!$P$3,B99&lt;='IN-NX'!$Q$3,'IN-NX'!$D$7=D99,OR(LEFT(L99,2)="15",AND(LEFT(M99,2)&lt;&gt;"15",LEFT(M99,2)&lt;&gt;"33"))),"x","")</f>
        <v/>
      </c>
      <c r="AI99" s="80" t="str">
        <f>IF(AND(OR(LEFT(TH!O99,2)="15",LEFT(TH!P99,2)="15"),'152-CT'!$J$8=TH!F99),"x","")</f>
        <v/>
      </c>
      <c r="AJ99" s="80" t="str">
        <f>IF(AND(OR(LEFT(TH!O99,2)="15",LEFT(TH!P99,2)="15"),'THE KHO'!$E$7=TH!F99),"x","")</f>
        <v/>
      </c>
      <c r="AK99" s="80" t="str">
        <f>IF(AND(O99="1521",MONTH(C99)='BK NL'!$M$11),"x","")</f>
        <v/>
      </c>
    </row>
    <row r="100" spans="1:39" s="1007" customFormat="1" ht="15.75" customHeight="1">
      <c r="A100" s="362" t="str">
        <f>IF(B100&lt;&gt;"",IF(AND(B100&gt;=_TM1,B100&lt;=_TM2,OR(TH!O100="1111",TH!P100="1111")),TH!D100,""),"")</f>
        <v/>
      </c>
      <c r="B100" s="63">
        <f t="shared" si="5"/>
        <v>1</v>
      </c>
      <c r="C100" s="337">
        <v>42398</v>
      </c>
      <c r="D100" s="337" t="s">
        <v>189</v>
      </c>
      <c r="E100" s="337">
        <v>42398</v>
      </c>
      <c r="F100" s="338" t="s">
        <v>410</v>
      </c>
      <c r="G100" s="1022" t="s">
        <v>798</v>
      </c>
      <c r="H100" s="339" t="s">
        <v>160</v>
      </c>
      <c r="I100" s="476"/>
      <c r="J100" s="476"/>
      <c r="K100" s="469"/>
      <c r="L100" s="476"/>
      <c r="M100" s="65">
        <v>370000000</v>
      </c>
      <c r="N100" s="65"/>
      <c r="O100" s="340" t="s">
        <v>31</v>
      </c>
      <c r="P100" s="340" t="s">
        <v>97</v>
      </c>
      <c r="Q100" s="66" t="str">
        <f>IF(AND('331-CT'!$E$7=TH!H100,OR(O100="331",P100="331")),"x","")</f>
        <v/>
      </c>
      <c r="R100" s="66" t="str">
        <f>IF(AND($B100&gt;='111'!$N$11,$B100&lt;='111'!$O$11,OR($O100=$R$7,$P100=$R$7)),"x","")</f>
        <v/>
      </c>
      <c r="S100" s="66" t="str">
        <f>IF(AND($O100=$R$7,$B100&lt;'111'!$N$11),"x","")</f>
        <v/>
      </c>
      <c r="T100" s="66" t="str">
        <f>IF(AND($P100=$R$7,$B100&lt;'111'!$N$11),"x","")</f>
        <v>x</v>
      </c>
      <c r="U100" s="66" t="str">
        <f>IF(AND($B100&gt;='112'!$M$9,$B100&lt;='112'!$N$9,OR($O100='112'!$I$6,$P100='112'!$I$6)),"x","")</f>
        <v/>
      </c>
      <c r="V100" s="66" t="str">
        <f>IF(AND($O100='112'!$I$6,$B100&lt;'112'!$M$9),"x","")</f>
        <v>x</v>
      </c>
      <c r="W100" s="66" t="str">
        <f>IF(AND($P100='112'!$I$6,$B100&lt;'112'!$M$9),"x","")</f>
        <v/>
      </c>
      <c r="X100" s="66" t="str">
        <f>IF(AND('131-CT'!$H$9=TH!H100,OR(O100="131",P100="131")),"x","")</f>
        <v/>
      </c>
      <c r="Y100" s="80" t="str">
        <f>IF(AND($B100&gt;='1331'!$I$9,$B100&lt;='1331'!$J$9,OR($O100=$Y$7,$P100=$Y$7)),"x","")</f>
        <v/>
      </c>
      <c r="Z100" s="80" t="str">
        <f>IF(AND($O100=$Y$7,$B100&lt;'1331'!$I$9),"x","")</f>
        <v/>
      </c>
      <c r="AA100" s="80" t="str">
        <f>IF(AND($P100=$Y$7,$B100&lt;'1331'!$I$9),"x","")</f>
        <v/>
      </c>
      <c r="AB100" s="80" t="str">
        <f>IF(AND($B100&gt;='1332'!$I$9,$B100&lt;='1332'!$I$9,OR($O100=$AB$7,$P100=$AB$7)),"x","")</f>
        <v/>
      </c>
      <c r="AC100" s="80" t="str">
        <f>IF(AND($O100=$AB$7,$B100&lt;'1332'!$I$9),"x","")</f>
        <v/>
      </c>
      <c r="AD100" s="80" t="str">
        <f>IF(AND($P100=$AB$7,$B100&lt;'1332'!$I$9),"x","")</f>
        <v/>
      </c>
      <c r="AE100" s="80" t="str">
        <f>IF(AND('341-CT'!$H$9=H100,OR(LEFT(O100,3)=$AE$7,LEFT(P100,3)=$AE$7)),"x","")</f>
        <v/>
      </c>
      <c r="AF100" s="80" t="str">
        <f>IF(OR(TH!O100=TH!$AF$7,P100=TH!$AF$7),"x","")</f>
        <v/>
      </c>
      <c r="AG100" s="80"/>
      <c r="AH100" s="80" t="str">
        <f>IF(AND(B100&gt;='IN-NX'!$P$3,B100&lt;='IN-NX'!$Q$3,'IN-NX'!$D$7=D100,OR(LEFT(L100,2)="15",AND(LEFT(M100,2)&lt;&gt;"15",LEFT(M100,2)&lt;&gt;"33"))),"x","")</f>
        <v/>
      </c>
      <c r="AI100" s="80" t="str">
        <f>IF(AND(OR(LEFT(TH!O100,2)="15",LEFT(TH!P100,2)="15"),'152-CT'!$J$8=TH!F100),"x","")</f>
        <v/>
      </c>
      <c r="AJ100" s="80" t="str">
        <f>IF(AND(OR(LEFT(TH!O100,2)="15",LEFT(TH!P100,2)="15"),'THE KHO'!$E$7=TH!F100),"x","")</f>
        <v/>
      </c>
      <c r="AK100" s="80" t="str">
        <f>IF(AND(O100="1521",MONTH(C100)='BK NL'!$M$11),"x","")</f>
        <v/>
      </c>
    </row>
    <row r="101" spans="1:39" s="1007" customFormat="1" ht="15.75" customHeight="1">
      <c r="A101" s="362" t="str">
        <f>IF(B101&lt;&gt;"",IF(AND(B101&gt;=_TM1,B101&lt;=_TM2,OR(TH!O101="1111",TH!P101="1111")),TH!D101,""),"")</f>
        <v/>
      </c>
      <c r="B101" s="63">
        <f t="shared" si="5"/>
        <v>1</v>
      </c>
      <c r="C101" s="337">
        <v>42399</v>
      </c>
      <c r="D101" s="337" t="s">
        <v>8</v>
      </c>
      <c r="E101" s="337">
        <v>42399</v>
      </c>
      <c r="F101" s="338" t="s">
        <v>163</v>
      </c>
      <c r="G101" s="1022" t="s">
        <v>798</v>
      </c>
      <c r="H101" s="339" t="s">
        <v>164</v>
      </c>
      <c r="I101" s="476"/>
      <c r="J101" s="476"/>
      <c r="K101" s="469"/>
      <c r="L101" s="476"/>
      <c r="M101" s="65">
        <v>171000000</v>
      </c>
      <c r="N101" s="65"/>
      <c r="O101" s="340" t="s">
        <v>9</v>
      </c>
      <c r="P101" s="340" t="s">
        <v>31</v>
      </c>
      <c r="Q101" s="66" t="str">
        <f>IF(AND('331-CT'!$E$7=TH!H101,OR(O101="331",P101="331")),"x","")</f>
        <v/>
      </c>
      <c r="R101" s="66" t="str">
        <f>IF(AND($B101&gt;='111'!$N$11,$B101&lt;='111'!$O$11,OR($O101=$R$7,$P101=$R$7)),"x","")</f>
        <v/>
      </c>
      <c r="S101" s="66" t="str">
        <f>IF(AND($O101=$R$7,$B101&lt;'111'!$N$11),"x","")</f>
        <v/>
      </c>
      <c r="T101" s="66" t="str">
        <f>IF(AND($P101=$R$7,$B101&lt;'111'!$N$11),"x","")</f>
        <v/>
      </c>
      <c r="U101" s="66" t="str">
        <f>IF(AND($B101&gt;='112'!$M$9,$B101&lt;='112'!$N$9,OR($O101='112'!$I$6,$P101='112'!$I$6)),"x","")</f>
        <v/>
      </c>
      <c r="V101" s="66" t="str">
        <f>IF(AND($O101='112'!$I$6,$B101&lt;'112'!$M$9),"x","")</f>
        <v/>
      </c>
      <c r="W101" s="66" t="str">
        <f>IF(AND($P101='112'!$I$6,$B101&lt;'112'!$M$9),"x","")</f>
        <v>x</v>
      </c>
      <c r="X101" s="66" t="str">
        <f>IF(AND('131-CT'!$H$9=TH!H101,OR(O101="131",P101="131")),"x","")</f>
        <v/>
      </c>
      <c r="Y101" s="80" t="str">
        <f>IF(AND($B101&gt;='1331'!$I$9,$B101&lt;='1331'!$J$9,OR($O101=$Y$7,$P101=$Y$7)),"x","")</f>
        <v/>
      </c>
      <c r="Z101" s="80" t="str">
        <f>IF(AND($O101=$Y$7,$B101&lt;'1331'!$I$9),"x","")</f>
        <v/>
      </c>
      <c r="AA101" s="80" t="str">
        <f>IF(AND($P101=$Y$7,$B101&lt;'1331'!$I$9),"x","")</f>
        <v/>
      </c>
      <c r="AB101" s="80" t="str">
        <f>IF(AND($B101&gt;='1332'!$I$9,$B101&lt;='1332'!$I$9,OR($O101=$AB$7,$P101=$AB$7)),"x","")</f>
        <v/>
      </c>
      <c r="AC101" s="80" t="str">
        <f>IF(AND($O101=$AB$7,$B101&lt;'1332'!$I$9),"x","")</f>
        <v/>
      </c>
      <c r="AD101" s="80" t="str">
        <f>IF(AND($P101=$AB$7,$B101&lt;'1332'!$I$9),"x","")</f>
        <v/>
      </c>
      <c r="AE101" s="80" t="str">
        <f>IF(AND('341-CT'!$H$9=H101,OR(LEFT(O101,3)=$AE$7,LEFT(P101,3)=$AE$7)),"x","")</f>
        <v/>
      </c>
      <c r="AF101" s="80" t="str">
        <f>IF(OR(TH!O101=TH!$AF$7,P101=TH!$AF$7),"x","")</f>
        <v/>
      </c>
      <c r="AG101" s="80"/>
      <c r="AH101" s="80" t="str">
        <f>IF(AND(B101&gt;='IN-NX'!$P$3,B101&lt;='IN-NX'!$Q$3,'IN-NX'!$D$7=D101,OR(LEFT(L101,2)="15",AND(LEFT(M101,2)&lt;&gt;"15",LEFT(M101,2)&lt;&gt;"33"))),"x","")</f>
        <v/>
      </c>
      <c r="AI101" s="80" t="str">
        <f>IF(AND(OR(LEFT(TH!O101,2)="15",LEFT(TH!P101,2)="15"),'152-CT'!$J$8=TH!F101),"x","")</f>
        <v/>
      </c>
      <c r="AJ101" s="80" t="str">
        <f>IF(AND(OR(LEFT(TH!O101,2)="15",LEFT(TH!P101,2)="15"),'THE KHO'!$E$7=TH!F101),"x","")</f>
        <v/>
      </c>
      <c r="AK101" s="80" t="str">
        <f>IF(AND(O101="1521",MONTH(C101)='BK NL'!$M$11),"x","")</f>
        <v/>
      </c>
    </row>
    <row r="102" spans="1:39" s="1007" customFormat="1" ht="15.75" customHeight="1">
      <c r="A102" s="362" t="str">
        <f>IF(B102&lt;&gt;"",IF(AND(B102&gt;=_TM1,B102&lt;=_TM2,OR(TH!O102="1111",TH!P102="1111")),TH!D102,""),"")</f>
        <v/>
      </c>
      <c r="B102" s="63">
        <f t="shared" si="5"/>
        <v>1</v>
      </c>
      <c r="C102" s="337">
        <v>42399</v>
      </c>
      <c r="D102" s="337" t="s">
        <v>8</v>
      </c>
      <c r="E102" s="337">
        <v>42399</v>
      </c>
      <c r="F102" s="338" t="s">
        <v>22</v>
      </c>
      <c r="G102" s="1022" t="s">
        <v>798</v>
      </c>
      <c r="H102" s="339"/>
      <c r="I102" s="476"/>
      <c r="J102" s="476"/>
      <c r="K102" s="469"/>
      <c r="L102" s="476"/>
      <c r="M102" s="65">
        <v>126515</v>
      </c>
      <c r="N102" s="65"/>
      <c r="O102" s="340" t="s">
        <v>135</v>
      </c>
      <c r="P102" s="340" t="s">
        <v>31</v>
      </c>
      <c r="Q102" s="66" t="str">
        <f>IF(AND('331-CT'!$E$7=TH!H102,OR(O102="331",P102="331")),"x","")</f>
        <v/>
      </c>
      <c r="R102" s="66" t="str">
        <f>IF(AND($B102&gt;='111'!$N$11,$B102&lt;='111'!$O$11,OR($O102=$R$7,$P102=$R$7)),"x","")</f>
        <v/>
      </c>
      <c r="S102" s="66" t="str">
        <f>IF(AND($O102=$R$7,$B102&lt;'111'!$N$11),"x","")</f>
        <v/>
      </c>
      <c r="T102" s="66" t="str">
        <f>IF(AND($P102=$R$7,$B102&lt;'111'!$N$11),"x","")</f>
        <v/>
      </c>
      <c r="U102" s="66" t="str">
        <f>IF(AND($B102&gt;='112'!$M$9,$B102&lt;='112'!$N$9,OR($O102='112'!$I$6,$P102='112'!$I$6)),"x","")</f>
        <v/>
      </c>
      <c r="V102" s="66" t="str">
        <f>IF(AND($O102='112'!$I$6,$B102&lt;'112'!$M$9),"x","")</f>
        <v/>
      </c>
      <c r="W102" s="66" t="str">
        <f>IF(AND($P102='112'!$I$6,$B102&lt;'112'!$M$9),"x","")</f>
        <v>x</v>
      </c>
      <c r="X102" s="66" t="str">
        <f>IF(AND('131-CT'!$H$9=TH!H102,OR(O102="131",P102="131")),"x","")</f>
        <v/>
      </c>
      <c r="Y102" s="80" t="str">
        <f>IF(AND($B102&gt;='1331'!$I$9,$B102&lt;='1331'!$J$9,OR($O102=$Y$7,$P102=$Y$7)),"x","")</f>
        <v/>
      </c>
      <c r="Z102" s="80" t="str">
        <f>IF(AND($O102=$Y$7,$B102&lt;'1331'!$I$9),"x","")</f>
        <v/>
      </c>
      <c r="AA102" s="80" t="str">
        <f>IF(AND($P102=$Y$7,$B102&lt;'1331'!$I$9),"x","")</f>
        <v/>
      </c>
      <c r="AB102" s="80" t="str">
        <f>IF(AND($B102&gt;='1332'!$I$9,$B102&lt;='1332'!$I$9,OR($O102=$AB$7,$P102=$AB$7)),"x","")</f>
        <v/>
      </c>
      <c r="AC102" s="80" t="str">
        <f>IF(AND($O102=$AB$7,$B102&lt;'1332'!$I$9),"x","")</f>
        <v/>
      </c>
      <c r="AD102" s="80" t="str">
        <f>IF(AND($P102=$AB$7,$B102&lt;'1332'!$I$9),"x","")</f>
        <v/>
      </c>
      <c r="AE102" s="80" t="str">
        <f>IF(AND('341-CT'!$H$9=H102,OR(LEFT(O102,3)=$AE$7,LEFT(P102,3)=$AE$7)),"x","")</f>
        <v/>
      </c>
      <c r="AF102" s="80" t="str">
        <f>IF(OR(TH!O102=TH!$AF$7,P102=TH!$AF$7),"x","")</f>
        <v/>
      </c>
      <c r="AG102" s="80"/>
      <c r="AH102" s="80" t="str">
        <f>IF(AND(B102&gt;='IN-NX'!$P$3,B102&lt;='IN-NX'!$Q$3,'IN-NX'!$D$7=D102,OR(LEFT(L102,2)="15",AND(LEFT(M102,2)&lt;&gt;"15",LEFT(M102,2)&lt;&gt;"33"))),"x","")</f>
        <v/>
      </c>
      <c r="AI102" s="80" t="str">
        <f>IF(AND(OR(LEFT(TH!O102,2)="15",LEFT(TH!P102,2)="15"),'152-CT'!$J$8=TH!F102),"x","")</f>
        <v/>
      </c>
      <c r="AJ102" s="80" t="str">
        <f>IF(AND(OR(LEFT(TH!O102,2)="15",LEFT(TH!P102,2)="15"),'THE KHO'!$E$7=TH!F102),"x","")</f>
        <v/>
      </c>
      <c r="AK102" s="80" t="str">
        <f>IF(AND(O102="1521",MONTH(C102)='BK NL'!$M$11),"x","")</f>
        <v/>
      </c>
      <c r="AM102" s="1007">
        <v>1</v>
      </c>
    </row>
    <row r="103" spans="1:39" s="1007" customFormat="1" ht="15.75" customHeight="1">
      <c r="A103" s="362" t="str">
        <f>IF(B103&lt;&gt;"",IF(AND(B103&gt;=_TM1,B103&lt;=_TM2,OR(TH!O103="1111",TH!P103="1111")),TH!D103,""),"")</f>
        <v/>
      </c>
      <c r="B103" s="63">
        <f t="shared" si="5"/>
        <v>1</v>
      </c>
      <c r="C103" s="337">
        <v>42399</v>
      </c>
      <c r="D103" s="337" t="s">
        <v>8</v>
      </c>
      <c r="E103" s="337">
        <v>42399</v>
      </c>
      <c r="F103" s="338" t="s">
        <v>23</v>
      </c>
      <c r="G103" s="1022" t="s">
        <v>798</v>
      </c>
      <c r="H103" s="339"/>
      <c r="I103" s="476"/>
      <c r="J103" s="476"/>
      <c r="K103" s="469"/>
      <c r="L103" s="476"/>
      <c r="M103" s="88">
        <v>12651</v>
      </c>
      <c r="N103" s="88"/>
      <c r="O103" s="340" t="s">
        <v>10</v>
      </c>
      <c r="P103" s="340" t="s">
        <v>31</v>
      </c>
      <c r="Q103" s="66" t="str">
        <f>IF(AND('331-CT'!$E$7=TH!H103,OR(O103="331",P103="331")),"x","")</f>
        <v/>
      </c>
      <c r="R103" s="66" t="str">
        <f>IF(AND($B103&gt;='111'!$N$11,$B103&lt;='111'!$O$11,OR($O103=$R$7,$P103=$R$7)),"x","")</f>
        <v/>
      </c>
      <c r="S103" s="66" t="str">
        <f>IF(AND($O103=$R$7,$B103&lt;'111'!$N$11),"x","")</f>
        <v/>
      </c>
      <c r="T103" s="66" t="str">
        <f>IF(AND($P103=$R$7,$B103&lt;'111'!$N$11),"x","")</f>
        <v/>
      </c>
      <c r="U103" s="66" t="str">
        <f>IF(AND($B103&gt;='112'!$M$9,$B103&lt;='112'!$N$9,OR($O103='112'!$I$6,$P103='112'!$I$6)),"x","")</f>
        <v/>
      </c>
      <c r="V103" s="66" t="str">
        <f>IF(AND($O103='112'!$I$6,$B103&lt;'112'!$M$9),"x","")</f>
        <v/>
      </c>
      <c r="W103" s="66" t="str">
        <f>IF(AND($P103='112'!$I$6,$B103&lt;'112'!$M$9),"x","")</f>
        <v>x</v>
      </c>
      <c r="X103" s="66" t="str">
        <f>IF(AND('131-CT'!$H$9=TH!H103,OR(O103="131",P103="131")),"x","")</f>
        <v/>
      </c>
      <c r="Y103" s="80" t="str">
        <f>IF(AND($B103&gt;='1331'!$I$9,$B103&lt;='1331'!$J$9,OR($O103=$Y$7,$P103=$Y$7)),"x","")</f>
        <v/>
      </c>
      <c r="Z103" s="80" t="str">
        <f>IF(AND($O103=$Y$7,$B103&lt;'1331'!$I$9),"x","")</f>
        <v>x</v>
      </c>
      <c r="AA103" s="80" t="str">
        <f>IF(AND($P103=$Y$7,$B103&lt;'1331'!$I$9),"x","")</f>
        <v/>
      </c>
      <c r="AB103" s="80" t="str">
        <f>IF(AND($B103&gt;='1332'!$I$9,$B103&lt;='1332'!$I$9,OR($O103=$AB$7,$P103=$AB$7)),"x","")</f>
        <v/>
      </c>
      <c r="AC103" s="80" t="str">
        <f>IF(AND($O103=$AB$7,$B103&lt;'1332'!$I$9),"x","")</f>
        <v/>
      </c>
      <c r="AD103" s="80" t="str">
        <f>IF(AND($P103=$AB$7,$B103&lt;'1332'!$I$9),"x","")</f>
        <v/>
      </c>
      <c r="AE103" s="80" t="str">
        <f>IF(AND('341-CT'!$H$9=H103,OR(LEFT(O103,3)=$AE$7,LEFT(P103,3)=$AE$7)),"x","")</f>
        <v/>
      </c>
      <c r="AF103" s="80" t="str">
        <f>IF(OR(TH!O103=TH!$AF$7,P103=TH!$AF$7),"x","")</f>
        <v/>
      </c>
      <c r="AG103" s="80"/>
      <c r="AH103" s="80" t="str">
        <f>IF(AND(B103&gt;='IN-NX'!$P$3,B103&lt;='IN-NX'!$Q$3,'IN-NX'!$D$7=D103,OR(LEFT(L103,2)="15",AND(LEFT(M103,2)&lt;&gt;"15",LEFT(M103,2)&lt;&gt;"33"))),"x","")</f>
        <v/>
      </c>
      <c r="AI103" s="80" t="str">
        <f>IF(AND(OR(LEFT(TH!O103,2)="15",LEFT(TH!P103,2)="15"),'152-CT'!$J$8=TH!F103),"x","")</f>
        <v/>
      </c>
      <c r="AJ103" s="80" t="str">
        <f>IF(AND(OR(LEFT(TH!O103,2)="15",LEFT(TH!P103,2)="15"),'THE KHO'!$E$7=TH!F103),"x","")</f>
        <v/>
      </c>
      <c r="AK103" s="80" t="str">
        <f>IF(AND(O103="1521",MONTH(C103)='BK NL'!$M$11),"x","")</f>
        <v/>
      </c>
      <c r="AM103" s="1007">
        <v>1</v>
      </c>
    </row>
    <row r="104" spans="1:39" s="1007" customFormat="1" ht="15.75" customHeight="1">
      <c r="A104" s="362" t="str">
        <f>IF(B104&lt;&gt;"",IF(AND(B104&gt;=_TM1,B104&lt;=_TM2,OR(TH!O104="1111",TH!P104="1111")),TH!D104,""),"")</f>
        <v/>
      </c>
      <c r="B104" s="63">
        <f t="shared" si="5"/>
        <v>1</v>
      </c>
      <c r="C104" s="337">
        <v>42399</v>
      </c>
      <c r="D104" s="337" t="s">
        <v>8</v>
      </c>
      <c r="E104" s="337">
        <v>42399</v>
      </c>
      <c r="F104" s="338" t="s">
        <v>163</v>
      </c>
      <c r="G104" s="1022" t="s">
        <v>798</v>
      </c>
      <c r="H104" s="339" t="s">
        <v>50</v>
      </c>
      <c r="I104" s="476"/>
      <c r="J104" s="476"/>
      <c r="K104" s="469"/>
      <c r="L104" s="476"/>
      <c r="M104" s="65">
        <v>200000000</v>
      </c>
      <c r="N104" s="65"/>
      <c r="O104" s="1023" t="s">
        <v>9</v>
      </c>
      <c r="P104" s="340" t="s">
        <v>31</v>
      </c>
      <c r="Q104" s="66" t="str">
        <f>IF(AND('331-CT'!$E$7=TH!H104,OR(O104="331",P104="331")),"x","")</f>
        <v/>
      </c>
      <c r="R104" s="66" t="str">
        <f>IF(AND($B104&gt;='111'!$N$11,$B104&lt;='111'!$O$11,OR($O104=$R$7,$P104=$R$7)),"x","")</f>
        <v/>
      </c>
      <c r="S104" s="66" t="str">
        <f>IF(AND($O104=$R$7,$B104&lt;'111'!$N$11),"x","")</f>
        <v/>
      </c>
      <c r="T104" s="66" t="str">
        <f>IF(AND($P104=$R$7,$B104&lt;'111'!$N$11),"x","")</f>
        <v/>
      </c>
      <c r="U104" s="66" t="str">
        <f>IF(AND($B104&gt;='112'!$M$9,$B104&lt;='112'!$N$9,OR($O104='112'!$I$6,$P104='112'!$I$6)),"x","")</f>
        <v/>
      </c>
      <c r="V104" s="66" t="str">
        <f>IF(AND($O104='112'!$I$6,$B104&lt;'112'!$M$9),"x","")</f>
        <v/>
      </c>
      <c r="W104" s="66" t="str">
        <f>IF(AND($P104='112'!$I$6,$B104&lt;'112'!$M$9),"x","")</f>
        <v>x</v>
      </c>
      <c r="X104" s="66" t="str">
        <f>IF(AND('131-CT'!$H$9=TH!H104,OR(O104="131",P104="131")),"x","")</f>
        <v/>
      </c>
      <c r="Y104" s="80" t="str">
        <f>IF(AND($B104&gt;='1331'!$I$9,$B104&lt;='1331'!$J$9,OR($O104=$Y$7,$P104=$Y$7)),"x","")</f>
        <v/>
      </c>
      <c r="Z104" s="80" t="str">
        <f>IF(AND($O104=$Y$7,$B104&lt;'1331'!$I$9),"x","")</f>
        <v/>
      </c>
      <c r="AA104" s="80" t="str">
        <f>IF(AND($P104=$Y$7,$B104&lt;'1331'!$I$9),"x","")</f>
        <v/>
      </c>
      <c r="AB104" s="80" t="str">
        <f>IF(AND($B104&gt;='1332'!$I$9,$B104&lt;='1332'!$I$9,OR($O104=$AB$7,$P104=$AB$7)),"x","")</f>
        <v/>
      </c>
      <c r="AC104" s="80" t="str">
        <f>IF(AND($O104=$AB$7,$B104&lt;'1332'!$I$9),"x","")</f>
        <v/>
      </c>
      <c r="AD104" s="80" t="str">
        <f>IF(AND($P104=$AB$7,$B104&lt;'1332'!$I$9),"x","")</f>
        <v/>
      </c>
      <c r="AE104" s="80" t="str">
        <f>IF(AND('341-CT'!$H$9=H104,OR(LEFT(O104,3)=$AE$7,LEFT(P104,3)=$AE$7)),"x","")</f>
        <v/>
      </c>
      <c r="AF104" s="80" t="str">
        <f>IF(OR(TH!O104=TH!$AF$7,P104=TH!$AF$7),"x","")</f>
        <v/>
      </c>
      <c r="AG104" s="80"/>
      <c r="AH104" s="80" t="str">
        <f>IF(AND(B104&gt;='IN-NX'!$P$3,B104&lt;='IN-NX'!$Q$3,'IN-NX'!$D$7=D104,OR(LEFT(L104,2)="15",AND(LEFT(M104,2)&lt;&gt;"15",LEFT(M104,2)&lt;&gt;"33"))),"x","")</f>
        <v/>
      </c>
      <c r="AI104" s="80" t="str">
        <f>IF(AND(OR(LEFT(TH!O104,2)="15",LEFT(TH!P104,2)="15"),'152-CT'!$J$8=TH!F104),"x","")</f>
        <v/>
      </c>
      <c r="AJ104" s="80" t="str">
        <f>IF(AND(OR(LEFT(TH!O104,2)="15",LEFT(TH!P104,2)="15"),'THE KHO'!$E$7=TH!F104),"x","")</f>
        <v/>
      </c>
      <c r="AK104" s="80" t="str">
        <f>IF(AND(O104="1521",MONTH(C104)='BK NL'!$M$11),"x","")</f>
        <v/>
      </c>
    </row>
    <row r="105" spans="1:39" s="1007" customFormat="1" ht="15.75" customHeight="1">
      <c r="A105" s="362" t="str">
        <f>IF(B105&lt;&gt;"",IF(AND(B105&gt;=_TM1,B105&lt;=_TM2,OR(TH!O105="1111",TH!P105="1111")),TH!D105,""),"")</f>
        <v/>
      </c>
      <c r="B105" s="63">
        <f t="shared" si="5"/>
        <v>1</v>
      </c>
      <c r="C105" s="367">
        <v>42399</v>
      </c>
      <c r="D105" s="337" t="s">
        <v>8</v>
      </c>
      <c r="E105" s="337">
        <v>42399</v>
      </c>
      <c r="F105" s="338" t="s">
        <v>22</v>
      </c>
      <c r="G105" s="1022" t="s">
        <v>798</v>
      </c>
      <c r="H105" s="339"/>
      <c r="I105" s="476"/>
      <c r="J105" s="476"/>
      <c r="K105" s="469"/>
      <c r="L105" s="476"/>
      <c r="M105" s="65">
        <v>160000</v>
      </c>
      <c r="N105" s="65"/>
      <c r="O105" s="340" t="s">
        <v>135</v>
      </c>
      <c r="P105" s="340" t="s">
        <v>31</v>
      </c>
      <c r="Q105" s="66" t="str">
        <f>IF(AND('331-CT'!$E$7=TH!H105,OR(O105="331",P105="331")),"x","")</f>
        <v/>
      </c>
      <c r="R105" s="66" t="str">
        <f>IF(AND($B105&gt;='111'!$N$11,$B105&lt;='111'!$O$11,OR($O105=$R$7,$P105=$R$7)),"x","")</f>
        <v/>
      </c>
      <c r="S105" s="66" t="str">
        <f>IF(AND($O105=$R$7,$B105&lt;'111'!$N$11),"x","")</f>
        <v/>
      </c>
      <c r="T105" s="66" t="str">
        <f>IF(AND($P105=$R$7,$B105&lt;'111'!$N$11),"x","")</f>
        <v/>
      </c>
      <c r="U105" s="66" t="str">
        <f>IF(AND($B105&gt;='112'!$M$9,$B105&lt;='112'!$N$9,OR($O105='112'!$I$6,$P105='112'!$I$6)),"x","")</f>
        <v/>
      </c>
      <c r="V105" s="66" t="str">
        <f>IF(AND($O105='112'!$I$6,$B105&lt;'112'!$M$9),"x","")</f>
        <v/>
      </c>
      <c r="W105" s="66" t="str">
        <f>IF(AND($P105='112'!$I$6,$B105&lt;'112'!$M$9),"x","")</f>
        <v>x</v>
      </c>
      <c r="X105" s="66" t="str">
        <f>IF(AND('131-CT'!$H$9=TH!H105,OR(O105="131",P105="131")),"x","")</f>
        <v/>
      </c>
      <c r="Y105" s="80" t="str">
        <f>IF(AND($B105&gt;='1331'!$I$9,$B105&lt;='1331'!$J$9,OR($O105=$Y$7,$P105=$Y$7)),"x","")</f>
        <v/>
      </c>
      <c r="Z105" s="80" t="str">
        <f>IF(AND($O105=$Y$7,$B105&lt;'1331'!$I$9),"x","")</f>
        <v/>
      </c>
      <c r="AA105" s="80" t="str">
        <f>IF(AND($P105=$Y$7,$B105&lt;'1331'!$I$9),"x","")</f>
        <v/>
      </c>
      <c r="AB105" s="80" t="str">
        <f>IF(AND($B105&gt;='1332'!$I$9,$B105&lt;='1332'!$I$9,OR($O105=$AB$7,$P105=$AB$7)),"x","")</f>
        <v/>
      </c>
      <c r="AC105" s="80" t="str">
        <f>IF(AND($O105=$AB$7,$B105&lt;'1332'!$I$9),"x","")</f>
        <v/>
      </c>
      <c r="AD105" s="80" t="str">
        <f>IF(AND($P105=$AB$7,$B105&lt;'1332'!$I$9),"x","")</f>
        <v/>
      </c>
      <c r="AE105" s="80" t="str">
        <f>IF(AND('341-CT'!$H$9=H105,OR(LEFT(O105,3)=$AE$7,LEFT(P105,3)=$AE$7)),"x","")</f>
        <v/>
      </c>
      <c r="AF105" s="80" t="str">
        <f>IF(OR(TH!O105=TH!$AF$7,P105=TH!$AF$7),"x","")</f>
        <v/>
      </c>
      <c r="AG105" s="80"/>
      <c r="AH105" s="80" t="str">
        <f>IF(AND(B105&gt;='IN-NX'!$P$3,B105&lt;='IN-NX'!$Q$3,'IN-NX'!$D$7=D105,OR(LEFT(L105,2)="15",AND(LEFT(M105,2)&lt;&gt;"15",LEFT(M105,2)&lt;&gt;"33"))),"x","")</f>
        <v/>
      </c>
      <c r="AI105" s="80" t="str">
        <f>IF(AND(OR(LEFT(TH!O105,2)="15",LEFT(TH!P105,2)="15"),'152-CT'!$J$8=TH!F105),"x","")</f>
        <v/>
      </c>
      <c r="AJ105" s="80" t="str">
        <f>IF(AND(OR(LEFT(TH!O105,2)="15",LEFT(TH!P105,2)="15"),'THE KHO'!$E$7=TH!F105),"x","")</f>
        <v/>
      </c>
      <c r="AK105" s="80" t="str">
        <f>IF(AND(O105="1521",MONTH(C105)='BK NL'!$M$11),"x","")</f>
        <v/>
      </c>
      <c r="AM105" s="1007">
        <v>1</v>
      </c>
    </row>
    <row r="106" spans="1:39" s="1007" customFormat="1" ht="15.75" customHeight="1">
      <c r="A106" s="362" t="str">
        <f>IF(B106&lt;&gt;"",IF(AND(B106&gt;=_TM1,B106&lt;=_TM2,OR(TH!O106="1111",TH!P106="1111")),TH!D106,""),"")</f>
        <v/>
      </c>
      <c r="B106" s="63">
        <f t="shared" si="5"/>
        <v>1</v>
      </c>
      <c r="C106" s="337">
        <v>42399</v>
      </c>
      <c r="D106" s="337" t="s">
        <v>8</v>
      </c>
      <c r="E106" s="337">
        <v>42399</v>
      </c>
      <c r="F106" s="338" t="s">
        <v>23</v>
      </c>
      <c r="G106" s="1022" t="s">
        <v>798</v>
      </c>
      <c r="H106" s="339"/>
      <c r="I106" s="476"/>
      <c r="J106" s="476"/>
      <c r="K106" s="469"/>
      <c r="L106" s="476"/>
      <c r="M106" s="88">
        <v>16000</v>
      </c>
      <c r="N106" s="88"/>
      <c r="O106" s="340" t="s">
        <v>10</v>
      </c>
      <c r="P106" s="340" t="s">
        <v>31</v>
      </c>
      <c r="Q106" s="66" t="str">
        <f>IF(AND('331-CT'!$E$7=TH!H106,OR(O106="331",P106="331")),"x","")</f>
        <v/>
      </c>
      <c r="R106" s="66" t="str">
        <f>IF(AND($B106&gt;='111'!$N$11,$B106&lt;='111'!$O$11,OR($O106=$R$7,$P106=$R$7)),"x","")</f>
        <v/>
      </c>
      <c r="S106" s="66" t="str">
        <f>IF(AND($O106=$R$7,$B106&lt;'111'!$N$11),"x","")</f>
        <v/>
      </c>
      <c r="T106" s="66" t="str">
        <f>IF(AND($P106=$R$7,$B106&lt;'111'!$N$11),"x","")</f>
        <v/>
      </c>
      <c r="U106" s="66" t="str">
        <f>IF(AND($B106&gt;='112'!$M$9,$B106&lt;='112'!$N$9,OR($O106='112'!$I$6,$P106='112'!$I$6)),"x","")</f>
        <v/>
      </c>
      <c r="V106" s="66" t="str">
        <f>IF(AND($O106='112'!$I$6,$B106&lt;'112'!$M$9),"x","")</f>
        <v/>
      </c>
      <c r="W106" s="66" t="str">
        <f>IF(AND($P106='112'!$I$6,$B106&lt;'112'!$M$9),"x","")</f>
        <v>x</v>
      </c>
      <c r="X106" s="66" t="str">
        <f>IF(AND('131-CT'!$H$9=TH!H106,OR(O106="131",P106="131")),"x","")</f>
        <v/>
      </c>
      <c r="Y106" s="80" t="str">
        <f>IF(AND($B106&gt;='1331'!$I$9,$B106&lt;='1331'!$J$9,OR($O106=$Y$7,$P106=$Y$7)),"x","")</f>
        <v/>
      </c>
      <c r="Z106" s="80" t="str">
        <f>IF(AND($O106=$Y$7,$B106&lt;'1331'!$I$9),"x","")</f>
        <v>x</v>
      </c>
      <c r="AA106" s="80" t="str">
        <f>IF(AND($P106=$Y$7,$B106&lt;'1331'!$I$9),"x","")</f>
        <v/>
      </c>
      <c r="AB106" s="80" t="str">
        <f>IF(AND($B106&gt;='1332'!$I$9,$B106&lt;='1332'!$I$9,OR($O106=$AB$7,$P106=$AB$7)),"x","")</f>
        <v/>
      </c>
      <c r="AC106" s="80" t="str">
        <f>IF(AND($O106=$AB$7,$B106&lt;'1332'!$I$9),"x","")</f>
        <v/>
      </c>
      <c r="AD106" s="80" t="str">
        <f>IF(AND($P106=$AB$7,$B106&lt;'1332'!$I$9),"x","")</f>
        <v/>
      </c>
      <c r="AE106" s="80" t="str">
        <f>IF(AND('341-CT'!$H$9=H106,OR(LEFT(O106,3)=$AE$7,LEFT(P106,3)=$AE$7)),"x","")</f>
        <v/>
      </c>
      <c r="AF106" s="80" t="str">
        <f>IF(OR(TH!O106=TH!$AF$7,P106=TH!$AF$7),"x","")</f>
        <v/>
      </c>
      <c r="AG106" s="80"/>
      <c r="AH106" s="80" t="str">
        <f>IF(AND(B106&gt;='IN-NX'!$P$3,B106&lt;='IN-NX'!$Q$3,'IN-NX'!$D$7=D106,OR(LEFT(L106,2)="15",AND(LEFT(M106,2)&lt;&gt;"15",LEFT(M106,2)&lt;&gt;"33"))),"x","")</f>
        <v/>
      </c>
      <c r="AI106" s="80" t="str">
        <f>IF(AND(OR(LEFT(TH!O106,2)="15",LEFT(TH!P106,2)="15"),'152-CT'!$J$8=TH!F106),"x","")</f>
        <v/>
      </c>
      <c r="AJ106" s="80" t="str">
        <f>IF(AND(OR(LEFT(TH!O106,2)="15",LEFT(TH!P106,2)="15"),'THE KHO'!$E$7=TH!F106),"x","")</f>
        <v/>
      </c>
      <c r="AK106" s="80" t="str">
        <f>IF(AND(O106="1521",MONTH(C106)='BK NL'!$M$11),"x","")</f>
        <v/>
      </c>
      <c r="AM106" s="1007">
        <v>1</v>
      </c>
    </row>
    <row r="107" spans="1:39" s="1007" customFormat="1" ht="15.75" customHeight="1">
      <c r="A107" s="362" t="str">
        <f>IF(B107&lt;&gt;"",IF(AND(B107&gt;=_TM1,B107&lt;=_TM2,OR(TH!O107="1111",TH!P107="1111")),TH!D107,""),"")</f>
        <v/>
      </c>
      <c r="B107" s="63">
        <f t="shared" si="5"/>
        <v>1</v>
      </c>
      <c r="C107" s="337">
        <v>42399</v>
      </c>
      <c r="D107" s="337" t="s">
        <v>8</v>
      </c>
      <c r="E107" s="337">
        <v>42399</v>
      </c>
      <c r="F107" s="338" t="s">
        <v>422</v>
      </c>
      <c r="G107" s="1022" t="s">
        <v>798</v>
      </c>
      <c r="H107" s="339" t="s">
        <v>221</v>
      </c>
      <c r="I107" s="476"/>
      <c r="J107" s="476"/>
      <c r="K107" s="469"/>
      <c r="L107" s="476"/>
      <c r="M107" s="65">
        <v>31108110</v>
      </c>
      <c r="N107" s="65"/>
      <c r="O107" s="340" t="s">
        <v>9</v>
      </c>
      <c r="P107" s="340" t="s">
        <v>31</v>
      </c>
      <c r="Q107" s="66" t="str">
        <f>IF(AND('331-CT'!$E$7=TH!H107,OR(O107="331",P107="331")),"x","")</f>
        <v/>
      </c>
      <c r="R107" s="66" t="str">
        <f>IF(AND($B107&gt;='111'!$N$11,$B107&lt;='111'!$O$11,OR($O107=$R$7,$P107=$R$7)),"x","")</f>
        <v/>
      </c>
      <c r="S107" s="66" t="str">
        <f>IF(AND($O107=$R$7,$B107&lt;'111'!$N$11),"x","")</f>
        <v/>
      </c>
      <c r="T107" s="66" t="str">
        <f>IF(AND($P107=$R$7,$B107&lt;'111'!$N$11),"x","")</f>
        <v/>
      </c>
      <c r="U107" s="66" t="str">
        <f>IF(AND($B107&gt;='112'!$M$9,$B107&lt;='112'!$N$9,OR($O107='112'!$I$6,$P107='112'!$I$6)),"x","")</f>
        <v/>
      </c>
      <c r="V107" s="66" t="str">
        <f>IF(AND($O107='112'!$I$6,$B107&lt;'112'!$M$9),"x","")</f>
        <v/>
      </c>
      <c r="W107" s="66" t="str">
        <f>IF(AND($P107='112'!$I$6,$B107&lt;'112'!$M$9),"x","")</f>
        <v>x</v>
      </c>
      <c r="X107" s="66" t="str">
        <f>IF(AND('131-CT'!$H$9=TH!H107,OR(O107="131",P107="131")),"x","")</f>
        <v/>
      </c>
      <c r="Y107" s="80" t="str">
        <f>IF(AND($B107&gt;='1331'!$I$9,$B107&lt;='1331'!$J$9,OR($O107=$Y$7,$P107=$Y$7)),"x","")</f>
        <v/>
      </c>
      <c r="Z107" s="80" t="str">
        <f>IF(AND($O107=$Y$7,$B107&lt;'1331'!$I$9),"x","")</f>
        <v/>
      </c>
      <c r="AA107" s="80" t="str">
        <f>IF(AND($P107=$Y$7,$B107&lt;'1331'!$I$9),"x","")</f>
        <v/>
      </c>
      <c r="AB107" s="80" t="str">
        <f>IF(AND($B107&gt;='1332'!$I$9,$B107&lt;='1332'!$I$9,OR($O107=$AB$7,$P107=$AB$7)),"x","")</f>
        <v/>
      </c>
      <c r="AC107" s="80" t="str">
        <f>IF(AND($O107=$AB$7,$B107&lt;'1332'!$I$9),"x","")</f>
        <v/>
      </c>
      <c r="AD107" s="80" t="str">
        <f>IF(AND($P107=$AB$7,$B107&lt;'1332'!$I$9),"x","")</f>
        <v/>
      </c>
      <c r="AE107" s="80" t="str">
        <f>IF(AND('341-CT'!$H$9=H107,OR(LEFT(O107,3)=$AE$7,LEFT(P107,3)=$AE$7)),"x","")</f>
        <v/>
      </c>
      <c r="AF107" s="80" t="str">
        <f>IF(OR(TH!O107=TH!$AF$7,P107=TH!$AF$7),"x","")</f>
        <v/>
      </c>
      <c r="AG107" s="80"/>
      <c r="AH107" s="80" t="str">
        <f>IF(AND(B107&gt;='IN-NX'!$P$3,B107&lt;='IN-NX'!$Q$3,'IN-NX'!$D$7=D107,OR(LEFT(L107,2)="15",AND(LEFT(M107,2)&lt;&gt;"15",LEFT(M107,2)&lt;&gt;"33"))),"x","")</f>
        <v/>
      </c>
      <c r="AI107" s="80" t="str">
        <f>IF(AND(OR(LEFT(TH!O107,2)="15",LEFT(TH!P107,2)="15"),'152-CT'!$J$8=TH!F107),"x","")</f>
        <v/>
      </c>
      <c r="AJ107" s="80" t="str">
        <f>IF(AND(OR(LEFT(TH!O107,2)="15",LEFT(TH!P107,2)="15"),'THE KHO'!$E$7=TH!F107),"x","")</f>
        <v/>
      </c>
      <c r="AK107" s="80" t="str">
        <f>IF(AND(O107="1521",MONTH(C107)='BK NL'!$M$11),"x","")</f>
        <v/>
      </c>
    </row>
    <row r="108" spans="1:39" s="1007" customFormat="1" ht="15.75" customHeight="1">
      <c r="A108" s="362" t="str">
        <f>IF(B108&lt;&gt;"",IF(AND(B108&gt;=_TM1,B108&lt;=_TM2,OR(TH!O108="1111",TH!P108="1111")),TH!D108,""),"")</f>
        <v/>
      </c>
      <c r="B108" s="63">
        <f t="shared" si="5"/>
        <v>1</v>
      </c>
      <c r="C108" s="367">
        <v>42399</v>
      </c>
      <c r="D108" s="337" t="s">
        <v>8</v>
      </c>
      <c r="E108" s="337">
        <v>42399</v>
      </c>
      <c r="F108" s="338" t="s">
        <v>22</v>
      </c>
      <c r="G108" s="1022" t="s">
        <v>798</v>
      </c>
      <c r="H108" s="339"/>
      <c r="I108" s="476"/>
      <c r="J108" s="476"/>
      <c r="K108" s="469"/>
      <c r="L108" s="476"/>
      <c r="M108" s="65">
        <v>45000</v>
      </c>
      <c r="N108" s="65"/>
      <c r="O108" s="340" t="s">
        <v>135</v>
      </c>
      <c r="P108" s="340" t="s">
        <v>31</v>
      </c>
      <c r="Q108" s="66" t="str">
        <f>IF(AND('331-CT'!$E$7=TH!H108,OR(O108="331",P108="331")),"x","")</f>
        <v/>
      </c>
      <c r="R108" s="66" t="str">
        <f>IF(AND($B108&gt;='111'!$N$11,$B108&lt;='111'!$O$11,OR($O108=$R$7,$P108=$R$7)),"x","")</f>
        <v/>
      </c>
      <c r="S108" s="66" t="str">
        <f>IF(AND($O108=$R$7,$B108&lt;'111'!$N$11),"x","")</f>
        <v/>
      </c>
      <c r="T108" s="66" t="str">
        <f>IF(AND($P108=$R$7,$B108&lt;'111'!$N$11),"x","")</f>
        <v/>
      </c>
      <c r="U108" s="66" t="str">
        <f>IF(AND($B108&gt;='112'!$M$9,$B108&lt;='112'!$N$9,OR($O108='112'!$I$6,$P108='112'!$I$6)),"x","")</f>
        <v/>
      </c>
      <c r="V108" s="66" t="str">
        <f>IF(AND($O108='112'!$I$6,$B108&lt;'112'!$M$9),"x","")</f>
        <v/>
      </c>
      <c r="W108" s="66" t="str">
        <f>IF(AND($P108='112'!$I$6,$B108&lt;'112'!$M$9),"x","")</f>
        <v>x</v>
      </c>
      <c r="X108" s="66" t="str">
        <f>IF(AND('131-CT'!$H$9=TH!H108,OR(O108="131",P108="131")),"x","")</f>
        <v/>
      </c>
      <c r="Y108" s="80" t="str">
        <f>IF(AND($B108&gt;='1331'!$I$9,$B108&lt;='1331'!$J$9,OR($O108=$Y$7,$P108=$Y$7)),"x","")</f>
        <v/>
      </c>
      <c r="Z108" s="80" t="str">
        <f>IF(AND($O108=$Y$7,$B108&lt;'1331'!$I$9),"x","")</f>
        <v/>
      </c>
      <c r="AA108" s="80" t="str">
        <f>IF(AND($P108=$Y$7,$B108&lt;'1331'!$I$9),"x","")</f>
        <v/>
      </c>
      <c r="AB108" s="80" t="str">
        <f>IF(AND($B108&gt;='1332'!$I$9,$B108&lt;='1332'!$I$9,OR($O108=$AB$7,$P108=$AB$7)),"x","")</f>
        <v/>
      </c>
      <c r="AC108" s="80" t="str">
        <f>IF(AND($O108=$AB$7,$B108&lt;'1332'!$I$9),"x","")</f>
        <v/>
      </c>
      <c r="AD108" s="80" t="str">
        <f>IF(AND($P108=$AB$7,$B108&lt;'1332'!$I$9),"x","")</f>
        <v/>
      </c>
      <c r="AE108" s="80" t="str">
        <f>IF(AND('341-CT'!$H$9=H108,OR(LEFT(O108,3)=$AE$7,LEFT(P108,3)=$AE$7)),"x","")</f>
        <v/>
      </c>
      <c r="AF108" s="80" t="str">
        <f>IF(OR(TH!O108=TH!$AF$7,P108=TH!$AF$7),"x","")</f>
        <v/>
      </c>
      <c r="AG108" s="80"/>
      <c r="AH108" s="80" t="str">
        <f>IF(AND(B108&gt;='IN-NX'!$P$3,B108&lt;='IN-NX'!$Q$3,'IN-NX'!$D$7=D108,OR(LEFT(L108,2)="15",AND(LEFT(M108,2)&lt;&gt;"15",LEFT(M108,2)&lt;&gt;"33"))),"x","")</f>
        <v/>
      </c>
      <c r="AI108" s="80" t="str">
        <f>IF(AND(OR(LEFT(TH!O108,2)="15",LEFT(TH!P108,2)="15"),'152-CT'!$J$8=TH!F108),"x","")</f>
        <v/>
      </c>
      <c r="AJ108" s="80" t="str">
        <f>IF(AND(OR(LEFT(TH!O108,2)="15",LEFT(TH!P108,2)="15"),'THE KHO'!$E$7=TH!F108),"x","")</f>
        <v/>
      </c>
      <c r="AK108" s="80" t="str">
        <f>IF(AND(O108="1521",MONTH(C108)='BK NL'!$M$11),"x","")</f>
        <v/>
      </c>
      <c r="AM108" s="1007">
        <v>1</v>
      </c>
    </row>
    <row r="109" spans="1:39" s="1007" customFormat="1" ht="15.75" customHeight="1">
      <c r="A109" s="362" t="str">
        <f>IF(B109&lt;&gt;"",IF(AND(B109&gt;=_TM1,B109&lt;=_TM2,OR(TH!O109="1111",TH!P109="1111")),TH!D109,""),"")</f>
        <v/>
      </c>
      <c r="B109" s="63">
        <f t="shared" si="5"/>
        <v>1</v>
      </c>
      <c r="C109" s="337">
        <v>42399</v>
      </c>
      <c r="D109" s="337" t="s">
        <v>8</v>
      </c>
      <c r="E109" s="337">
        <v>42399</v>
      </c>
      <c r="F109" s="338" t="s">
        <v>23</v>
      </c>
      <c r="G109" s="1022" t="s">
        <v>798</v>
      </c>
      <c r="H109" s="339"/>
      <c r="I109" s="476"/>
      <c r="J109" s="476"/>
      <c r="K109" s="469"/>
      <c r="L109" s="476"/>
      <c r="M109" s="88">
        <v>4500</v>
      </c>
      <c r="N109" s="88"/>
      <c r="O109" s="340" t="s">
        <v>10</v>
      </c>
      <c r="P109" s="340" t="s">
        <v>31</v>
      </c>
      <c r="Q109" s="66" t="str">
        <f>IF(AND('331-CT'!$E$7=TH!H109,OR(O109="331",P109="331")),"x","")</f>
        <v/>
      </c>
      <c r="R109" s="66" t="str">
        <f>IF(AND($B109&gt;='111'!$N$11,$B109&lt;='111'!$O$11,OR($O109=$R$7,$P109=$R$7)),"x","")</f>
        <v/>
      </c>
      <c r="S109" s="66" t="str">
        <f>IF(AND($O109=$R$7,$B109&lt;'111'!$N$11),"x","")</f>
        <v/>
      </c>
      <c r="T109" s="66" t="str">
        <f>IF(AND($P109=$R$7,$B109&lt;'111'!$N$11),"x","")</f>
        <v/>
      </c>
      <c r="U109" s="66" t="str">
        <f>IF(AND($B109&gt;='112'!$M$9,$B109&lt;='112'!$N$9,OR($O109='112'!$I$6,$P109='112'!$I$6)),"x","")</f>
        <v/>
      </c>
      <c r="V109" s="66" t="str">
        <f>IF(AND($O109='112'!$I$6,$B109&lt;'112'!$M$9),"x","")</f>
        <v/>
      </c>
      <c r="W109" s="66" t="str">
        <f>IF(AND($P109='112'!$I$6,$B109&lt;'112'!$M$9),"x","")</f>
        <v>x</v>
      </c>
      <c r="X109" s="66" t="str">
        <f>IF(AND('131-CT'!$H$9=TH!H109,OR(O109="131",P109="131")),"x","")</f>
        <v/>
      </c>
      <c r="Y109" s="80" t="str">
        <f>IF(AND($B109&gt;='1331'!$I$9,$B109&lt;='1331'!$J$9,OR($O109=$Y$7,$P109=$Y$7)),"x","")</f>
        <v/>
      </c>
      <c r="Z109" s="80" t="str">
        <f>IF(AND($O109=$Y$7,$B109&lt;'1331'!$I$9),"x","")</f>
        <v>x</v>
      </c>
      <c r="AA109" s="80" t="str">
        <f>IF(AND($P109=$Y$7,$B109&lt;'1331'!$I$9),"x","")</f>
        <v/>
      </c>
      <c r="AB109" s="80" t="str">
        <f>IF(AND($B109&gt;='1332'!$I$9,$B109&lt;='1332'!$I$9,OR($O109=$AB$7,$P109=$AB$7)),"x","")</f>
        <v/>
      </c>
      <c r="AC109" s="80" t="str">
        <f>IF(AND($O109=$AB$7,$B109&lt;'1332'!$I$9),"x","")</f>
        <v/>
      </c>
      <c r="AD109" s="80" t="str">
        <f>IF(AND($P109=$AB$7,$B109&lt;'1332'!$I$9),"x","")</f>
        <v/>
      </c>
      <c r="AE109" s="80" t="str">
        <f>IF(AND('341-CT'!$H$9=H109,OR(LEFT(O109,3)=$AE$7,LEFT(P109,3)=$AE$7)),"x","")</f>
        <v/>
      </c>
      <c r="AF109" s="80" t="str">
        <f>IF(OR(TH!O109=TH!$AF$7,P109=TH!$AF$7),"x","")</f>
        <v/>
      </c>
      <c r="AG109" s="80"/>
      <c r="AH109" s="80" t="str">
        <f>IF(AND(B109&gt;='IN-NX'!$P$3,B109&lt;='IN-NX'!$Q$3,'IN-NX'!$D$7=D109,OR(LEFT(L109,2)="15",AND(LEFT(M109,2)&lt;&gt;"15",LEFT(M109,2)&lt;&gt;"33"))),"x","")</f>
        <v/>
      </c>
      <c r="AI109" s="80" t="str">
        <f>IF(AND(OR(LEFT(TH!O109,2)="15",LEFT(TH!P109,2)="15"),'152-CT'!$J$8=TH!F109),"x","")</f>
        <v/>
      </c>
      <c r="AJ109" s="80" t="str">
        <f>IF(AND(OR(LEFT(TH!O109,2)="15",LEFT(TH!P109,2)="15"),'THE KHO'!$E$7=TH!F109),"x","")</f>
        <v/>
      </c>
      <c r="AK109" s="80" t="str">
        <f>IF(AND(O109="1521",MONTH(C109)='BK NL'!$M$11),"x","")</f>
        <v/>
      </c>
      <c r="AM109" s="1007">
        <v>1</v>
      </c>
    </row>
    <row r="110" spans="1:39" s="1007" customFormat="1" ht="15.75" customHeight="1">
      <c r="A110" s="362" t="str">
        <f>IF(B110&lt;&gt;"",IF(AND(B110&gt;=_TM1,B110&lt;=_TM2,OR(TH!O110="1111",TH!P110="1111")),TH!D110,""),"")</f>
        <v/>
      </c>
      <c r="B110" s="63">
        <f t="shared" si="5"/>
        <v>1</v>
      </c>
      <c r="C110" s="367">
        <v>42400</v>
      </c>
      <c r="D110" s="337" t="s">
        <v>190</v>
      </c>
      <c r="E110" s="337">
        <v>42400</v>
      </c>
      <c r="F110" s="338" t="s">
        <v>320</v>
      </c>
      <c r="G110" s="1022" t="s">
        <v>423</v>
      </c>
      <c r="H110" s="339" t="s">
        <v>424</v>
      </c>
      <c r="I110" s="476"/>
      <c r="J110" s="476"/>
      <c r="K110" s="469"/>
      <c r="L110" s="476"/>
      <c r="M110" s="65">
        <v>1454545</v>
      </c>
      <c r="N110" s="65"/>
      <c r="O110" s="340" t="s">
        <v>242</v>
      </c>
      <c r="P110" s="340" t="s">
        <v>97</v>
      </c>
      <c r="Q110" s="66" t="str">
        <f>IF(AND('331-CT'!$E$7=TH!H110,OR(O110="331",P110="331")),"x","")</f>
        <v/>
      </c>
      <c r="R110" s="66" t="str">
        <f>IF(AND($B110&gt;='111'!$N$11,$B110&lt;='111'!$O$11,OR($O110=$R$7,$P110=$R$7)),"x","")</f>
        <v/>
      </c>
      <c r="S110" s="66" t="str">
        <f>IF(AND($O110=$R$7,$B110&lt;'111'!$N$11),"x","")</f>
        <v/>
      </c>
      <c r="T110" s="66" t="str">
        <f>IF(AND($P110=$R$7,$B110&lt;'111'!$N$11),"x","")</f>
        <v>x</v>
      </c>
      <c r="U110" s="66" t="str">
        <f>IF(AND($B110&gt;='112'!$M$9,$B110&lt;='112'!$N$9,OR($O110='112'!$I$6,$P110='112'!$I$6)),"x","")</f>
        <v/>
      </c>
      <c r="V110" s="66" t="str">
        <f>IF(AND($O110='112'!$I$6,$B110&lt;'112'!$M$9),"x","")</f>
        <v/>
      </c>
      <c r="W110" s="66" t="str">
        <f>IF(AND($P110='112'!$I$6,$B110&lt;'112'!$M$9),"x","")</f>
        <v/>
      </c>
      <c r="X110" s="66" t="str">
        <f>IF(AND('131-CT'!$H$9=TH!H110,OR(O110="131",P110="131")),"x","")</f>
        <v/>
      </c>
      <c r="Y110" s="80" t="str">
        <f>IF(AND($B110&gt;='1331'!$I$9,$B110&lt;='1331'!$J$9,OR($O110=$Y$7,$P110=$Y$7)),"x","")</f>
        <v/>
      </c>
      <c r="Z110" s="80" t="str">
        <f>IF(AND($O110=$Y$7,$B110&lt;'1331'!$I$9),"x","")</f>
        <v/>
      </c>
      <c r="AA110" s="80" t="str">
        <f>IF(AND($P110=$Y$7,$B110&lt;'1331'!$I$9),"x","")</f>
        <v/>
      </c>
      <c r="AB110" s="80" t="str">
        <f>IF(AND($B110&gt;='1332'!$I$9,$B110&lt;='1332'!$I$9,OR($O110=$AB$7,$P110=$AB$7)),"x","")</f>
        <v/>
      </c>
      <c r="AC110" s="80" t="str">
        <f>IF(AND($O110=$AB$7,$B110&lt;'1332'!$I$9),"x","")</f>
        <v/>
      </c>
      <c r="AD110" s="80" t="str">
        <f>IF(AND($P110=$AB$7,$B110&lt;'1332'!$I$9),"x","")</f>
        <v/>
      </c>
      <c r="AE110" s="80" t="str">
        <f>IF(AND('341-CT'!$H$9=H110,OR(LEFT(O110,3)=$AE$7,LEFT(P110,3)=$AE$7)),"x","")</f>
        <v/>
      </c>
      <c r="AF110" s="80" t="str">
        <f>IF(OR(TH!O110=TH!$AF$7,P110=TH!$AF$7),"x","")</f>
        <v/>
      </c>
      <c r="AG110" s="80"/>
      <c r="AH110" s="80" t="str">
        <f>IF(AND(B110&gt;='IN-NX'!$P$3,B110&lt;='IN-NX'!$Q$3,'IN-NX'!$D$7=D110,OR(LEFT(L110,2)="15",AND(LEFT(M110,2)&lt;&gt;"15",LEFT(M110,2)&lt;&gt;"33"))),"x","")</f>
        <v/>
      </c>
      <c r="AI110" s="80" t="str">
        <f>IF(AND(OR(LEFT(TH!O110,2)="15",LEFT(TH!P110,2)="15"),'152-CT'!$J$8=TH!F110),"x","")</f>
        <v/>
      </c>
      <c r="AJ110" s="80" t="str">
        <f>IF(AND(OR(LEFT(TH!O110,2)="15",LEFT(TH!P110,2)="15"),'THE KHO'!$E$7=TH!F110),"x","")</f>
        <v/>
      </c>
      <c r="AK110" s="80" t="str">
        <f>IF(AND(O110="1521",MONTH(C110)='BK NL'!$M$11),"x","")</f>
        <v/>
      </c>
      <c r="AM110" s="1007">
        <v>2</v>
      </c>
    </row>
    <row r="111" spans="1:39" s="1007" customFormat="1" ht="15.75" customHeight="1">
      <c r="A111" s="362" t="str">
        <f>IF(B111&lt;&gt;"",IF(AND(B111&gt;=_TM1,B111&lt;=_TM2,OR(TH!O111="1111",TH!P111="1111")),TH!D111,""),"")</f>
        <v/>
      </c>
      <c r="B111" s="63">
        <f t="shared" si="5"/>
        <v>1</v>
      </c>
      <c r="C111" s="337">
        <v>42400</v>
      </c>
      <c r="D111" s="337" t="s">
        <v>190</v>
      </c>
      <c r="E111" s="337">
        <v>42400</v>
      </c>
      <c r="F111" s="338" t="s">
        <v>321</v>
      </c>
      <c r="G111" s="1022" t="s">
        <v>423</v>
      </c>
      <c r="H111" s="339" t="s">
        <v>424</v>
      </c>
      <c r="I111" s="476"/>
      <c r="J111" s="476"/>
      <c r="K111" s="469"/>
      <c r="L111" s="476"/>
      <c r="M111" s="79">
        <v>145455</v>
      </c>
      <c r="N111" s="79"/>
      <c r="O111" s="340" t="s">
        <v>981</v>
      </c>
      <c r="P111" s="340" t="s">
        <v>97</v>
      </c>
      <c r="Q111" s="66" t="str">
        <f>IF(AND('331-CT'!$E$7=TH!H111,OR(O111="331",P111="331")),"x","")</f>
        <v/>
      </c>
      <c r="R111" s="66" t="str">
        <f>IF(AND($B111&gt;='111'!$N$11,$B111&lt;='111'!$O$11,OR($O111=$R$7,$P111=$R$7)),"x","")</f>
        <v/>
      </c>
      <c r="S111" s="66" t="str">
        <f>IF(AND($O111=$R$7,$B111&lt;'111'!$N$11),"x","")</f>
        <v/>
      </c>
      <c r="T111" s="66" t="str">
        <f>IF(AND($P111=$R$7,$B111&lt;'111'!$N$11),"x","")</f>
        <v>x</v>
      </c>
      <c r="U111" s="66" t="str">
        <f>IF(AND($B111&gt;='112'!$M$9,$B111&lt;='112'!$N$9,OR($O111='112'!$I$6,$P111='112'!$I$6)),"x","")</f>
        <v/>
      </c>
      <c r="V111" s="66" t="str">
        <f>IF(AND($O111='112'!$I$6,$B111&lt;'112'!$M$9),"x","")</f>
        <v/>
      </c>
      <c r="W111" s="66" t="str">
        <f>IF(AND($P111='112'!$I$6,$B111&lt;'112'!$M$9),"x","")</f>
        <v/>
      </c>
      <c r="X111" s="66" t="str">
        <f>IF(AND('131-CT'!$H$9=TH!H111,OR(O111="131",P111="131")),"x","")</f>
        <v/>
      </c>
      <c r="Y111" s="80" t="str">
        <f>IF(AND($B111&gt;='1331'!$I$9,$B111&lt;='1331'!$J$9,OR($O111=$Y$7,$P111=$Y$7)),"x","")</f>
        <v/>
      </c>
      <c r="Z111" s="80" t="str">
        <f>IF(AND($O111=$Y$7,$B111&lt;'1331'!$I$9),"x","")</f>
        <v/>
      </c>
      <c r="AA111" s="80" t="str">
        <f>IF(AND($P111=$Y$7,$B111&lt;'1331'!$I$9),"x","")</f>
        <v/>
      </c>
      <c r="AB111" s="80" t="str">
        <f>IF(AND($B111&gt;='1332'!$I$9,$B111&lt;='1332'!$I$9,OR($O111=$AB$7,$P111=$AB$7)),"x","")</f>
        <v/>
      </c>
      <c r="AC111" s="80" t="str">
        <f>IF(AND($O111=$AB$7,$B111&lt;'1332'!$I$9),"x","")</f>
        <v>x</v>
      </c>
      <c r="AD111" s="80" t="str">
        <f>IF(AND($P111=$AB$7,$B111&lt;'1332'!$I$9),"x","")</f>
        <v/>
      </c>
      <c r="AE111" s="80" t="str">
        <f>IF(AND('341-CT'!$H$9=H111,OR(LEFT(O111,3)=$AE$7,LEFT(P111,3)=$AE$7)),"x","")</f>
        <v/>
      </c>
      <c r="AF111" s="80" t="str">
        <f>IF(OR(TH!O111=TH!$AF$7,P111=TH!$AF$7),"x","")</f>
        <v/>
      </c>
      <c r="AG111" s="80"/>
      <c r="AH111" s="80" t="str">
        <f>IF(AND(B111&gt;='IN-NX'!$P$3,B111&lt;='IN-NX'!$Q$3,'IN-NX'!$D$7=D111,OR(LEFT(L111,2)="15",AND(LEFT(M111,2)&lt;&gt;"15",LEFT(M111,2)&lt;&gt;"33"))),"x","")</f>
        <v/>
      </c>
      <c r="AI111" s="80" t="str">
        <f>IF(AND(OR(LEFT(TH!O111,2)="15",LEFT(TH!P111,2)="15"),'152-CT'!$J$8=TH!F111),"x","")</f>
        <v/>
      </c>
      <c r="AJ111" s="80" t="str">
        <f>IF(AND(OR(LEFT(TH!O111,2)="15",LEFT(TH!P111,2)="15"),'THE KHO'!$E$7=TH!F111),"x","")</f>
        <v/>
      </c>
      <c r="AK111" s="80" t="str">
        <f>IF(AND(O111="1521",MONTH(C111)='BK NL'!$M$11),"x","")</f>
        <v/>
      </c>
      <c r="AM111" s="1007">
        <v>2</v>
      </c>
    </row>
    <row r="112" spans="1:39" s="1007" customFormat="1" ht="15.75" customHeight="1">
      <c r="A112" s="362" t="str">
        <f>IF(B112&lt;&gt;"",IF(AND(B112&gt;=_TM1,B112&lt;=_TM2,OR(TH!O112="1111",TH!P112="1111")),TH!D112,""),"")</f>
        <v/>
      </c>
      <c r="B112" s="63">
        <f t="shared" si="5"/>
        <v>2</v>
      </c>
      <c r="C112" s="337">
        <v>42401</v>
      </c>
      <c r="D112" s="337" t="s">
        <v>191</v>
      </c>
      <c r="E112" s="337">
        <v>42401</v>
      </c>
      <c r="F112" s="338" t="s">
        <v>399</v>
      </c>
      <c r="G112" s="1022" t="s">
        <v>425</v>
      </c>
      <c r="H112" s="72" t="s">
        <v>319</v>
      </c>
      <c r="I112" s="477"/>
      <c r="J112" s="477"/>
      <c r="K112" s="470"/>
      <c r="L112" s="477"/>
      <c r="M112" s="65">
        <v>3228000</v>
      </c>
      <c r="N112" s="65"/>
      <c r="O112" s="340" t="s">
        <v>242</v>
      </c>
      <c r="P112" s="340" t="s">
        <v>97</v>
      </c>
      <c r="Q112" s="66" t="str">
        <f>IF(AND('331-CT'!$E$7=TH!H112,OR(O112="331",P112="331")),"x","")</f>
        <v/>
      </c>
      <c r="R112" s="66" t="str">
        <f>IF(AND($B112&gt;='111'!$N$11,$B112&lt;='111'!$O$11,OR($O112=$R$7,$P112=$R$7)),"x","")</f>
        <v/>
      </c>
      <c r="S112" s="66" t="str">
        <f>IF(AND($O112=$R$7,$B112&lt;'111'!$N$11),"x","")</f>
        <v/>
      </c>
      <c r="T112" s="66" t="str">
        <f>IF(AND($P112=$R$7,$B112&lt;'111'!$N$11),"x","")</f>
        <v>x</v>
      </c>
      <c r="U112" s="66" t="str">
        <f>IF(AND($B112&gt;='112'!$M$9,$B112&lt;='112'!$N$9,OR($O112='112'!$I$6,$P112='112'!$I$6)),"x","")</f>
        <v/>
      </c>
      <c r="V112" s="66" t="str">
        <f>IF(AND($O112='112'!$I$6,$B112&lt;'112'!$M$9),"x","")</f>
        <v/>
      </c>
      <c r="W112" s="66" t="str">
        <f>IF(AND($P112='112'!$I$6,$B112&lt;'112'!$M$9),"x","")</f>
        <v/>
      </c>
      <c r="X112" s="66" t="str">
        <f>IF(AND('131-CT'!$H$9=TH!H112,OR(O112="131",P112="131")),"x","")</f>
        <v/>
      </c>
      <c r="Y112" s="80" t="str">
        <f>IF(AND($B112&gt;='1331'!$I$9,$B112&lt;='1331'!$J$9,OR($O112=$Y$7,$P112=$Y$7)),"x","")</f>
        <v/>
      </c>
      <c r="Z112" s="80" t="str">
        <f>IF(AND($O112=$Y$7,$B112&lt;'1331'!$I$9),"x","")</f>
        <v/>
      </c>
      <c r="AA112" s="80" t="str">
        <f>IF(AND($P112=$Y$7,$B112&lt;'1331'!$I$9),"x","")</f>
        <v/>
      </c>
      <c r="AB112" s="80" t="str">
        <f>IF(AND($B112&gt;='1332'!$I$9,$B112&lt;='1332'!$I$9,OR($O112=$AB$7,$P112=$AB$7)),"x","")</f>
        <v/>
      </c>
      <c r="AC112" s="80" t="str">
        <f>IF(AND($O112=$AB$7,$B112&lt;'1332'!$I$9),"x","")</f>
        <v/>
      </c>
      <c r="AD112" s="80" t="str">
        <f>IF(AND($P112=$AB$7,$B112&lt;'1332'!$I$9),"x","")</f>
        <v/>
      </c>
      <c r="AE112" s="80" t="str">
        <f>IF(AND('341-CT'!$H$9=H112,OR(LEFT(O112,3)=$AE$7,LEFT(P112,3)=$AE$7)),"x","")</f>
        <v/>
      </c>
      <c r="AF112" s="80" t="str">
        <f>IF(OR(TH!O112=TH!$AF$7,P112=TH!$AF$7),"x","")</f>
        <v/>
      </c>
      <c r="AG112" s="80"/>
      <c r="AH112" s="80" t="str">
        <f>IF(AND(B112&gt;='IN-NX'!$P$3,B112&lt;='IN-NX'!$Q$3,'IN-NX'!$D$7=D112,OR(LEFT(L112,2)="15",AND(LEFT(M112,2)&lt;&gt;"15",LEFT(M112,2)&lt;&gt;"33"))),"x","")</f>
        <v/>
      </c>
      <c r="AI112" s="80" t="str">
        <f>IF(AND(OR(LEFT(TH!O112,2)="15",LEFT(TH!P112,2)="15"),'152-CT'!$J$8=TH!F112),"x","")</f>
        <v/>
      </c>
      <c r="AJ112" s="80" t="str">
        <f>IF(AND(OR(LEFT(TH!O112,2)="15",LEFT(TH!P112,2)="15"),'THE KHO'!$E$7=TH!F112),"x","")</f>
        <v/>
      </c>
      <c r="AK112" s="80" t="str">
        <f>IF(AND(O112="1521",MONTH(C112)='BK NL'!$M$11),"x","")</f>
        <v/>
      </c>
    </row>
    <row r="113" spans="1:39" s="1007" customFormat="1" ht="15.75" customHeight="1">
      <c r="A113" s="362" t="str">
        <f>IF(B113&lt;&gt;"",IF(AND(B113&gt;=_TM1,B113&lt;=_TM2,OR(TH!O113="1111",TH!P113="1111")),TH!D113,""),"")</f>
        <v/>
      </c>
      <c r="B113" s="63">
        <f t="shared" si="5"/>
        <v>2</v>
      </c>
      <c r="C113" s="337">
        <v>42403</v>
      </c>
      <c r="D113" s="337" t="s">
        <v>192</v>
      </c>
      <c r="E113" s="337">
        <v>42403</v>
      </c>
      <c r="F113" s="338" t="s">
        <v>410</v>
      </c>
      <c r="G113" s="1022" t="s">
        <v>798</v>
      </c>
      <c r="H113" s="72" t="s">
        <v>160</v>
      </c>
      <c r="I113" s="477"/>
      <c r="J113" s="477"/>
      <c r="K113" s="470"/>
      <c r="L113" s="477"/>
      <c r="M113" s="65">
        <v>600000000</v>
      </c>
      <c r="N113" s="65"/>
      <c r="O113" s="340" t="s">
        <v>31</v>
      </c>
      <c r="P113" s="340" t="s">
        <v>97</v>
      </c>
      <c r="Q113" s="66" t="str">
        <f>IF(AND('331-CT'!$E$7=TH!H113,OR(O113="331",P113="331")),"x","")</f>
        <v/>
      </c>
      <c r="R113" s="66" t="str">
        <f>IF(AND($B113&gt;='111'!$N$11,$B113&lt;='111'!$O$11,OR($O113=$R$7,$P113=$R$7)),"x","")</f>
        <v/>
      </c>
      <c r="S113" s="66" t="str">
        <f>IF(AND($O113=$R$7,$B113&lt;'111'!$N$11),"x","")</f>
        <v/>
      </c>
      <c r="T113" s="66" t="str">
        <f>IF(AND($P113=$R$7,$B113&lt;'111'!$N$11),"x","")</f>
        <v>x</v>
      </c>
      <c r="U113" s="66" t="str">
        <f>IF(AND($B113&gt;='112'!$M$9,$B113&lt;='112'!$N$9,OR($O113='112'!$I$6,$P113='112'!$I$6)),"x","")</f>
        <v/>
      </c>
      <c r="V113" s="66" t="str">
        <f>IF(AND($O113='112'!$I$6,$B113&lt;'112'!$M$9),"x","")</f>
        <v>x</v>
      </c>
      <c r="W113" s="66" t="str">
        <f>IF(AND($P113='112'!$I$6,$B113&lt;'112'!$M$9),"x","")</f>
        <v/>
      </c>
      <c r="X113" s="66" t="str">
        <f>IF(AND('131-CT'!$H$9=TH!H113,OR(O113="131",P113="131")),"x","")</f>
        <v/>
      </c>
      <c r="Y113" s="80" t="str">
        <f>IF(AND($B113&gt;='1331'!$I$9,$B113&lt;='1331'!$J$9,OR($O113=$Y$7,$P113=$Y$7)),"x","")</f>
        <v/>
      </c>
      <c r="Z113" s="80" t="str">
        <f>IF(AND($O113=$Y$7,$B113&lt;'1331'!$I$9),"x","")</f>
        <v/>
      </c>
      <c r="AA113" s="80" t="str">
        <f>IF(AND($P113=$Y$7,$B113&lt;'1331'!$I$9),"x","")</f>
        <v/>
      </c>
      <c r="AB113" s="80" t="str">
        <f>IF(AND($B113&gt;='1332'!$I$9,$B113&lt;='1332'!$I$9,OR($O113=$AB$7,$P113=$AB$7)),"x","")</f>
        <v/>
      </c>
      <c r="AC113" s="80" t="str">
        <f>IF(AND($O113=$AB$7,$B113&lt;'1332'!$I$9),"x","")</f>
        <v/>
      </c>
      <c r="AD113" s="80" t="str">
        <f>IF(AND($P113=$AB$7,$B113&lt;'1332'!$I$9),"x","")</f>
        <v/>
      </c>
      <c r="AE113" s="80" t="str">
        <f>IF(AND('341-CT'!$H$9=H113,OR(LEFT(O113,3)=$AE$7,LEFT(P113,3)=$AE$7)),"x","")</f>
        <v/>
      </c>
      <c r="AF113" s="80" t="str">
        <f>IF(OR(TH!O113=TH!$AF$7,P113=TH!$AF$7),"x","")</f>
        <v/>
      </c>
      <c r="AG113" s="80"/>
      <c r="AH113" s="80" t="str">
        <f>IF(AND(B113&gt;='IN-NX'!$P$3,B113&lt;='IN-NX'!$Q$3,'IN-NX'!$D$7=D113,OR(LEFT(L113,2)="15",AND(LEFT(M113,2)&lt;&gt;"15",LEFT(M113,2)&lt;&gt;"33"))),"x","")</f>
        <v/>
      </c>
      <c r="AI113" s="80" t="str">
        <f>IF(AND(OR(LEFT(TH!O113,2)="15",LEFT(TH!P113,2)="15"),'152-CT'!$J$8=TH!F113),"x","")</f>
        <v/>
      </c>
      <c r="AJ113" s="80" t="str">
        <f>IF(AND(OR(LEFT(TH!O113,2)="15",LEFT(TH!P113,2)="15"),'THE KHO'!$E$7=TH!F113),"x","")</f>
        <v/>
      </c>
      <c r="AK113" s="80" t="str">
        <f>IF(AND(O113="1521",MONTH(C113)='BK NL'!$M$11),"x","")</f>
        <v/>
      </c>
    </row>
    <row r="114" spans="1:39" s="1007" customFormat="1" ht="15.75" customHeight="1">
      <c r="A114" s="362" t="str">
        <f>IF(B114&lt;&gt;"",IF(AND(B114&gt;=_TM1,B114&lt;=_TM2,OR(TH!O114="1111",TH!P114="1111")),TH!D114,""),"")</f>
        <v/>
      </c>
      <c r="B114" s="63">
        <f t="shared" si="5"/>
        <v>2</v>
      </c>
      <c r="C114" s="367">
        <v>42403</v>
      </c>
      <c r="D114" s="337" t="s">
        <v>8</v>
      </c>
      <c r="E114" s="337">
        <v>42403</v>
      </c>
      <c r="F114" s="338" t="s">
        <v>426</v>
      </c>
      <c r="G114" s="1022" t="s">
        <v>798</v>
      </c>
      <c r="H114" s="339" t="s">
        <v>221</v>
      </c>
      <c r="I114" s="476"/>
      <c r="J114" s="476"/>
      <c r="K114" s="469"/>
      <c r="L114" s="476"/>
      <c r="M114" s="65">
        <v>41319190</v>
      </c>
      <c r="N114" s="65"/>
      <c r="O114" s="340" t="s">
        <v>9</v>
      </c>
      <c r="P114" s="340" t="s">
        <v>31</v>
      </c>
      <c r="Q114" s="66" t="str">
        <f>IF(AND('331-CT'!$E$7=TH!H114,OR(O114="331",P114="331")),"x","")</f>
        <v/>
      </c>
      <c r="R114" s="66" t="str">
        <f>IF(AND($B114&gt;='111'!$N$11,$B114&lt;='111'!$O$11,OR($O114=$R$7,$P114=$R$7)),"x","")</f>
        <v/>
      </c>
      <c r="S114" s="66" t="str">
        <f>IF(AND($O114=$R$7,$B114&lt;'111'!$N$11),"x","")</f>
        <v/>
      </c>
      <c r="T114" s="66" t="str">
        <f>IF(AND($P114=$R$7,$B114&lt;'111'!$N$11),"x","")</f>
        <v/>
      </c>
      <c r="U114" s="66" t="str">
        <f>IF(AND($B114&gt;='112'!$M$9,$B114&lt;='112'!$N$9,OR($O114='112'!$I$6,$P114='112'!$I$6)),"x","")</f>
        <v/>
      </c>
      <c r="V114" s="66" t="str">
        <f>IF(AND($O114='112'!$I$6,$B114&lt;'112'!$M$9),"x","")</f>
        <v/>
      </c>
      <c r="W114" s="66" t="str">
        <f>IF(AND($P114='112'!$I$6,$B114&lt;'112'!$M$9),"x","")</f>
        <v>x</v>
      </c>
      <c r="X114" s="66" t="str">
        <f>IF(AND('131-CT'!$H$9=TH!H114,OR(O114="131",P114="131")),"x","")</f>
        <v/>
      </c>
      <c r="Y114" s="80" t="str">
        <f>IF(AND($B114&gt;='1331'!$I$9,$B114&lt;='1331'!$J$9,OR($O114=$Y$7,$P114=$Y$7)),"x","")</f>
        <v/>
      </c>
      <c r="Z114" s="80" t="str">
        <f>IF(AND($O114=$Y$7,$B114&lt;'1331'!$I$9),"x","")</f>
        <v/>
      </c>
      <c r="AA114" s="80" t="str">
        <f>IF(AND($P114=$Y$7,$B114&lt;'1331'!$I$9),"x","")</f>
        <v/>
      </c>
      <c r="AB114" s="80" t="str">
        <f>IF(AND($B114&gt;='1332'!$I$9,$B114&lt;='1332'!$I$9,OR($O114=$AB$7,$P114=$AB$7)),"x","")</f>
        <v/>
      </c>
      <c r="AC114" s="80" t="str">
        <f>IF(AND($O114=$AB$7,$B114&lt;'1332'!$I$9),"x","")</f>
        <v/>
      </c>
      <c r="AD114" s="80" t="str">
        <f>IF(AND($P114=$AB$7,$B114&lt;'1332'!$I$9),"x","")</f>
        <v/>
      </c>
      <c r="AE114" s="80" t="str">
        <f>IF(AND('341-CT'!$H$9=H114,OR(LEFT(O114,3)=$AE$7,LEFT(P114,3)=$AE$7)),"x","")</f>
        <v/>
      </c>
      <c r="AF114" s="80" t="str">
        <f>IF(OR(TH!O114=TH!$AF$7,P114=TH!$AF$7),"x","")</f>
        <v/>
      </c>
      <c r="AG114" s="80"/>
      <c r="AH114" s="80" t="str">
        <f>IF(AND(B114&gt;='IN-NX'!$P$3,B114&lt;='IN-NX'!$Q$3,'IN-NX'!$D$7=D114,OR(LEFT(L114,2)="15",AND(LEFT(M114,2)&lt;&gt;"15",LEFT(M114,2)&lt;&gt;"33"))),"x","")</f>
        <v/>
      </c>
      <c r="AI114" s="80" t="str">
        <f>IF(AND(OR(LEFT(TH!O114,2)="15",LEFT(TH!P114,2)="15"),'152-CT'!$J$8=TH!F114),"x","")</f>
        <v/>
      </c>
      <c r="AJ114" s="80" t="str">
        <f>IF(AND(OR(LEFT(TH!O114,2)="15",LEFT(TH!P114,2)="15"),'THE KHO'!$E$7=TH!F114),"x","")</f>
        <v/>
      </c>
      <c r="AK114" s="80" t="str">
        <f>IF(AND(O114="1521",MONTH(C114)='BK NL'!$M$11),"x","")</f>
        <v/>
      </c>
    </row>
    <row r="115" spans="1:39" s="1007" customFormat="1" ht="15.75" customHeight="1">
      <c r="A115" s="362" t="str">
        <f>IF(B115&lt;&gt;"",IF(AND(B115&gt;=_TM1,B115&lt;=_TM2,OR(TH!O115="1111",TH!P115="1111")),TH!D115,""),"")</f>
        <v/>
      </c>
      <c r="B115" s="63">
        <f t="shared" si="5"/>
        <v>2</v>
      </c>
      <c r="C115" s="367">
        <v>42403</v>
      </c>
      <c r="D115" s="337" t="s">
        <v>8</v>
      </c>
      <c r="E115" s="337">
        <v>42403</v>
      </c>
      <c r="F115" s="338" t="s">
        <v>22</v>
      </c>
      <c r="G115" s="1022" t="s">
        <v>798</v>
      </c>
      <c r="H115" s="72"/>
      <c r="I115" s="477"/>
      <c r="J115" s="477"/>
      <c r="K115" s="470"/>
      <c r="L115" s="477"/>
      <c r="M115" s="65">
        <v>45000</v>
      </c>
      <c r="N115" s="65"/>
      <c r="O115" s="340" t="s">
        <v>135</v>
      </c>
      <c r="P115" s="340" t="s">
        <v>31</v>
      </c>
      <c r="Q115" s="66" t="str">
        <f>IF(AND('331-CT'!$E$7=TH!H115,OR(O115="331",P115="331")),"x","")</f>
        <v/>
      </c>
      <c r="R115" s="66" t="str">
        <f>IF(AND($B115&gt;='111'!$N$11,$B115&lt;='111'!$O$11,OR($O115=$R$7,$P115=$R$7)),"x","")</f>
        <v/>
      </c>
      <c r="S115" s="66" t="str">
        <f>IF(AND($O115=$R$7,$B115&lt;'111'!$N$11),"x","")</f>
        <v/>
      </c>
      <c r="T115" s="66" t="str">
        <f>IF(AND($P115=$R$7,$B115&lt;'111'!$N$11),"x","")</f>
        <v/>
      </c>
      <c r="U115" s="66" t="str">
        <f>IF(AND($B115&gt;='112'!$M$9,$B115&lt;='112'!$N$9,OR($O115='112'!$I$6,$P115='112'!$I$6)),"x","")</f>
        <v/>
      </c>
      <c r="V115" s="66" t="str">
        <f>IF(AND($O115='112'!$I$6,$B115&lt;'112'!$M$9),"x","")</f>
        <v/>
      </c>
      <c r="W115" s="66" t="str">
        <f>IF(AND($P115='112'!$I$6,$B115&lt;'112'!$M$9),"x","")</f>
        <v>x</v>
      </c>
      <c r="X115" s="66" t="str">
        <f>IF(AND('131-CT'!$H$9=TH!H115,OR(O115="131",P115="131")),"x","")</f>
        <v/>
      </c>
      <c r="Y115" s="80" t="str">
        <f>IF(AND($B115&gt;='1331'!$I$9,$B115&lt;='1331'!$J$9,OR($O115=$Y$7,$P115=$Y$7)),"x","")</f>
        <v/>
      </c>
      <c r="Z115" s="80" t="str">
        <f>IF(AND($O115=$Y$7,$B115&lt;'1331'!$I$9),"x","")</f>
        <v/>
      </c>
      <c r="AA115" s="80" t="str">
        <f>IF(AND($P115=$Y$7,$B115&lt;'1331'!$I$9),"x","")</f>
        <v/>
      </c>
      <c r="AB115" s="80" t="str">
        <f>IF(AND($B115&gt;='1332'!$I$9,$B115&lt;='1332'!$I$9,OR($O115=$AB$7,$P115=$AB$7)),"x","")</f>
        <v/>
      </c>
      <c r="AC115" s="80" t="str">
        <f>IF(AND($O115=$AB$7,$B115&lt;'1332'!$I$9),"x","")</f>
        <v/>
      </c>
      <c r="AD115" s="80" t="str">
        <f>IF(AND($P115=$AB$7,$B115&lt;'1332'!$I$9),"x","")</f>
        <v/>
      </c>
      <c r="AE115" s="80" t="str">
        <f>IF(AND('341-CT'!$H$9=H115,OR(LEFT(O115,3)=$AE$7,LEFT(P115,3)=$AE$7)),"x","")</f>
        <v/>
      </c>
      <c r="AF115" s="80" t="str">
        <f>IF(OR(TH!O115=TH!$AF$7,P115=TH!$AF$7),"x","")</f>
        <v/>
      </c>
      <c r="AG115" s="80"/>
      <c r="AH115" s="80" t="str">
        <f>IF(AND(B115&gt;='IN-NX'!$P$3,B115&lt;='IN-NX'!$Q$3,'IN-NX'!$D$7=D115,OR(LEFT(L115,2)="15",AND(LEFT(M115,2)&lt;&gt;"15",LEFT(M115,2)&lt;&gt;"33"))),"x","")</f>
        <v/>
      </c>
      <c r="AI115" s="80" t="str">
        <f>IF(AND(OR(LEFT(TH!O115,2)="15",LEFT(TH!P115,2)="15"),'152-CT'!$J$8=TH!F115),"x","")</f>
        <v/>
      </c>
      <c r="AJ115" s="80" t="str">
        <f>IF(AND(OR(LEFT(TH!O115,2)="15",LEFT(TH!P115,2)="15"),'THE KHO'!$E$7=TH!F115),"x","")</f>
        <v/>
      </c>
      <c r="AK115" s="80" t="str">
        <f>IF(AND(O115="1521",MONTH(C115)='BK NL'!$M$11),"x","")</f>
        <v/>
      </c>
      <c r="AM115" s="1007">
        <v>1</v>
      </c>
    </row>
    <row r="116" spans="1:39" s="1007" customFormat="1" ht="15.75" customHeight="1">
      <c r="A116" s="362" t="str">
        <f>IF(B116&lt;&gt;"",IF(AND(B116&gt;=_TM1,B116&lt;=_TM2,OR(TH!O116="1111",TH!P116="1111")),TH!D116,""),"")</f>
        <v/>
      </c>
      <c r="B116" s="63">
        <f t="shared" si="5"/>
        <v>2</v>
      </c>
      <c r="C116" s="337">
        <v>42403</v>
      </c>
      <c r="D116" s="337" t="s">
        <v>8</v>
      </c>
      <c r="E116" s="337">
        <v>42403</v>
      </c>
      <c r="F116" s="338" t="s">
        <v>23</v>
      </c>
      <c r="G116" s="1022" t="s">
        <v>798</v>
      </c>
      <c r="H116" s="339"/>
      <c r="I116" s="476"/>
      <c r="J116" s="476"/>
      <c r="K116" s="469"/>
      <c r="L116" s="476"/>
      <c r="M116" s="88">
        <v>4500</v>
      </c>
      <c r="N116" s="88"/>
      <c r="O116" s="340" t="s">
        <v>10</v>
      </c>
      <c r="P116" s="340" t="s">
        <v>31</v>
      </c>
      <c r="Q116" s="66" t="str">
        <f>IF(AND('331-CT'!$E$7=TH!H116,OR(O116="331",P116="331")),"x","")</f>
        <v/>
      </c>
      <c r="R116" s="66" t="str">
        <f>IF(AND($B116&gt;='111'!$N$11,$B116&lt;='111'!$O$11,OR($O116=$R$7,$P116=$R$7)),"x","")</f>
        <v/>
      </c>
      <c r="S116" s="66" t="str">
        <f>IF(AND($O116=$R$7,$B116&lt;'111'!$N$11),"x","")</f>
        <v/>
      </c>
      <c r="T116" s="66" t="str">
        <f>IF(AND($P116=$R$7,$B116&lt;'111'!$N$11),"x","")</f>
        <v/>
      </c>
      <c r="U116" s="66" t="str">
        <f>IF(AND($B116&gt;='112'!$M$9,$B116&lt;='112'!$N$9,OR($O116='112'!$I$6,$P116='112'!$I$6)),"x","")</f>
        <v/>
      </c>
      <c r="V116" s="66" t="str">
        <f>IF(AND($O116='112'!$I$6,$B116&lt;'112'!$M$9),"x","")</f>
        <v/>
      </c>
      <c r="W116" s="66" t="str">
        <f>IF(AND($P116='112'!$I$6,$B116&lt;'112'!$M$9),"x","")</f>
        <v>x</v>
      </c>
      <c r="X116" s="66" t="str">
        <f>IF(AND('131-CT'!$H$9=TH!H116,OR(O116="131",P116="131")),"x","")</f>
        <v/>
      </c>
      <c r="Y116" s="80" t="str">
        <f>IF(AND($B116&gt;='1331'!$I$9,$B116&lt;='1331'!$J$9,OR($O116=$Y$7,$P116=$Y$7)),"x","")</f>
        <v/>
      </c>
      <c r="Z116" s="80" t="str">
        <f>IF(AND($O116=$Y$7,$B116&lt;'1331'!$I$9),"x","")</f>
        <v>x</v>
      </c>
      <c r="AA116" s="80" t="str">
        <f>IF(AND($P116=$Y$7,$B116&lt;'1331'!$I$9),"x","")</f>
        <v/>
      </c>
      <c r="AB116" s="80" t="str">
        <f>IF(AND($B116&gt;='1332'!$I$9,$B116&lt;='1332'!$I$9,OR($O116=$AB$7,$P116=$AB$7)),"x","")</f>
        <v/>
      </c>
      <c r="AC116" s="80" t="str">
        <f>IF(AND($O116=$AB$7,$B116&lt;'1332'!$I$9),"x","")</f>
        <v/>
      </c>
      <c r="AD116" s="80" t="str">
        <f>IF(AND($P116=$AB$7,$B116&lt;'1332'!$I$9),"x","")</f>
        <v/>
      </c>
      <c r="AE116" s="80" t="str">
        <f>IF(AND('341-CT'!$H$9=H116,OR(LEFT(O116,3)=$AE$7,LEFT(P116,3)=$AE$7)),"x","")</f>
        <v/>
      </c>
      <c r="AF116" s="80" t="str">
        <f>IF(OR(TH!O116=TH!$AF$7,P116=TH!$AF$7),"x","")</f>
        <v/>
      </c>
      <c r="AG116" s="80"/>
      <c r="AH116" s="80" t="str">
        <f>IF(AND(B116&gt;='IN-NX'!$P$3,B116&lt;='IN-NX'!$Q$3,'IN-NX'!$D$7=D116,OR(LEFT(L116,2)="15",AND(LEFT(M116,2)&lt;&gt;"15",LEFT(M116,2)&lt;&gt;"33"))),"x","")</f>
        <v/>
      </c>
      <c r="AI116" s="80" t="str">
        <f>IF(AND(OR(LEFT(TH!O116,2)="15",LEFT(TH!P116,2)="15"),'152-CT'!$J$8=TH!F116),"x","")</f>
        <v/>
      </c>
      <c r="AJ116" s="80" t="str">
        <f>IF(AND(OR(LEFT(TH!O116,2)="15",LEFT(TH!P116,2)="15"),'THE KHO'!$E$7=TH!F116),"x","")</f>
        <v/>
      </c>
      <c r="AK116" s="80" t="str">
        <f>IF(AND(O116="1521",MONTH(C116)='BK NL'!$M$11),"x","")</f>
        <v/>
      </c>
      <c r="AM116" s="1007">
        <v>1</v>
      </c>
    </row>
    <row r="117" spans="1:39" s="1007" customFormat="1" ht="15.75" customHeight="1">
      <c r="A117" s="362" t="str">
        <f>IF(B117&lt;&gt;"",IF(AND(B117&gt;=_TM1,B117&lt;=_TM2,OR(TH!O117="1111",TH!P117="1111")),TH!D117,""),"")</f>
        <v/>
      </c>
      <c r="B117" s="63">
        <f t="shared" si="5"/>
        <v>2</v>
      </c>
      <c r="C117" s="337">
        <v>42403</v>
      </c>
      <c r="D117" s="337" t="s">
        <v>8</v>
      </c>
      <c r="E117" s="337">
        <v>42403</v>
      </c>
      <c r="F117" s="338" t="s">
        <v>427</v>
      </c>
      <c r="G117" s="1022" t="s">
        <v>798</v>
      </c>
      <c r="H117" s="339" t="s">
        <v>88</v>
      </c>
      <c r="I117" s="476"/>
      <c r="J117" s="476"/>
      <c r="K117" s="469"/>
      <c r="L117" s="476"/>
      <c r="M117" s="65">
        <v>37981566</v>
      </c>
      <c r="N117" s="65"/>
      <c r="O117" s="340" t="s">
        <v>9</v>
      </c>
      <c r="P117" s="340" t="s">
        <v>31</v>
      </c>
      <c r="Q117" s="66" t="str">
        <f>IF(AND('331-CT'!$E$7=TH!H117,OR(O117="331",P117="331")),"x","")</f>
        <v/>
      </c>
      <c r="R117" s="66" t="str">
        <f>IF(AND($B117&gt;='111'!$N$11,$B117&lt;='111'!$O$11,OR($O117=$R$7,$P117=$R$7)),"x","")</f>
        <v/>
      </c>
      <c r="S117" s="66" t="str">
        <f>IF(AND($O117=$R$7,$B117&lt;'111'!$N$11),"x","")</f>
        <v/>
      </c>
      <c r="T117" s="66" t="str">
        <f>IF(AND($P117=$R$7,$B117&lt;'111'!$N$11),"x","")</f>
        <v/>
      </c>
      <c r="U117" s="66" t="str">
        <f>IF(AND($B117&gt;='112'!$M$9,$B117&lt;='112'!$N$9,OR($O117='112'!$I$6,$P117='112'!$I$6)),"x","")</f>
        <v/>
      </c>
      <c r="V117" s="66" t="str">
        <f>IF(AND($O117='112'!$I$6,$B117&lt;'112'!$M$9),"x","")</f>
        <v/>
      </c>
      <c r="W117" s="66" t="str">
        <f>IF(AND($P117='112'!$I$6,$B117&lt;'112'!$M$9),"x","")</f>
        <v>x</v>
      </c>
      <c r="X117" s="66" t="str">
        <f>IF(AND('131-CT'!$H$9=TH!H117,OR(O117="131",P117="131")),"x","")</f>
        <v/>
      </c>
      <c r="Y117" s="80" t="str">
        <f>IF(AND($B117&gt;='1331'!$I$9,$B117&lt;='1331'!$J$9,OR($O117=$Y$7,$P117=$Y$7)),"x","")</f>
        <v/>
      </c>
      <c r="Z117" s="80" t="str">
        <f>IF(AND($O117=$Y$7,$B117&lt;'1331'!$I$9),"x","")</f>
        <v/>
      </c>
      <c r="AA117" s="80" t="str">
        <f>IF(AND($P117=$Y$7,$B117&lt;'1331'!$I$9),"x","")</f>
        <v/>
      </c>
      <c r="AB117" s="80" t="str">
        <f>IF(AND($B117&gt;='1332'!$I$9,$B117&lt;='1332'!$I$9,OR($O117=$AB$7,$P117=$AB$7)),"x","")</f>
        <v/>
      </c>
      <c r="AC117" s="80" t="str">
        <f>IF(AND($O117=$AB$7,$B117&lt;'1332'!$I$9),"x","")</f>
        <v/>
      </c>
      <c r="AD117" s="80" t="str">
        <f>IF(AND($P117=$AB$7,$B117&lt;'1332'!$I$9),"x","")</f>
        <v/>
      </c>
      <c r="AE117" s="80" t="str">
        <f>IF(AND('341-CT'!$H$9=H117,OR(LEFT(O117,3)=$AE$7,LEFT(P117,3)=$AE$7)),"x","")</f>
        <v/>
      </c>
      <c r="AF117" s="80" t="str">
        <f>IF(OR(TH!O117=TH!$AF$7,P117=TH!$AF$7),"x","")</f>
        <v/>
      </c>
      <c r="AG117" s="80"/>
      <c r="AH117" s="80" t="str">
        <f>IF(AND(B117&gt;='IN-NX'!$P$3,B117&lt;='IN-NX'!$Q$3,'IN-NX'!$D$7=D117,OR(LEFT(L117,2)="15",AND(LEFT(M117,2)&lt;&gt;"15",LEFT(M117,2)&lt;&gt;"33"))),"x","")</f>
        <v/>
      </c>
      <c r="AI117" s="80" t="str">
        <f>IF(AND(OR(LEFT(TH!O117,2)="15",LEFT(TH!P117,2)="15"),'152-CT'!$J$8=TH!F117),"x","")</f>
        <v/>
      </c>
      <c r="AJ117" s="80" t="str">
        <f>IF(AND(OR(LEFT(TH!O117,2)="15",LEFT(TH!P117,2)="15"),'THE KHO'!$E$7=TH!F117),"x","")</f>
        <v/>
      </c>
      <c r="AK117" s="80" t="str">
        <f>IF(AND(O117="1521",MONTH(C117)='BK NL'!$M$11),"x","")</f>
        <v/>
      </c>
    </row>
    <row r="118" spans="1:39" s="1007" customFormat="1" ht="15.75" customHeight="1">
      <c r="A118" s="362" t="str">
        <f>IF(B118&lt;&gt;"",IF(AND(B118&gt;=_TM1,B118&lt;=_TM2,OR(TH!O118="1111",TH!P118="1111")),TH!D118,""),"")</f>
        <v/>
      </c>
      <c r="B118" s="63">
        <f t="shared" si="5"/>
        <v>2</v>
      </c>
      <c r="C118" s="367">
        <v>42403</v>
      </c>
      <c r="D118" s="337" t="s">
        <v>8</v>
      </c>
      <c r="E118" s="337">
        <v>42403</v>
      </c>
      <c r="F118" s="338" t="s">
        <v>22</v>
      </c>
      <c r="G118" s="1022" t="s">
        <v>798</v>
      </c>
      <c r="H118" s="72"/>
      <c r="I118" s="477"/>
      <c r="J118" s="477"/>
      <c r="K118" s="470"/>
      <c r="L118" s="477"/>
      <c r="M118" s="65">
        <v>45000</v>
      </c>
      <c r="N118" s="65"/>
      <c r="O118" s="340" t="s">
        <v>135</v>
      </c>
      <c r="P118" s="340" t="s">
        <v>31</v>
      </c>
      <c r="Q118" s="66" t="str">
        <f>IF(AND('331-CT'!$E$7=TH!H118,OR(O118="331",P118="331")),"x","")</f>
        <v/>
      </c>
      <c r="R118" s="66" t="str">
        <f>IF(AND($B118&gt;='111'!$N$11,$B118&lt;='111'!$O$11,OR($O118=$R$7,$P118=$R$7)),"x","")</f>
        <v/>
      </c>
      <c r="S118" s="66" t="str">
        <f>IF(AND($O118=$R$7,$B118&lt;'111'!$N$11),"x","")</f>
        <v/>
      </c>
      <c r="T118" s="66" t="str">
        <f>IF(AND($P118=$R$7,$B118&lt;'111'!$N$11),"x","")</f>
        <v/>
      </c>
      <c r="U118" s="66" t="str">
        <f>IF(AND($B118&gt;='112'!$M$9,$B118&lt;='112'!$N$9,OR($O118='112'!$I$6,$P118='112'!$I$6)),"x","")</f>
        <v/>
      </c>
      <c r="V118" s="66" t="str">
        <f>IF(AND($O118='112'!$I$6,$B118&lt;'112'!$M$9),"x","")</f>
        <v/>
      </c>
      <c r="W118" s="66" t="str">
        <f>IF(AND($P118='112'!$I$6,$B118&lt;'112'!$M$9),"x","")</f>
        <v>x</v>
      </c>
      <c r="X118" s="66" t="str">
        <f>IF(AND('131-CT'!$H$9=TH!H118,OR(O118="131",P118="131")),"x","")</f>
        <v/>
      </c>
      <c r="Y118" s="80" t="str">
        <f>IF(AND($B118&gt;='1331'!$I$9,$B118&lt;='1331'!$J$9,OR($O118=$Y$7,$P118=$Y$7)),"x","")</f>
        <v/>
      </c>
      <c r="Z118" s="80" t="str">
        <f>IF(AND($O118=$Y$7,$B118&lt;'1331'!$I$9),"x","")</f>
        <v/>
      </c>
      <c r="AA118" s="80" t="str">
        <f>IF(AND($P118=$Y$7,$B118&lt;'1331'!$I$9),"x","")</f>
        <v/>
      </c>
      <c r="AB118" s="80" t="str">
        <f>IF(AND($B118&gt;='1332'!$I$9,$B118&lt;='1332'!$I$9,OR($O118=$AB$7,$P118=$AB$7)),"x","")</f>
        <v/>
      </c>
      <c r="AC118" s="80" t="str">
        <f>IF(AND($O118=$AB$7,$B118&lt;'1332'!$I$9),"x","")</f>
        <v/>
      </c>
      <c r="AD118" s="80" t="str">
        <f>IF(AND($P118=$AB$7,$B118&lt;'1332'!$I$9),"x","")</f>
        <v/>
      </c>
      <c r="AE118" s="80" t="str">
        <f>IF(AND('341-CT'!$H$9=H118,OR(LEFT(O118,3)=$AE$7,LEFT(P118,3)=$AE$7)),"x","")</f>
        <v/>
      </c>
      <c r="AF118" s="80" t="str">
        <f>IF(OR(TH!O118=TH!$AF$7,P118=TH!$AF$7),"x","")</f>
        <v/>
      </c>
      <c r="AG118" s="80"/>
      <c r="AH118" s="80" t="str">
        <f>IF(AND(B118&gt;='IN-NX'!$P$3,B118&lt;='IN-NX'!$Q$3,'IN-NX'!$D$7=D118,OR(LEFT(L118,2)="15",AND(LEFT(M118,2)&lt;&gt;"15",LEFT(M118,2)&lt;&gt;"33"))),"x","")</f>
        <v/>
      </c>
      <c r="AI118" s="80" t="str">
        <f>IF(AND(OR(LEFT(TH!O118,2)="15",LEFT(TH!P118,2)="15"),'152-CT'!$J$8=TH!F118),"x","")</f>
        <v/>
      </c>
      <c r="AJ118" s="80" t="str">
        <f>IF(AND(OR(LEFT(TH!O118,2)="15",LEFT(TH!P118,2)="15"),'THE KHO'!$E$7=TH!F118),"x","")</f>
        <v/>
      </c>
      <c r="AK118" s="80" t="str">
        <f>IF(AND(O118="1521",MONTH(C118)='BK NL'!$M$11),"x","")</f>
        <v/>
      </c>
      <c r="AM118" s="1007">
        <v>1</v>
      </c>
    </row>
    <row r="119" spans="1:39" s="1007" customFormat="1" ht="15.75" customHeight="1">
      <c r="A119" s="362" t="str">
        <f>IF(B119&lt;&gt;"",IF(AND(B119&gt;=_TM1,B119&lt;=_TM2,OR(TH!O119="1111",TH!P119="1111")),TH!D119,""),"")</f>
        <v/>
      </c>
      <c r="B119" s="63">
        <f t="shared" si="5"/>
        <v>2</v>
      </c>
      <c r="C119" s="337">
        <v>42403</v>
      </c>
      <c r="D119" s="337" t="s">
        <v>8</v>
      </c>
      <c r="E119" s="337">
        <v>42403</v>
      </c>
      <c r="F119" s="338" t="s">
        <v>23</v>
      </c>
      <c r="G119" s="1022" t="s">
        <v>798</v>
      </c>
      <c r="H119" s="72"/>
      <c r="I119" s="477"/>
      <c r="J119" s="477"/>
      <c r="K119" s="470"/>
      <c r="L119" s="477"/>
      <c r="M119" s="88">
        <v>4500</v>
      </c>
      <c r="N119" s="88"/>
      <c r="O119" s="340" t="s">
        <v>10</v>
      </c>
      <c r="P119" s="340" t="s">
        <v>31</v>
      </c>
      <c r="Q119" s="66" t="str">
        <f>IF(AND('331-CT'!$E$7=TH!H119,OR(O119="331",P119="331")),"x","")</f>
        <v/>
      </c>
      <c r="R119" s="66" t="str">
        <f>IF(AND($B119&gt;='111'!$N$11,$B119&lt;='111'!$O$11,OR($O119=$R$7,$P119=$R$7)),"x","")</f>
        <v/>
      </c>
      <c r="S119" s="66" t="str">
        <f>IF(AND($O119=$R$7,$B119&lt;'111'!$N$11),"x","")</f>
        <v/>
      </c>
      <c r="T119" s="66" t="str">
        <f>IF(AND($P119=$R$7,$B119&lt;'111'!$N$11),"x","")</f>
        <v/>
      </c>
      <c r="U119" s="66" t="str">
        <f>IF(AND($B119&gt;='112'!$M$9,$B119&lt;='112'!$N$9,OR($O119='112'!$I$6,$P119='112'!$I$6)),"x","")</f>
        <v/>
      </c>
      <c r="V119" s="66" t="str">
        <f>IF(AND($O119='112'!$I$6,$B119&lt;'112'!$M$9),"x","")</f>
        <v/>
      </c>
      <c r="W119" s="66" t="str">
        <f>IF(AND($P119='112'!$I$6,$B119&lt;'112'!$M$9),"x","")</f>
        <v>x</v>
      </c>
      <c r="X119" s="66" t="str">
        <f>IF(AND('131-CT'!$H$9=TH!H119,OR(O119="131",P119="131")),"x","")</f>
        <v/>
      </c>
      <c r="Y119" s="80" t="str">
        <f>IF(AND($B119&gt;='1331'!$I$9,$B119&lt;='1331'!$J$9,OR($O119=$Y$7,$P119=$Y$7)),"x","")</f>
        <v/>
      </c>
      <c r="Z119" s="80" t="str">
        <f>IF(AND($O119=$Y$7,$B119&lt;'1331'!$I$9),"x","")</f>
        <v>x</v>
      </c>
      <c r="AA119" s="80" t="str">
        <f>IF(AND($P119=$Y$7,$B119&lt;'1331'!$I$9),"x","")</f>
        <v/>
      </c>
      <c r="AB119" s="80" t="str">
        <f>IF(AND($B119&gt;='1332'!$I$9,$B119&lt;='1332'!$I$9,OR($O119=$AB$7,$P119=$AB$7)),"x","")</f>
        <v/>
      </c>
      <c r="AC119" s="80" t="str">
        <f>IF(AND($O119=$AB$7,$B119&lt;'1332'!$I$9),"x","")</f>
        <v/>
      </c>
      <c r="AD119" s="80" t="str">
        <f>IF(AND($P119=$AB$7,$B119&lt;'1332'!$I$9),"x","")</f>
        <v/>
      </c>
      <c r="AE119" s="80" t="str">
        <f>IF(AND('341-CT'!$H$9=H119,OR(LEFT(O119,3)=$AE$7,LEFT(P119,3)=$AE$7)),"x","")</f>
        <v/>
      </c>
      <c r="AF119" s="80" t="str">
        <f>IF(OR(TH!O119=TH!$AF$7,P119=TH!$AF$7),"x","")</f>
        <v/>
      </c>
      <c r="AG119" s="80"/>
      <c r="AH119" s="80" t="str">
        <f>IF(AND(B119&gt;='IN-NX'!$P$3,B119&lt;='IN-NX'!$Q$3,'IN-NX'!$D$7=D119,OR(LEFT(L119,2)="15",AND(LEFT(M119,2)&lt;&gt;"15",LEFT(M119,2)&lt;&gt;"33"))),"x","")</f>
        <v/>
      </c>
      <c r="AI119" s="80" t="str">
        <f>IF(AND(OR(LEFT(TH!O119,2)="15",LEFT(TH!P119,2)="15"),'152-CT'!$J$8=TH!F119),"x","")</f>
        <v/>
      </c>
      <c r="AJ119" s="80" t="str">
        <f>IF(AND(OR(LEFT(TH!O119,2)="15",LEFT(TH!P119,2)="15"),'THE KHO'!$E$7=TH!F119),"x","")</f>
        <v/>
      </c>
      <c r="AK119" s="80" t="str">
        <f>IF(AND(O119="1521",MONTH(C119)='BK NL'!$M$11),"x","")</f>
        <v/>
      </c>
      <c r="AM119" s="1007">
        <v>1</v>
      </c>
    </row>
    <row r="120" spans="1:39" s="1007" customFormat="1" ht="15.75" customHeight="1">
      <c r="A120" s="362" t="str">
        <f>IF(B120&lt;&gt;"",IF(AND(B120&gt;=_TM1,B120&lt;=_TM2,OR(TH!O120="1111",TH!P120="1111")),TH!D120,""),"")</f>
        <v/>
      </c>
      <c r="B120" s="63">
        <f t="shared" si="5"/>
        <v>2</v>
      </c>
      <c r="C120" s="337">
        <v>42403</v>
      </c>
      <c r="D120" s="337" t="s">
        <v>8</v>
      </c>
      <c r="E120" s="337">
        <v>42403</v>
      </c>
      <c r="F120" s="338" t="s">
        <v>428</v>
      </c>
      <c r="G120" s="1022" t="s">
        <v>798</v>
      </c>
      <c r="H120" s="72" t="s">
        <v>62</v>
      </c>
      <c r="I120" s="477"/>
      <c r="J120" s="477"/>
      <c r="K120" s="470"/>
      <c r="L120" s="477"/>
      <c r="M120" s="65">
        <v>50000000</v>
      </c>
      <c r="N120" s="65"/>
      <c r="O120" s="340" t="s">
        <v>9</v>
      </c>
      <c r="P120" s="340" t="s">
        <v>31</v>
      </c>
      <c r="Q120" s="66" t="str">
        <f>IF(AND('331-CT'!$E$7=TH!H120,OR(O120="331",P120="331")),"x","")</f>
        <v/>
      </c>
      <c r="R120" s="66" t="str">
        <f>IF(AND($B120&gt;='111'!$N$11,$B120&lt;='111'!$O$11,OR($O120=$R$7,$P120=$R$7)),"x","")</f>
        <v/>
      </c>
      <c r="S120" s="66" t="str">
        <f>IF(AND($O120=$R$7,$B120&lt;'111'!$N$11),"x","")</f>
        <v/>
      </c>
      <c r="T120" s="66" t="str">
        <f>IF(AND($P120=$R$7,$B120&lt;'111'!$N$11),"x","")</f>
        <v/>
      </c>
      <c r="U120" s="66" t="str">
        <f>IF(AND($B120&gt;='112'!$M$9,$B120&lt;='112'!$N$9,OR($O120='112'!$I$6,$P120='112'!$I$6)),"x","")</f>
        <v/>
      </c>
      <c r="V120" s="66" t="str">
        <f>IF(AND($O120='112'!$I$6,$B120&lt;'112'!$M$9),"x","")</f>
        <v/>
      </c>
      <c r="W120" s="66" t="str">
        <f>IF(AND($P120='112'!$I$6,$B120&lt;'112'!$M$9),"x","")</f>
        <v>x</v>
      </c>
      <c r="X120" s="66" t="str">
        <f>IF(AND('131-CT'!$H$9=TH!H120,OR(O120="131",P120="131")),"x","")</f>
        <v/>
      </c>
      <c r="Y120" s="80" t="str">
        <f>IF(AND($B120&gt;='1331'!$I$9,$B120&lt;='1331'!$J$9,OR($O120=$Y$7,$P120=$Y$7)),"x","")</f>
        <v/>
      </c>
      <c r="Z120" s="80" t="str">
        <f>IF(AND($O120=$Y$7,$B120&lt;'1331'!$I$9),"x","")</f>
        <v/>
      </c>
      <c r="AA120" s="80" t="str">
        <f>IF(AND($P120=$Y$7,$B120&lt;'1331'!$I$9),"x","")</f>
        <v/>
      </c>
      <c r="AB120" s="80" t="str">
        <f>IF(AND($B120&gt;='1332'!$I$9,$B120&lt;='1332'!$I$9,OR($O120=$AB$7,$P120=$AB$7)),"x","")</f>
        <v/>
      </c>
      <c r="AC120" s="80" t="str">
        <f>IF(AND($O120=$AB$7,$B120&lt;'1332'!$I$9),"x","")</f>
        <v/>
      </c>
      <c r="AD120" s="80" t="str">
        <f>IF(AND($P120=$AB$7,$B120&lt;'1332'!$I$9),"x","")</f>
        <v/>
      </c>
      <c r="AE120" s="80" t="str">
        <f>IF(AND('341-CT'!$H$9=H120,OR(LEFT(O120,3)=$AE$7,LEFT(P120,3)=$AE$7)),"x","")</f>
        <v/>
      </c>
      <c r="AF120" s="80" t="str">
        <f>IF(OR(TH!O120=TH!$AF$7,P120=TH!$AF$7),"x","")</f>
        <v/>
      </c>
      <c r="AG120" s="80"/>
      <c r="AH120" s="80" t="str">
        <f>IF(AND(B120&gt;='IN-NX'!$P$3,B120&lt;='IN-NX'!$Q$3,'IN-NX'!$D$7=D120,OR(LEFT(L120,2)="15",AND(LEFT(M120,2)&lt;&gt;"15",LEFT(M120,2)&lt;&gt;"33"))),"x","")</f>
        <v/>
      </c>
      <c r="AI120" s="80" t="str">
        <f>IF(AND(OR(LEFT(TH!O120,2)="15",LEFT(TH!P120,2)="15"),'152-CT'!$J$8=TH!F120),"x","")</f>
        <v/>
      </c>
      <c r="AJ120" s="80" t="str">
        <f>IF(AND(OR(LEFT(TH!O120,2)="15",LEFT(TH!P120,2)="15"),'THE KHO'!$E$7=TH!F120),"x","")</f>
        <v/>
      </c>
      <c r="AK120" s="80" t="str">
        <f>IF(AND(O120="1521",MONTH(C120)='BK NL'!$M$11),"x","")</f>
        <v/>
      </c>
    </row>
    <row r="121" spans="1:39" s="1007" customFormat="1" ht="15.75" customHeight="1">
      <c r="A121" s="362" t="str">
        <f>IF(B121&lt;&gt;"",IF(AND(B121&gt;=_TM1,B121&lt;=_TM2,OR(TH!O121="1111",TH!P121="1111")),TH!D121,""),"")</f>
        <v/>
      </c>
      <c r="B121" s="63">
        <f t="shared" si="5"/>
        <v>2</v>
      </c>
      <c r="C121" s="337">
        <v>42403</v>
      </c>
      <c r="D121" s="337" t="s">
        <v>8</v>
      </c>
      <c r="E121" s="337">
        <v>42403</v>
      </c>
      <c r="F121" s="338" t="s">
        <v>22</v>
      </c>
      <c r="G121" s="1022" t="s">
        <v>798</v>
      </c>
      <c r="H121" s="368"/>
      <c r="I121" s="477"/>
      <c r="J121" s="477"/>
      <c r="K121" s="470"/>
      <c r="L121" s="477"/>
      <c r="M121" s="65">
        <v>45000</v>
      </c>
      <c r="N121" s="65"/>
      <c r="O121" s="340" t="s">
        <v>135</v>
      </c>
      <c r="P121" s="340" t="s">
        <v>31</v>
      </c>
      <c r="Q121" s="66" t="str">
        <f>IF(AND('331-CT'!$E$7=TH!H121,OR(O121="331",P121="331")),"x","")</f>
        <v/>
      </c>
      <c r="R121" s="66" t="str">
        <f>IF(AND($B121&gt;='111'!$N$11,$B121&lt;='111'!$O$11,OR($O121=$R$7,$P121=$R$7)),"x","")</f>
        <v/>
      </c>
      <c r="S121" s="66" t="str">
        <f>IF(AND($O121=$R$7,$B121&lt;'111'!$N$11),"x","")</f>
        <v/>
      </c>
      <c r="T121" s="66" t="str">
        <f>IF(AND($P121=$R$7,$B121&lt;'111'!$N$11),"x","")</f>
        <v/>
      </c>
      <c r="U121" s="66" t="str">
        <f>IF(AND($B121&gt;='112'!$M$9,$B121&lt;='112'!$N$9,OR($O121='112'!$I$6,$P121='112'!$I$6)),"x","")</f>
        <v/>
      </c>
      <c r="V121" s="66" t="str">
        <f>IF(AND($O121='112'!$I$6,$B121&lt;'112'!$M$9),"x","")</f>
        <v/>
      </c>
      <c r="W121" s="66" t="str">
        <f>IF(AND($P121='112'!$I$6,$B121&lt;'112'!$M$9),"x","")</f>
        <v>x</v>
      </c>
      <c r="X121" s="66" t="str">
        <f>IF(AND('131-CT'!$H$9=TH!H121,OR(O121="131",P121="131")),"x","")</f>
        <v/>
      </c>
      <c r="Y121" s="80" t="str">
        <f>IF(AND($B121&gt;='1331'!$I$9,$B121&lt;='1331'!$J$9,OR($O121=$Y$7,$P121=$Y$7)),"x","")</f>
        <v/>
      </c>
      <c r="Z121" s="80" t="str">
        <f>IF(AND($O121=$Y$7,$B121&lt;'1331'!$I$9),"x","")</f>
        <v/>
      </c>
      <c r="AA121" s="80" t="str">
        <f>IF(AND($P121=$Y$7,$B121&lt;'1331'!$I$9),"x","")</f>
        <v/>
      </c>
      <c r="AB121" s="80" t="str">
        <f>IF(AND($B121&gt;='1332'!$I$9,$B121&lt;='1332'!$I$9,OR($O121=$AB$7,$P121=$AB$7)),"x","")</f>
        <v/>
      </c>
      <c r="AC121" s="80" t="str">
        <f>IF(AND($O121=$AB$7,$B121&lt;'1332'!$I$9),"x","")</f>
        <v/>
      </c>
      <c r="AD121" s="80" t="str">
        <f>IF(AND($P121=$AB$7,$B121&lt;'1332'!$I$9),"x","")</f>
        <v/>
      </c>
      <c r="AE121" s="80" t="str">
        <f>IF(AND('341-CT'!$H$9=H121,OR(LEFT(O121,3)=$AE$7,LEFT(P121,3)=$AE$7)),"x","")</f>
        <v/>
      </c>
      <c r="AF121" s="80" t="str">
        <f>IF(OR(TH!O121=TH!$AF$7,P121=TH!$AF$7),"x","")</f>
        <v/>
      </c>
      <c r="AG121" s="80"/>
      <c r="AH121" s="80" t="str">
        <f>IF(AND(B121&gt;='IN-NX'!$P$3,B121&lt;='IN-NX'!$Q$3,'IN-NX'!$D$7=D121,OR(LEFT(L121,2)="15",AND(LEFT(M121,2)&lt;&gt;"15",LEFT(M121,2)&lt;&gt;"33"))),"x","")</f>
        <v/>
      </c>
      <c r="AI121" s="80" t="str">
        <f>IF(AND(OR(LEFT(TH!O121,2)="15",LEFT(TH!P121,2)="15"),'152-CT'!$J$8=TH!F121),"x","")</f>
        <v/>
      </c>
      <c r="AJ121" s="80" t="str">
        <f>IF(AND(OR(LEFT(TH!O121,2)="15",LEFT(TH!P121,2)="15"),'THE KHO'!$E$7=TH!F121),"x","")</f>
        <v/>
      </c>
      <c r="AK121" s="80" t="str">
        <f>IF(AND(O121="1521",MONTH(C121)='BK NL'!$M$11),"x","")</f>
        <v/>
      </c>
      <c r="AM121" s="1007">
        <v>1</v>
      </c>
    </row>
    <row r="122" spans="1:39" s="1007" customFormat="1" ht="15.75" customHeight="1">
      <c r="A122" s="362" t="str">
        <f>IF(B122&lt;&gt;"",IF(AND(B122&gt;=_TM1,B122&lt;=_TM2,OR(TH!O122="1111",TH!P122="1111")),TH!D122,""),"")</f>
        <v/>
      </c>
      <c r="B122" s="63">
        <f t="shared" si="5"/>
        <v>2</v>
      </c>
      <c r="C122" s="367">
        <v>42403</v>
      </c>
      <c r="D122" s="337" t="s">
        <v>8</v>
      </c>
      <c r="E122" s="337">
        <v>42403</v>
      </c>
      <c r="F122" s="338" t="s">
        <v>23</v>
      </c>
      <c r="G122" s="1022" t="s">
        <v>798</v>
      </c>
      <c r="H122" s="339"/>
      <c r="I122" s="476"/>
      <c r="J122" s="476"/>
      <c r="K122" s="469"/>
      <c r="L122" s="476"/>
      <c r="M122" s="88">
        <v>4500</v>
      </c>
      <c r="N122" s="88"/>
      <c r="O122" s="340" t="s">
        <v>10</v>
      </c>
      <c r="P122" s="340" t="s">
        <v>31</v>
      </c>
      <c r="Q122" s="66" t="str">
        <f>IF(AND('331-CT'!$E$7=TH!H122,OR(O122="331",P122="331")),"x","")</f>
        <v/>
      </c>
      <c r="R122" s="66" t="str">
        <f>IF(AND($B122&gt;='111'!$N$11,$B122&lt;='111'!$O$11,OR($O122=$R$7,$P122=$R$7)),"x","")</f>
        <v/>
      </c>
      <c r="S122" s="66" t="str">
        <f>IF(AND($O122=$R$7,$B122&lt;'111'!$N$11),"x","")</f>
        <v/>
      </c>
      <c r="T122" s="66" t="str">
        <f>IF(AND($P122=$R$7,$B122&lt;'111'!$N$11),"x","")</f>
        <v/>
      </c>
      <c r="U122" s="66" t="str">
        <f>IF(AND($B122&gt;='112'!$M$9,$B122&lt;='112'!$N$9,OR($O122='112'!$I$6,$P122='112'!$I$6)),"x","")</f>
        <v/>
      </c>
      <c r="V122" s="66" t="str">
        <f>IF(AND($O122='112'!$I$6,$B122&lt;'112'!$M$9),"x","")</f>
        <v/>
      </c>
      <c r="W122" s="66" t="str">
        <f>IF(AND($P122='112'!$I$6,$B122&lt;'112'!$M$9),"x","")</f>
        <v>x</v>
      </c>
      <c r="X122" s="66" t="str">
        <f>IF(AND('131-CT'!$H$9=TH!H122,OR(O122="131",P122="131")),"x","")</f>
        <v/>
      </c>
      <c r="Y122" s="80" t="str">
        <f>IF(AND($B122&gt;='1331'!$I$9,$B122&lt;='1331'!$J$9,OR($O122=$Y$7,$P122=$Y$7)),"x","")</f>
        <v/>
      </c>
      <c r="Z122" s="80" t="str">
        <f>IF(AND($O122=$Y$7,$B122&lt;'1331'!$I$9),"x","")</f>
        <v>x</v>
      </c>
      <c r="AA122" s="80" t="str">
        <f>IF(AND($P122=$Y$7,$B122&lt;'1331'!$I$9),"x","")</f>
        <v/>
      </c>
      <c r="AB122" s="80" t="str">
        <f>IF(AND($B122&gt;='1332'!$I$9,$B122&lt;='1332'!$I$9,OR($O122=$AB$7,$P122=$AB$7)),"x","")</f>
        <v/>
      </c>
      <c r="AC122" s="80" t="str">
        <f>IF(AND($O122=$AB$7,$B122&lt;'1332'!$I$9),"x","")</f>
        <v/>
      </c>
      <c r="AD122" s="80" t="str">
        <f>IF(AND($P122=$AB$7,$B122&lt;'1332'!$I$9),"x","")</f>
        <v/>
      </c>
      <c r="AE122" s="80" t="str">
        <f>IF(AND('341-CT'!$H$9=H122,OR(LEFT(O122,3)=$AE$7,LEFT(P122,3)=$AE$7)),"x","")</f>
        <v/>
      </c>
      <c r="AF122" s="80" t="str">
        <f>IF(OR(TH!O122=TH!$AF$7,P122=TH!$AF$7),"x","")</f>
        <v/>
      </c>
      <c r="AG122" s="80"/>
      <c r="AH122" s="80" t="str">
        <f>IF(AND(B122&gt;='IN-NX'!$P$3,B122&lt;='IN-NX'!$Q$3,'IN-NX'!$D$7=D122,OR(LEFT(L122,2)="15",AND(LEFT(M122,2)&lt;&gt;"15",LEFT(M122,2)&lt;&gt;"33"))),"x","")</f>
        <v/>
      </c>
      <c r="AI122" s="80" t="str">
        <f>IF(AND(OR(LEFT(TH!O122,2)="15",LEFT(TH!P122,2)="15"),'152-CT'!$J$8=TH!F122),"x","")</f>
        <v/>
      </c>
      <c r="AJ122" s="80" t="str">
        <f>IF(AND(OR(LEFT(TH!O122,2)="15",LEFT(TH!P122,2)="15"),'THE KHO'!$E$7=TH!F122),"x","")</f>
        <v/>
      </c>
      <c r="AK122" s="80" t="str">
        <f>IF(AND(O122="1521",MONTH(C122)='BK NL'!$M$11),"x","")</f>
        <v/>
      </c>
      <c r="AM122" s="1007">
        <v>1</v>
      </c>
    </row>
    <row r="123" spans="1:39" s="1007" customFormat="1" ht="15.75" customHeight="1">
      <c r="A123" s="362" t="str">
        <f>IF(B123&lt;&gt;"",IF(AND(B123&gt;=_TM1,B123&lt;=_TM2,OR(TH!O123="1111",TH!P123="1111")),TH!D123,""),"")</f>
        <v/>
      </c>
      <c r="B123" s="63">
        <f t="shared" si="5"/>
        <v>2</v>
      </c>
      <c r="C123" s="337">
        <v>42403</v>
      </c>
      <c r="D123" s="337" t="s">
        <v>8</v>
      </c>
      <c r="E123" s="337">
        <v>42403</v>
      </c>
      <c r="F123" s="338" t="s">
        <v>163</v>
      </c>
      <c r="G123" s="1022" t="s">
        <v>798</v>
      </c>
      <c r="H123" s="339" t="s">
        <v>178</v>
      </c>
      <c r="I123" s="476"/>
      <c r="J123" s="476"/>
      <c r="K123" s="469"/>
      <c r="L123" s="476"/>
      <c r="M123" s="65">
        <v>60000000</v>
      </c>
      <c r="N123" s="65"/>
      <c r="O123" s="340" t="s">
        <v>9</v>
      </c>
      <c r="P123" s="340" t="s">
        <v>31</v>
      </c>
      <c r="Q123" s="66" t="str">
        <f>IF(AND('331-CT'!$E$7=TH!H123,OR(O123="331",P123="331")),"x","")</f>
        <v/>
      </c>
      <c r="R123" s="66" t="str">
        <f>IF(AND($B123&gt;='111'!$N$11,$B123&lt;='111'!$O$11,OR($O123=$R$7,$P123=$R$7)),"x","")</f>
        <v/>
      </c>
      <c r="S123" s="66" t="str">
        <f>IF(AND($O123=$R$7,$B123&lt;'111'!$N$11),"x","")</f>
        <v/>
      </c>
      <c r="T123" s="66" t="str">
        <f>IF(AND($P123=$R$7,$B123&lt;'111'!$N$11),"x","")</f>
        <v/>
      </c>
      <c r="U123" s="66" t="str">
        <f>IF(AND($B123&gt;='112'!$M$9,$B123&lt;='112'!$N$9,OR($O123='112'!$I$6,$P123='112'!$I$6)),"x","")</f>
        <v/>
      </c>
      <c r="V123" s="66" t="str">
        <f>IF(AND($O123='112'!$I$6,$B123&lt;'112'!$M$9),"x","")</f>
        <v/>
      </c>
      <c r="W123" s="66" t="str">
        <f>IF(AND($P123='112'!$I$6,$B123&lt;'112'!$M$9),"x","")</f>
        <v>x</v>
      </c>
      <c r="X123" s="66" t="str">
        <f>IF(AND('131-CT'!$H$9=TH!H123,OR(O123="131",P123="131")),"x","")</f>
        <v/>
      </c>
      <c r="Y123" s="80" t="str">
        <f>IF(AND($B123&gt;='1331'!$I$9,$B123&lt;='1331'!$J$9,OR($O123=$Y$7,$P123=$Y$7)),"x","")</f>
        <v/>
      </c>
      <c r="Z123" s="80" t="str">
        <f>IF(AND($O123=$Y$7,$B123&lt;'1331'!$I$9),"x","")</f>
        <v/>
      </c>
      <c r="AA123" s="80" t="str">
        <f>IF(AND($P123=$Y$7,$B123&lt;'1331'!$I$9),"x","")</f>
        <v/>
      </c>
      <c r="AB123" s="80" t="str">
        <f>IF(AND($B123&gt;='1332'!$I$9,$B123&lt;='1332'!$I$9,OR($O123=$AB$7,$P123=$AB$7)),"x","")</f>
        <v/>
      </c>
      <c r="AC123" s="80" t="str">
        <f>IF(AND($O123=$AB$7,$B123&lt;'1332'!$I$9),"x","")</f>
        <v/>
      </c>
      <c r="AD123" s="80" t="str">
        <f>IF(AND($P123=$AB$7,$B123&lt;'1332'!$I$9),"x","")</f>
        <v/>
      </c>
      <c r="AE123" s="80" t="str">
        <f>IF(AND('341-CT'!$H$9=H123,OR(LEFT(O123,3)=$AE$7,LEFT(P123,3)=$AE$7)),"x","")</f>
        <v/>
      </c>
      <c r="AF123" s="80" t="str">
        <f>IF(OR(TH!O123=TH!$AF$7,P123=TH!$AF$7),"x","")</f>
        <v/>
      </c>
      <c r="AG123" s="80"/>
      <c r="AH123" s="80" t="str">
        <f>IF(AND(B123&gt;='IN-NX'!$P$3,B123&lt;='IN-NX'!$Q$3,'IN-NX'!$D$7=D123,OR(LEFT(L123,2)="15",AND(LEFT(M123,2)&lt;&gt;"15",LEFT(M123,2)&lt;&gt;"33"))),"x","")</f>
        <v/>
      </c>
      <c r="AI123" s="80" t="str">
        <f>IF(AND(OR(LEFT(TH!O123,2)="15",LEFT(TH!P123,2)="15"),'152-CT'!$J$8=TH!F123),"x","")</f>
        <v/>
      </c>
      <c r="AJ123" s="80" t="str">
        <f>IF(AND(OR(LEFT(TH!O123,2)="15",LEFT(TH!P123,2)="15"),'THE KHO'!$E$7=TH!F123),"x","")</f>
        <v/>
      </c>
      <c r="AK123" s="80" t="str">
        <f>IF(AND(O123="1521",MONTH(C123)='BK NL'!$M$11),"x","")</f>
        <v/>
      </c>
    </row>
    <row r="124" spans="1:39" s="1007" customFormat="1" ht="15.75" customHeight="1">
      <c r="A124" s="362" t="str">
        <f>IF(B124&lt;&gt;"",IF(AND(B124&gt;=_TM1,B124&lt;=_TM2,OR(TH!O124="1111",TH!P124="1111")),TH!D124,""),"")</f>
        <v/>
      </c>
      <c r="B124" s="63">
        <f t="shared" si="5"/>
        <v>2</v>
      </c>
      <c r="C124" s="337">
        <v>42403</v>
      </c>
      <c r="D124" s="337" t="s">
        <v>8</v>
      </c>
      <c r="E124" s="337">
        <v>42403</v>
      </c>
      <c r="F124" s="338" t="s">
        <v>22</v>
      </c>
      <c r="G124" s="1022" t="s">
        <v>798</v>
      </c>
      <c r="H124" s="339"/>
      <c r="I124" s="476"/>
      <c r="J124" s="476"/>
      <c r="K124" s="469"/>
      <c r="L124" s="476"/>
      <c r="M124" s="65">
        <v>50000</v>
      </c>
      <c r="N124" s="65"/>
      <c r="O124" s="340" t="s">
        <v>135</v>
      </c>
      <c r="P124" s="340" t="s">
        <v>31</v>
      </c>
      <c r="Q124" s="66" t="str">
        <f>IF(AND('331-CT'!$E$7=TH!H124,OR(O124="331",P124="331")),"x","")</f>
        <v/>
      </c>
      <c r="R124" s="66" t="str">
        <f>IF(AND($B124&gt;='111'!$N$11,$B124&lt;='111'!$O$11,OR($O124=$R$7,$P124=$R$7)),"x","")</f>
        <v/>
      </c>
      <c r="S124" s="66" t="str">
        <f>IF(AND($O124=$R$7,$B124&lt;'111'!$N$11),"x","")</f>
        <v/>
      </c>
      <c r="T124" s="66" t="str">
        <f>IF(AND($P124=$R$7,$B124&lt;'111'!$N$11),"x","")</f>
        <v/>
      </c>
      <c r="U124" s="66" t="str">
        <f>IF(AND($B124&gt;='112'!$M$9,$B124&lt;='112'!$N$9,OR($O124='112'!$I$6,$P124='112'!$I$6)),"x","")</f>
        <v/>
      </c>
      <c r="V124" s="66" t="str">
        <f>IF(AND($O124='112'!$I$6,$B124&lt;'112'!$M$9),"x","")</f>
        <v/>
      </c>
      <c r="W124" s="66" t="str">
        <f>IF(AND($P124='112'!$I$6,$B124&lt;'112'!$M$9),"x","")</f>
        <v>x</v>
      </c>
      <c r="X124" s="66" t="str">
        <f>IF(AND('131-CT'!$H$9=TH!H124,OR(O124="131",P124="131")),"x","")</f>
        <v/>
      </c>
      <c r="Y124" s="80" t="str">
        <f>IF(AND($B124&gt;='1331'!$I$9,$B124&lt;='1331'!$J$9,OR($O124=$Y$7,$P124=$Y$7)),"x","")</f>
        <v/>
      </c>
      <c r="Z124" s="80" t="str">
        <f>IF(AND($O124=$Y$7,$B124&lt;'1331'!$I$9),"x","")</f>
        <v/>
      </c>
      <c r="AA124" s="80" t="str">
        <f>IF(AND($P124=$Y$7,$B124&lt;'1331'!$I$9),"x","")</f>
        <v/>
      </c>
      <c r="AB124" s="80" t="str">
        <f>IF(AND($B124&gt;='1332'!$I$9,$B124&lt;='1332'!$I$9,OR($O124=$AB$7,$P124=$AB$7)),"x","")</f>
        <v/>
      </c>
      <c r="AC124" s="80" t="str">
        <f>IF(AND($O124=$AB$7,$B124&lt;'1332'!$I$9),"x","")</f>
        <v/>
      </c>
      <c r="AD124" s="80" t="str">
        <f>IF(AND($P124=$AB$7,$B124&lt;'1332'!$I$9),"x","")</f>
        <v/>
      </c>
      <c r="AE124" s="80" t="str">
        <f>IF(AND('341-CT'!$H$9=H124,OR(LEFT(O124,3)=$AE$7,LEFT(P124,3)=$AE$7)),"x","")</f>
        <v/>
      </c>
      <c r="AF124" s="80" t="str">
        <f>IF(OR(TH!O124=TH!$AF$7,P124=TH!$AF$7),"x","")</f>
        <v/>
      </c>
      <c r="AG124" s="80"/>
      <c r="AH124" s="80" t="str">
        <f>IF(AND(B124&gt;='IN-NX'!$P$3,B124&lt;='IN-NX'!$Q$3,'IN-NX'!$D$7=D124,OR(LEFT(L124,2)="15",AND(LEFT(M124,2)&lt;&gt;"15",LEFT(M124,2)&lt;&gt;"33"))),"x","")</f>
        <v/>
      </c>
      <c r="AI124" s="80" t="str">
        <f>IF(AND(OR(LEFT(TH!O124,2)="15",LEFT(TH!P124,2)="15"),'152-CT'!$J$8=TH!F124),"x","")</f>
        <v/>
      </c>
      <c r="AJ124" s="80" t="str">
        <f>IF(AND(OR(LEFT(TH!O124,2)="15",LEFT(TH!P124,2)="15"),'THE KHO'!$E$7=TH!F124),"x","")</f>
        <v/>
      </c>
      <c r="AK124" s="80" t="str">
        <f>IF(AND(O124="1521",MONTH(C124)='BK NL'!$M$11),"x","")</f>
        <v/>
      </c>
      <c r="AM124" s="1007">
        <v>1</v>
      </c>
    </row>
    <row r="125" spans="1:39" s="1007" customFormat="1" ht="15.75" customHeight="1">
      <c r="A125" s="362" t="str">
        <f>IF(B125&lt;&gt;"",IF(AND(B125&gt;=_TM1,B125&lt;=_TM2,OR(TH!O125="1111",TH!P125="1111")),TH!D125,""),"")</f>
        <v/>
      </c>
      <c r="B125" s="63">
        <f t="shared" si="5"/>
        <v>2</v>
      </c>
      <c r="C125" s="367">
        <v>42403</v>
      </c>
      <c r="D125" s="337" t="s">
        <v>8</v>
      </c>
      <c r="E125" s="337">
        <v>42403</v>
      </c>
      <c r="F125" s="338" t="s">
        <v>23</v>
      </c>
      <c r="G125" s="1022" t="s">
        <v>798</v>
      </c>
      <c r="H125" s="339"/>
      <c r="I125" s="476"/>
      <c r="J125" s="476"/>
      <c r="K125" s="469"/>
      <c r="L125" s="476"/>
      <c r="M125" s="88">
        <v>5000</v>
      </c>
      <c r="N125" s="88"/>
      <c r="O125" s="340" t="s">
        <v>10</v>
      </c>
      <c r="P125" s="340" t="s">
        <v>31</v>
      </c>
      <c r="Q125" s="66" t="str">
        <f>IF(AND('331-CT'!$E$7=TH!H125,OR(O125="331",P125="331")),"x","")</f>
        <v/>
      </c>
      <c r="R125" s="66" t="str">
        <f>IF(AND($B125&gt;='111'!$N$11,$B125&lt;='111'!$O$11,OR($O125=$R$7,$P125=$R$7)),"x","")</f>
        <v/>
      </c>
      <c r="S125" s="66" t="str">
        <f>IF(AND($O125=$R$7,$B125&lt;'111'!$N$11),"x","")</f>
        <v/>
      </c>
      <c r="T125" s="66" t="str">
        <f>IF(AND($P125=$R$7,$B125&lt;'111'!$N$11),"x","")</f>
        <v/>
      </c>
      <c r="U125" s="66" t="str">
        <f>IF(AND($B125&gt;='112'!$M$9,$B125&lt;='112'!$N$9,OR($O125='112'!$I$6,$P125='112'!$I$6)),"x","")</f>
        <v/>
      </c>
      <c r="V125" s="66" t="str">
        <f>IF(AND($O125='112'!$I$6,$B125&lt;'112'!$M$9),"x","")</f>
        <v/>
      </c>
      <c r="W125" s="66" t="str">
        <f>IF(AND($P125='112'!$I$6,$B125&lt;'112'!$M$9),"x","")</f>
        <v>x</v>
      </c>
      <c r="X125" s="66" t="str">
        <f>IF(AND('131-CT'!$H$9=TH!H125,OR(O125="131",P125="131")),"x","")</f>
        <v/>
      </c>
      <c r="Y125" s="80" t="str">
        <f>IF(AND($B125&gt;='1331'!$I$9,$B125&lt;='1331'!$J$9,OR($O125=$Y$7,$P125=$Y$7)),"x","")</f>
        <v/>
      </c>
      <c r="Z125" s="80" t="str">
        <f>IF(AND($O125=$Y$7,$B125&lt;'1331'!$I$9),"x","")</f>
        <v>x</v>
      </c>
      <c r="AA125" s="80" t="str">
        <f>IF(AND($P125=$Y$7,$B125&lt;'1331'!$I$9),"x","")</f>
        <v/>
      </c>
      <c r="AB125" s="80" t="str">
        <f>IF(AND($B125&gt;='1332'!$I$9,$B125&lt;='1332'!$I$9,OR($O125=$AB$7,$P125=$AB$7)),"x","")</f>
        <v/>
      </c>
      <c r="AC125" s="80" t="str">
        <f>IF(AND($O125=$AB$7,$B125&lt;'1332'!$I$9),"x","")</f>
        <v/>
      </c>
      <c r="AD125" s="80" t="str">
        <f>IF(AND($P125=$AB$7,$B125&lt;'1332'!$I$9),"x","")</f>
        <v/>
      </c>
      <c r="AE125" s="80" t="str">
        <f>IF(AND('341-CT'!$H$9=H125,OR(LEFT(O125,3)=$AE$7,LEFT(P125,3)=$AE$7)),"x","")</f>
        <v/>
      </c>
      <c r="AF125" s="80" t="str">
        <f>IF(OR(TH!O125=TH!$AF$7,P125=TH!$AF$7),"x","")</f>
        <v/>
      </c>
      <c r="AG125" s="80"/>
      <c r="AH125" s="80" t="str">
        <f>IF(AND(B125&gt;='IN-NX'!$P$3,B125&lt;='IN-NX'!$Q$3,'IN-NX'!$D$7=D125,OR(LEFT(L125,2)="15",AND(LEFT(M125,2)&lt;&gt;"15",LEFT(M125,2)&lt;&gt;"33"))),"x","")</f>
        <v/>
      </c>
      <c r="AI125" s="80" t="str">
        <f>IF(AND(OR(LEFT(TH!O125,2)="15",LEFT(TH!P125,2)="15"),'152-CT'!$J$8=TH!F125),"x","")</f>
        <v/>
      </c>
      <c r="AJ125" s="80" t="str">
        <f>IF(AND(OR(LEFT(TH!O125,2)="15",LEFT(TH!P125,2)="15"),'THE KHO'!$E$7=TH!F125),"x","")</f>
        <v/>
      </c>
      <c r="AK125" s="80" t="str">
        <f>IF(AND(O125="1521",MONTH(C125)='BK NL'!$M$11),"x","")</f>
        <v/>
      </c>
      <c r="AM125" s="1007">
        <v>1</v>
      </c>
    </row>
    <row r="126" spans="1:39" s="1007" customFormat="1" ht="15.75" customHeight="1">
      <c r="A126" s="362" t="str">
        <f>IF(B126&lt;&gt;"",IF(AND(B126&gt;=_TM1,B126&lt;=_TM2,OR(TH!O126="1111",TH!P126="1111")),TH!D126,""),"")</f>
        <v/>
      </c>
      <c r="B126" s="63">
        <f t="shared" si="5"/>
        <v>2</v>
      </c>
      <c r="C126" s="367">
        <v>42403</v>
      </c>
      <c r="D126" s="337" t="s">
        <v>8</v>
      </c>
      <c r="E126" s="337">
        <v>42403</v>
      </c>
      <c r="F126" s="338" t="s">
        <v>163</v>
      </c>
      <c r="G126" s="1022" t="s">
        <v>798</v>
      </c>
      <c r="H126" s="339" t="s">
        <v>50</v>
      </c>
      <c r="I126" s="476"/>
      <c r="J126" s="476"/>
      <c r="K126" s="469"/>
      <c r="L126" s="476"/>
      <c r="M126" s="65">
        <v>300000000</v>
      </c>
      <c r="N126" s="65"/>
      <c r="O126" s="340" t="s">
        <v>9</v>
      </c>
      <c r="P126" s="340" t="s">
        <v>31</v>
      </c>
      <c r="Q126" s="66" t="str">
        <f>IF(AND('331-CT'!$E$7=TH!H126,OR(O126="331",P126="331")),"x","")</f>
        <v/>
      </c>
      <c r="R126" s="66" t="str">
        <f>IF(AND($B126&gt;='111'!$N$11,$B126&lt;='111'!$O$11,OR($O126=$R$7,$P126=$R$7)),"x","")</f>
        <v/>
      </c>
      <c r="S126" s="66" t="str">
        <f>IF(AND($O126=$R$7,$B126&lt;'111'!$N$11),"x","")</f>
        <v/>
      </c>
      <c r="T126" s="66" t="str">
        <f>IF(AND($P126=$R$7,$B126&lt;'111'!$N$11),"x","")</f>
        <v/>
      </c>
      <c r="U126" s="66" t="str">
        <f>IF(AND($B126&gt;='112'!$M$9,$B126&lt;='112'!$N$9,OR($O126='112'!$I$6,$P126='112'!$I$6)),"x","")</f>
        <v/>
      </c>
      <c r="V126" s="66" t="str">
        <f>IF(AND($O126='112'!$I$6,$B126&lt;'112'!$M$9),"x","")</f>
        <v/>
      </c>
      <c r="W126" s="66" t="str">
        <f>IF(AND($P126='112'!$I$6,$B126&lt;'112'!$M$9),"x","")</f>
        <v>x</v>
      </c>
      <c r="X126" s="66" t="str">
        <f>IF(AND('131-CT'!$H$9=TH!H126,OR(O126="131",P126="131")),"x","")</f>
        <v/>
      </c>
      <c r="Y126" s="80" t="str">
        <f>IF(AND($B126&gt;='1331'!$I$9,$B126&lt;='1331'!$J$9,OR($O126=$Y$7,$P126=$Y$7)),"x","")</f>
        <v/>
      </c>
      <c r="Z126" s="80" t="str">
        <f>IF(AND($O126=$Y$7,$B126&lt;'1331'!$I$9),"x","")</f>
        <v/>
      </c>
      <c r="AA126" s="80" t="str">
        <f>IF(AND($P126=$Y$7,$B126&lt;'1331'!$I$9),"x","")</f>
        <v/>
      </c>
      <c r="AB126" s="80" t="str">
        <f>IF(AND($B126&gt;='1332'!$I$9,$B126&lt;='1332'!$I$9,OR($O126=$AB$7,$P126=$AB$7)),"x","")</f>
        <v/>
      </c>
      <c r="AC126" s="80" t="str">
        <f>IF(AND($O126=$AB$7,$B126&lt;'1332'!$I$9),"x","")</f>
        <v/>
      </c>
      <c r="AD126" s="80" t="str">
        <f>IF(AND($P126=$AB$7,$B126&lt;'1332'!$I$9),"x","")</f>
        <v/>
      </c>
      <c r="AE126" s="80" t="str">
        <f>IF(AND('341-CT'!$H$9=H126,OR(LEFT(O126,3)=$AE$7,LEFT(P126,3)=$AE$7)),"x","")</f>
        <v/>
      </c>
      <c r="AF126" s="80" t="str">
        <f>IF(OR(TH!O126=TH!$AF$7,P126=TH!$AF$7),"x","")</f>
        <v/>
      </c>
      <c r="AG126" s="80"/>
      <c r="AH126" s="80" t="str">
        <f>IF(AND(B126&gt;='IN-NX'!$P$3,B126&lt;='IN-NX'!$Q$3,'IN-NX'!$D$7=D126,OR(LEFT(L126,2)="15",AND(LEFT(M126,2)&lt;&gt;"15",LEFT(M126,2)&lt;&gt;"33"))),"x","")</f>
        <v/>
      </c>
      <c r="AI126" s="80" t="str">
        <f>IF(AND(OR(LEFT(TH!O126,2)="15",LEFT(TH!P126,2)="15"),'152-CT'!$J$8=TH!F126),"x","")</f>
        <v/>
      </c>
      <c r="AJ126" s="80" t="str">
        <f>IF(AND(OR(LEFT(TH!O126,2)="15",LEFT(TH!P126,2)="15"),'THE KHO'!$E$7=TH!F126),"x","")</f>
        <v/>
      </c>
      <c r="AK126" s="80" t="str">
        <f>IF(AND(O126="1521",MONTH(C126)='BK NL'!$M$11),"x","")</f>
        <v/>
      </c>
    </row>
    <row r="127" spans="1:39" s="1007" customFormat="1" ht="15.75" customHeight="1">
      <c r="A127" s="362" t="str">
        <f>IF(B127&lt;&gt;"",IF(AND(B127&gt;=_TM1,B127&lt;=_TM2,OR(TH!O127="1111",TH!P127="1111")),TH!D127,""),"")</f>
        <v/>
      </c>
      <c r="B127" s="63">
        <f t="shared" si="5"/>
        <v>2</v>
      </c>
      <c r="C127" s="337">
        <v>42403</v>
      </c>
      <c r="D127" s="337" t="s">
        <v>8</v>
      </c>
      <c r="E127" s="337">
        <v>42403</v>
      </c>
      <c r="F127" s="338" t="s">
        <v>22</v>
      </c>
      <c r="G127" s="1022" t="s">
        <v>798</v>
      </c>
      <c r="H127" s="339"/>
      <c r="I127" s="476"/>
      <c r="J127" s="476"/>
      <c r="K127" s="469"/>
      <c r="L127" s="476"/>
      <c r="M127" s="65">
        <v>240000</v>
      </c>
      <c r="N127" s="65"/>
      <c r="O127" s="340" t="s">
        <v>135</v>
      </c>
      <c r="P127" s="340" t="s">
        <v>31</v>
      </c>
      <c r="Q127" s="66" t="str">
        <f>IF(AND('331-CT'!$E$7=TH!H127,OR(O127="331",P127="331")),"x","")</f>
        <v/>
      </c>
      <c r="R127" s="66" t="str">
        <f>IF(AND($B127&gt;='111'!$N$11,$B127&lt;='111'!$O$11,OR($O127=$R$7,$P127=$R$7)),"x","")</f>
        <v/>
      </c>
      <c r="S127" s="66" t="str">
        <f>IF(AND($O127=$R$7,$B127&lt;'111'!$N$11),"x","")</f>
        <v/>
      </c>
      <c r="T127" s="66" t="str">
        <f>IF(AND($P127=$R$7,$B127&lt;'111'!$N$11),"x","")</f>
        <v/>
      </c>
      <c r="U127" s="66" t="str">
        <f>IF(AND($B127&gt;='112'!$M$9,$B127&lt;='112'!$N$9,OR($O127='112'!$I$6,$P127='112'!$I$6)),"x","")</f>
        <v/>
      </c>
      <c r="V127" s="66" t="str">
        <f>IF(AND($O127='112'!$I$6,$B127&lt;'112'!$M$9),"x","")</f>
        <v/>
      </c>
      <c r="W127" s="66" t="str">
        <f>IF(AND($P127='112'!$I$6,$B127&lt;'112'!$M$9),"x","")</f>
        <v>x</v>
      </c>
      <c r="X127" s="66" t="str">
        <f>IF(AND('131-CT'!$H$9=TH!H127,OR(O127="131",P127="131")),"x","")</f>
        <v/>
      </c>
      <c r="Y127" s="80" t="str">
        <f>IF(AND($B127&gt;='1331'!$I$9,$B127&lt;='1331'!$J$9,OR($O127=$Y$7,$P127=$Y$7)),"x","")</f>
        <v/>
      </c>
      <c r="Z127" s="80" t="str">
        <f>IF(AND($O127=$Y$7,$B127&lt;'1331'!$I$9),"x","")</f>
        <v/>
      </c>
      <c r="AA127" s="80" t="str">
        <f>IF(AND($P127=$Y$7,$B127&lt;'1331'!$I$9),"x","")</f>
        <v/>
      </c>
      <c r="AB127" s="80" t="str">
        <f>IF(AND($B127&gt;='1332'!$I$9,$B127&lt;='1332'!$I$9,OR($O127=$AB$7,$P127=$AB$7)),"x","")</f>
        <v/>
      </c>
      <c r="AC127" s="80" t="str">
        <f>IF(AND($O127=$AB$7,$B127&lt;'1332'!$I$9),"x","")</f>
        <v/>
      </c>
      <c r="AD127" s="80" t="str">
        <f>IF(AND($P127=$AB$7,$B127&lt;'1332'!$I$9),"x","")</f>
        <v/>
      </c>
      <c r="AE127" s="80" t="str">
        <f>IF(AND('341-CT'!$H$9=H127,OR(LEFT(O127,3)=$AE$7,LEFT(P127,3)=$AE$7)),"x","")</f>
        <v/>
      </c>
      <c r="AF127" s="80" t="str">
        <f>IF(OR(TH!O127=TH!$AF$7,P127=TH!$AF$7),"x","")</f>
        <v/>
      </c>
      <c r="AG127" s="80"/>
      <c r="AH127" s="80" t="str">
        <f>IF(AND(B127&gt;='IN-NX'!$P$3,B127&lt;='IN-NX'!$Q$3,'IN-NX'!$D$7=D127,OR(LEFT(L127,2)="15",AND(LEFT(M127,2)&lt;&gt;"15",LEFT(M127,2)&lt;&gt;"33"))),"x","")</f>
        <v/>
      </c>
      <c r="AI127" s="80" t="str">
        <f>IF(AND(OR(LEFT(TH!O127,2)="15",LEFT(TH!P127,2)="15"),'152-CT'!$J$8=TH!F127),"x","")</f>
        <v/>
      </c>
      <c r="AJ127" s="80" t="str">
        <f>IF(AND(OR(LEFT(TH!O127,2)="15",LEFT(TH!P127,2)="15"),'THE KHO'!$E$7=TH!F127),"x","")</f>
        <v/>
      </c>
      <c r="AK127" s="80" t="str">
        <f>IF(AND(O127="1521",MONTH(C127)='BK NL'!$M$11),"x","")</f>
        <v/>
      </c>
      <c r="AM127" s="1007">
        <v>1</v>
      </c>
    </row>
    <row r="128" spans="1:39" s="1007" customFormat="1" ht="15.75" customHeight="1">
      <c r="A128" s="362" t="str">
        <f>IF(B128&lt;&gt;"",IF(AND(B128&gt;=_TM1,B128&lt;=_TM2,OR(TH!O128="1111",TH!P128="1111")),TH!D128,""),"")</f>
        <v/>
      </c>
      <c r="B128" s="63">
        <f t="shared" si="5"/>
        <v>2</v>
      </c>
      <c r="C128" s="337">
        <v>42403</v>
      </c>
      <c r="D128" s="337" t="s">
        <v>8</v>
      </c>
      <c r="E128" s="337">
        <v>42403</v>
      </c>
      <c r="F128" s="338" t="s">
        <v>23</v>
      </c>
      <c r="G128" s="1022" t="s">
        <v>798</v>
      </c>
      <c r="H128" s="339"/>
      <c r="I128" s="476"/>
      <c r="J128" s="476"/>
      <c r="K128" s="469"/>
      <c r="L128" s="476"/>
      <c r="M128" s="88">
        <v>24000</v>
      </c>
      <c r="N128" s="88"/>
      <c r="O128" s="340" t="s">
        <v>10</v>
      </c>
      <c r="P128" s="340" t="s">
        <v>31</v>
      </c>
      <c r="Q128" s="66" t="str">
        <f>IF(AND('331-CT'!$E$7=TH!H128,OR(O128="331",P128="331")),"x","")</f>
        <v/>
      </c>
      <c r="R128" s="66" t="str">
        <f>IF(AND($B128&gt;='111'!$N$11,$B128&lt;='111'!$O$11,OR($O128=$R$7,$P128=$R$7)),"x","")</f>
        <v/>
      </c>
      <c r="S128" s="66" t="str">
        <f>IF(AND($O128=$R$7,$B128&lt;'111'!$N$11),"x","")</f>
        <v/>
      </c>
      <c r="T128" s="66" t="str">
        <f>IF(AND($P128=$R$7,$B128&lt;'111'!$N$11),"x","")</f>
        <v/>
      </c>
      <c r="U128" s="66" t="str">
        <f>IF(AND($B128&gt;='112'!$M$9,$B128&lt;='112'!$N$9,OR($O128='112'!$I$6,$P128='112'!$I$6)),"x","")</f>
        <v/>
      </c>
      <c r="V128" s="66" t="str">
        <f>IF(AND($O128='112'!$I$6,$B128&lt;'112'!$M$9),"x","")</f>
        <v/>
      </c>
      <c r="W128" s="66" t="str">
        <f>IF(AND($P128='112'!$I$6,$B128&lt;'112'!$M$9),"x","")</f>
        <v>x</v>
      </c>
      <c r="X128" s="66" t="str">
        <f>IF(AND('131-CT'!$H$9=TH!H128,OR(O128="131",P128="131")),"x","")</f>
        <v/>
      </c>
      <c r="Y128" s="80" t="str">
        <f>IF(AND($B128&gt;='1331'!$I$9,$B128&lt;='1331'!$J$9,OR($O128=$Y$7,$P128=$Y$7)),"x","")</f>
        <v/>
      </c>
      <c r="Z128" s="80" t="str">
        <f>IF(AND($O128=$Y$7,$B128&lt;'1331'!$I$9),"x","")</f>
        <v>x</v>
      </c>
      <c r="AA128" s="80" t="str">
        <f>IF(AND($P128=$Y$7,$B128&lt;'1331'!$I$9),"x","")</f>
        <v/>
      </c>
      <c r="AB128" s="80" t="str">
        <f>IF(AND($B128&gt;='1332'!$I$9,$B128&lt;='1332'!$I$9,OR($O128=$AB$7,$P128=$AB$7)),"x","")</f>
        <v/>
      </c>
      <c r="AC128" s="80" t="str">
        <f>IF(AND($O128=$AB$7,$B128&lt;'1332'!$I$9),"x","")</f>
        <v/>
      </c>
      <c r="AD128" s="80" t="str">
        <f>IF(AND($P128=$AB$7,$B128&lt;'1332'!$I$9),"x","")</f>
        <v/>
      </c>
      <c r="AE128" s="80" t="str">
        <f>IF(AND('341-CT'!$H$9=H128,OR(LEFT(O128,3)=$AE$7,LEFT(P128,3)=$AE$7)),"x","")</f>
        <v/>
      </c>
      <c r="AF128" s="80" t="str">
        <f>IF(OR(TH!O128=TH!$AF$7,P128=TH!$AF$7),"x","")</f>
        <v/>
      </c>
      <c r="AG128" s="80"/>
      <c r="AH128" s="80" t="str">
        <f>IF(AND(B128&gt;='IN-NX'!$P$3,B128&lt;='IN-NX'!$Q$3,'IN-NX'!$D$7=D128,OR(LEFT(L128,2)="15",AND(LEFT(M128,2)&lt;&gt;"15",LEFT(M128,2)&lt;&gt;"33"))),"x","")</f>
        <v/>
      </c>
      <c r="AI128" s="80" t="str">
        <f>IF(AND(OR(LEFT(TH!O128,2)="15",LEFT(TH!P128,2)="15"),'152-CT'!$J$8=TH!F128),"x","")</f>
        <v/>
      </c>
      <c r="AJ128" s="80" t="str">
        <f>IF(AND(OR(LEFT(TH!O128,2)="15",LEFT(TH!P128,2)="15"),'THE KHO'!$E$7=TH!F128),"x","")</f>
        <v/>
      </c>
      <c r="AK128" s="80" t="str">
        <f>IF(AND(O128="1521",MONTH(C128)='BK NL'!$M$11),"x","")</f>
        <v/>
      </c>
      <c r="AM128" s="1007">
        <v>1</v>
      </c>
    </row>
    <row r="129" spans="1:39" s="1007" customFormat="1" ht="15.75" customHeight="1">
      <c r="A129" s="362" t="str">
        <f>IF(B129&lt;&gt;"",IF(AND(B129&gt;=_TM1,B129&lt;=_TM2,OR(TH!O129="1111",TH!P129="1111")),TH!D129,""),"")</f>
        <v/>
      </c>
      <c r="B129" s="63">
        <f t="shared" si="5"/>
        <v>2</v>
      </c>
      <c r="C129" s="367">
        <v>42403</v>
      </c>
      <c r="D129" s="337" t="s">
        <v>8</v>
      </c>
      <c r="E129" s="337">
        <v>42403</v>
      </c>
      <c r="F129" s="338" t="s">
        <v>788</v>
      </c>
      <c r="G129" s="1022" t="s">
        <v>798</v>
      </c>
      <c r="H129" s="339" t="s">
        <v>429</v>
      </c>
      <c r="I129" s="476"/>
      <c r="J129" s="476"/>
      <c r="K129" s="469"/>
      <c r="L129" s="476"/>
      <c r="M129" s="65">
        <v>110000000</v>
      </c>
      <c r="N129" s="65"/>
      <c r="O129" s="340" t="s">
        <v>24</v>
      </c>
      <c r="P129" s="340" t="s">
        <v>31</v>
      </c>
      <c r="Q129" s="66" t="str">
        <f>IF(AND('331-CT'!$E$7=TH!H129,OR(O129="331",P129="331")),"x","")</f>
        <v/>
      </c>
      <c r="R129" s="66" t="str">
        <f>IF(AND($B129&gt;='111'!$N$11,$B129&lt;='111'!$O$11,OR($O129=$R$7,$P129=$R$7)),"x","")</f>
        <v/>
      </c>
      <c r="S129" s="66" t="str">
        <f>IF(AND($O129=$R$7,$B129&lt;'111'!$N$11),"x","")</f>
        <v/>
      </c>
      <c r="T129" s="66" t="str">
        <f>IF(AND($P129=$R$7,$B129&lt;'111'!$N$11),"x","")</f>
        <v/>
      </c>
      <c r="U129" s="66" t="str">
        <f>IF(AND($B129&gt;='112'!$M$9,$B129&lt;='112'!$N$9,OR($O129='112'!$I$6,$P129='112'!$I$6)),"x","")</f>
        <v/>
      </c>
      <c r="V129" s="66" t="str">
        <f>IF(AND($O129='112'!$I$6,$B129&lt;'112'!$M$9),"x","")</f>
        <v/>
      </c>
      <c r="W129" s="66" t="str">
        <f>IF(AND($P129='112'!$I$6,$B129&lt;'112'!$M$9),"x","")</f>
        <v>x</v>
      </c>
      <c r="X129" s="66" t="str">
        <f>IF(AND('131-CT'!$H$9=TH!H129,OR(O129="131",P129="131")),"x","")</f>
        <v/>
      </c>
      <c r="Y129" s="80" t="str">
        <f>IF(AND($B129&gt;='1331'!$I$9,$B129&lt;='1331'!$J$9,OR($O129=$Y$7,$P129=$Y$7)),"x","")</f>
        <v/>
      </c>
      <c r="Z129" s="80" t="str">
        <f>IF(AND($O129=$Y$7,$B129&lt;'1331'!$I$9),"x","")</f>
        <v/>
      </c>
      <c r="AA129" s="80" t="str">
        <f>IF(AND($P129=$Y$7,$B129&lt;'1331'!$I$9),"x","")</f>
        <v/>
      </c>
      <c r="AB129" s="80" t="str">
        <f>IF(AND($B129&gt;='1332'!$I$9,$B129&lt;='1332'!$I$9,OR($O129=$AB$7,$P129=$AB$7)),"x","")</f>
        <v/>
      </c>
      <c r="AC129" s="80" t="str">
        <f>IF(AND($O129=$AB$7,$B129&lt;'1332'!$I$9),"x","")</f>
        <v/>
      </c>
      <c r="AD129" s="80" t="str">
        <f>IF(AND($P129=$AB$7,$B129&lt;'1332'!$I$9),"x","")</f>
        <v/>
      </c>
      <c r="AE129" s="80" t="str">
        <f>IF(AND('341-CT'!$H$9=H129,OR(LEFT(O129,3)=$AE$7,LEFT(P129,3)=$AE$7)),"x","")</f>
        <v/>
      </c>
      <c r="AF129" s="80" t="str">
        <f>IF(OR(TH!O129=TH!$AF$7,P129=TH!$AF$7),"x","")</f>
        <v>x</v>
      </c>
      <c r="AG129" s="80"/>
      <c r="AH129" s="80" t="str">
        <f>IF(AND(B129&gt;='IN-NX'!$P$3,B129&lt;='IN-NX'!$Q$3,'IN-NX'!$D$7=D129,OR(LEFT(L129,2)="15",AND(LEFT(M129,2)&lt;&gt;"15",LEFT(M129,2)&lt;&gt;"33"))),"x","")</f>
        <v/>
      </c>
      <c r="AI129" s="80" t="str">
        <f>IF(AND(OR(LEFT(TH!O129,2)="15",LEFT(TH!P129,2)="15"),'152-CT'!$J$8=TH!F129),"x","")</f>
        <v/>
      </c>
      <c r="AJ129" s="80" t="str">
        <f>IF(AND(OR(LEFT(TH!O129,2)="15",LEFT(TH!P129,2)="15"),'THE KHO'!$E$7=TH!F129),"x","")</f>
        <v/>
      </c>
      <c r="AK129" s="80" t="str">
        <f>IF(AND(O129="1521",MONTH(C129)='BK NL'!$M$11),"x","")</f>
        <v/>
      </c>
    </row>
    <row r="130" spans="1:39" s="1007" customFormat="1" ht="15.75" customHeight="1">
      <c r="A130" s="362" t="str">
        <f>IF(B130&lt;&gt;"",IF(AND(B130&gt;=_TM1,B130&lt;=_TM2,OR(TH!O130="1111",TH!P130="1111")),TH!D130,""),"")</f>
        <v/>
      </c>
      <c r="B130" s="63">
        <f t="shared" si="5"/>
        <v>2</v>
      </c>
      <c r="C130" s="337">
        <v>42403</v>
      </c>
      <c r="D130" s="337" t="s">
        <v>8</v>
      </c>
      <c r="E130" s="337">
        <v>42403</v>
      </c>
      <c r="F130" s="338" t="s">
        <v>22</v>
      </c>
      <c r="G130" s="1022" t="s">
        <v>798</v>
      </c>
      <c r="H130" s="339"/>
      <c r="I130" s="476"/>
      <c r="J130" s="476"/>
      <c r="K130" s="469"/>
      <c r="L130" s="476"/>
      <c r="M130" s="65">
        <v>33000</v>
      </c>
      <c r="N130" s="65"/>
      <c r="O130" s="340" t="s">
        <v>135</v>
      </c>
      <c r="P130" s="340" t="s">
        <v>31</v>
      </c>
      <c r="Q130" s="66" t="str">
        <f>IF(AND('331-CT'!$E$7=TH!H130,OR(O130="331",P130="331")),"x","")</f>
        <v/>
      </c>
      <c r="R130" s="66" t="str">
        <f>IF(AND($B130&gt;='111'!$N$11,$B130&lt;='111'!$O$11,OR($O130=$R$7,$P130=$R$7)),"x","")</f>
        <v/>
      </c>
      <c r="S130" s="66" t="str">
        <f>IF(AND($O130=$R$7,$B130&lt;'111'!$N$11),"x","")</f>
        <v/>
      </c>
      <c r="T130" s="66" t="str">
        <f>IF(AND($P130=$R$7,$B130&lt;'111'!$N$11),"x","")</f>
        <v/>
      </c>
      <c r="U130" s="66" t="str">
        <f>IF(AND($B130&gt;='112'!$M$9,$B130&lt;='112'!$N$9,OR($O130='112'!$I$6,$P130='112'!$I$6)),"x","")</f>
        <v/>
      </c>
      <c r="V130" s="66" t="str">
        <f>IF(AND($O130='112'!$I$6,$B130&lt;'112'!$M$9),"x","")</f>
        <v/>
      </c>
      <c r="W130" s="66" t="str">
        <f>IF(AND($P130='112'!$I$6,$B130&lt;'112'!$M$9),"x","")</f>
        <v>x</v>
      </c>
      <c r="X130" s="66" t="str">
        <f>IF(AND('131-CT'!$H$9=TH!H130,OR(O130="131",P130="131")),"x","")</f>
        <v/>
      </c>
      <c r="Y130" s="80" t="str">
        <f>IF(AND($B130&gt;='1331'!$I$9,$B130&lt;='1331'!$J$9,OR($O130=$Y$7,$P130=$Y$7)),"x","")</f>
        <v/>
      </c>
      <c r="Z130" s="80" t="str">
        <f>IF(AND($O130=$Y$7,$B130&lt;'1331'!$I$9),"x","")</f>
        <v/>
      </c>
      <c r="AA130" s="80" t="str">
        <f>IF(AND($P130=$Y$7,$B130&lt;'1331'!$I$9),"x","")</f>
        <v/>
      </c>
      <c r="AB130" s="80" t="str">
        <f>IF(AND($B130&gt;='1332'!$I$9,$B130&lt;='1332'!$I$9,OR($O130=$AB$7,$P130=$AB$7)),"x","")</f>
        <v/>
      </c>
      <c r="AC130" s="80" t="str">
        <f>IF(AND($O130=$AB$7,$B130&lt;'1332'!$I$9),"x","")</f>
        <v/>
      </c>
      <c r="AD130" s="80" t="str">
        <f>IF(AND($P130=$AB$7,$B130&lt;'1332'!$I$9),"x","")</f>
        <v/>
      </c>
      <c r="AE130" s="80" t="str">
        <f>IF(AND('341-CT'!$H$9=H130,OR(LEFT(O130,3)=$AE$7,LEFT(P130,3)=$AE$7)),"x","")</f>
        <v/>
      </c>
      <c r="AF130" s="80" t="str">
        <f>IF(OR(TH!O130=TH!$AF$7,P130=TH!$AF$7),"x","")</f>
        <v/>
      </c>
      <c r="AG130" s="80"/>
      <c r="AH130" s="80" t="str">
        <f>IF(AND(B130&gt;='IN-NX'!$P$3,B130&lt;='IN-NX'!$Q$3,'IN-NX'!$D$7=D130,OR(LEFT(L130,2)="15",AND(LEFT(M130,2)&lt;&gt;"15",LEFT(M130,2)&lt;&gt;"33"))),"x","")</f>
        <v/>
      </c>
      <c r="AI130" s="80" t="str">
        <f>IF(AND(OR(LEFT(TH!O130,2)="15",LEFT(TH!P130,2)="15"),'152-CT'!$J$8=TH!F130),"x","")</f>
        <v/>
      </c>
      <c r="AJ130" s="80" t="str">
        <f>IF(AND(OR(LEFT(TH!O130,2)="15",LEFT(TH!P130,2)="15"),'THE KHO'!$E$7=TH!F130),"x","")</f>
        <v/>
      </c>
      <c r="AK130" s="80" t="str">
        <f>IF(AND(O130="1521",MONTH(C130)='BK NL'!$M$11),"x","")</f>
        <v/>
      </c>
    </row>
    <row r="131" spans="1:39" s="1007" customFormat="1" ht="15.75" customHeight="1">
      <c r="A131" s="362" t="str">
        <f>IF(B131&lt;&gt;"",IF(AND(B131&gt;=_TM1,B131&lt;=_TM2,OR(TH!O131="1111",TH!P131="1111")),TH!D131,""),"")</f>
        <v/>
      </c>
      <c r="B131" s="63">
        <f t="shared" si="5"/>
        <v>2</v>
      </c>
      <c r="C131" s="337">
        <v>42403</v>
      </c>
      <c r="D131" s="337" t="s">
        <v>8</v>
      </c>
      <c r="E131" s="337">
        <v>42403</v>
      </c>
      <c r="F131" s="338" t="s">
        <v>23</v>
      </c>
      <c r="G131" s="1022" t="s">
        <v>798</v>
      </c>
      <c r="H131" s="339"/>
      <c r="I131" s="476"/>
      <c r="J131" s="476"/>
      <c r="K131" s="469"/>
      <c r="L131" s="476"/>
      <c r="M131" s="88">
        <v>3300</v>
      </c>
      <c r="N131" s="88"/>
      <c r="O131" s="340" t="s">
        <v>10</v>
      </c>
      <c r="P131" s="340" t="s">
        <v>31</v>
      </c>
      <c r="Q131" s="66" t="str">
        <f>IF(AND('331-CT'!$E$7=TH!H131,OR(O131="331",P131="331")),"x","")</f>
        <v/>
      </c>
      <c r="R131" s="66" t="str">
        <f>IF(AND($B131&gt;='111'!$N$11,$B131&lt;='111'!$O$11,OR($O131=$R$7,$P131=$R$7)),"x","")</f>
        <v/>
      </c>
      <c r="S131" s="66" t="str">
        <f>IF(AND($O131=$R$7,$B131&lt;'111'!$N$11),"x","")</f>
        <v/>
      </c>
      <c r="T131" s="66" t="str">
        <f>IF(AND($P131=$R$7,$B131&lt;'111'!$N$11),"x","")</f>
        <v/>
      </c>
      <c r="U131" s="66" t="str">
        <f>IF(AND($B131&gt;='112'!$M$9,$B131&lt;='112'!$N$9,OR($O131='112'!$I$6,$P131='112'!$I$6)),"x","")</f>
        <v/>
      </c>
      <c r="V131" s="66" t="str">
        <f>IF(AND($O131='112'!$I$6,$B131&lt;'112'!$M$9),"x","")</f>
        <v/>
      </c>
      <c r="W131" s="66" t="str">
        <f>IF(AND($P131='112'!$I$6,$B131&lt;'112'!$M$9),"x","")</f>
        <v>x</v>
      </c>
      <c r="X131" s="66" t="str">
        <f>IF(AND('131-CT'!$H$9=TH!H131,OR(O131="131",P131="131")),"x","")</f>
        <v/>
      </c>
      <c r="Y131" s="80" t="str">
        <f>IF(AND($B131&gt;='1331'!$I$9,$B131&lt;='1331'!$J$9,OR($O131=$Y$7,$P131=$Y$7)),"x","")</f>
        <v/>
      </c>
      <c r="Z131" s="80" t="str">
        <f>IF(AND($O131=$Y$7,$B131&lt;'1331'!$I$9),"x","")</f>
        <v>x</v>
      </c>
      <c r="AA131" s="80" t="str">
        <f>IF(AND($P131=$Y$7,$B131&lt;'1331'!$I$9),"x","")</f>
        <v/>
      </c>
      <c r="AB131" s="80" t="str">
        <f>IF(AND($B131&gt;='1332'!$I$9,$B131&lt;='1332'!$I$9,OR($O131=$AB$7,$P131=$AB$7)),"x","")</f>
        <v/>
      </c>
      <c r="AC131" s="80" t="str">
        <f>IF(AND($O131=$AB$7,$B131&lt;'1332'!$I$9),"x","")</f>
        <v/>
      </c>
      <c r="AD131" s="80" t="str">
        <f>IF(AND($P131=$AB$7,$B131&lt;'1332'!$I$9),"x","")</f>
        <v/>
      </c>
      <c r="AE131" s="80" t="str">
        <f>IF(AND('341-CT'!$H$9=H131,OR(LEFT(O131,3)=$AE$7,LEFT(P131,3)=$AE$7)),"x","")</f>
        <v/>
      </c>
      <c r="AF131" s="80" t="str">
        <f>IF(OR(TH!O131=TH!$AF$7,P131=TH!$AF$7),"x","")</f>
        <v/>
      </c>
      <c r="AG131" s="80"/>
      <c r="AH131" s="80" t="str">
        <f>IF(AND(B131&gt;='IN-NX'!$P$3,B131&lt;='IN-NX'!$Q$3,'IN-NX'!$D$7=D131,OR(LEFT(L131,2)="15",AND(LEFT(M131,2)&lt;&gt;"15",LEFT(M131,2)&lt;&gt;"33"))),"x","")</f>
        <v/>
      </c>
      <c r="AI131" s="80" t="str">
        <f>IF(AND(OR(LEFT(TH!O131,2)="15",LEFT(TH!P131,2)="15"),'152-CT'!$J$8=TH!F131),"x","")</f>
        <v/>
      </c>
      <c r="AJ131" s="80" t="str">
        <f>IF(AND(OR(LEFT(TH!O131,2)="15",LEFT(TH!P131,2)="15"),'THE KHO'!$E$7=TH!F131),"x","")</f>
        <v/>
      </c>
      <c r="AK131" s="80" t="str">
        <f>IF(AND(O131="1521",MONTH(C131)='BK NL'!$M$11),"x","")</f>
        <v/>
      </c>
      <c r="AM131" s="1007">
        <v>1</v>
      </c>
    </row>
    <row r="132" spans="1:39" s="1007" customFormat="1" ht="15.75" customHeight="1">
      <c r="A132" s="362" t="str">
        <f>IF(B132&lt;&gt;"",IF(AND(B132&gt;=_TM1,B132&lt;=_TM2,OR(TH!O132="1111",TH!P132="1111")),TH!D132,""),"")</f>
        <v/>
      </c>
      <c r="B132" s="63">
        <f t="shared" si="5"/>
        <v>2</v>
      </c>
      <c r="C132" s="367">
        <v>42403</v>
      </c>
      <c r="D132" s="337" t="s">
        <v>314</v>
      </c>
      <c r="E132" s="337">
        <v>42403</v>
      </c>
      <c r="F132" s="338" t="s">
        <v>430</v>
      </c>
      <c r="G132" s="1022"/>
      <c r="H132" s="339" t="s">
        <v>429</v>
      </c>
      <c r="I132" s="476"/>
      <c r="J132" s="476"/>
      <c r="K132" s="469"/>
      <c r="L132" s="476"/>
      <c r="M132" s="65">
        <v>110000000</v>
      </c>
      <c r="N132" s="65"/>
      <c r="O132" s="1023" t="s">
        <v>97</v>
      </c>
      <c r="P132" s="340" t="s">
        <v>24</v>
      </c>
      <c r="Q132" s="66" t="str">
        <f>IF(AND('331-CT'!$E$7=TH!H132,OR(O132="331",P132="331")),"x","")</f>
        <v/>
      </c>
      <c r="R132" s="66" t="str">
        <f>IF(AND($B132&gt;='111'!$N$11,$B132&lt;='111'!$O$11,OR($O132=$R$7,$P132=$R$7)),"x","")</f>
        <v/>
      </c>
      <c r="S132" s="66" t="str">
        <f>IF(AND($O132=$R$7,$B132&lt;'111'!$N$11),"x","")</f>
        <v>x</v>
      </c>
      <c r="T132" s="66" t="str">
        <f>IF(AND($P132=$R$7,$B132&lt;'111'!$N$11),"x","")</f>
        <v/>
      </c>
      <c r="U132" s="66" t="str">
        <f>IF(AND($B132&gt;='112'!$M$9,$B132&lt;='112'!$N$9,OR($O132='112'!$I$6,$P132='112'!$I$6)),"x","")</f>
        <v/>
      </c>
      <c r="V132" s="66" t="str">
        <f>IF(AND($O132='112'!$I$6,$B132&lt;'112'!$M$9),"x","")</f>
        <v/>
      </c>
      <c r="W132" s="66" t="str">
        <f>IF(AND($P132='112'!$I$6,$B132&lt;'112'!$M$9),"x","")</f>
        <v/>
      </c>
      <c r="X132" s="66" t="str">
        <f>IF(AND('131-CT'!$H$9=TH!H132,OR(O132="131",P132="131")),"x","")</f>
        <v/>
      </c>
      <c r="Y132" s="80" t="str">
        <f>IF(AND($B132&gt;='1331'!$I$9,$B132&lt;='1331'!$J$9,OR($O132=$Y$7,$P132=$Y$7)),"x","")</f>
        <v/>
      </c>
      <c r="Z132" s="80" t="str">
        <f>IF(AND($O132=$Y$7,$B132&lt;'1331'!$I$9),"x","")</f>
        <v/>
      </c>
      <c r="AA132" s="80" t="str">
        <f>IF(AND($P132=$Y$7,$B132&lt;'1331'!$I$9),"x","")</f>
        <v/>
      </c>
      <c r="AB132" s="80" t="str">
        <f>IF(AND($B132&gt;='1332'!$I$9,$B132&lt;='1332'!$I$9,OR($O132=$AB$7,$P132=$AB$7)),"x","")</f>
        <v/>
      </c>
      <c r="AC132" s="80" t="str">
        <f>IF(AND($O132=$AB$7,$B132&lt;'1332'!$I$9),"x","")</f>
        <v/>
      </c>
      <c r="AD132" s="80" t="str">
        <f>IF(AND($P132=$AB$7,$B132&lt;'1332'!$I$9),"x","")</f>
        <v/>
      </c>
      <c r="AE132" s="80" t="str">
        <f>IF(AND('341-CT'!$H$9=H132,OR(LEFT(O132,3)=$AE$7,LEFT(P132,3)=$AE$7)),"x","")</f>
        <v/>
      </c>
      <c r="AF132" s="80" t="str">
        <f>IF(OR(TH!O132=TH!$AF$7,P132=TH!$AF$7),"x","")</f>
        <v>x</v>
      </c>
      <c r="AG132" s="80"/>
      <c r="AH132" s="80" t="str">
        <f>IF(AND(B132&gt;='IN-NX'!$P$3,B132&lt;='IN-NX'!$Q$3,'IN-NX'!$D$7=D132,OR(LEFT(L132,2)="15",AND(LEFT(M132,2)&lt;&gt;"15",LEFT(M132,2)&lt;&gt;"33"))),"x","")</f>
        <v/>
      </c>
      <c r="AI132" s="80" t="str">
        <f>IF(AND(OR(LEFT(TH!O132,2)="15",LEFT(TH!P132,2)="15"),'152-CT'!$J$8=TH!F132),"x","")</f>
        <v/>
      </c>
      <c r="AJ132" s="80" t="str">
        <f>IF(AND(OR(LEFT(TH!O132,2)="15",LEFT(TH!P132,2)="15"),'THE KHO'!$E$7=TH!F132),"x","")</f>
        <v/>
      </c>
      <c r="AK132" s="80" t="str">
        <f>IF(AND(O132="1521",MONTH(C132)='BK NL'!$M$11),"x","")</f>
        <v/>
      </c>
      <c r="AM132" s="1007">
        <v>1</v>
      </c>
    </row>
    <row r="133" spans="1:39" s="1007" customFormat="1" ht="15.75" customHeight="1">
      <c r="A133" s="362" t="str">
        <f>IF(B133&lt;&gt;"",IF(AND(B133&gt;=_TM1,B133&lt;=_TM2,OR(TH!O133="1111",TH!P133="1111")),TH!D133,""),"")</f>
        <v/>
      </c>
      <c r="B133" s="63">
        <f t="shared" si="5"/>
        <v>2</v>
      </c>
      <c r="C133" s="367">
        <v>42410</v>
      </c>
      <c r="D133" s="337" t="s">
        <v>193</v>
      </c>
      <c r="E133" s="337">
        <v>42410</v>
      </c>
      <c r="F133" s="338" t="s">
        <v>431</v>
      </c>
      <c r="G133" s="1022" t="s">
        <v>432</v>
      </c>
      <c r="H133" s="339" t="s">
        <v>315</v>
      </c>
      <c r="I133" s="476"/>
      <c r="J133" s="476"/>
      <c r="K133" s="469"/>
      <c r="L133" s="476"/>
      <c r="M133" s="65">
        <v>6818182</v>
      </c>
      <c r="N133" s="65"/>
      <c r="O133" s="340" t="s">
        <v>135</v>
      </c>
      <c r="P133" s="340" t="s">
        <v>97</v>
      </c>
      <c r="Q133" s="66" t="str">
        <f>IF(AND('331-CT'!$E$7=TH!H133,OR(O133="331",P133="331")),"x","")</f>
        <v/>
      </c>
      <c r="R133" s="66" t="str">
        <f>IF(AND($B133&gt;='111'!$N$11,$B133&lt;='111'!$O$11,OR($O133=$R$7,$P133=$R$7)),"x","")</f>
        <v/>
      </c>
      <c r="S133" s="66" t="str">
        <f>IF(AND($O133=$R$7,$B133&lt;'111'!$N$11),"x","")</f>
        <v/>
      </c>
      <c r="T133" s="66" t="str">
        <f>IF(AND($P133=$R$7,$B133&lt;'111'!$N$11),"x","")</f>
        <v>x</v>
      </c>
      <c r="U133" s="66" t="str">
        <f>IF(AND($B133&gt;='112'!$M$9,$B133&lt;='112'!$N$9,OR($O133='112'!$I$6,$P133='112'!$I$6)),"x","")</f>
        <v/>
      </c>
      <c r="V133" s="66" t="str">
        <f>IF(AND($O133='112'!$I$6,$B133&lt;'112'!$M$9),"x","")</f>
        <v/>
      </c>
      <c r="W133" s="66" t="str">
        <f>IF(AND($P133='112'!$I$6,$B133&lt;'112'!$M$9),"x","")</f>
        <v/>
      </c>
      <c r="X133" s="66" t="str">
        <f>IF(AND('131-CT'!$H$9=TH!H133,OR(O133="131",P133="131")),"x","")</f>
        <v/>
      </c>
      <c r="Y133" s="80" t="str">
        <f>IF(AND($B133&gt;='1331'!$I$9,$B133&lt;='1331'!$J$9,OR($O133=$Y$7,$P133=$Y$7)),"x","")</f>
        <v/>
      </c>
      <c r="Z133" s="80" t="str">
        <f>IF(AND($O133=$Y$7,$B133&lt;'1331'!$I$9),"x","")</f>
        <v/>
      </c>
      <c r="AA133" s="80" t="str">
        <f>IF(AND($P133=$Y$7,$B133&lt;'1331'!$I$9),"x","")</f>
        <v/>
      </c>
      <c r="AB133" s="80" t="str">
        <f>IF(AND($B133&gt;='1332'!$I$9,$B133&lt;='1332'!$I$9,OR($O133=$AB$7,$P133=$AB$7)),"x","")</f>
        <v/>
      </c>
      <c r="AC133" s="80" t="str">
        <f>IF(AND($O133=$AB$7,$B133&lt;'1332'!$I$9),"x","")</f>
        <v/>
      </c>
      <c r="AD133" s="80" t="str">
        <f>IF(AND($P133=$AB$7,$B133&lt;'1332'!$I$9),"x","")</f>
        <v/>
      </c>
      <c r="AE133" s="80" t="str">
        <f>IF(AND('341-CT'!$H$9=H133,OR(LEFT(O133,3)=$AE$7,LEFT(P133,3)=$AE$7)),"x","")</f>
        <v/>
      </c>
      <c r="AF133" s="80" t="str">
        <f>IF(OR(TH!O133=TH!$AF$7,P133=TH!$AF$7),"x","")</f>
        <v/>
      </c>
      <c r="AG133" s="80"/>
      <c r="AH133" s="80" t="str">
        <f>IF(AND(B133&gt;='IN-NX'!$P$3,B133&lt;='IN-NX'!$Q$3,'IN-NX'!$D$7=D133,OR(LEFT(L133,2)="15",AND(LEFT(M133,2)&lt;&gt;"15",LEFT(M133,2)&lt;&gt;"33"))),"x","")</f>
        <v/>
      </c>
      <c r="AI133" s="80" t="str">
        <f>IF(AND(OR(LEFT(TH!O133,2)="15",LEFT(TH!P133,2)="15"),'152-CT'!$J$8=TH!F133),"x","")</f>
        <v/>
      </c>
      <c r="AJ133" s="80" t="str">
        <f>IF(AND(OR(LEFT(TH!O133,2)="15",LEFT(TH!P133,2)="15"),'THE KHO'!$E$7=TH!F133),"x","")</f>
        <v/>
      </c>
      <c r="AK133" s="80" t="str">
        <f>IF(AND(O133="1521",MONTH(C133)='BK NL'!$M$11),"x","")</f>
        <v/>
      </c>
      <c r="AM133" s="1007">
        <v>1</v>
      </c>
    </row>
    <row r="134" spans="1:39" s="1007" customFormat="1" ht="15.75" customHeight="1">
      <c r="A134" s="362" t="str">
        <f>IF(B134&lt;&gt;"",IF(AND(B134&gt;=_TM1,B134&lt;=_TM2,OR(TH!O134="1111",TH!P134="1111")),TH!D134,""),"")</f>
        <v/>
      </c>
      <c r="B134" s="63">
        <f t="shared" si="5"/>
        <v>2</v>
      </c>
      <c r="C134" s="337">
        <v>42410</v>
      </c>
      <c r="D134" s="337" t="s">
        <v>193</v>
      </c>
      <c r="E134" s="337">
        <v>42410</v>
      </c>
      <c r="F134" s="338" t="s">
        <v>433</v>
      </c>
      <c r="G134" s="1022" t="s">
        <v>432</v>
      </c>
      <c r="H134" s="339" t="s">
        <v>315</v>
      </c>
      <c r="I134" s="476"/>
      <c r="J134" s="476"/>
      <c r="K134" s="469"/>
      <c r="L134" s="476"/>
      <c r="M134" s="88">
        <v>681818</v>
      </c>
      <c r="N134" s="88"/>
      <c r="O134" s="340" t="s">
        <v>10</v>
      </c>
      <c r="P134" s="340" t="s">
        <v>97</v>
      </c>
      <c r="Q134" s="66" t="str">
        <f>IF(AND('331-CT'!$E$7=TH!H134,OR(O134="331",P134="331")),"x","")</f>
        <v/>
      </c>
      <c r="R134" s="66" t="str">
        <f>IF(AND($B134&gt;='111'!$N$11,$B134&lt;='111'!$O$11,OR($O134=$R$7,$P134=$R$7)),"x","")</f>
        <v/>
      </c>
      <c r="S134" s="66" t="str">
        <f>IF(AND($O134=$R$7,$B134&lt;'111'!$N$11),"x","")</f>
        <v/>
      </c>
      <c r="T134" s="66" t="str">
        <f>IF(AND($P134=$R$7,$B134&lt;'111'!$N$11),"x","")</f>
        <v>x</v>
      </c>
      <c r="U134" s="66" t="str">
        <f>IF(AND($B134&gt;='112'!$M$9,$B134&lt;='112'!$N$9,OR($O134='112'!$I$6,$P134='112'!$I$6)),"x","")</f>
        <v/>
      </c>
      <c r="V134" s="66" t="str">
        <f>IF(AND($O134='112'!$I$6,$B134&lt;'112'!$M$9),"x","")</f>
        <v/>
      </c>
      <c r="W134" s="66" t="str">
        <f>IF(AND($P134='112'!$I$6,$B134&lt;'112'!$M$9),"x","")</f>
        <v/>
      </c>
      <c r="X134" s="66" t="str">
        <f>IF(AND('131-CT'!$H$9=TH!H134,OR(O134="131",P134="131")),"x","")</f>
        <v/>
      </c>
      <c r="Y134" s="80" t="str">
        <f>IF(AND($B134&gt;='1331'!$I$9,$B134&lt;='1331'!$J$9,OR($O134=$Y$7,$P134=$Y$7)),"x","")</f>
        <v/>
      </c>
      <c r="Z134" s="80" t="str">
        <f>IF(AND($O134=$Y$7,$B134&lt;'1331'!$I$9),"x","")</f>
        <v>x</v>
      </c>
      <c r="AA134" s="80" t="str">
        <f>IF(AND($P134=$Y$7,$B134&lt;'1331'!$I$9),"x","")</f>
        <v/>
      </c>
      <c r="AB134" s="80" t="str">
        <f>IF(AND($B134&gt;='1332'!$I$9,$B134&lt;='1332'!$I$9,OR($O134=$AB$7,$P134=$AB$7)),"x","")</f>
        <v/>
      </c>
      <c r="AC134" s="80" t="str">
        <f>IF(AND($O134=$AB$7,$B134&lt;'1332'!$I$9),"x","")</f>
        <v/>
      </c>
      <c r="AD134" s="80" t="str">
        <f>IF(AND($P134=$AB$7,$B134&lt;'1332'!$I$9),"x","")</f>
        <v/>
      </c>
      <c r="AE134" s="80" t="str">
        <f>IF(AND('341-CT'!$H$9=H134,OR(LEFT(O134,3)=$AE$7,LEFT(P134,3)=$AE$7)),"x","")</f>
        <v/>
      </c>
      <c r="AF134" s="80" t="str">
        <f>IF(OR(TH!O134=TH!$AF$7,P134=TH!$AF$7),"x","")</f>
        <v/>
      </c>
      <c r="AG134" s="80"/>
      <c r="AH134" s="80" t="str">
        <f>IF(AND(B134&gt;='IN-NX'!$P$3,B134&lt;='IN-NX'!$Q$3,'IN-NX'!$D$7=D134,OR(LEFT(L134,2)="15",AND(LEFT(M134,2)&lt;&gt;"15",LEFT(M134,2)&lt;&gt;"33"))),"x","")</f>
        <v/>
      </c>
      <c r="AI134" s="80" t="str">
        <f>IF(AND(OR(LEFT(TH!O134,2)="15",LEFT(TH!P134,2)="15"),'152-CT'!$J$8=TH!F134),"x","")</f>
        <v/>
      </c>
      <c r="AJ134" s="80" t="str">
        <f>IF(AND(OR(LEFT(TH!O134,2)="15",LEFT(TH!P134,2)="15"),'THE KHO'!$E$7=TH!F134),"x","")</f>
        <v/>
      </c>
      <c r="AK134" s="80" t="str">
        <f>IF(AND(O134="1521",MONTH(C134)='BK NL'!$M$11),"x","")</f>
        <v/>
      </c>
      <c r="AM134" s="1007">
        <v>1</v>
      </c>
    </row>
    <row r="135" spans="1:39" s="1007" customFormat="1" ht="15.75" customHeight="1">
      <c r="A135" s="362" t="str">
        <f>IF(B135&lt;&gt;"",IF(AND(B135&gt;=_TM1,B135&lt;=_TM2,OR(TH!O135="1111",TH!P135="1111")),TH!D135,""),"")</f>
        <v/>
      </c>
      <c r="B135" s="63">
        <f t="shared" si="5"/>
        <v>2</v>
      </c>
      <c r="C135" s="337">
        <v>42419</v>
      </c>
      <c r="D135" s="337" t="s">
        <v>194</v>
      </c>
      <c r="E135" s="337">
        <v>42419</v>
      </c>
      <c r="F135" s="338" t="s">
        <v>434</v>
      </c>
      <c r="G135" s="1022" t="s">
        <v>435</v>
      </c>
      <c r="H135" s="339" t="s">
        <v>161</v>
      </c>
      <c r="I135" s="476"/>
      <c r="J135" s="476"/>
      <c r="K135" s="469"/>
      <c r="L135" s="476"/>
      <c r="M135" s="65">
        <v>514077</v>
      </c>
      <c r="N135" s="65"/>
      <c r="O135" s="340" t="s">
        <v>135</v>
      </c>
      <c r="P135" s="340" t="s">
        <v>97</v>
      </c>
      <c r="Q135" s="66" t="str">
        <f>IF(AND('331-CT'!$E$7=TH!H135,OR(O135="331",P135="331")),"x","")</f>
        <v/>
      </c>
      <c r="R135" s="66" t="str">
        <f>IF(AND($B135&gt;='111'!$N$11,$B135&lt;='111'!$O$11,OR($O135=$R$7,$P135=$R$7)),"x","")</f>
        <v/>
      </c>
      <c r="S135" s="66" t="str">
        <f>IF(AND($O135=$R$7,$B135&lt;'111'!$N$11),"x","")</f>
        <v/>
      </c>
      <c r="T135" s="66" t="str">
        <f>IF(AND($P135=$R$7,$B135&lt;'111'!$N$11),"x","")</f>
        <v>x</v>
      </c>
      <c r="U135" s="66" t="str">
        <f>IF(AND($B135&gt;='112'!$M$9,$B135&lt;='112'!$N$9,OR($O135='112'!$I$6,$P135='112'!$I$6)),"x","")</f>
        <v/>
      </c>
      <c r="V135" s="66" t="str">
        <f>IF(AND($O135='112'!$I$6,$B135&lt;'112'!$M$9),"x","")</f>
        <v/>
      </c>
      <c r="W135" s="66" t="str">
        <f>IF(AND($P135='112'!$I$6,$B135&lt;'112'!$M$9),"x","")</f>
        <v/>
      </c>
      <c r="X135" s="66" t="str">
        <f>IF(AND('131-CT'!$H$9=TH!H135,OR(O135="131",P135="131")),"x","")</f>
        <v/>
      </c>
      <c r="Y135" s="80" t="str">
        <f>IF(AND($B135&gt;='1331'!$I$9,$B135&lt;='1331'!$J$9,OR($O135=$Y$7,$P135=$Y$7)),"x","")</f>
        <v/>
      </c>
      <c r="Z135" s="80" t="str">
        <f>IF(AND($O135=$Y$7,$B135&lt;'1331'!$I$9),"x","")</f>
        <v/>
      </c>
      <c r="AA135" s="80" t="str">
        <f>IF(AND($P135=$Y$7,$B135&lt;'1331'!$I$9),"x","")</f>
        <v/>
      </c>
      <c r="AB135" s="80" t="str">
        <f>IF(AND($B135&gt;='1332'!$I$9,$B135&lt;='1332'!$I$9,OR($O135=$AB$7,$P135=$AB$7)),"x","")</f>
        <v/>
      </c>
      <c r="AC135" s="80" t="str">
        <f>IF(AND($O135=$AB$7,$B135&lt;'1332'!$I$9),"x","")</f>
        <v/>
      </c>
      <c r="AD135" s="80" t="str">
        <f>IF(AND($P135=$AB$7,$B135&lt;'1332'!$I$9),"x","")</f>
        <v/>
      </c>
      <c r="AE135" s="80" t="str">
        <f>IF(AND('341-CT'!$H$9=H135,OR(LEFT(O135,3)=$AE$7,LEFT(P135,3)=$AE$7)),"x","")</f>
        <v/>
      </c>
      <c r="AF135" s="80" t="str">
        <f>IF(OR(TH!O135=TH!$AF$7,P135=TH!$AF$7),"x","")</f>
        <v/>
      </c>
      <c r="AG135" s="80"/>
      <c r="AH135" s="80" t="str">
        <f>IF(AND(B135&gt;='IN-NX'!$P$3,B135&lt;='IN-NX'!$Q$3,'IN-NX'!$D$7=D135,OR(LEFT(L135,2)="15",AND(LEFT(M135,2)&lt;&gt;"15",LEFT(M135,2)&lt;&gt;"33"))),"x","")</f>
        <v/>
      </c>
      <c r="AI135" s="80" t="str">
        <f>IF(AND(OR(LEFT(TH!O135,2)="15",LEFT(TH!P135,2)="15"),'152-CT'!$J$8=TH!F135),"x","")</f>
        <v/>
      </c>
      <c r="AJ135" s="80" t="str">
        <f>IF(AND(OR(LEFT(TH!O135,2)="15",LEFT(TH!P135,2)="15"),'THE KHO'!$E$7=TH!F135),"x","")</f>
        <v/>
      </c>
      <c r="AK135" s="80" t="str">
        <f>IF(AND(O135="1521",MONTH(C135)='BK NL'!$M$11),"x","")</f>
        <v/>
      </c>
      <c r="AM135" s="1007">
        <v>1</v>
      </c>
    </row>
    <row r="136" spans="1:39" s="1007" customFormat="1" ht="15.75" customHeight="1">
      <c r="A136" s="362" t="str">
        <f>IF(B136&lt;&gt;"",IF(AND(B136&gt;=_TM1,B136&lt;=_TM2,OR(TH!O136="1111",TH!P136="1111")),TH!D136,""),"")</f>
        <v/>
      </c>
      <c r="B136" s="63">
        <f t="shared" si="5"/>
        <v>2</v>
      </c>
      <c r="C136" s="337">
        <v>42419</v>
      </c>
      <c r="D136" s="337" t="s">
        <v>194</v>
      </c>
      <c r="E136" s="337">
        <v>42419</v>
      </c>
      <c r="F136" s="338" t="s">
        <v>436</v>
      </c>
      <c r="G136" s="1022" t="s">
        <v>435</v>
      </c>
      <c r="H136" s="339" t="s">
        <v>161</v>
      </c>
      <c r="I136" s="476"/>
      <c r="J136" s="476"/>
      <c r="K136" s="469"/>
      <c r="L136" s="476"/>
      <c r="M136" s="88">
        <v>51408</v>
      </c>
      <c r="N136" s="88"/>
      <c r="O136" s="1023" t="s">
        <v>10</v>
      </c>
      <c r="P136" s="340" t="s">
        <v>97</v>
      </c>
      <c r="Q136" s="66" t="str">
        <f>IF(AND('331-CT'!$E$7=TH!H136,OR(O136="331",P136="331")),"x","")</f>
        <v/>
      </c>
      <c r="R136" s="66" t="str">
        <f>IF(AND($B136&gt;='111'!$N$11,$B136&lt;='111'!$O$11,OR($O136=$R$7,$P136=$R$7)),"x","")</f>
        <v/>
      </c>
      <c r="S136" s="66" t="str">
        <f>IF(AND($O136=$R$7,$B136&lt;'111'!$N$11),"x","")</f>
        <v/>
      </c>
      <c r="T136" s="66" t="str">
        <f>IF(AND($P136=$R$7,$B136&lt;'111'!$N$11),"x","")</f>
        <v>x</v>
      </c>
      <c r="U136" s="66" t="str">
        <f>IF(AND($B136&gt;='112'!$M$9,$B136&lt;='112'!$N$9,OR($O136='112'!$I$6,$P136='112'!$I$6)),"x","")</f>
        <v/>
      </c>
      <c r="V136" s="66" t="str">
        <f>IF(AND($O136='112'!$I$6,$B136&lt;'112'!$M$9),"x","")</f>
        <v/>
      </c>
      <c r="W136" s="66" t="str">
        <f>IF(AND($P136='112'!$I$6,$B136&lt;'112'!$M$9),"x","")</f>
        <v/>
      </c>
      <c r="X136" s="66" t="str">
        <f>IF(AND('131-CT'!$H$9=TH!H136,OR(O136="131",P136="131")),"x","")</f>
        <v/>
      </c>
      <c r="Y136" s="80" t="str">
        <f>IF(AND($B136&gt;='1331'!$I$9,$B136&lt;='1331'!$J$9,OR($O136=$Y$7,$P136=$Y$7)),"x","")</f>
        <v/>
      </c>
      <c r="Z136" s="80" t="str">
        <f>IF(AND($O136=$Y$7,$B136&lt;'1331'!$I$9),"x","")</f>
        <v>x</v>
      </c>
      <c r="AA136" s="80" t="str">
        <f>IF(AND($P136=$Y$7,$B136&lt;'1331'!$I$9),"x","")</f>
        <v/>
      </c>
      <c r="AB136" s="80" t="str">
        <f>IF(AND($B136&gt;='1332'!$I$9,$B136&lt;='1332'!$I$9,OR($O136=$AB$7,$P136=$AB$7)),"x","")</f>
        <v/>
      </c>
      <c r="AC136" s="80" t="str">
        <f>IF(AND($O136=$AB$7,$B136&lt;'1332'!$I$9),"x","")</f>
        <v/>
      </c>
      <c r="AD136" s="80" t="str">
        <f>IF(AND($P136=$AB$7,$B136&lt;'1332'!$I$9),"x","")</f>
        <v/>
      </c>
      <c r="AE136" s="80" t="str">
        <f>IF(AND('341-CT'!$H$9=H136,OR(LEFT(O136,3)=$AE$7,LEFT(P136,3)=$AE$7)),"x","")</f>
        <v/>
      </c>
      <c r="AF136" s="80" t="str">
        <f>IF(OR(TH!O136=TH!$AF$7,P136=TH!$AF$7),"x","")</f>
        <v/>
      </c>
      <c r="AG136" s="80"/>
      <c r="AH136" s="80" t="str">
        <f>IF(AND(B136&gt;='IN-NX'!$P$3,B136&lt;='IN-NX'!$Q$3,'IN-NX'!$D$7=D136,OR(LEFT(L136,2)="15",AND(LEFT(M136,2)&lt;&gt;"15",LEFT(M136,2)&lt;&gt;"33"))),"x","")</f>
        <v/>
      </c>
      <c r="AI136" s="80" t="str">
        <f>IF(AND(OR(LEFT(TH!O136,2)="15",LEFT(TH!P136,2)="15"),'152-CT'!$J$8=TH!F136),"x","")</f>
        <v/>
      </c>
      <c r="AJ136" s="80" t="str">
        <f>IF(AND(OR(LEFT(TH!O136,2)="15",LEFT(TH!P136,2)="15"),'THE KHO'!$E$7=TH!F136),"x","")</f>
        <v/>
      </c>
      <c r="AK136" s="80" t="str">
        <f>IF(AND(O136="1521",MONTH(C136)='BK NL'!$M$11),"x","")</f>
        <v/>
      </c>
      <c r="AM136" s="1007">
        <v>1</v>
      </c>
    </row>
    <row r="137" spans="1:39" s="1007" customFormat="1" ht="15.75" customHeight="1">
      <c r="A137" s="362" t="str">
        <f>IF(B137&lt;&gt;"",IF(AND(B137&gt;=_TM1,B137&lt;=_TM2,OR(TH!O137="1111",TH!P137="1111")),TH!D137,""),"")</f>
        <v/>
      </c>
      <c r="B137" s="63">
        <f t="shared" si="5"/>
        <v>2</v>
      </c>
      <c r="C137" s="337">
        <v>42424</v>
      </c>
      <c r="D137" s="337" t="s">
        <v>195</v>
      </c>
      <c r="E137" s="337">
        <v>42424</v>
      </c>
      <c r="F137" s="338" t="s">
        <v>410</v>
      </c>
      <c r="G137" s="1022" t="s">
        <v>798</v>
      </c>
      <c r="H137" s="1026" t="s">
        <v>160</v>
      </c>
      <c r="I137" s="478"/>
      <c r="J137" s="478"/>
      <c r="K137" s="471"/>
      <c r="L137" s="478"/>
      <c r="M137" s="65">
        <v>170000000</v>
      </c>
      <c r="N137" s="65"/>
      <c r="O137" s="340" t="s">
        <v>31</v>
      </c>
      <c r="P137" s="340" t="s">
        <v>97</v>
      </c>
      <c r="Q137" s="66" t="str">
        <f>IF(AND('331-CT'!$E$7=TH!H137,OR(O137="331",P137="331")),"x","")</f>
        <v/>
      </c>
      <c r="R137" s="66" t="str">
        <f>IF(AND($B137&gt;='111'!$N$11,$B137&lt;='111'!$O$11,OR($O137=$R$7,$P137=$R$7)),"x","")</f>
        <v/>
      </c>
      <c r="S137" s="66" t="str">
        <f>IF(AND($O137=$R$7,$B137&lt;'111'!$N$11),"x","")</f>
        <v/>
      </c>
      <c r="T137" s="66" t="str">
        <f>IF(AND($P137=$R$7,$B137&lt;'111'!$N$11),"x","")</f>
        <v>x</v>
      </c>
      <c r="U137" s="66" t="str">
        <f>IF(AND($B137&gt;='112'!$M$9,$B137&lt;='112'!$N$9,OR($O137='112'!$I$6,$P137='112'!$I$6)),"x","")</f>
        <v/>
      </c>
      <c r="V137" s="66" t="str">
        <f>IF(AND($O137='112'!$I$6,$B137&lt;'112'!$M$9),"x","")</f>
        <v>x</v>
      </c>
      <c r="W137" s="66" t="str">
        <f>IF(AND($P137='112'!$I$6,$B137&lt;'112'!$M$9),"x","")</f>
        <v/>
      </c>
      <c r="X137" s="66" t="str">
        <f>IF(AND('131-CT'!$H$9=TH!H137,OR(O137="131",P137="131")),"x","")</f>
        <v/>
      </c>
      <c r="Y137" s="80" t="str">
        <f>IF(AND($B137&gt;='1331'!$I$9,$B137&lt;='1331'!$J$9,OR($O137=$Y$7,$P137=$Y$7)),"x","")</f>
        <v/>
      </c>
      <c r="Z137" s="80" t="str">
        <f>IF(AND($O137=$Y$7,$B137&lt;'1331'!$I$9),"x","")</f>
        <v/>
      </c>
      <c r="AA137" s="80" t="str">
        <f>IF(AND($P137=$Y$7,$B137&lt;'1331'!$I$9),"x","")</f>
        <v/>
      </c>
      <c r="AB137" s="80" t="str">
        <f>IF(AND($B137&gt;='1332'!$I$9,$B137&lt;='1332'!$I$9,OR($O137=$AB$7,$P137=$AB$7)),"x","")</f>
        <v/>
      </c>
      <c r="AC137" s="80" t="str">
        <f>IF(AND($O137=$AB$7,$B137&lt;'1332'!$I$9),"x","")</f>
        <v/>
      </c>
      <c r="AD137" s="80" t="str">
        <f>IF(AND($P137=$AB$7,$B137&lt;'1332'!$I$9),"x","")</f>
        <v/>
      </c>
      <c r="AE137" s="80" t="str">
        <f>IF(AND('341-CT'!$H$9=H137,OR(LEFT(O137,3)=$AE$7,LEFT(P137,3)=$AE$7)),"x","")</f>
        <v/>
      </c>
      <c r="AF137" s="80" t="str">
        <f>IF(OR(TH!O137=TH!$AF$7,P137=TH!$AF$7),"x","")</f>
        <v/>
      </c>
      <c r="AG137" s="80"/>
      <c r="AH137" s="80" t="str">
        <f>IF(AND(B137&gt;='IN-NX'!$P$3,B137&lt;='IN-NX'!$Q$3,'IN-NX'!$D$7=D137,OR(LEFT(L137,2)="15",AND(LEFT(M137,2)&lt;&gt;"15",LEFT(M137,2)&lt;&gt;"33"))),"x","")</f>
        <v/>
      </c>
      <c r="AI137" s="80" t="str">
        <f>IF(AND(OR(LEFT(TH!O137,2)="15",LEFT(TH!P137,2)="15"),'152-CT'!$J$8=TH!F137),"x","")</f>
        <v/>
      </c>
      <c r="AJ137" s="80" t="str">
        <f>IF(AND(OR(LEFT(TH!O137,2)="15",LEFT(TH!P137,2)="15"),'THE KHO'!$E$7=TH!F137),"x","")</f>
        <v/>
      </c>
      <c r="AK137" s="80" t="str">
        <f>IF(AND(O137="1521",MONTH(C137)='BK NL'!$M$11),"x","")</f>
        <v/>
      </c>
    </row>
    <row r="138" spans="1:39" s="1007" customFormat="1" ht="15.75" customHeight="1">
      <c r="A138" s="362" t="str">
        <f>IF(B138&lt;&gt;"",IF(AND(B138&gt;=_TM1,B138&lt;=_TM2,OR(TH!O138="1111",TH!P138="1111")),TH!D138,""),"")</f>
        <v/>
      </c>
      <c r="B138" s="63">
        <f t="shared" si="5"/>
        <v>2</v>
      </c>
      <c r="C138" s="337">
        <v>42424</v>
      </c>
      <c r="D138" s="337" t="s">
        <v>12</v>
      </c>
      <c r="E138" s="337">
        <v>42424</v>
      </c>
      <c r="F138" s="338" t="s">
        <v>57</v>
      </c>
      <c r="G138" s="1022" t="s">
        <v>798</v>
      </c>
      <c r="H138" s="339"/>
      <c r="I138" s="476"/>
      <c r="J138" s="476"/>
      <c r="K138" s="469"/>
      <c r="L138" s="476"/>
      <c r="M138" s="65">
        <v>5248</v>
      </c>
      <c r="N138" s="65"/>
      <c r="O138" s="340" t="s">
        <v>31</v>
      </c>
      <c r="P138" s="340" t="s">
        <v>58</v>
      </c>
      <c r="Q138" s="66" t="str">
        <f>IF(AND('331-CT'!$E$7=TH!H138,OR(O138="331",P138="331")),"x","")</f>
        <v/>
      </c>
      <c r="R138" s="66" t="str">
        <f>IF(AND($B138&gt;='111'!$N$11,$B138&lt;='111'!$O$11,OR($O138=$R$7,$P138=$R$7)),"x","")</f>
        <v/>
      </c>
      <c r="S138" s="66" t="str">
        <f>IF(AND($O138=$R$7,$B138&lt;'111'!$N$11),"x","")</f>
        <v/>
      </c>
      <c r="T138" s="66" t="str">
        <f>IF(AND($P138=$R$7,$B138&lt;'111'!$N$11),"x","")</f>
        <v/>
      </c>
      <c r="U138" s="66" t="str">
        <f>IF(AND($B138&gt;='112'!$M$9,$B138&lt;='112'!$N$9,OR($O138='112'!$I$6,$P138='112'!$I$6)),"x","")</f>
        <v/>
      </c>
      <c r="V138" s="66" t="str">
        <f>IF(AND($O138='112'!$I$6,$B138&lt;'112'!$M$9),"x","")</f>
        <v>x</v>
      </c>
      <c r="W138" s="66" t="str">
        <f>IF(AND($P138='112'!$I$6,$B138&lt;'112'!$M$9),"x","")</f>
        <v/>
      </c>
      <c r="X138" s="66" t="str">
        <f>IF(AND('131-CT'!$H$9=TH!H138,OR(O138="131",P138="131")),"x","")</f>
        <v/>
      </c>
      <c r="Y138" s="80" t="str">
        <f>IF(AND($B138&gt;='1331'!$I$9,$B138&lt;='1331'!$J$9,OR($O138=$Y$7,$P138=$Y$7)),"x","")</f>
        <v/>
      </c>
      <c r="Z138" s="80" t="str">
        <f>IF(AND($O138=$Y$7,$B138&lt;'1331'!$I$9),"x","")</f>
        <v/>
      </c>
      <c r="AA138" s="80" t="str">
        <f>IF(AND($P138=$Y$7,$B138&lt;'1331'!$I$9),"x","")</f>
        <v/>
      </c>
      <c r="AB138" s="80" t="str">
        <f>IF(AND($B138&gt;='1332'!$I$9,$B138&lt;='1332'!$I$9,OR($O138=$AB$7,$P138=$AB$7)),"x","")</f>
        <v/>
      </c>
      <c r="AC138" s="80" t="str">
        <f>IF(AND($O138=$AB$7,$B138&lt;'1332'!$I$9),"x","")</f>
        <v/>
      </c>
      <c r="AD138" s="80" t="str">
        <f>IF(AND($P138=$AB$7,$B138&lt;'1332'!$I$9),"x","")</f>
        <v/>
      </c>
      <c r="AE138" s="80" t="str">
        <f>IF(AND('341-CT'!$H$9=H138,OR(LEFT(O138,3)=$AE$7,LEFT(P138,3)=$AE$7)),"x","")</f>
        <v/>
      </c>
      <c r="AF138" s="80" t="str">
        <f>IF(OR(TH!O138=TH!$AF$7,P138=TH!$AF$7),"x","")</f>
        <v/>
      </c>
      <c r="AG138" s="80"/>
      <c r="AH138" s="80" t="str">
        <f>IF(AND(B138&gt;='IN-NX'!$P$3,B138&lt;='IN-NX'!$Q$3,'IN-NX'!$D$7=D138,OR(LEFT(L138,2)="15",AND(LEFT(M138,2)&lt;&gt;"15",LEFT(M138,2)&lt;&gt;"33"))),"x","")</f>
        <v/>
      </c>
      <c r="AI138" s="80" t="str">
        <f>IF(AND(OR(LEFT(TH!O138,2)="15",LEFT(TH!P138,2)="15"),'152-CT'!$J$8=TH!F138),"x","")</f>
        <v/>
      </c>
      <c r="AJ138" s="80" t="str">
        <f>IF(AND(OR(LEFT(TH!O138,2)="15",LEFT(TH!P138,2)="15"),'THE KHO'!$E$7=TH!F138),"x","")</f>
        <v/>
      </c>
      <c r="AK138" s="80" t="str">
        <f>IF(AND(O138="1521",MONTH(C138)='BK NL'!$M$11),"x","")</f>
        <v/>
      </c>
    </row>
    <row r="139" spans="1:39" s="1007" customFormat="1" ht="15.75" customHeight="1">
      <c r="A139" s="362" t="str">
        <f>IF(B139&lt;&gt;"",IF(AND(B139&gt;=_TM1,B139&lt;=_TM2,OR(TH!O139="1111",TH!P139="1111")),TH!D139,""),"")</f>
        <v/>
      </c>
      <c r="B139" s="63">
        <f t="shared" si="5"/>
        <v>2</v>
      </c>
      <c r="C139" s="337">
        <v>42424</v>
      </c>
      <c r="D139" s="337" t="s">
        <v>8</v>
      </c>
      <c r="E139" s="337">
        <v>42424</v>
      </c>
      <c r="F139" s="338" t="s">
        <v>405</v>
      </c>
      <c r="G139" s="1022" t="s">
        <v>798</v>
      </c>
      <c r="H139" s="339" t="s">
        <v>166</v>
      </c>
      <c r="I139" s="476"/>
      <c r="J139" s="476"/>
      <c r="K139" s="469"/>
      <c r="L139" s="476"/>
      <c r="M139" s="65">
        <v>8196747</v>
      </c>
      <c r="N139" s="65"/>
      <c r="O139" s="340" t="s">
        <v>133</v>
      </c>
      <c r="P139" s="340" t="s">
        <v>31</v>
      </c>
      <c r="Q139" s="66" t="str">
        <f>IF(AND('331-CT'!$E$7=TH!H139,OR(O139="331",P139="331")),"x","")</f>
        <v/>
      </c>
      <c r="R139" s="66" t="str">
        <f>IF(AND($B139&gt;='111'!$N$11,$B139&lt;='111'!$O$11,OR($O139=$R$7,$P139=$R$7)),"x","")</f>
        <v/>
      </c>
      <c r="S139" s="66" t="str">
        <f>IF(AND($O139=$R$7,$B139&lt;'111'!$N$11),"x","")</f>
        <v/>
      </c>
      <c r="T139" s="66" t="str">
        <f>IF(AND($P139=$R$7,$B139&lt;'111'!$N$11),"x","")</f>
        <v/>
      </c>
      <c r="U139" s="66" t="str">
        <f>IF(AND($B139&gt;='112'!$M$9,$B139&lt;='112'!$N$9,OR($O139='112'!$I$6,$P139='112'!$I$6)),"x","")</f>
        <v/>
      </c>
      <c r="V139" s="66" t="str">
        <f>IF(AND($O139='112'!$I$6,$B139&lt;'112'!$M$9),"x","")</f>
        <v/>
      </c>
      <c r="W139" s="66" t="str">
        <f>IF(AND($P139='112'!$I$6,$B139&lt;'112'!$M$9),"x","")</f>
        <v>x</v>
      </c>
      <c r="X139" s="66" t="str">
        <f>IF(AND('131-CT'!$H$9=TH!H139,OR(O139="131",P139="131")),"x","")</f>
        <v/>
      </c>
      <c r="Y139" s="80" t="str">
        <f>IF(AND($B139&gt;='1331'!$I$9,$B139&lt;='1331'!$J$9,OR($O139=$Y$7,$P139=$Y$7)),"x","")</f>
        <v/>
      </c>
      <c r="Z139" s="80" t="str">
        <f>IF(AND($O139=$Y$7,$B139&lt;'1331'!$I$9),"x","")</f>
        <v/>
      </c>
      <c r="AA139" s="80" t="str">
        <f>IF(AND($P139=$Y$7,$B139&lt;'1331'!$I$9),"x","")</f>
        <v/>
      </c>
      <c r="AB139" s="80" t="str">
        <f>IF(AND($B139&gt;='1332'!$I$9,$B139&lt;='1332'!$I$9,OR($O139=$AB$7,$P139=$AB$7)),"x","")</f>
        <v/>
      </c>
      <c r="AC139" s="80" t="str">
        <f>IF(AND($O139=$AB$7,$B139&lt;'1332'!$I$9),"x","")</f>
        <v/>
      </c>
      <c r="AD139" s="80" t="str">
        <f>IF(AND($P139=$AB$7,$B139&lt;'1332'!$I$9),"x","")</f>
        <v/>
      </c>
      <c r="AE139" s="80" t="str">
        <f>IF(AND('341-CT'!$H$9=H139,OR(LEFT(O139,3)=$AE$7,LEFT(P139,3)=$AE$7)),"x","")</f>
        <v/>
      </c>
      <c r="AF139" s="80" t="str">
        <f>IF(OR(TH!O139=TH!$AF$7,P139=TH!$AF$7),"x","")</f>
        <v/>
      </c>
      <c r="AG139" s="80"/>
      <c r="AH139" s="80" t="str">
        <f>IF(AND(B139&gt;='IN-NX'!$P$3,B139&lt;='IN-NX'!$Q$3,'IN-NX'!$D$7=D139,OR(LEFT(L139,2)="15",AND(LEFT(M139,2)&lt;&gt;"15",LEFT(M139,2)&lt;&gt;"33"))),"x","")</f>
        <v/>
      </c>
      <c r="AI139" s="80" t="str">
        <f>IF(AND(OR(LEFT(TH!O139,2)="15",LEFT(TH!P139,2)="15"),'152-CT'!$J$8=TH!F139),"x","")</f>
        <v/>
      </c>
      <c r="AJ139" s="80" t="str">
        <f>IF(AND(OR(LEFT(TH!O139,2)="15",LEFT(TH!P139,2)="15"),'THE KHO'!$E$7=TH!F139),"x","")</f>
        <v/>
      </c>
      <c r="AK139" s="80" t="str">
        <f>IF(AND(O139="1521",MONTH(C139)='BK NL'!$M$11),"x","")</f>
        <v/>
      </c>
    </row>
    <row r="140" spans="1:39" s="1007" customFormat="1" ht="15.75" customHeight="1">
      <c r="A140" s="362" t="str">
        <f>IF(B140&lt;&gt;"",IF(AND(B140&gt;=_TM1,B140&lt;=_TM2,OR(TH!O140="1111",TH!P140="1111")),TH!D140,""),"")</f>
        <v/>
      </c>
      <c r="B140" s="63">
        <f t="shared" si="5"/>
        <v>2</v>
      </c>
      <c r="C140" s="337">
        <v>42424</v>
      </c>
      <c r="D140" s="337" t="s">
        <v>8</v>
      </c>
      <c r="E140" s="337">
        <v>42424</v>
      </c>
      <c r="F140" s="338" t="s">
        <v>405</v>
      </c>
      <c r="G140" s="1022" t="s">
        <v>798</v>
      </c>
      <c r="H140" s="339" t="s">
        <v>167</v>
      </c>
      <c r="I140" s="476"/>
      <c r="J140" s="476"/>
      <c r="K140" s="469"/>
      <c r="L140" s="476"/>
      <c r="M140" s="65">
        <v>16393492</v>
      </c>
      <c r="N140" s="65"/>
      <c r="O140" s="340" t="s">
        <v>133</v>
      </c>
      <c r="P140" s="340" t="s">
        <v>31</v>
      </c>
      <c r="Q140" s="66" t="str">
        <f>IF(AND('331-CT'!$E$7=TH!H140,OR(O140="331",P140="331")),"x","")</f>
        <v/>
      </c>
      <c r="R140" s="66" t="str">
        <f>IF(AND($B140&gt;='111'!$N$11,$B140&lt;='111'!$O$11,OR($O140=$R$7,$P140=$R$7)),"x","")</f>
        <v/>
      </c>
      <c r="S140" s="66" t="str">
        <f>IF(AND($O140=$R$7,$B140&lt;'111'!$N$11),"x","")</f>
        <v/>
      </c>
      <c r="T140" s="66" t="str">
        <f>IF(AND($P140=$R$7,$B140&lt;'111'!$N$11),"x","")</f>
        <v/>
      </c>
      <c r="U140" s="66" t="str">
        <f>IF(AND($B140&gt;='112'!$M$9,$B140&lt;='112'!$N$9,OR($O140='112'!$I$6,$P140='112'!$I$6)),"x","")</f>
        <v/>
      </c>
      <c r="V140" s="66" t="str">
        <f>IF(AND($O140='112'!$I$6,$B140&lt;'112'!$M$9),"x","")</f>
        <v/>
      </c>
      <c r="W140" s="66" t="str">
        <f>IF(AND($P140='112'!$I$6,$B140&lt;'112'!$M$9),"x","")</f>
        <v>x</v>
      </c>
      <c r="X140" s="66" t="str">
        <f>IF(AND('131-CT'!$H$9=TH!H140,OR(O140="131",P140="131")),"x","")</f>
        <v/>
      </c>
      <c r="Y140" s="80" t="str">
        <f>IF(AND($B140&gt;='1331'!$I$9,$B140&lt;='1331'!$J$9,OR($O140=$Y$7,$P140=$Y$7)),"x","")</f>
        <v/>
      </c>
      <c r="Z140" s="80" t="str">
        <f>IF(AND($O140=$Y$7,$B140&lt;'1331'!$I$9),"x","")</f>
        <v/>
      </c>
      <c r="AA140" s="80" t="str">
        <f>IF(AND($P140=$Y$7,$B140&lt;'1331'!$I$9),"x","")</f>
        <v/>
      </c>
      <c r="AB140" s="80" t="str">
        <f>IF(AND($B140&gt;='1332'!$I$9,$B140&lt;='1332'!$I$9,OR($O140=$AB$7,$P140=$AB$7)),"x","")</f>
        <v/>
      </c>
      <c r="AC140" s="80" t="str">
        <f>IF(AND($O140=$AB$7,$B140&lt;'1332'!$I$9),"x","")</f>
        <v/>
      </c>
      <c r="AD140" s="80" t="str">
        <f>IF(AND($P140=$AB$7,$B140&lt;'1332'!$I$9),"x","")</f>
        <v/>
      </c>
      <c r="AE140" s="80" t="str">
        <f>IF(AND('341-CT'!$H$9=H140,OR(LEFT(O140,3)=$AE$7,LEFT(P140,3)=$AE$7)),"x","")</f>
        <v/>
      </c>
      <c r="AF140" s="80" t="str">
        <f>IF(OR(TH!O140=TH!$AF$7,P140=TH!$AF$7),"x","")</f>
        <v/>
      </c>
      <c r="AG140" s="80"/>
      <c r="AH140" s="80" t="str">
        <f>IF(AND(B140&gt;='IN-NX'!$P$3,B140&lt;='IN-NX'!$Q$3,'IN-NX'!$D$7=D140,OR(LEFT(L140,2)="15",AND(LEFT(M140,2)&lt;&gt;"15",LEFT(M140,2)&lt;&gt;"33"))),"x","")</f>
        <v/>
      </c>
      <c r="AI140" s="80" t="str">
        <f>IF(AND(OR(LEFT(TH!O140,2)="15",LEFT(TH!P140,2)="15"),'152-CT'!$J$8=TH!F140),"x","")</f>
        <v/>
      </c>
      <c r="AJ140" s="80" t="str">
        <f>IF(AND(OR(LEFT(TH!O140,2)="15",LEFT(TH!P140,2)="15"),'THE KHO'!$E$7=TH!F140),"x","")</f>
        <v/>
      </c>
      <c r="AK140" s="80" t="str">
        <f>IF(AND(O140="1521",MONTH(C140)='BK NL'!$M$11),"x","")</f>
        <v/>
      </c>
    </row>
    <row r="141" spans="1:39" s="1007" customFormat="1" ht="15.75" customHeight="1">
      <c r="A141" s="362" t="str">
        <f>IF(B141&lt;&gt;"",IF(AND(B141&gt;=_TM1,B141&lt;=_TM2,OR(TH!O141="1111",TH!P141="1111")),TH!D141,""),"")</f>
        <v/>
      </c>
      <c r="B141" s="63">
        <f t="shared" si="5"/>
        <v>2</v>
      </c>
      <c r="C141" s="337">
        <v>42424</v>
      </c>
      <c r="D141" s="337" t="s">
        <v>8</v>
      </c>
      <c r="E141" s="337">
        <v>42424</v>
      </c>
      <c r="F141" s="338" t="s">
        <v>405</v>
      </c>
      <c r="G141" s="1022" t="s">
        <v>798</v>
      </c>
      <c r="H141" s="1026" t="s">
        <v>169</v>
      </c>
      <c r="I141" s="478"/>
      <c r="J141" s="478"/>
      <c r="K141" s="471"/>
      <c r="L141" s="478"/>
      <c r="M141" s="65">
        <v>13114794</v>
      </c>
      <c r="N141" s="65"/>
      <c r="O141" s="340" t="s">
        <v>133</v>
      </c>
      <c r="P141" s="340" t="s">
        <v>31</v>
      </c>
      <c r="Q141" s="66" t="str">
        <f>IF(AND('331-CT'!$E$7=TH!H141,OR(O141="331",P141="331")),"x","")</f>
        <v/>
      </c>
      <c r="R141" s="66" t="str">
        <f>IF(AND($B141&gt;='111'!$N$11,$B141&lt;='111'!$O$11,OR($O141=$R$7,$P141=$R$7)),"x","")</f>
        <v/>
      </c>
      <c r="S141" s="66" t="str">
        <f>IF(AND($O141=$R$7,$B141&lt;'111'!$N$11),"x","")</f>
        <v/>
      </c>
      <c r="T141" s="66" t="str">
        <f>IF(AND($P141=$R$7,$B141&lt;'111'!$N$11),"x","")</f>
        <v/>
      </c>
      <c r="U141" s="66" t="str">
        <f>IF(AND($B141&gt;='112'!$M$9,$B141&lt;='112'!$N$9,OR($O141='112'!$I$6,$P141='112'!$I$6)),"x","")</f>
        <v/>
      </c>
      <c r="V141" s="66" t="str">
        <f>IF(AND($O141='112'!$I$6,$B141&lt;'112'!$M$9),"x","")</f>
        <v/>
      </c>
      <c r="W141" s="66" t="str">
        <f>IF(AND($P141='112'!$I$6,$B141&lt;'112'!$M$9),"x","")</f>
        <v>x</v>
      </c>
      <c r="X141" s="66" t="str">
        <f>IF(AND('131-CT'!$H$9=TH!H141,OR(O141="131",P141="131")),"x","")</f>
        <v/>
      </c>
      <c r="Y141" s="80" t="str">
        <f>IF(AND($B141&gt;='1331'!$I$9,$B141&lt;='1331'!$J$9,OR($O141=$Y$7,$P141=$Y$7)),"x","")</f>
        <v/>
      </c>
      <c r="Z141" s="80" t="str">
        <f>IF(AND($O141=$Y$7,$B141&lt;'1331'!$I$9),"x","")</f>
        <v/>
      </c>
      <c r="AA141" s="80" t="str">
        <f>IF(AND($P141=$Y$7,$B141&lt;'1331'!$I$9),"x","")</f>
        <v/>
      </c>
      <c r="AB141" s="80" t="str">
        <f>IF(AND($B141&gt;='1332'!$I$9,$B141&lt;='1332'!$I$9,OR($O141=$AB$7,$P141=$AB$7)),"x","")</f>
        <v/>
      </c>
      <c r="AC141" s="80" t="str">
        <f>IF(AND($O141=$AB$7,$B141&lt;'1332'!$I$9),"x","")</f>
        <v/>
      </c>
      <c r="AD141" s="80" t="str">
        <f>IF(AND($P141=$AB$7,$B141&lt;'1332'!$I$9),"x","")</f>
        <v/>
      </c>
      <c r="AE141" s="80" t="str">
        <f>IF(AND('341-CT'!$H$9=H141,OR(LEFT(O141,3)=$AE$7,LEFT(P141,3)=$AE$7)),"x","")</f>
        <v/>
      </c>
      <c r="AF141" s="80" t="str">
        <f>IF(OR(TH!O141=TH!$AF$7,P141=TH!$AF$7),"x","")</f>
        <v/>
      </c>
      <c r="AG141" s="80"/>
      <c r="AH141" s="80" t="str">
        <f>IF(AND(B141&gt;='IN-NX'!$P$3,B141&lt;='IN-NX'!$Q$3,'IN-NX'!$D$7=D141,OR(LEFT(L141,2)="15",AND(LEFT(M141,2)&lt;&gt;"15",LEFT(M141,2)&lt;&gt;"33"))),"x","")</f>
        <v/>
      </c>
      <c r="AI141" s="80" t="str">
        <f>IF(AND(OR(LEFT(TH!O141,2)="15",LEFT(TH!P141,2)="15"),'152-CT'!$J$8=TH!F141),"x","")</f>
        <v/>
      </c>
      <c r="AJ141" s="80" t="str">
        <f>IF(AND(OR(LEFT(TH!O141,2)="15",LEFT(TH!P141,2)="15"),'THE KHO'!$E$7=TH!F141),"x","")</f>
        <v/>
      </c>
      <c r="AK141" s="80" t="str">
        <f>IF(AND(O141="1521",MONTH(C141)='BK NL'!$M$11),"x","")</f>
        <v/>
      </c>
    </row>
    <row r="142" spans="1:39" s="1007" customFormat="1" ht="15.75" customHeight="1">
      <c r="A142" s="362" t="str">
        <f>IF(B142&lt;&gt;"",IF(AND(B142&gt;=_TM1,B142&lt;=_TM2,OR(TH!O142="1111",TH!P142="1111")),TH!D142,""),"")</f>
        <v/>
      </c>
      <c r="B142" s="63">
        <f t="shared" si="5"/>
        <v>2</v>
      </c>
      <c r="C142" s="337">
        <v>42424</v>
      </c>
      <c r="D142" s="337" t="s">
        <v>8</v>
      </c>
      <c r="E142" s="337">
        <v>42424</v>
      </c>
      <c r="F142" s="338" t="s">
        <v>405</v>
      </c>
      <c r="G142" s="1022" t="s">
        <v>798</v>
      </c>
      <c r="H142" s="339" t="s">
        <v>168</v>
      </c>
      <c r="I142" s="476"/>
      <c r="J142" s="476"/>
      <c r="K142" s="469"/>
      <c r="L142" s="476"/>
      <c r="M142" s="65">
        <v>12295119</v>
      </c>
      <c r="N142" s="65"/>
      <c r="O142" s="340" t="s">
        <v>133</v>
      </c>
      <c r="P142" s="340" t="s">
        <v>31</v>
      </c>
      <c r="Q142" s="66" t="str">
        <f>IF(AND('331-CT'!$E$7=TH!H142,OR(O142="331",P142="331")),"x","")</f>
        <v/>
      </c>
      <c r="R142" s="66" t="str">
        <f>IF(AND($B142&gt;='111'!$N$11,$B142&lt;='111'!$O$11,OR($O142=$R$7,$P142=$R$7)),"x","")</f>
        <v/>
      </c>
      <c r="S142" s="66" t="str">
        <f>IF(AND($O142=$R$7,$B142&lt;'111'!$N$11),"x","")</f>
        <v/>
      </c>
      <c r="T142" s="66" t="str">
        <f>IF(AND($P142=$R$7,$B142&lt;'111'!$N$11),"x","")</f>
        <v/>
      </c>
      <c r="U142" s="66" t="str">
        <f>IF(AND($B142&gt;='112'!$M$9,$B142&lt;='112'!$N$9,OR($O142='112'!$I$6,$P142='112'!$I$6)),"x","")</f>
        <v/>
      </c>
      <c r="V142" s="66" t="str">
        <f>IF(AND($O142='112'!$I$6,$B142&lt;'112'!$M$9),"x","")</f>
        <v/>
      </c>
      <c r="W142" s="66" t="str">
        <f>IF(AND($P142='112'!$I$6,$B142&lt;'112'!$M$9),"x","")</f>
        <v>x</v>
      </c>
      <c r="X142" s="66" t="str">
        <f>IF(AND('131-CT'!$H$9=TH!H142,OR(O142="131",P142="131")),"x","")</f>
        <v/>
      </c>
      <c r="Y142" s="80" t="str">
        <f>IF(AND($B142&gt;='1331'!$I$9,$B142&lt;='1331'!$J$9,OR($O142=$Y$7,$P142=$Y$7)),"x","")</f>
        <v/>
      </c>
      <c r="Z142" s="80" t="str">
        <f>IF(AND($O142=$Y$7,$B142&lt;'1331'!$I$9),"x","")</f>
        <v/>
      </c>
      <c r="AA142" s="80" t="str">
        <f>IF(AND($P142=$Y$7,$B142&lt;'1331'!$I$9),"x","")</f>
        <v/>
      </c>
      <c r="AB142" s="80" t="str">
        <f>IF(AND($B142&gt;='1332'!$I$9,$B142&lt;='1332'!$I$9,OR($O142=$AB$7,$P142=$AB$7)),"x","")</f>
        <v/>
      </c>
      <c r="AC142" s="80" t="str">
        <f>IF(AND($O142=$AB$7,$B142&lt;'1332'!$I$9),"x","")</f>
        <v/>
      </c>
      <c r="AD142" s="80" t="str">
        <f>IF(AND($P142=$AB$7,$B142&lt;'1332'!$I$9),"x","")</f>
        <v/>
      </c>
      <c r="AE142" s="80" t="str">
        <f>IF(AND('341-CT'!$H$9=H142,OR(LEFT(O142,3)=$AE$7,LEFT(P142,3)=$AE$7)),"x","")</f>
        <v/>
      </c>
      <c r="AF142" s="80" t="str">
        <f>IF(OR(TH!O142=TH!$AF$7,P142=TH!$AF$7),"x","")</f>
        <v/>
      </c>
      <c r="AG142" s="80"/>
      <c r="AH142" s="80" t="str">
        <f>IF(AND(B142&gt;='IN-NX'!$P$3,B142&lt;='IN-NX'!$Q$3,'IN-NX'!$D$7=D142,OR(LEFT(L142,2)="15",AND(LEFT(M142,2)&lt;&gt;"15",LEFT(M142,2)&lt;&gt;"33"))),"x","")</f>
        <v/>
      </c>
      <c r="AI142" s="80" t="str">
        <f>IF(AND(OR(LEFT(TH!O142,2)="15",LEFT(TH!P142,2)="15"),'152-CT'!$J$8=TH!F142),"x","")</f>
        <v/>
      </c>
      <c r="AJ142" s="80" t="str">
        <f>IF(AND(OR(LEFT(TH!O142,2)="15",LEFT(TH!P142,2)="15"),'THE KHO'!$E$7=TH!F142),"x","")</f>
        <v/>
      </c>
      <c r="AK142" s="80" t="str">
        <f>IF(AND(O142="1521",MONTH(C142)='BK NL'!$M$11),"x","")</f>
        <v/>
      </c>
    </row>
    <row r="143" spans="1:39" s="1007" customFormat="1" ht="15.75" customHeight="1">
      <c r="A143" s="362" t="str">
        <f>IF(B143&lt;&gt;"",IF(AND(B143&gt;=_TM1,B143&lt;=_TM2,OR(TH!O143="1111",TH!P143="1111")),TH!D143,""),"")</f>
        <v/>
      </c>
      <c r="B143" s="63">
        <f t="shared" si="5"/>
        <v>2</v>
      </c>
      <c r="C143" s="337">
        <v>42424</v>
      </c>
      <c r="D143" s="337" t="s">
        <v>8</v>
      </c>
      <c r="E143" s="337">
        <v>42424</v>
      </c>
      <c r="F143" s="338" t="s">
        <v>405</v>
      </c>
      <c r="G143" s="1022" t="s">
        <v>798</v>
      </c>
      <c r="H143" s="339" t="s">
        <v>325</v>
      </c>
      <c r="I143" s="476"/>
      <c r="J143" s="476"/>
      <c r="K143" s="469"/>
      <c r="L143" s="476"/>
      <c r="M143" s="65">
        <v>8196747</v>
      </c>
      <c r="N143" s="65"/>
      <c r="O143" s="340" t="s">
        <v>133</v>
      </c>
      <c r="P143" s="340" t="s">
        <v>31</v>
      </c>
      <c r="Q143" s="66" t="str">
        <f>IF(AND('331-CT'!$E$7=TH!H143,OR(O143="331",P143="331")),"x","")</f>
        <v/>
      </c>
      <c r="R143" s="66" t="str">
        <f>IF(AND($B143&gt;='111'!$N$11,$B143&lt;='111'!$O$11,OR($O143=$R$7,$P143=$R$7)),"x","")</f>
        <v/>
      </c>
      <c r="S143" s="66" t="str">
        <f>IF(AND($O143=$R$7,$B143&lt;'111'!$N$11),"x","")</f>
        <v/>
      </c>
      <c r="T143" s="66" t="str">
        <f>IF(AND($P143=$R$7,$B143&lt;'111'!$N$11),"x","")</f>
        <v/>
      </c>
      <c r="U143" s="66" t="str">
        <f>IF(AND($B143&gt;='112'!$M$9,$B143&lt;='112'!$N$9,OR($O143='112'!$I$6,$P143='112'!$I$6)),"x","")</f>
        <v/>
      </c>
      <c r="V143" s="66" t="str">
        <f>IF(AND($O143='112'!$I$6,$B143&lt;'112'!$M$9),"x","")</f>
        <v/>
      </c>
      <c r="W143" s="66" t="str">
        <f>IF(AND($P143='112'!$I$6,$B143&lt;'112'!$M$9),"x","")</f>
        <v>x</v>
      </c>
      <c r="X143" s="66" t="str">
        <f>IF(AND('131-CT'!$H$9=TH!H143,OR(O143="131",P143="131")),"x","")</f>
        <v/>
      </c>
      <c r="Y143" s="80" t="str">
        <f>IF(AND($B143&gt;='1331'!$I$9,$B143&lt;='1331'!$J$9,OR($O143=$Y$7,$P143=$Y$7)),"x","")</f>
        <v/>
      </c>
      <c r="Z143" s="80" t="str">
        <f>IF(AND($O143=$Y$7,$B143&lt;'1331'!$I$9),"x","")</f>
        <v/>
      </c>
      <c r="AA143" s="80" t="str">
        <f>IF(AND($P143=$Y$7,$B143&lt;'1331'!$I$9),"x","")</f>
        <v/>
      </c>
      <c r="AB143" s="80" t="str">
        <f>IF(AND($B143&gt;='1332'!$I$9,$B143&lt;='1332'!$I$9,OR($O143=$AB$7,$P143=$AB$7)),"x","")</f>
        <v/>
      </c>
      <c r="AC143" s="80" t="str">
        <f>IF(AND($O143=$AB$7,$B143&lt;'1332'!$I$9),"x","")</f>
        <v/>
      </c>
      <c r="AD143" s="80" t="str">
        <f>IF(AND($P143=$AB$7,$B143&lt;'1332'!$I$9),"x","")</f>
        <v/>
      </c>
      <c r="AE143" s="80" t="str">
        <f>IF(AND('341-CT'!$H$9=H143,OR(LEFT(O143,3)=$AE$7,LEFT(P143,3)=$AE$7)),"x","")</f>
        <v/>
      </c>
      <c r="AF143" s="80" t="str">
        <f>IF(OR(TH!O143=TH!$AF$7,P143=TH!$AF$7),"x","")</f>
        <v/>
      </c>
      <c r="AG143" s="80"/>
      <c r="AH143" s="80" t="str">
        <f>IF(AND(B143&gt;='IN-NX'!$P$3,B143&lt;='IN-NX'!$Q$3,'IN-NX'!$D$7=D143,OR(LEFT(L143,2)="15",AND(LEFT(M143,2)&lt;&gt;"15",LEFT(M143,2)&lt;&gt;"33"))),"x","")</f>
        <v/>
      </c>
      <c r="AI143" s="80" t="str">
        <f>IF(AND(OR(LEFT(TH!O143,2)="15",LEFT(TH!P143,2)="15"),'152-CT'!$J$8=TH!F143),"x","")</f>
        <v/>
      </c>
      <c r="AJ143" s="80" t="str">
        <f>IF(AND(OR(LEFT(TH!O143,2)="15",LEFT(TH!P143,2)="15"),'THE KHO'!$E$7=TH!F143),"x","")</f>
        <v/>
      </c>
      <c r="AK143" s="80" t="str">
        <f>IF(AND(O143="1521",MONTH(C143)='BK NL'!$M$11),"x","")</f>
        <v/>
      </c>
    </row>
    <row r="144" spans="1:39" s="1007" customFormat="1" ht="15.75" customHeight="1">
      <c r="A144" s="362" t="str">
        <f>IF(B144&lt;&gt;"",IF(AND(B144&gt;=_TM1,B144&lt;=_TM2,OR(TH!O144="1111",TH!P144="1111")),TH!D144,""),"")</f>
        <v/>
      </c>
      <c r="B144" s="63">
        <f t="shared" si="5"/>
        <v>2</v>
      </c>
      <c r="C144" s="337">
        <v>42424</v>
      </c>
      <c r="D144" s="337" t="s">
        <v>8</v>
      </c>
      <c r="E144" s="337">
        <v>42424</v>
      </c>
      <c r="F144" s="338" t="s">
        <v>405</v>
      </c>
      <c r="G144" s="1022" t="s">
        <v>798</v>
      </c>
      <c r="H144" s="339" t="s">
        <v>170</v>
      </c>
      <c r="I144" s="476"/>
      <c r="J144" s="476"/>
      <c r="K144" s="469"/>
      <c r="L144" s="476"/>
      <c r="M144" s="65">
        <v>11615220</v>
      </c>
      <c r="N144" s="65"/>
      <c r="O144" s="340" t="s">
        <v>133</v>
      </c>
      <c r="P144" s="340" t="s">
        <v>31</v>
      </c>
      <c r="Q144" s="66" t="str">
        <f>IF(AND('331-CT'!$E$7=TH!H144,OR(O144="331",P144="331")),"x","")</f>
        <v/>
      </c>
      <c r="R144" s="66" t="str">
        <f>IF(AND($B144&gt;='111'!$N$11,$B144&lt;='111'!$O$11,OR($O144=$R$7,$P144=$R$7)),"x","")</f>
        <v/>
      </c>
      <c r="S144" s="66" t="str">
        <f>IF(AND($O144=$R$7,$B144&lt;'111'!$N$11),"x","")</f>
        <v/>
      </c>
      <c r="T144" s="66" t="str">
        <f>IF(AND($P144=$R$7,$B144&lt;'111'!$N$11),"x","")</f>
        <v/>
      </c>
      <c r="U144" s="66" t="str">
        <f>IF(AND($B144&gt;='112'!$M$9,$B144&lt;='112'!$N$9,OR($O144='112'!$I$6,$P144='112'!$I$6)),"x","")</f>
        <v/>
      </c>
      <c r="V144" s="66" t="str">
        <f>IF(AND($O144='112'!$I$6,$B144&lt;'112'!$M$9),"x","")</f>
        <v/>
      </c>
      <c r="W144" s="66" t="str">
        <f>IF(AND($P144='112'!$I$6,$B144&lt;'112'!$M$9),"x","")</f>
        <v>x</v>
      </c>
      <c r="X144" s="66" t="str">
        <f>IF(AND('131-CT'!$H$9=TH!H144,OR(O144="131",P144="131")),"x","")</f>
        <v/>
      </c>
      <c r="Y144" s="80" t="str">
        <f>IF(AND($B144&gt;='1331'!$I$9,$B144&lt;='1331'!$J$9,OR($O144=$Y$7,$P144=$Y$7)),"x","")</f>
        <v/>
      </c>
      <c r="Z144" s="80" t="str">
        <f>IF(AND($O144=$Y$7,$B144&lt;'1331'!$I$9),"x","")</f>
        <v/>
      </c>
      <c r="AA144" s="80" t="str">
        <f>IF(AND($P144=$Y$7,$B144&lt;'1331'!$I$9),"x","")</f>
        <v/>
      </c>
      <c r="AB144" s="80" t="str">
        <f>IF(AND($B144&gt;='1332'!$I$9,$B144&lt;='1332'!$I$9,OR($O144=$AB$7,$P144=$AB$7)),"x","")</f>
        <v/>
      </c>
      <c r="AC144" s="80" t="str">
        <f>IF(AND($O144=$AB$7,$B144&lt;'1332'!$I$9),"x","")</f>
        <v/>
      </c>
      <c r="AD144" s="80" t="str">
        <f>IF(AND($P144=$AB$7,$B144&lt;'1332'!$I$9),"x","")</f>
        <v/>
      </c>
      <c r="AE144" s="80" t="str">
        <f>IF(AND('341-CT'!$H$9=H144,OR(LEFT(O144,3)=$AE$7,LEFT(P144,3)=$AE$7)),"x","")</f>
        <v/>
      </c>
      <c r="AF144" s="80" t="str">
        <f>IF(OR(TH!O144=TH!$AF$7,P144=TH!$AF$7),"x","")</f>
        <v/>
      </c>
      <c r="AG144" s="80"/>
      <c r="AH144" s="80" t="str">
        <f>IF(AND(B144&gt;='IN-NX'!$P$3,B144&lt;='IN-NX'!$Q$3,'IN-NX'!$D$7=D144,OR(LEFT(L144,2)="15",AND(LEFT(M144,2)&lt;&gt;"15",LEFT(M144,2)&lt;&gt;"33"))),"x","")</f>
        <v/>
      </c>
      <c r="AI144" s="80" t="str">
        <f>IF(AND(OR(LEFT(TH!O144,2)="15",LEFT(TH!P144,2)="15"),'152-CT'!$J$8=TH!F144),"x","")</f>
        <v/>
      </c>
      <c r="AJ144" s="80" t="str">
        <f>IF(AND(OR(LEFT(TH!O144,2)="15",LEFT(TH!P144,2)="15"),'THE KHO'!$E$7=TH!F144),"x","")</f>
        <v/>
      </c>
      <c r="AK144" s="80" t="str">
        <f>IF(AND(O144="1521",MONTH(C144)='BK NL'!$M$11),"x","")</f>
        <v/>
      </c>
    </row>
    <row r="145" spans="1:39" s="1007" customFormat="1" ht="15.75" customHeight="1">
      <c r="A145" s="362" t="str">
        <f>IF(B145&lt;&gt;"",IF(AND(B145&gt;=_TM1,B145&lt;=_TM2,OR(TH!O145="1111",TH!P145="1111")),TH!D145,""),"")</f>
        <v/>
      </c>
      <c r="B145" s="63">
        <f t="shared" si="5"/>
        <v>2</v>
      </c>
      <c r="C145" s="337">
        <v>42424</v>
      </c>
      <c r="D145" s="337" t="s">
        <v>8</v>
      </c>
      <c r="E145" s="337">
        <v>42424</v>
      </c>
      <c r="F145" s="338" t="s">
        <v>405</v>
      </c>
      <c r="G145" s="1022" t="s">
        <v>798</v>
      </c>
      <c r="H145" s="339" t="s">
        <v>171</v>
      </c>
      <c r="I145" s="476"/>
      <c r="J145" s="476"/>
      <c r="K145" s="469"/>
      <c r="L145" s="476"/>
      <c r="M145" s="65">
        <v>12295119</v>
      </c>
      <c r="N145" s="65"/>
      <c r="O145" s="340" t="s">
        <v>133</v>
      </c>
      <c r="P145" s="340" t="s">
        <v>31</v>
      </c>
      <c r="Q145" s="66" t="str">
        <f>IF(AND('331-CT'!$E$7=TH!H145,OR(O145="331",P145="331")),"x","")</f>
        <v/>
      </c>
      <c r="R145" s="66" t="str">
        <f>IF(AND($B145&gt;='111'!$N$11,$B145&lt;='111'!$O$11,OR($O145=$R$7,$P145=$R$7)),"x","")</f>
        <v/>
      </c>
      <c r="S145" s="66" t="str">
        <f>IF(AND($O145=$R$7,$B145&lt;'111'!$N$11),"x","")</f>
        <v/>
      </c>
      <c r="T145" s="66" t="str">
        <f>IF(AND($P145=$R$7,$B145&lt;'111'!$N$11),"x","")</f>
        <v/>
      </c>
      <c r="U145" s="66" t="str">
        <f>IF(AND($B145&gt;='112'!$M$9,$B145&lt;='112'!$N$9,OR($O145='112'!$I$6,$P145='112'!$I$6)),"x","")</f>
        <v/>
      </c>
      <c r="V145" s="66" t="str">
        <f>IF(AND($O145='112'!$I$6,$B145&lt;'112'!$M$9),"x","")</f>
        <v/>
      </c>
      <c r="W145" s="66" t="str">
        <f>IF(AND($P145='112'!$I$6,$B145&lt;'112'!$M$9),"x","")</f>
        <v>x</v>
      </c>
      <c r="X145" s="66" t="str">
        <f>IF(AND('131-CT'!$H$9=TH!H145,OR(O145="131",P145="131")),"x","")</f>
        <v/>
      </c>
      <c r="Y145" s="80" t="str">
        <f>IF(AND($B145&gt;='1331'!$I$9,$B145&lt;='1331'!$J$9,OR($O145=$Y$7,$P145=$Y$7)),"x","")</f>
        <v/>
      </c>
      <c r="Z145" s="80" t="str">
        <f>IF(AND($O145=$Y$7,$B145&lt;'1331'!$I$9),"x","")</f>
        <v/>
      </c>
      <c r="AA145" s="80" t="str">
        <f>IF(AND($P145=$Y$7,$B145&lt;'1331'!$I$9),"x","")</f>
        <v/>
      </c>
      <c r="AB145" s="80" t="str">
        <f>IF(AND($B145&gt;='1332'!$I$9,$B145&lt;='1332'!$I$9,OR($O145=$AB$7,$P145=$AB$7)),"x","")</f>
        <v/>
      </c>
      <c r="AC145" s="80" t="str">
        <f>IF(AND($O145=$AB$7,$B145&lt;'1332'!$I$9),"x","")</f>
        <v/>
      </c>
      <c r="AD145" s="80" t="str">
        <f>IF(AND($P145=$AB$7,$B145&lt;'1332'!$I$9),"x","")</f>
        <v/>
      </c>
      <c r="AE145" s="80" t="str">
        <f>IF(AND('341-CT'!$H$9=H145,OR(LEFT(O145,3)=$AE$7,LEFT(P145,3)=$AE$7)),"x","")</f>
        <v/>
      </c>
      <c r="AF145" s="80" t="str">
        <f>IF(OR(TH!O145=TH!$AF$7,P145=TH!$AF$7),"x","")</f>
        <v/>
      </c>
      <c r="AG145" s="80"/>
      <c r="AH145" s="80" t="str">
        <f>IF(AND(B145&gt;='IN-NX'!$P$3,B145&lt;='IN-NX'!$Q$3,'IN-NX'!$D$7=D145,OR(LEFT(L145,2)="15",AND(LEFT(M145,2)&lt;&gt;"15",LEFT(M145,2)&lt;&gt;"33"))),"x","")</f>
        <v/>
      </c>
      <c r="AI145" s="80" t="str">
        <f>IF(AND(OR(LEFT(TH!O145,2)="15",LEFT(TH!P145,2)="15"),'152-CT'!$J$8=TH!F145),"x","")</f>
        <v/>
      </c>
      <c r="AJ145" s="80" t="str">
        <f>IF(AND(OR(LEFT(TH!O145,2)="15",LEFT(TH!P145,2)="15"),'THE KHO'!$E$7=TH!F145),"x","")</f>
        <v/>
      </c>
      <c r="AK145" s="80" t="str">
        <f>IF(AND(O145="1521",MONTH(C145)='BK NL'!$M$11),"x","")</f>
        <v/>
      </c>
    </row>
    <row r="146" spans="1:39" s="1007" customFormat="1" ht="15.75" customHeight="1">
      <c r="A146" s="362" t="str">
        <f>IF(B146&lt;&gt;"",IF(AND(B146&gt;=_TM1,B146&lt;=_TM2,OR(TH!O146="1111",TH!P146="1111")),TH!D146,""),"")</f>
        <v/>
      </c>
      <c r="B146" s="63">
        <f t="shared" si="5"/>
        <v>2</v>
      </c>
      <c r="C146" s="337">
        <v>42424</v>
      </c>
      <c r="D146" s="337" t="s">
        <v>8</v>
      </c>
      <c r="E146" s="337">
        <v>42424</v>
      </c>
      <c r="F146" s="338" t="s">
        <v>405</v>
      </c>
      <c r="G146" s="1022" t="s">
        <v>798</v>
      </c>
      <c r="H146" s="339" t="s">
        <v>172</v>
      </c>
      <c r="I146" s="476"/>
      <c r="J146" s="476"/>
      <c r="K146" s="469"/>
      <c r="L146" s="476"/>
      <c r="M146" s="65">
        <v>16393492</v>
      </c>
      <c r="N146" s="65"/>
      <c r="O146" s="340" t="s">
        <v>133</v>
      </c>
      <c r="P146" s="340" t="s">
        <v>31</v>
      </c>
      <c r="Q146" s="66" t="str">
        <f>IF(AND('331-CT'!$E$7=TH!H146,OR(O146="331",P146="331")),"x","")</f>
        <v/>
      </c>
      <c r="R146" s="66" t="str">
        <f>IF(AND($B146&gt;='111'!$N$11,$B146&lt;='111'!$O$11,OR($O146=$R$7,$P146=$R$7)),"x","")</f>
        <v/>
      </c>
      <c r="S146" s="66" t="str">
        <f>IF(AND($O146=$R$7,$B146&lt;'111'!$N$11),"x","")</f>
        <v/>
      </c>
      <c r="T146" s="66" t="str">
        <f>IF(AND($P146=$R$7,$B146&lt;'111'!$N$11),"x","")</f>
        <v/>
      </c>
      <c r="U146" s="66" t="str">
        <f>IF(AND($B146&gt;='112'!$M$9,$B146&lt;='112'!$N$9,OR($O146='112'!$I$6,$P146='112'!$I$6)),"x","")</f>
        <v/>
      </c>
      <c r="V146" s="66" t="str">
        <f>IF(AND($O146='112'!$I$6,$B146&lt;'112'!$M$9),"x","")</f>
        <v/>
      </c>
      <c r="W146" s="66" t="str">
        <f>IF(AND($P146='112'!$I$6,$B146&lt;'112'!$M$9),"x","")</f>
        <v>x</v>
      </c>
      <c r="X146" s="66" t="str">
        <f>IF(AND('131-CT'!$H$9=TH!H146,OR(O146="131",P146="131")),"x","")</f>
        <v/>
      </c>
      <c r="Y146" s="80" t="str">
        <f>IF(AND($B146&gt;='1331'!$I$9,$B146&lt;='1331'!$J$9,OR($O146=$Y$7,$P146=$Y$7)),"x","")</f>
        <v/>
      </c>
      <c r="Z146" s="80" t="str">
        <f>IF(AND($O146=$Y$7,$B146&lt;'1331'!$I$9),"x","")</f>
        <v/>
      </c>
      <c r="AA146" s="80" t="str">
        <f>IF(AND($P146=$Y$7,$B146&lt;'1331'!$I$9),"x","")</f>
        <v/>
      </c>
      <c r="AB146" s="80" t="str">
        <f>IF(AND($B146&gt;='1332'!$I$9,$B146&lt;='1332'!$I$9,OR($O146=$AB$7,$P146=$AB$7)),"x","")</f>
        <v/>
      </c>
      <c r="AC146" s="80" t="str">
        <f>IF(AND($O146=$AB$7,$B146&lt;'1332'!$I$9),"x","")</f>
        <v/>
      </c>
      <c r="AD146" s="80" t="str">
        <f>IF(AND($P146=$AB$7,$B146&lt;'1332'!$I$9),"x","")</f>
        <v/>
      </c>
      <c r="AE146" s="80" t="str">
        <f>IF(AND('341-CT'!$H$9=H146,OR(LEFT(O146,3)=$AE$7,LEFT(P146,3)=$AE$7)),"x","")</f>
        <v/>
      </c>
      <c r="AF146" s="80" t="str">
        <f>IF(OR(TH!O146=TH!$AF$7,P146=TH!$AF$7),"x","")</f>
        <v/>
      </c>
      <c r="AG146" s="80"/>
      <c r="AH146" s="80" t="str">
        <f>IF(AND(B146&gt;='IN-NX'!$P$3,B146&lt;='IN-NX'!$Q$3,'IN-NX'!$D$7=D146,OR(LEFT(L146,2)="15",AND(LEFT(M146,2)&lt;&gt;"15",LEFT(M146,2)&lt;&gt;"33"))),"x","")</f>
        <v/>
      </c>
      <c r="AI146" s="80" t="str">
        <f>IF(AND(OR(LEFT(TH!O146,2)="15",LEFT(TH!P146,2)="15"),'152-CT'!$J$8=TH!F146),"x","")</f>
        <v/>
      </c>
      <c r="AJ146" s="80" t="str">
        <f>IF(AND(OR(LEFT(TH!O146,2)="15",LEFT(TH!P146,2)="15"),'THE KHO'!$E$7=TH!F146),"x","")</f>
        <v/>
      </c>
      <c r="AK146" s="80" t="str">
        <f>IF(AND(O146="1521",MONTH(C146)='BK NL'!$M$11),"x","")</f>
        <v/>
      </c>
    </row>
    <row r="147" spans="1:39" s="1007" customFormat="1" ht="15.75" customHeight="1">
      <c r="A147" s="362" t="str">
        <f>IF(B147&lt;&gt;"",IF(AND(B147&gt;=_TM1,B147&lt;=_TM2,OR(TH!O147="1111",TH!P147="1111")),TH!D147,""),"")</f>
        <v/>
      </c>
      <c r="B147" s="63">
        <f t="shared" si="5"/>
        <v>2</v>
      </c>
      <c r="C147" s="337">
        <v>42424</v>
      </c>
      <c r="D147" s="337" t="s">
        <v>8</v>
      </c>
      <c r="E147" s="337">
        <v>42424</v>
      </c>
      <c r="F147" s="338" t="s">
        <v>405</v>
      </c>
      <c r="G147" s="1022" t="s">
        <v>798</v>
      </c>
      <c r="H147" s="339" t="s">
        <v>173</v>
      </c>
      <c r="I147" s="476"/>
      <c r="J147" s="476"/>
      <c r="K147" s="469"/>
      <c r="L147" s="476"/>
      <c r="M147" s="65">
        <v>11475445</v>
      </c>
      <c r="N147" s="65"/>
      <c r="O147" s="340" t="s">
        <v>133</v>
      </c>
      <c r="P147" s="340" t="s">
        <v>31</v>
      </c>
      <c r="Q147" s="66" t="str">
        <f>IF(AND('331-CT'!$E$7=TH!H147,OR(O147="331",P147="331")),"x","")</f>
        <v/>
      </c>
      <c r="R147" s="66" t="str">
        <f>IF(AND($B147&gt;='111'!$N$11,$B147&lt;='111'!$O$11,OR($O147=$R$7,$P147=$R$7)),"x","")</f>
        <v/>
      </c>
      <c r="S147" s="66" t="str">
        <f>IF(AND($O147=$R$7,$B147&lt;'111'!$N$11),"x","")</f>
        <v/>
      </c>
      <c r="T147" s="66" t="str">
        <f>IF(AND($P147=$R$7,$B147&lt;'111'!$N$11),"x","")</f>
        <v/>
      </c>
      <c r="U147" s="66" t="str">
        <f>IF(AND($B147&gt;='112'!$M$9,$B147&lt;='112'!$N$9,OR($O147='112'!$I$6,$P147='112'!$I$6)),"x","")</f>
        <v/>
      </c>
      <c r="V147" s="66" t="str">
        <f>IF(AND($O147='112'!$I$6,$B147&lt;'112'!$M$9),"x","")</f>
        <v/>
      </c>
      <c r="W147" s="66" t="str">
        <f>IF(AND($P147='112'!$I$6,$B147&lt;'112'!$M$9),"x","")</f>
        <v>x</v>
      </c>
      <c r="X147" s="66" t="str">
        <f>IF(AND('131-CT'!$H$9=TH!H147,OR(O147="131",P147="131")),"x","")</f>
        <v/>
      </c>
      <c r="Y147" s="80" t="str">
        <f>IF(AND($B147&gt;='1331'!$I$9,$B147&lt;='1331'!$J$9,OR($O147=$Y$7,$P147=$Y$7)),"x","")</f>
        <v/>
      </c>
      <c r="Z147" s="80" t="str">
        <f>IF(AND($O147=$Y$7,$B147&lt;'1331'!$I$9),"x","")</f>
        <v/>
      </c>
      <c r="AA147" s="80" t="str">
        <f>IF(AND($P147=$Y$7,$B147&lt;'1331'!$I$9),"x","")</f>
        <v/>
      </c>
      <c r="AB147" s="80" t="str">
        <f>IF(AND($B147&gt;='1332'!$I$9,$B147&lt;='1332'!$I$9,OR($O147=$AB$7,$P147=$AB$7)),"x","")</f>
        <v/>
      </c>
      <c r="AC147" s="80" t="str">
        <f>IF(AND($O147=$AB$7,$B147&lt;'1332'!$I$9),"x","")</f>
        <v/>
      </c>
      <c r="AD147" s="80" t="str">
        <f>IF(AND($P147=$AB$7,$B147&lt;'1332'!$I$9),"x","")</f>
        <v/>
      </c>
      <c r="AE147" s="80" t="str">
        <f>IF(AND('341-CT'!$H$9=H147,OR(LEFT(O147,3)=$AE$7,LEFT(P147,3)=$AE$7)),"x","")</f>
        <v/>
      </c>
      <c r="AF147" s="80" t="str">
        <f>IF(OR(TH!O147=TH!$AF$7,P147=TH!$AF$7),"x","")</f>
        <v/>
      </c>
      <c r="AG147" s="80"/>
      <c r="AH147" s="80" t="str">
        <f>IF(AND(B147&gt;='IN-NX'!$P$3,B147&lt;='IN-NX'!$Q$3,'IN-NX'!$D$7=D147,OR(LEFT(L147,2)="15",AND(LEFT(M147,2)&lt;&gt;"15",LEFT(M147,2)&lt;&gt;"33"))),"x","")</f>
        <v/>
      </c>
      <c r="AI147" s="80" t="str">
        <f>IF(AND(OR(LEFT(TH!O147,2)="15",LEFT(TH!P147,2)="15"),'152-CT'!$J$8=TH!F147),"x","")</f>
        <v/>
      </c>
      <c r="AJ147" s="80" t="str">
        <f>IF(AND(OR(LEFT(TH!O147,2)="15",LEFT(TH!P147,2)="15"),'THE KHO'!$E$7=TH!F147),"x","")</f>
        <v/>
      </c>
      <c r="AK147" s="80" t="str">
        <f>IF(AND(O147="1521",MONTH(C147)='BK NL'!$M$11),"x","")</f>
        <v/>
      </c>
    </row>
    <row r="148" spans="1:39" s="1007" customFormat="1" ht="15.75" customHeight="1">
      <c r="A148" s="362" t="str">
        <f>IF(B148&lt;&gt;"",IF(AND(B148&gt;=_TM1,B148&lt;=_TM2,OR(TH!O148="1111",TH!P148="1111")),TH!D148,""),"")</f>
        <v/>
      </c>
      <c r="B148" s="63">
        <f t="shared" si="5"/>
        <v>2</v>
      </c>
      <c r="C148" s="337">
        <v>42424</v>
      </c>
      <c r="D148" s="337" t="s">
        <v>8</v>
      </c>
      <c r="E148" s="337">
        <v>42424</v>
      </c>
      <c r="F148" s="338" t="s">
        <v>405</v>
      </c>
      <c r="G148" s="1022" t="s">
        <v>798</v>
      </c>
      <c r="H148" s="368" t="s">
        <v>174</v>
      </c>
      <c r="I148" s="477"/>
      <c r="J148" s="477"/>
      <c r="K148" s="470"/>
      <c r="L148" s="477"/>
      <c r="M148" s="65">
        <v>12295119</v>
      </c>
      <c r="N148" s="65"/>
      <c r="O148" s="340" t="s">
        <v>133</v>
      </c>
      <c r="P148" s="340" t="s">
        <v>31</v>
      </c>
      <c r="Q148" s="66" t="str">
        <f>IF(AND('331-CT'!$E$7=TH!H148,OR(O148="331",P148="331")),"x","")</f>
        <v/>
      </c>
      <c r="R148" s="66" t="str">
        <f>IF(AND($B148&gt;='111'!$N$11,$B148&lt;='111'!$O$11,OR($O148=$R$7,$P148=$R$7)),"x","")</f>
        <v/>
      </c>
      <c r="S148" s="66" t="str">
        <f>IF(AND($O148=$R$7,$B148&lt;'111'!$N$11),"x","")</f>
        <v/>
      </c>
      <c r="T148" s="66" t="str">
        <f>IF(AND($P148=$R$7,$B148&lt;'111'!$N$11),"x","")</f>
        <v/>
      </c>
      <c r="U148" s="66" t="str">
        <f>IF(AND($B148&gt;='112'!$M$9,$B148&lt;='112'!$N$9,OR($O148='112'!$I$6,$P148='112'!$I$6)),"x","")</f>
        <v/>
      </c>
      <c r="V148" s="66" t="str">
        <f>IF(AND($O148='112'!$I$6,$B148&lt;'112'!$M$9),"x","")</f>
        <v/>
      </c>
      <c r="W148" s="66" t="str">
        <f>IF(AND($P148='112'!$I$6,$B148&lt;'112'!$M$9),"x","")</f>
        <v>x</v>
      </c>
      <c r="X148" s="66" t="str">
        <f>IF(AND('131-CT'!$H$9=TH!H148,OR(O148="131",P148="131")),"x","")</f>
        <v/>
      </c>
      <c r="Y148" s="80" t="str">
        <f>IF(AND($B148&gt;='1331'!$I$9,$B148&lt;='1331'!$J$9,OR($O148=$Y$7,$P148=$Y$7)),"x","")</f>
        <v/>
      </c>
      <c r="Z148" s="80" t="str">
        <f>IF(AND($O148=$Y$7,$B148&lt;'1331'!$I$9),"x","")</f>
        <v/>
      </c>
      <c r="AA148" s="80" t="str">
        <f>IF(AND($P148=$Y$7,$B148&lt;'1331'!$I$9),"x","")</f>
        <v/>
      </c>
      <c r="AB148" s="80" t="str">
        <f>IF(AND($B148&gt;='1332'!$I$9,$B148&lt;='1332'!$I$9,OR($O148=$AB$7,$P148=$AB$7)),"x","")</f>
        <v/>
      </c>
      <c r="AC148" s="80" t="str">
        <f>IF(AND($O148=$AB$7,$B148&lt;'1332'!$I$9),"x","")</f>
        <v/>
      </c>
      <c r="AD148" s="80" t="str">
        <f>IF(AND($P148=$AB$7,$B148&lt;'1332'!$I$9),"x","")</f>
        <v/>
      </c>
      <c r="AE148" s="80" t="str">
        <f>IF(AND('341-CT'!$H$9=H148,OR(LEFT(O148,3)=$AE$7,LEFT(P148,3)=$AE$7)),"x","")</f>
        <v/>
      </c>
      <c r="AF148" s="80" t="str">
        <f>IF(OR(TH!O148=TH!$AF$7,P148=TH!$AF$7),"x","")</f>
        <v/>
      </c>
      <c r="AG148" s="80"/>
      <c r="AH148" s="80" t="str">
        <f>IF(AND(B148&gt;='IN-NX'!$P$3,B148&lt;='IN-NX'!$Q$3,'IN-NX'!$D$7=D148,OR(LEFT(L148,2)="15",AND(LEFT(M148,2)&lt;&gt;"15",LEFT(M148,2)&lt;&gt;"33"))),"x","")</f>
        <v/>
      </c>
      <c r="AI148" s="80" t="str">
        <f>IF(AND(OR(LEFT(TH!O148,2)="15",LEFT(TH!P148,2)="15"),'152-CT'!$J$8=TH!F148),"x","")</f>
        <v/>
      </c>
      <c r="AJ148" s="80" t="str">
        <f>IF(AND(OR(LEFT(TH!O148,2)="15",LEFT(TH!P148,2)="15"),'THE KHO'!$E$7=TH!F148),"x","")</f>
        <v/>
      </c>
      <c r="AK148" s="80" t="str">
        <f>IF(AND(O148="1521",MONTH(C148)='BK NL'!$M$11),"x","")</f>
        <v/>
      </c>
    </row>
    <row r="149" spans="1:39" s="1007" customFormat="1" ht="15.75" customHeight="1">
      <c r="A149" s="362" t="str">
        <f>IF(B149&lt;&gt;"",IF(AND(B149&gt;=_TM1,B149&lt;=_TM2,OR(TH!O149="1111",TH!P149="1111")),TH!D149,""),"")</f>
        <v/>
      </c>
      <c r="B149" s="63">
        <f t="shared" si="5"/>
        <v>2</v>
      </c>
      <c r="C149" s="337">
        <v>42424</v>
      </c>
      <c r="D149" s="337" t="s">
        <v>8</v>
      </c>
      <c r="E149" s="337">
        <v>42424</v>
      </c>
      <c r="F149" s="338" t="s">
        <v>405</v>
      </c>
      <c r="G149" s="1022" t="s">
        <v>798</v>
      </c>
      <c r="H149" s="339" t="s">
        <v>175</v>
      </c>
      <c r="I149" s="476"/>
      <c r="J149" s="476"/>
      <c r="K149" s="469"/>
      <c r="L149" s="476"/>
      <c r="M149" s="65">
        <v>12295119</v>
      </c>
      <c r="N149" s="65"/>
      <c r="O149" s="340" t="s">
        <v>133</v>
      </c>
      <c r="P149" s="340" t="s">
        <v>31</v>
      </c>
      <c r="Q149" s="66" t="str">
        <f>IF(AND('331-CT'!$E$7=TH!H149,OR(O149="331",P149="331")),"x","")</f>
        <v/>
      </c>
      <c r="R149" s="66" t="str">
        <f>IF(AND($B149&gt;='111'!$N$11,$B149&lt;='111'!$O$11,OR($O149=$R$7,$P149=$R$7)),"x","")</f>
        <v/>
      </c>
      <c r="S149" s="66" t="str">
        <f>IF(AND($O149=$R$7,$B149&lt;'111'!$N$11),"x","")</f>
        <v/>
      </c>
      <c r="T149" s="66" t="str">
        <f>IF(AND($P149=$R$7,$B149&lt;'111'!$N$11),"x","")</f>
        <v/>
      </c>
      <c r="U149" s="66" t="str">
        <f>IF(AND($B149&gt;='112'!$M$9,$B149&lt;='112'!$N$9,OR($O149='112'!$I$6,$P149='112'!$I$6)),"x","")</f>
        <v/>
      </c>
      <c r="V149" s="66" t="str">
        <f>IF(AND($O149='112'!$I$6,$B149&lt;'112'!$M$9),"x","")</f>
        <v/>
      </c>
      <c r="W149" s="66" t="str">
        <f>IF(AND($P149='112'!$I$6,$B149&lt;'112'!$M$9),"x","")</f>
        <v>x</v>
      </c>
      <c r="X149" s="66" t="str">
        <f>IF(AND('131-CT'!$H$9=TH!H149,OR(O149="131",P149="131")),"x","")</f>
        <v/>
      </c>
      <c r="Y149" s="80" t="str">
        <f>IF(AND($B149&gt;='1331'!$I$9,$B149&lt;='1331'!$J$9,OR($O149=$Y$7,$P149=$Y$7)),"x","")</f>
        <v/>
      </c>
      <c r="Z149" s="80" t="str">
        <f>IF(AND($O149=$Y$7,$B149&lt;'1331'!$I$9),"x","")</f>
        <v/>
      </c>
      <c r="AA149" s="80" t="str">
        <f>IF(AND($P149=$Y$7,$B149&lt;'1331'!$I$9),"x","")</f>
        <v/>
      </c>
      <c r="AB149" s="80" t="str">
        <f>IF(AND($B149&gt;='1332'!$I$9,$B149&lt;='1332'!$I$9,OR($O149=$AB$7,$P149=$AB$7)),"x","")</f>
        <v/>
      </c>
      <c r="AC149" s="80" t="str">
        <f>IF(AND($O149=$AB$7,$B149&lt;'1332'!$I$9),"x","")</f>
        <v/>
      </c>
      <c r="AD149" s="80" t="str">
        <f>IF(AND($P149=$AB$7,$B149&lt;'1332'!$I$9),"x","")</f>
        <v/>
      </c>
      <c r="AE149" s="80" t="str">
        <f>IF(AND('341-CT'!$H$9=H149,OR(LEFT(O149,3)=$AE$7,LEFT(P149,3)=$AE$7)),"x","")</f>
        <v/>
      </c>
      <c r="AF149" s="80" t="str">
        <f>IF(OR(TH!O149=TH!$AF$7,P149=TH!$AF$7),"x","")</f>
        <v/>
      </c>
      <c r="AG149" s="80"/>
      <c r="AH149" s="80" t="str">
        <f>IF(AND(B149&gt;='IN-NX'!$P$3,B149&lt;='IN-NX'!$Q$3,'IN-NX'!$D$7=D149,OR(LEFT(L149,2)="15",AND(LEFT(M149,2)&lt;&gt;"15",LEFT(M149,2)&lt;&gt;"33"))),"x","")</f>
        <v/>
      </c>
      <c r="AI149" s="80" t="str">
        <f>IF(AND(OR(LEFT(TH!O149,2)="15",LEFT(TH!P149,2)="15"),'152-CT'!$J$8=TH!F149),"x","")</f>
        <v/>
      </c>
      <c r="AJ149" s="80" t="str">
        <f>IF(AND(OR(LEFT(TH!O149,2)="15",LEFT(TH!P149,2)="15"),'THE KHO'!$E$7=TH!F149),"x","")</f>
        <v/>
      </c>
      <c r="AK149" s="80" t="str">
        <f>IF(AND(O149="1521",MONTH(C149)='BK NL'!$M$11),"x","")</f>
        <v/>
      </c>
    </row>
    <row r="150" spans="1:39" s="1007" customFormat="1" ht="15.75" customHeight="1">
      <c r="A150" s="362" t="str">
        <f>IF(B150&lt;&gt;"",IF(AND(B150&gt;=_TM1,B150&lt;=_TM2,OR(TH!O150="1111",TH!P150="1111")),TH!D150,""),"")</f>
        <v/>
      </c>
      <c r="B150" s="63">
        <f t="shared" si="5"/>
        <v>2</v>
      </c>
      <c r="C150" s="337">
        <v>42424</v>
      </c>
      <c r="D150" s="337" t="s">
        <v>8</v>
      </c>
      <c r="E150" s="337">
        <v>42424</v>
      </c>
      <c r="F150" s="338" t="s">
        <v>405</v>
      </c>
      <c r="G150" s="1022" t="s">
        <v>798</v>
      </c>
      <c r="H150" s="339" t="s">
        <v>176</v>
      </c>
      <c r="I150" s="476"/>
      <c r="J150" s="476"/>
      <c r="K150" s="469"/>
      <c r="L150" s="476"/>
      <c r="M150" s="65">
        <v>12295119</v>
      </c>
      <c r="N150" s="65"/>
      <c r="O150" s="340" t="s">
        <v>133</v>
      </c>
      <c r="P150" s="340" t="s">
        <v>31</v>
      </c>
      <c r="Q150" s="66" t="str">
        <f>IF(AND('331-CT'!$E$7=TH!H150,OR(O150="331",P150="331")),"x","")</f>
        <v/>
      </c>
      <c r="R150" s="66" t="str">
        <f>IF(AND($B150&gt;='111'!$N$11,$B150&lt;='111'!$O$11,OR($O150=$R$7,$P150=$R$7)),"x","")</f>
        <v/>
      </c>
      <c r="S150" s="66" t="str">
        <f>IF(AND($O150=$R$7,$B150&lt;'111'!$N$11),"x","")</f>
        <v/>
      </c>
      <c r="T150" s="66" t="str">
        <f>IF(AND($P150=$R$7,$B150&lt;'111'!$N$11),"x","")</f>
        <v/>
      </c>
      <c r="U150" s="66" t="str">
        <f>IF(AND($B150&gt;='112'!$M$9,$B150&lt;='112'!$N$9,OR($O150='112'!$I$6,$P150='112'!$I$6)),"x","")</f>
        <v/>
      </c>
      <c r="V150" s="66" t="str">
        <f>IF(AND($O150='112'!$I$6,$B150&lt;'112'!$M$9),"x","")</f>
        <v/>
      </c>
      <c r="W150" s="66" t="str">
        <f>IF(AND($P150='112'!$I$6,$B150&lt;'112'!$M$9),"x","")</f>
        <v>x</v>
      </c>
      <c r="X150" s="66" t="str">
        <f>IF(AND('131-CT'!$H$9=TH!H150,OR(O150="131",P150="131")),"x","")</f>
        <v/>
      </c>
      <c r="Y150" s="80" t="str">
        <f>IF(AND($B150&gt;='1331'!$I$9,$B150&lt;='1331'!$J$9,OR($O150=$Y$7,$P150=$Y$7)),"x","")</f>
        <v/>
      </c>
      <c r="Z150" s="80" t="str">
        <f>IF(AND($O150=$Y$7,$B150&lt;'1331'!$I$9),"x","")</f>
        <v/>
      </c>
      <c r="AA150" s="80" t="str">
        <f>IF(AND($P150=$Y$7,$B150&lt;'1331'!$I$9),"x","")</f>
        <v/>
      </c>
      <c r="AB150" s="80" t="str">
        <f>IF(AND($B150&gt;='1332'!$I$9,$B150&lt;='1332'!$I$9,OR($O150=$AB$7,$P150=$AB$7)),"x","")</f>
        <v/>
      </c>
      <c r="AC150" s="80" t="str">
        <f>IF(AND($O150=$AB$7,$B150&lt;'1332'!$I$9),"x","")</f>
        <v/>
      </c>
      <c r="AD150" s="80" t="str">
        <f>IF(AND($P150=$AB$7,$B150&lt;'1332'!$I$9),"x","")</f>
        <v/>
      </c>
      <c r="AE150" s="80" t="str">
        <f>IF(AND('341-CT'!$H$9=H150,OR(LEFT(O150,3)=$AE$7,LEFT(P150,3)=$AE$7)),"x","")</f>
        <v/>
      </c>
      <c r="AF150" s="80" t="str">
        <f>IF(OR(TH!O150=TH!$AF$7,P150=TH!$AF$7),"x","")</f>
        <v/>
      </c>
      <c r="AG150" s="80"/>
      <c r="AH150" s="80" t="str">
        <f>IF(AND(B150&gt;='IN-NX'!$P$3,B150&lt;='IN-NX'!$Q$3,'IN-NX'!$D$7=D150,OR(LEFT(L150,2)="15",AND(LEFT(M150,2)&lt;&gt;"15",LEFT(M150,2)&lt;&gt;"33"))),"x","")</f>
        <v/>
      </c>
      <c r="AI150" s="80" t="str">
        <f>IF(AND(OR(LEFT(TH!O150,2)="15",LEFT(TH!P150,2)="15"),'152-CT'!$J$8=TH!F150),"x","")</f>
        <v/>
      </c>
      <c r="AJ150" s="80" t="str">
        <f>IF(AND(OR(LEFT(TH!O150,2)="15",LEFT(TH!P150,2)="15"),'THE KHO'!$E$7=TH!F150),"x","")</f>
        <v/>
      </c>
      <c r="AK150" s="80" t="str">
        <f>IF(AND(O150="1521",MONTH(C150)='BK NL'!$M$11),"x","")</f>
        <v/>
      </c>
    </row>
    <row r="151" spans="1:39" s="1007" customFormat="1" ht="15.75" customHeight="1">
      <c r="A151" s="362" t="str">
        <f>IF(B151&lt;&gt;"",IF(AND(B151&gt;=_TM1,B151&lt;=_TM2,OR(TH!O151="1111",TH!P151="1111")),TH!D151,""),"")</f>
        <v/>
      </c>
      <c r="B151" s="63">
        <f t="shared" si="5"/>
        <v>2</v>
      </c>
      <c r="C151" s="337">
        <v>42424</v>
      </c>
      <c r="D151" s="337" t="s">
        <v>8</v>
      </c>
      <c r="E151" s="337">
        <v>42424</v>
      </c>
      <c r="F151" s="338" t="s">
        <v>405</v>
      </c>
      <c r="G151" s="1022" t="s">
        <v>798</v>
      </c>
      <c r="H151" s="368" t="s">
        <v>179</v>
      </c>
      <c r="I151" s="477"/>
      <c r="J151" s="477"/>
      <c r="K151" s="470"/>
      <c r="L151" s="477"/>
      <c r="M151" s="65">
        <v>12295119</v>
      </c>
      <c r="N151" s="65"/>
      <c r="O151" s="340" t="s">
        <v>133</v>
      </c>
      <c r="P151" s="340" t="s">
        <v>31</v>
      </c>
      <c r="Q151" s="66" t="str">
        <f>IF(AND('331-CT'!$E$7=TH!H151,OR(O151="331",P151="331")),"x","")</f>
        <v/>
      </c>
      <c r="R151" s="66" t="str">
        <f>IF(AND($B151&gt;='111'!$N$11,$B151&lt;='111'!$O$11,OR($O151=$R$7,$P151=$R$7)),"x","")</f>
        <v/>
      </c>
      <c r="S151" s="66" t="str">
        <f>IF(AND($O151=$R$7,$B151&lt;'111'!$N$11),"x","")</f>
        <v/>
      </c>
      <c r="T151" s="66" t="str">
        <f>IF(AND($P151=$R$7,$B151&lt;'111'!$N$11),"x","")</f>
        <v/>
      </c>
      <c r="U151" s="66" t="str">
        <f>IF(AND($B151&gt;='112'!$M$9,$B151&lt;='112'!$N$9,OR($O151='112'!$I$6,$P151='112'!$I$6)),"x","")</f>
        <v/>
      </c>
      <c r="V151" s="66" t="str">
        <f>IF(AND($O151='112'!$I$6,$B151&lt;'112'!$M$9),"x","")</f>
        <v/>
      </c>
      <c r="W151" s="66" t="str">
        <f>IF(AND($P151='112'!$I$6,$B151&lt;'112'!$M$9),"x","")</f>
        <v>x</v>
      </c>
      <c r="X151" s="66" t="str">
        <f>IF(AND('131-CT'!$H$9=TH!H151,OR(O151="131",P151="131")),"x","")</f>
        <v/>
      </c>
      <c r="Y151" s="80" t="str">
        <f>IF(AND($B151&gt;='1331'!$I$9,$B151&lt;='1331'!$J$9,OR($O151=$Y$7,$P151=$Y$7)),"x","")</f>
        <v/>
      </c>
      <c r="Z151" s="80" t="str">
        <f>IF(AND($O151=$Y$7,$B151&lt;'1331'!$I$9),"x","")</f>
        <v/>
      </c>
      <c r="AA151" s="80" t="str">
        <f>IF(AND($P151=$Y$7,$B151&lt;'1331'!$I$9),"x","")</f>
        <v/>
      </c>
      <c r="AB151" s="80" t="str">
        <f>IF(AND($B151&gt;='1332'!$I$9,$B151&lt;='1332'!$I$9,OR($O151=$AB$7,$P151=$AB$7)),"x","")</f>
        <v/>
      </c>
      <c r="AC151" s="80" t="str">
        <f>IF(AND($O151=$AB$7,$B151&lt;'1332'!$I$9),"x","")</f>
        <v/>
      </c>
      <c r="AD151" s="80" t="str">
        <f>IF(AND($P151=$AB$7,$B151&lt;'1332'!$I$9),"x","")</f>
        <v/>
      </c>
      <c r="AE151" s="80" t="str">
        <f>IF(AND('341-CT'!$H$9=H151,OR(LEFT(O151,3)=$AE$7,LEFT(P151,3)=$AE$7)),"x","")</f>
        <v/>
      </c>
      <c r="AF151" s="80" t="str">
        <f>IF(OR(TH!O151=TH!$AF$7,P151=TH!$AF$7),"x","")</f>
        <v/>
      </c>
      <c r="AG151" s="80"/>
      <c r="AH151" s="80" t="str">
        <f>IF(AND(B151&gt;='IN-NX'!$P$3,B151&lt;='IN-NX'!$Q$3,'IN-NX'!$D$7=D151,OR(LEFT(L151,2)="15",AND(LEFT(M151,2)&lt;&gt;"15",LEFT(M151,2)&lt;&gt;"33"))),"x","")</f>
        <v/>
      </c>
      <c r="AI151" s="80" t="str">
        <f>IF(AND(OR(LEFT(TH!O151,2)="15",LEFT(TH!P151,2)="15"),'152-CT'!$J$8=TH!F151),"x","")</f>
        <v/>
      </c>
      <c r="AJ151" s="80" t="str">
        <f>IF(AND(OR(LEFT(TH!O151,2)="15",LEFT(TH!P151,2)="15"),'THE KHO'!$E$7=TH!F151),"x","")</f>
        <v/>
      </c>
      <c r="AK151" s="80" t="str">
        <f>IF(AND(O151="1521",MONTH(C151)='BK NL'!$M$11),"x","")</f>
        <v/>
      </c>
    </row>
    <row r="152" spans="1:39" s="1007" customFormat="1" ht="15.75" customHeight="1">
      <c r="A152" s="362" t="str">
        <f>IF(B152&lt;&gt;"",IF(AND(B152&gt;=_TM1,B152&lt;=_TM2,OR(TH!O152="1111",TH!P152="1111")),TH!D152,""),"")</f>
        <v/>
      </c>
      <c r="B152" s="63">
        <f t="shared" si="5"/>
        <v>2</v>
      </c>
      <c r="C152" s="337">
        <v>42424</v>
      </c>
      <c r="D152" s="337" t="s">
        <v>8</v>
      </c>
      <c r="E152" s="337">
        <v>42424</v>
      </c>
      <c r="F152" s="338" t="s">
        <v>405</v>
      </c>
      <c r="G152" s="1022" t="s">
        <v>798</v>
      </c>
      <c r="H152" s="339" t="s">
        <v>180</v>
      </c>
      <c r="I152" s="476"/>
      <c r="J152" s="476"/>
      <c r="K152" s="469"/>
      <c r="L152" s="476"/>
      <c r="M152" s="65">
        <v>8196747</v>
      </c>
      <c r="N152" s="65"/>
      <c r="O152" s="340" t="s">
        <v>133</v>
      </c>
      <c r="P152" s="340" t="s">
        <v>31</v>
      </c>
      <c r="Q152" s="66" t="str">
        <f>IF(AND('331-CT'!$E$7=TH!H152,OR(O152="331",P152="331")),"x","")</f>
        <v/>
      </c>
      <c r="R152" s="66" t="str">
        <f>IF(AND($B152&gt;='111'!$N$11,$B152&lt;='111'!$O$11,OR($O152=$R$7,$P152=$R$7)),"x","")</f>
        <v/>
      </c>
      <c r="S152" s="66" t="str">
        <f>IF(AND($O152=$R$7,$B152&lt;'111'!$N$11),"x","")</f>
        <v/>
      </c>
      <c r="T152" s="66" t="str">
        <f>IF(AND($P152=$R$7,$B152&lt;'111'!$N$11),"x","")</f>
        <v/>
      </c>
      <c r="U152" s="66" t="str">
        <f>IF(AND($B152&gt;='112'!$M$9,$B152&lt;='112'!$N$9,OR($O152='112'!$I$6,$P152='112'!$I$6)),"x","")</f>
        <v/>
      </c>
      <c r="V152" s="66" t="str">
        <f>IF(AND($O152='112'!$I$6,$B152&lt;'112'!$M$9),"x","")</f>
        <v/>
      </c>
      <c r="W152" s="66" t="str">
        <f>IF(AND($P152='112'!$I$6,$B152&lt;'112'!$M$9),"x","")</f>
        <v>x</v>
      </c>
      <c r="X152" s="66" t="str">
        <f>IF(AND('131-CT'!$H$9=TH!H152,OR(O152="131",P152="131")),"x","")</f>
        <v/>
      </c>
      <c r="Y152" s="80" t="str">
        <f>IF(AND($B152&gt;='1331'!$I$9,$B152&lt;='1331'!$J$9,OR($O152=$Y$7,$P152=$Y$7)),"x","")</f>
        <v/>
      </c>
      <c r="Z152" s="80" t="str">
        <f>IF(AND($O152=$Y$7,$B152&lt;'1331'!$I$9),"x","")</f>
        <v/>
      </c>
      <c r="AA152" s="80" t="str">
        <f>IF(AND($P152=$Y$7,$B152&lt;'1331'!$I$9),"x","")</f>
        <v/>
      </c>
      <c r="AB152" s="80" t="str">
        <f>IF(AND($B152&gt;='1332'!$I$9,$B152&lt;='1332'!$I$9,OR($O152=$AB$7,$P152=$AB$7)),"x","")</f>
        <v/>
      </c>
      <c r="AC152" s="80" t="str">
        <f>IF(AND($O152=$AB$7,$B152&lt;'1332'!$I$9),"x","")</f>
        <v/>
      </c>
      <c r="AD152" s="80" t="str">
        <f>IF(AND($P152=$AB$7,$B152&lt;'1332'!$I$9),"x","")</f>
        <v/>
      </c>
      <c r="AE152" s="80" t="str">
        <f>IF(AND('341-CT'!$H$9=H152,OR(LEFT(O152,3)=$AE$7,LEFT(P152,3)=$AE$7)),"x","")</f>
        <v/>
      </c>
      <c r="AF152" s="80" t="str">
        <f>IF(OR(TH!O152=TH!$AF$7,P152=TH!$AF$7),"x","")</f>
        <v/>
      </c>
      <c r="AG152" s="80"/>
      <c r="AH152" s="80" t="str">
        <f>IF(AND(B152&gt;='IN-NX'!$P$3,B152&lt;='IN-NX'!$Q$3,'IN-NX'!$D$7=D152,OR(LEFT(L152,2)="15",AND(LEFT(M152,2)&lt;&gt;"15",LEFT(M152,2)&lt;&gt;"33"))),"x","")</f>
        <v/>
      </c>
      <c r="AI152" s="80" t="str">
        <f>IF(AND(OR(LEFT(TH!O152,2)="15",LEFT(TH!P152,2)="15"),'152-CT'!$J$8=TH!F152),"x","")</f>
        <v/>
      </c>
      <c r="AJ152" s="80" t="str">
        <f>IF(AND(OR(LEFT(TH!O152,2)="15",LEFT(TH!P152,2)="15"),'THE KHO'!$E$7=TH!F152),"x","")</f>
        <v/>
      </c>
      <c r="AK152" s="80" t="str">
        <f>IF(AND(O152="1521",MONTH(C152)='BK NL'!$M$11),"x","")</f>
        <v/>
      </c>
    </row>
    <row r="153" spans="1:39" s="1007" customFormat="1" ht="15.75" customHeight="1">
      <c r="A153" s="362" t="str">
        <f>IF(B153&lt;&gt;"",IF(AND(B153&gt;=_TM1,B153&lt;=_TM2,OR(TH!O153="1111",TH!P153="1111")),TH!D153,""),"")</f>
        <v/>
      </c>
      <c r="B153" s="63">
        <f t="shared" si="5"/>
        <v>2</v>
      </c>
      <c r="C153" s="337">
        <v>42425</v>
      </c>
      <c r="D153" s="337" t="s">
        <v>196</v>
      </c>
      <c r="E153" s="337">
        <v>42425</v>
      </c>
      <c r="F153" s="338" t="s">
        <v>437</v>
      </c>
      <c r="G153" s="351"/>
      <c r="H153" s="339" t="s">
        <v>429</v>
      </c>
      <c r="I153" s="476"/>
      <c r="J153" s="476"/>
      <c r="K153" s="469"/>
      <c r="L153" s="476"/>
      <c r="M153" s="65">
        <v>5000000</v>
      </c>
      <c r="N153" s="65"/>
      <c r="O153" s="340" t="s">
        <v>24</v>
      </c>
      <c r="P153" s="340" t="s">
        <v>97</v>
      </c>
      <c r="Q153" s="66" t="str">
        <f>IF(AND('331-CT'!$E$7=TH!H153,OR(O153="331",P153="331")),"x","")</f>
        <v/>
      </c>
      <c r="R153" s="66" t="str">
        <f>IF(AND($B153&gt;='111'!$N$11,$B153&lt;='111'!$O$11,OR($O153=$R$7,$P153=$R$7)),"x","")</f>
        <v/>
      </c>
      <c r="S153" s="66" t="str">
        <f>IF(AND($O153=$R$7,$B153&lt;'111'!$N$11),"x","")</f>
        <v/>
      </c>
      <c r="T153" s="66" t="str">
        <f>IF(AND($P153=$R$7,$B153&lt;'111'!$N$11),"x","")</f>
        <v>x</v>
      </c>
      <c r="U153" s="66" t="str">
        <f>IF(AND($B153&gt;='112'!$M$9,$B153&lt;='112'!$N$9,OR($O153='112'!$I$6,$P153='112'!$I$6)),"x","")</f>
        <v/>
      </c>
      <c r="V153" s="66" t="str">
        <f>IF(AND($O153='112'!$I$6,$B153&lt;'112'!$M$9),"x","")</f>
        <v/>
      </c>
      <c r="W153" s="66" t="str">
        <f>IF(AND($P153='112'!$I$6,$B153&lt;'112'!$M$9),"x","")</f>
        <v/>
      </c>
      <c r="X153" s="66" t="str">
        <f>IF(AND('131-CT'!$H$9=TH!H153,OR(O153="131",P153="131")),"x","")</f>
        <v/>
      </c>
      <c r="Y153" s="80" t="str">
        <f>IF(AND($B153&gt;='1331'!$I$9,$B153&lt;='1331'!$J$9,OR($O153=$Y$7,$P153=$Y$7)),"x","")</f>
        <v/>
      </c>
      <c r="Z153" s="80" t="str">
        <f>IF(AND($O153=$Y$7,$B153&lt;'1331'!$I$9),"x","")</f>
        <v/>
      </c>
      <c r="AA153" s="80" t="str">
        <f>IF(AND($P153=$Y$7,$B153&lt;'1331'!$I$9),"x","")</f>
        <v/>
      </c>
      <c r="AB153" s="80" t="str">
        <f>IF(AND($B153&gt;='1332'!$I$9,$B153&lt;='1332'!$I$9,OR($O153=$AB$7,$P153=$AB$7)),"x","")</f>
        <v/>
      </c>
      <c r="AC153" s="80" t="str">
        <f>IF(AND($O153=$AB$7,$B153&lt;'1332'!$I$9),"x","")</f>
        <v/>
      </c>
      <c r="AD153" s="80" t="str">
        <f>IF(AND($P153=$AB$7,$B153&lt;'1332'!$I$9),"x","")</f>
        <v/>
      </c>
      <c r="AE153" s="80" t="str">
        <f>IF(AND('341-CT'!$H$9=H153,OR(LEFT(O153,3)=$AE$7,LEFT(P153,3)=$AE$7)),"x","")</f>
        <v/>
      </c>
      <c r="AF153" s="80" t="str">
        <f>IF(OR(TH!O153=TH!$AF$7,P153=TH!$AF$7),"x","")</f>
        <v>x</v>
      </c>
      <c r="AG153" s="80"/>
      <c r="AH153" s="80" t="str">
        <f>IF(AND(B153&gt;='IN-NX'!$P$3,B153&lt;='IN-NX'!$Q$3,'IN-NX'!$D$7=D153,OR(LEFT(L153,2)="15",AND(LEFT(M153,2)&lt;&gt;"15",LEFT(M153,2)&lt;&gt;"33"))),"x","")</f>
        <v/>
      </c>
      <c r="AI153" s="80" t="str">
        <f>IF(AND(OR(LEFT(TH!O153,2)="15",LEFT(TH!P153,2)="15"),'152-CT'!$J$8=TH!F153),"x","")</f>
        <v/>
      </c>
      <c r="AJ153" s="80" t="str">
        <f>IF(AND(OR(LEFT(TH!O153,2)="15",LEFT(TH!P153,2)="15"),'THE KHO'!$E$7=TH!F153),"x","")</f>
        <v/>
      </c>
      <c r="AK153" s="80" t="str">
        <f>IF(AND(O153="1521",MONTH(C153)='BK NL'!$M$11),"x","")</f>
        <v/>
      </c>
    </row>
    <row r="154" spans="1:39" s="1007" customFormat="1" ht="15.75" customHeight="1">
      <c r="A154" s="362" t="str">
        <f>IF(B154&lt;&gt;"",IF(AND(B154&gt;=_TM1,B154&lt;=_TM2,OR(TH!O154="1111",TH!P154="1111")),TH!D154,""),"")</f>
        <v/>
      </c>
      <c r="B154" s="63">
        <f t="shared" si="5"/>
        <v>2</v>
      </c>
      <c r="C154" s="337">
        <v>42425</v>
      </c>
      <c r="D154" s="337" t="s">
        <v>197</v>
      </c>
      <c r="E154" s="337">
        <v>42425</v>
      </c>
      <c r="F154" s="338" t="s">
        <v>438</v>
      </c>
      <c r="G154" s="351" t="s">
        <v>767</v>
      </c>
      <c r="H154" s="339" t="s">
        <v>49</v>
      </c>
      <c r="I154" s="476"/>
      <c r="J154" s="476"/>
      <c r="K154" s="469"/>
      <c r="L154" s="476"/>
      <c r="M154" s="65">
        <v>4324364</v>
      </c>
      <c r="N154" s="65"/>
      <c r="O154" s="340" t="s">
        <v>135</v>
      </c>
      <c r="P154" s="340" t="s">
        <v>97</v>
      </c>
      <c r="Q154" s="66" t="str">
        <f>IF(AND('331-CT'!$E$7=TH!H154,OR(O154="331",P154="331")),"x","")</f>
        <v/>
      </c>
      <c r="R154" s="66" t="str">
        <f>IF(AND($B154&gt;='111'!$N$11,$B154&lt;='111'!$O$11,OR($O154=$R$7,$P154=$R$7)),"x","")</f>
        <v/>
      </c>
      <c r="S154" s="66" t="str">
        <f>IF(AND($O154=$R$7,$B154&lt;'111'!$N$11),"x","")</f>
        <v/>
      </c>
      <c r="T154" s="66" t="str">
        <f>IF(AND($P154=$R$7,$B154&lt;'111'!$N$11),"x","")</f>
        <v>x</v>
      </c>
      <c r="U154" s="66" t="str">
        <f>IF(AND($B154&gt;='112'!$M$9,$B154&lt;='112'!$N$9,OR($O154='112'!$I$6,$P154='112'!$I$6)),"x","")</f>
        <v/>
      </c>
      <c r="V154" s="66" t="str">
        <f>IF(AND($O154='112'!$I$6,$B154&lt;'112'!$M$9),"x","")</f>
        <v/>
      </c>
      <c r="W154" s="66" t="str">
        <f>IF(AND($P154='112'!$I$6,$B154&lt;'112'!$M$9),"x","")</f>
        <v/>
      </c>
      <c r="X154" s="66" t="str">
        <f>IF(AND('131-CT'!$H$9=TH!H154,OR(O154="131",P154="131")),"x","")</f>
        <v/>
      </c>
      <c r="Y154" s="80" t="str">
        <f>IF(AND($B154&gt;='1331'!$I$9,$B154&lt;='1331'!$J$9,OR($O154=$Y$7,$P154=$Y$7)),"x","")</f>
        <v/>
      </c>
      <c r="Z154" s="80" t="str">
        <f>IF(AND($O154=$Y$7,$B154&lt;'1331'!$I$9),"x","")</f>
        <v/>
      </c>
      <c r="AA154" s="80" t="str">
        <f>IF(AND($P154=$Y$7,$B154&lt;'1331'!$I$9),"x","")</f>
        <v/>
      </c>
      <c r="AB154" s="80" t="str">
        <f>IF(AND($B154&gt;='1332'!$I$9,$B154&lt;='1332'!$I$9,OR($O154=$AB$7,$P154=$AB$7)),"x","")</f>
        <v/>
      </c>
      <c r="AC154" s="80" t="str">
        <f>IF(AND($O154=$AB$7,$B154&lt;'1332'!$I$9),"x","")</f>
        <v/>
      </c>
      <c r="AD154" s="80" t="str">
        <f>IF(AND($P154=$AB$7,$B154&lt;'1332'!$I$9),"x","")</f>
        <v/>
      </c>
      <c r="AE154" s="80" t="str">
        <f>IF(AND('341-CT'!$H$9=H154,OR(LEFT(O154,3)=$AE$7,LEFT(P154,3)=$AE$7)),"x","")</f>
        <v/>
      </c>
      <c r="AF154" s="80" t="str">
        <f>IF(OR(TH!O154=TH!$AF$7,P154=TH!$AF$7),"x","")</f>
        <v/>
      </c>
      <c r="AG154" s="80"/>
      <c r="AH154" s="80" t="str">
        <f>IF(AND(B154&gt;='IN-NX'!$P$3,B154&lt;='IN-NX'!$Q$3,'IN-NX'!$D$7=D154,OR(LEFT(L154,2)="15",AND(LEFT(M154,2)&lt;&gt;"15",LEFT(M154,2)&lt;&gt;"33"))),"x","")</f>
        <v/>
      </c>
      <c r="AI154" s="80" t="str">
        <f>IF(AND(OR(LEFT(TH!O154,2)="15",LEFT(TH!P154,2)="15"),'152-CT'!$J$8=TH!F154),"x","")</f>
        <v/>
      </c>
      <c r="AJ154" s="80" t="str">
        <f>IF(AND(OR(LEFT(TH!O154,2)="15",LEFT(TH!P154,2)="15"),'THE KHO'!$E$7=TH!F154),"x","")</f>
        <v/>
      </c>
      <c r="AK154" s="80" t="str">
        <f>IF(AND(O154="1521",MONTH(C154)='BK NL'!$M$11),"x","")</f>
        <v/>
      </c>
    </row>
    <row r="155" spans="1:39" s="1007" customFormat="1" ht="15.75" customHeight="1">
      <c r="A155" s="362" t="str">
        <f>IF(B155&lt;&gt;"",IF(AND(B155&gt;=_TM1,B155&lt;=_TM2,OR(TH!O155="1111",TH!P155="1111")),TH!D155,""),"")</f>
        <v/>
      </c>
      <c r="B155" s="63">
        <f t="shared" ref="B155:B223" si="6">IF(C155&lt;&gt;"",MONTH(C155),"")</f>
        <v>2</v>
      </c>
      <c r="C155" s="337">
        <v>42425</v>
      </c>
      <c r="D155" s="337" t="s">
        <v>197</v>
      </c>
      <c r="E155" s="337">
        <v>42425</v>
      </c>
      <c r="F155" s="338" t="s">
        <v>982</v>
      </c>
      <c r="G155" s="351" t="s">
        <v>767</v>
      </c>
      <c r="H155" s="339" t="s">
        <v>49</v>
      </c>
      <c r="I155" s="476"/>
      <c r="J155" s="476"/>
      <c r="K155" s="469"/>
      <c r="L155" s="476"/>
      <c r="M155" s="88">
        <v>432436</v>
      </c>
      <c r="N155" s="88"/>
      <c r="O155" s="340" t="s">
        <v>10</v>
      </c>
      <c r="P155" s="340" t="s">
        <v>97</v>
      </c>
      <c r="Q155" s="66" t="str">
        <f>IF(AND('331-CT'!$E$7=TH!H155,OR(O155="331",P155="331")),"x","")</f>
        <v/>
      </c>
      <c r="R155" s="66" t="str">
        <f>IF(AND($B155&gt;='111'!$N$11,$B155&lt;='111'!$O$11,OR($O155=$R$7,$P155=$R$7)),"x","")</f>
        <v/>
      </c>
      <c r="S155" s="66" t="str">
        <f>IF(AND($O155=$R$7,$B155&lt;'111'!$N$11),"x","")</f>
        <v/>
      </c>
      <c r="T155" s="66" t="str">
        <f>IF(AND($P155=$R$7,$B155&lt;'111'!$N$11),"x","")</f>
        <v>x</v>
      </c>
      <c r="U155" s="66" t="str">
        <f>IF(AND($B155&gt;='112'!$M$9,$B155&lt;='112'!$N$9,OR($O155='112'!$I$6,$P155='112'!$I$6)),"x","")</f>
        <v/>
      </c>
      <c r="V155" s="66" t="str">
        <f>IF(AND($O155='112'!$I$6,$B155&lt;'112'!$M$9),"x","")</f>
        <v/>
      </c>
      <c r="W155" s="66" t="str">
        <f>IF(AND($P155='112'!$I$6,$B155&lt;'112'!$M$9),"x","")</f>
        <v/>
      </c>
      <c r="X155" s="66" t="str">
        <f>IF(AND('131-CT'!$H$9=TH!H155,OR(O155="131",P155="131")),"x","")</f>
        <v/>
      </c>
      <c r="Y155" s="80" t="str">
        <f>IF(AND($B155&gt;='1331'!$I$9,$B155&lt;='1331'!$J$9,OR($O155=$Y$7,$P155=$Y$7)),"x","")</f>
        <v/>
      </c>
      <c r="Z155" s="80" t="str">
        <f>IF(AND($O155=$Y$7,$B155&lt;'1331'!$I$9),"x","")</f>
        <v>x</v>
      </c>
      <c r="AA155" s="80" t="str">
        <f>IF(AND($P155=$Y$7,$B155&lt;'1331'!$I$9),"x","")</f>
        <v/>
      </c>
      <c r="AB155" s="80" t="str">
        <f>IF(AND($B155&gt;='1332'!$I$9,$B155&lt;='1332'!$I$9,OR($O155=$AB$7,$P155=$AB$7)),"x","")</f>
        <v/>
      </c>
      <c r="AC155" s="80" t="str">
        <f>IF(AND($O155=$AB$7,$B155&lt;'1332'!$I$9),"x","")</f>
        <v/>
      </c>
      <c r="AD155" s="80" t="str">
        <f>IF(AND($P155=$AB$7,$B155&lt;'1332'!$I$9),"x","")</f>
        <v/>
      </c>
      <c r="AE155" s="80" t="str">
        <f>IF(AND('341-CT'!$H$9=H155,OR(LEFT(O155,3)=$AE$7,LEFT(P155,3)=$AE$7)),"x","")</f>
        <v/>
      </c>
      <c r="AF155" s="80" t="str">
        <f>IF(OR(TH!O155=TH!$AF$7,P155=TH!$AF$7),"x","")</f>
        <v/>
      </c>
      <c r="AG155" s="80"/>
      <c r="AH155" s="80" t="str">
        <f>IF(AND(B155&gt;='IN-NX'!$P$3,B155&lt;='IN-NX'!$Q$3,'IN-NX'!$D$7=D155,OR(LEFT(L155,2)="15",AND(LEFT(M155,2)&lt;&gt;"15",LEFT(M155,2)&lt;&gt;"33"))),"x","")</f>
        <v/>
      </c>
      <c r="AI155" s="80" t="str">
        <f>IF(AND(OR(LEFT(TH!O155,2)="15",LEFT(TH!P155,2)="15"),'152-CT'!$J$8=TH!F155),"x","")</f>
        <v/>
      </c>
      <c r="AJ155" s="80" t="str">
        <f>IF(AND(OR(LEFT(TH!O155,2)="15",LEFT(TH!P155,2)="15"),'THE KHO'!$E$7=TH!F155),"x","")</f>
        <v/>
      </c>
      <c r="AK155" s="80" t="str">
        <f>IF(AND(O155="1521",MONTH(C155)='BK NL'!$M$11),"x","")</f>
        <v/>
      </c>
    </row>
    <row r="156" spans="1:39" s="1007" customFormat="1" ht="15.75" customHeight="1">
      <c r="A156" s="362" t="str">
        <f>IF(B156&lt;&gt;"",IF(AND(B156&gt;=_TM1,B156&lt;=_TM2,OR(TH!O156="1111",TH!P156="1111")),TH!D156,""),"")</f>
        <v/>
      </c>
      <c r="B156" s="63">
        <f t="shared" si="6"/>
        <v>2</v>
      </c>
      <c r="C156" s="337">
        <v>42425</v>
      </c>
      <c r="D156" s="337" t="s">
        <v>198</v>
      </c>
      <c r="E156" s="337">
        <v>42425</v>
      </c>
      <c r="F156" s="338" t="s">
        <v>768</v>
      </c>
      <c r="G156" s="351" t="s">
        <v>770</v>
      </c>
      <c r="H156" s="339" t="s">
        <v>439</v>
      </c>
      <c r="I156" s="476"/>
      <c r="J156" s="476"/>
      <c r="K156" s="469"/>
      <c r="L156" s="476"/>
      <c r="M156" s="65">
        <v>3000000</v>
      </c>
      <c r="N156" s="65"/>
      <c r="O156" s="340" t="s">
        <v>135</v>
      </c>
      <c r="P156" s="340" t="s">
        <v>97</v>
      </c>
      <c r="Q156" s="66" t="str">
        <f>IF(AND('331-CT'!$E$7=TH!H156,OR(O156="331",P156="331")),"x","")</f>
        <v/>
      </c>
      <c r="R156" s="66" t="str">
        <f>IF(AND($B156&gt;='111'!$N$11,$B156&lt;='111'!$O$11,OR($O156=$R$7,$P156=$R$7)),"x","")</f>
        <v/>
      </c>
      <c r="S156" s="66" t="str">
        <f>IF(AND($O156=$R$7,$B156&lt;'111'!$N$11),"x","")</f>
        <v/>
      </c>
      <c r="T156" s="66" t="str">
        <f>IF(AND($P156=$R$7,$B156&lt;'111'!$N$11),"x","")</f>
        <v>x</v>
      </c>
      <c r="U156" s="66" t="str">
        <f>IF(AND($B156&gt;='112'!$M$9,$B156&lt;='112'!$N$9,OR($O156='112'!$I$6,$P156='112'!$I$6)),"x","")</f>
        <v/>
      </c>
      <c r="V156" s="66" t="str">
        <f>IF(AND($O156='112'!$I$6,$B156&lt;'112'!$M$9),"x","")</f>
        <v/>
      </c>
      <c r="W156" s="66" t="str">
        <f>IF(AND($P156='112'!$I$6,$B156&lt;'112'!$M$9),"x","")</f>
        <v/>
      </c>
      <c r="X156" s="66" t="str">
        <f>IF(AND('131-CT'!$H$9=TH!H156,OR(O156="131",P156="131")),"x","")</f>
        <v/>
      </c>
      <c r="Y156" s="80" t="str">
        <f>IF(AND($B156&gt;='1331'!$I$9,$B156&lt;='1331'!$J$9,OR($O156=$Y$7,$P156=$Y$7)),"x","")</f>
        <v/>
      </c>
      <c r="Z156" s="80" t="str">
        <f>IF(AND($O156=$Y$7,$B156&lt;'1331'!$I$9),"x","")</f>
        <v/>
      </c>
      <c r="AA156" s="80" t="str">
        <f>IF(AND($P156=$Y$7,$B156&lt;'1331'!$I$9),"x","")</f>
        <v/>
      </c>
      <c r="AB156" s="80" t="str">
        <f>IF(AND($B156&gt;='1332'!$I$9,$B156&lt;='1332'!$I$9,OR($O156=$AB$7,$P156=$AB$7)),"x","")</f>
        <v/>
      </c>
      <c r="AC156" s="80" t="str">
        <f>IF(AND($O156=$AB$7,$B156&lt;'1332'!$I$9),"x","")</f>
        <v/>
      </c>
      <c r="AD156" s="80" t="str">
        <f>IF(AND($P156=$AB$7,$B156&lt;'1332'!$I$9),"x","")</f>
        <v/>
      </c>
      <c r="AE156" s="80" t="str">
        <f>IF(AND('341-CT'!$H$9=H156,OR(LEFT(O156,3)=$AE$7,LEFT(P156,3)=$AE$7)),"x","")</f>
        <v/>
      </c>
      <c r="AF156" s="80" t="str">
        <f>IF(OR(TH!O156=TH!$AF$7,P156=TH!$AF$7),"x","")</f>
        <v/>
      </c>
      <c r="AG156" s="80"/>
      <c r="AH156" s="80" t="str">
        <f>IF(AND(B156&gt;='IN-NX'!$P$3,B156&lt;='IN-NX'!$Q$3,'IN-NX'!$D$7=D156,OR(LEFT(L156,2)="15",AND(LEFT(M156,2)&lt;&gt;"15",LEFT(M156,2)&lt;&gt;"33"))),"x","")</f>
        <v/>
      </c>
      <c r="AI156" s="80" t="str">
        <f>IF(AND(OR(LEFT(TH!O156,2)="15",LEFT(TH!P156,2)="15"),'152-CT'!$J$8=TH!F156),"x","")</f>
        <v/>
      </c>
      <c r="AJ156" s="80" t="str">
        <f>IF(AND(OR(LEFT(TH!O156,2)="15",LEFT(TH!P156,2)="15"),'THE KHO'!$E$7=TH!F156),"x","")</f>
        <v/>
      </c>
      <c r="AK156" s="80" t="str">
        <f>IF(AND(O156="1521",MONTH(C156)='BK NL'!$M$11),"x","")</f>
        <v/>
      </c>
      <c r="AM156" s="1007">
        <v>1</v>
      </c>
    </row>
    <row r="157" spans="1:39" s="1007" customFormat="1" ht="15.75" customHeight="1">
      <c r="A157" s="362" t="str">
        <f>IF(B157&lt;&gt;"",IF(AND(B157&gt;=_TM1,B157&lt;=_TM2,OR(TH!O157="1111",TH!P157="1111")),TH!D157,""),"")</f>
        <v/>
      </c>
      <c r="B157" s="63">
        <f t="shared" si="6"/>
        <v>2</v>
      </c>
      <c r="C157" s="337">
        <v>42425</v>
      </c>
      <c r="D157" s="337" t="s">
        <v>198</v>
      </c>
      <c r="E157" s="337">
        <v>42425</v>
      </c>
      <c r="F157" s="338" t="s">
        <v>769</v>
      </c>
      <c r="G157" s="351" t="s">
        <v>770</v>
      </c>
      <c r="H157" s="339" t="s">
        <v>439</v>
      </c>
      <c r="I157" s="476"/>
      <c r="J157" s="476"/>
      <c r="K157" s="469"/>
      <c r="L157" s="476"/>
      <c r="M157" s="88">
        <v>300000</v>
      </c>
      <c r="N157" s="88"/>
      <c r="O157" s="340" t="s">
        <v>10</v>
      </c>
      <c r="P157" s="340" t="s">
        <v>97</v>
      </c>
      <c r="Q157" s="66" t="str">
        <f>IF(AND('331-CT'!$E$7=TH!H157,OR(O157="331",P157="331")),"x","")</f>
        <v/>
      </c>
      <c r="R157" s="66" t="str">
        <f>IF(AND($B157&gt;='111'!$N$11,$B157&lt;='111'!$O$11,OR($O157=$R$7,$P157=$R$7)),"x","")</f>
        <v/>
      </c>
      <c r="S157" s="66" t="str">
        <f>IF(AND($O157=$R$7,$B157&lt;'111'!$N$11),"x","")</f>
        <v/>
      </c>
      <c r="T157" s="66" t="str">
        <f>IF(AND($P157=$R$7,$B157&lt;'111'!$N$11),"x","")</f>
        <v>x</v>
      </c>
      <c r="U157" s="66" t="str">
        <f>IF(AND($B157&gt;='112'!$M$9,$B157&lt;='112'!$N$9,OR($O157='112'!$I$6,$P157='112'!$I$6)),"x","")</f>
        <v/>
      </c>
      <c r="V157" s="66" t="str">
        <f>IF(AND($O157='112'!$I$6,$B157&lt;'112'!$M$9),"x","")</f>
        <v/>
      </c>
      <c r="W157" s="66" t="str">
        <f>IF(AND($P157='112'!$I$6,$B157&lt;'112'!$M$9),"x","")</f>
        <v/>
      </c>
      <c r="X157" s="66" t="str">
        <f>IF(AND('131-CT'!$H$9=TH!H157,OR(O157="131",P157="131")),"x","")</f>
        <v/>
      </c>
      <c r="Y157" s="80" t="str">
        <f>IF(AND($B157&gt;='1331'!$I$9,$B157&lt;='1331'!$J$9,OR($O157=$Y$7,$P157=$Y$7)),"x","")</f>
        <v/>
      </c>
      <c r="Z157" s="80" t="str">
        <f>IF(AND($O157=$Y$7,$B157&lt;'1331'!$I$9),"x","")</f>
        <v>x</v>
      </c>
      <c r="AA157" s="80" t="str">
        <f>IF(AND($P157=$Y$7,$B157&lt;'1331'!$I$9),"x","")</f>
        <v/>
      </c>
      <c r="AB157" s="80" t="str">
        <f>IF(AND($B157&gt;='1332'!$I$9,$B157&lt;='1332'!$I$9,OR($O157=$AB$7,$P157=$AB$7)),"x","")</f>
        <v/>
      </c>
      <c r="AC157" s="80" t="str">
        <f>IF(AND($O157=$AB$7,$B157&lt;'1332'!$I$9),"x","")</f>
        <v/>
      </c>
      <c r="AD157" s="80" t="str">
        <f>IF(AND($P157=$AB$7,$B157&lt;'1332'!$I$9),"x","")</f>
        <v/>
      </c>
      <c r="AE157" s="80" t="str">
        <f>IF(AND('341-CT'!$H$9=H157,OR(LEFT(O157,3)=$AE$7,LEFT(P157,3)=$AE$7)),"x","")</f>
        <v/>
      </c>
      <c r="AF157" s="80" t="str">
        <f>IF(OR(TH!O157=TH!$AF$7,P157=TH!$AF$7),"x","")</f>
        <v/>
      </c>
      <c r="AG157" s="80"/>
      <c r="AH157" s="80" t="str">
        <f>IF(AND(B157&gt;='IN-NX'!$P$3,B157&lt;='IN-NX'!$Q$3,'IN-NX'!$D$7=D157,OR(LEFT(L157,2)="15",AND(LEFT(M157,2)&lt;&gt;"15",LEFT(M157,2)&lt;&gt;"33"))),"x","")</f>
        <v/>
      </c>
      <c r="AI157" s="80" t="str">
        <f>IF(AND(OR(LEFT(TH!O157,2)="15",LEFT(TH!P157,2)="15"),'152-CT'!$J$8=TH!F157),"x","")</f>
        <v/>
      </c>
      <c r="AJ157" s="80" t="str">
        <f>IF(AND(OR(LEFT(TH!O157,2)="15",LEFT(TH!P157,2)="15"),'THE KHO'!$E$7=TH!F157),"x","")</f>
        <v/>
      </c>
      <c r="AK157" s="80" t="str">
        <f>IF(AND(O157="1521",MONTH(C157)='BK NL'!$M$11),"x","")</f>
        <v/>
      </c>
      <c r="AM157" s="1007">
        <v>1</v>
      </c>
    </row>
    <row r="158" spans="1:39" s="1007" customFormat="1" ht="15.75" customHeight="1">
      <c r="A158" s="362" t="str">
        <f>IF(B158&lt;&gt;"",IF(AND(B158&gt;=_TM1,B158&lt;=_TM2,OR(TH!O158="1111",TH!P158="1111")),TH!D158,""),"")</f>
        <v/>
      </c>
      <c r="B158" s="63">
        <f t="shared" si="6"/>
        <v>2</v>
      </c>
      <c r="C158" s="337">
        <v>42425</v>
      </c>
      <c r="D158" s="337" t="s">
        <v>199</v>
      </c>
      <c r="E158" s="337">
        <v>42425</v>
      </c>
      <c r="F158" s="338" t="s">
        <v>745</v>
      </c>
      <c r="G158" s="351" t="s">
        <v>771</v>
      </c>
      <c r="H158" s="339" t="s">
        <v>87</v>
      </c>
      <c r="I158" s="476"/>
      <c r="J158" s="476"/>
      <c r="K158" s="469"/>
      <c r="L158" s="476"/>
      <c r="M158" s="65">
        <v>7022600</v>
      </c>
      <c r="N158" s="65"/>
      <c r="O158" s="340" t="s">
        <v>135</v>
      </c>
      <c r="P158" s="340" t="s">
        <v>97</v>
      </c>
      <c r="Q158" s="66" t="str">
        <f>IF(AND('331-CT'!$E$7=TH!H158,OR(O158="331",P158="331")),"x","")</f>
        <v/>
      </c>
      <c r="R158" s="66" t="str">
        <f>IF(AND($B158&gt;='111'!$N$11,$B158&lt;='111'!$O$11,OR($O158=$R$7,$P158=$R$7)),"x","")</f>
        <v/>
      </c>
      <c r="S158" s="66" t="str">
        <f>IF(AND($O158=$R$7,$B158&lt;'111'!$N$11),"x","")</f>
        <v/>
      </c>
      <c r="T158" s="66" t="str">
        <f>IF(AND($P158=$R$7,$B158&lt;'111'!$N$11),"x","")</f>
        <v>x</v>
      </c>
      <c r="U158" s="66" t="str">
        <f>IF(AND($B158&gt;='112'!$M$9,$B158&lt;='112'!$N$9,OR($O158='112'!$I$6,$P158='112'!$I$6)),"x","")</f>
        <v/>
      </c>
      <c r="V158" s="66" t="str">
        <f>IF(AND($O158='112'!$I$6,$B158&lt;'112'!$M$9),"x","")</f>
        <v/>
      </c>
      <c r="W158" s="66" t="str">
        <f>IF(AND($P158='112'!$I$6,$B158&lt;'112'!$M$9),"x","")</f>
        <v/>
      </c>
      <c r="X158" s="66" t="str">
        <f>IF(AND('131-CT'!$H$9=TH!H158,OR(O158="131",P158="131")),"x","")</f>
        <v/>
      </c>
      <c r="Y158" s="80" t="str">
        <f>IF(AND($B158&gt;='1331'!$I$9,$B158&lt;='1331'!$J$9,OR($O158=$Y$7,$P158=$Y$7)),"x","")</f>
        <v/>
      </c>
      <c r="Z158" s="80" t="str">
        <f>IF(AND($O158=$Y$7,$B158&lt;'1331'!$I$9),"x","")</f>
        <v/>
      </c>
      <c r="AA158" s="80" t="str">
        <f>IF(AND($P158=$Y$7,$B158&lt;'1331'!$I$9),"x","")</f>
        <v/>
      </c>
      <c r="AB158" s="80" t="str">
        <f>IF(AND($B158&gt;='1332'!$I$9,$B158&lt;='1332'!$I$9,OR($O158=$AB$7,$P158=$AB$7)),"x","")</f>
        <v/>
      </c>
      <c r="AC158" s="80" t="str">
        <f>IF(AND($O158=$AB$7,$B158&lt;'1332'!$I$9),"x","")</f>
        <v/>
      </c>
      <c r="AD158" s="80" t="str">
        <f>IF(AND($P158=$AB$7,$B158&lt;'1332'!$I$9),"x","")</f>
        <v/>
      </c>
      <c r="AE158" s="80" t="str">
        <f>IF(AND('341-CT'!$H$9=H158,OR(LEFT(O158,3)=$AE$7,LEFT(P158,3)=$AE$7)),"x","")</f>
        <v/>
      </c>
      <c r="AF158" s="80" t="str">
        <f>IF(OR(TH!O158=TH!$AF$7,P158=TH!$AF$7),"x","")</f>
        <v/>
      </c>
      <c r="AG158" s="80"/>
      <c r="AH158" s="80" t="str">
        <f>IF(AND(B158&gt;='IN-NX'!$P$3,B158&lt;='IN-NX'!$Q$3,'IN-NX'!$D$7=D158,OR(LEFT(L158,2)="15",AND(LEFT(M158,2)&lt;&gt;"15",LEFT(M158,2)&lt;&gt;"33"))),"x","")</f>
        <v/>
      </c>
      <c r="AI158" s="80" t="str">
        <f>IF(AND(OR(LEFT(TH!O158,2)="15",LEFT(TH!P158,2)="15"),'152-CT'!$J$8=TH!F158),"x","")</f>
        <v/>
      </c>
      <c r="AJ158" s="80" t="str">
        <f>IF(AND(OR(LEFT(TH!O158,2)="15",LEFT(TH!P158,2)="15"),'THE KHO'!$E$7=TH!F158),"x","")</f>
        <v/>
      </c>
      <c r="AK158" s="80" t="str">
        <f>IF(AND(O158="1521",MONTH(C158)='BK NL'!$M$11),"x","")</f>
        <v/>
      </c>
      <c r="AM158" s="1007">
        <v>1</v>
      </c>
    </row>
    <row r="159" spans="1:39" s="1007" customFormat="1" ht="15.75" customHeight="1">
      <c r="A159" s="362" t="str">
        <f>IF(B159&lt;&gt;"",IF(AND(B159&gt;=_TM1,B159&lt;=_TM2,OR(TH!O159="1111",TH!P159="1111")),TH!D159,""),"")</f>
        <v/>
      </c>
      <c r="B159" s="63">
        <f t="shared" si="6"/>
        <v>2</v>
      </c>
      <c r="C159" s="337">
        <v>42425</v>
      </c>
      <c r="D159" s="337" t="s">
        <v>199</v>
      </c>
      <c r="E159" s="337">
        <v>42425</v>
      </c>
      <c r="F159" s="338" t="s">
        <v>746</v>
      </c>
      <c r="G159" s="351" t="s">
        <v>771</v>
      </c>
      <c r="H159" s="339" t="s">
        <v>87</v>
      </c>
      <c r="I159" s="476"/>
      <c r="J159" s="476"/>
      <c r="K159" s="469"/>
      <c r="L159" s="476"/>
      <c r="M159" s="88">
        <v>351130</v>
      </c>
      <c r="N159" s="88"/>
      <c r="O159" s="1024" t="s">
        <v>10</v>
      </c>
      <c r="P159" s="340" t="s">
        <v>97</v>
      </c>
      <c r="Q159" s="66" t="str">
        <f>IF(AND('331-CT'!$E$7=TH!H159,OR(O159="331",P159="331")),"x","")</f>
        <v/>
      </c>
      <c r="R159" s="66" t="str">
        <f>IF(AND($B159&gt;='111'!$N$11,$B159&lt;='111'!$O$11,OR($O159=$R$7,$P159=$R$7)),"x","")</f>
        <v/>
      </c>
      <c r="S159" s="66" t="str">
        <f>IF(AND($O159=$R$7,$B159&lt;'111'!$N$11),"x","")</f>
        <v/>
      </c>
      <c r="T159" s="66" t="str">
        <f>IF(AND($P159=$R$7,$B159&lt;'111'!$N$11),"x","")</f>
        <v>x</v>
      </c>
      <c r="U159" s="66" t="str">
        <f>IF(AND($B159&gt;='112'!$M$9,$B159&lt;='112'!$N$9,OR($O159='112'!$I$6,$P159='112'!$I$6)),"x","")</f>
        <v/>
      </c>
      <c r="V159" s="66" t="str">
        <f>IF(AND($O159='112'!$I$6,$B159&lt;'112'!$M$9),"x","")</f>
        <v/>
      </c>
      <c r="W159" s="66" t="str">
        <f>IF(AND($P159='112'!$I$6,$B159&lt;'112'!$M$9),"x","")</f>
        <v/>
      </c>
      <c r="X159" s="66" t="str">
        <f>IF(AND('131-CT'!$H$9=TH!H159,OR(O159="131",P159="131")),"x","")</f>
        <v/>
      </c>
      <c r="Y159" s="80" t="str">
        <f>IF(AND($B159&gt;='1331'!$I$9,$B159&lt;='1331'!$J$9,OR($O159=$Y$7,$P159=$Y$7)),"x","")</f>
        <v/>
      </c>
      <c r="Z159" s="80" t="str">
        <f>IF(AND($O159=$Y$7,$B159&lt;'1331'!$I$9),"x","")</f>
        <v>x</v>
      </c>
      <c r="AA159" s="80" t="str">
        <f>IF(AND($P159=$Y$7,$B159&lt;'1331'!$I$9),"x","")</f>
        <v/>
      </c>
      <c r="AB159" s="80" t="str">
        <f>IF(AND($B159&gt;='1332'!$I$9,$B159&lt;='1332'!$I$9,OR($O159=$AB$7,$P159=$AB$7)),"x","")</f>
        <v/>
      </c>
      <c r="AC159" s="80" t="str">
        <f>IF(AND($O159=$AB$7,$B159&lt;'1332'!$I$9),"x","")</f>
        <v/>
      </c>
      <c r="AD159" s="80" t="str">
        <f>IF(AND($P159=$AB$7,$B159&lt;'1332'!$I$9),"x","")</f>
        <v/>
      </c>
      <c r="AE159" s="80" t="str">
        <f>IF(AND('341-CT'!$H$9=H159,OR(LEFT(O159,3)=$AE$7,LEFT(P159,3)=$AE$7)),"x","")</f>
        <v/>
      </c>
      <c r="AF159" s="80" t="str">
        <f>IF(OR(TH!O159=TH!$AF$7,P159=TH!$AF$7),"x","")</f>
        <v/>
      </c>
      <c r="AG159" s="80"/>
      <c r="AH159" s="80" t="str">
        <f>IF(AND(B159&gt;='IN-NX'!$P$3,B159&lt;='IN-NX'!$Q$3,'IN-NX'!$D$7=D159,OR(LEFT(L159,2)="15",AND(LEFT(M159,2)&lt;&gt;"15",LEFT(M159,2)&lt;&gt;"33"))),"x","")</f>
        <v/>
      </c>
      <c r="AI159" s="80" t="str">
        <f>IF(AND(OR(LEFT(TH!O159,2)="15",LEFT(TH!P159,2)="15"),'152-CT'!$J$8=TH!F159),"x","")</f>
        <v/>
      </c>
      <c r="AJ159" s="80" t="str">
        <f>IF(AND(OR(LEFT(TH!O159,2)="15",LEFT(TH!P159,2)="15"),'THE KHO'!$E$7=TH!F159),"x","")</f>
        <v/>
      </c>
      <c r="AK159" s="80" t="str">
        <f>IF(AND(O159="1521",MONTH(C159)='BK NL'!$M$11),"x","")</f>
        <v/>
      </c>
      <c r="AM159" s="1007">
        <v>1</v>
      </c>
    </row>
    <row r="160" spans="1:39" s="1007" customFormat="1" ht="15.75" customHeight="1">
      <c r="A160" s="362" t="str">
        <f>IF(B160&lt;&gt;"",IF(AND(B160&gt;=_TM1,B160&lt;=_TM2,OR(TH!O160="1111",TH!P160="1111")),TH!D160,""),"")</f>
        <v/>
      </c>
      <c r="B160" s="63">
        <f t="shared" ref="B160:B161" si="7">IF(C160&lt;&gt;"",MONTH(C160),"")</f>
        <v>2</v>
      </c>
      <c r="C160" s="337">
        <v>42425</v>
      </c>
      <c r="D160" s="337" t="s">
        <v>12</v>
      </c>
      <c r="E160" s="337">
        <v>42425</v>
      </c>
      <c r="F160" s="338" t="s">
        <v>788</v>
      </c>
      <c r="G160" s="1022" t="s">
        <v>798</v>
      </c>
      <c r="H160" s="339" t="s">
        <v>429</v>
      </c>
      <c r="I160" s="476"/>
      <c r="J160" s="476"/>
      <c r="K160" s="469"/>
      <c r="L160" s="476"/>
      <c r="M160" s="65">
        <v>5000000</v>
      </c>
      <c r="N160" s="65"/>
      <c r="O160" s="340" t="s">
        <v>31</v>
      </c>
      <c r="P160" s="340" t="s">
        <v>24</v>
      </c>
      <c r="Q160" s="66" t="str">
        <f>IF(AND('331-CT'!$E$7=TH!H160,OR(O160="331",P160="331")),"x","")</f>
        <v/>
      </c>
      <c r="R160" s="66" t="str">
        <f>IF(AND($B160&gt;='111'!$N$11,$B160&lt;='111'!$O$11,OR($O160=$R$7,$P160=$R$7)),"x","")</f>
        <v/>
      </c>
      <c r="S160" s="66" t="str">
        <f>IF(AND($O160=$R$7,$B160&lt;'111'!$N$11),"x","")</f>
        <v/>
      </c>
      <c r="T160" s="66" t="str">
        <f>IF(AND($P160=$R$7,$B160&lt;'111'!$N$11),"x","")</f>
        <v/>
      </c>
      <c r="U160" s="66" t="str">
        <f>IF(AND($B160&gt;='112'!$M$9,$B160&lt;='112'!$N$9,OR($O160='112'!$I$6,$P160='112'!$I$6)),"x","")</f>
        <v/>
      </c>
      <c r="V160" s="66" t="str">
        <f>IF(AND($O160='112'!$I$6,$B160&lt;'112'!$M$9),"x","")</f>
        <v>x</v>
      </c>
      <c r="W160" s="66" t="str">
        <f>IF(AND($P160='112'!$I$6,$B160&lt;'112'!$M$9),"x","")</f>
        <v/>
      </c>
      <c r="X160" s="66" t="str">
        <f>IF(AND('131-CT'!$H$9=TH!H160,OR(O160="131",P160="131")),"x","")</f>
        <v/>
      </c>
      <c r="Y160" s="80" t="str">
        <f>IF(AND($B160&gt;='1331'!$I$9,$B160&lt;='1331'!$J$9,OR($O160=$Y$7,$P160=$Y$7)),"x","")</f>
        <v/>
      </c>
      <c r="Z160" s="80" t="str">
        <f>IF(AND($O160=$Y$7,$B160&lt;'1331'!$I$9),"x","")</f>
        <v/>
      </c>
      <c r="AA160" s="80" t="str">
        <f>IF(AND($P160=$Y$7,$B160&lt;'1331'!$I$9),"x","")</f>
        <v/>
      </c>
      <c r="AB160" s="80" t="str">
        <f>IF(AND($B160&gt;='1332'!$I$9,$B160&lt;='1332'!$I$9,OR($O160=$AB$7,$P160=$AB$7)),"x","")</f>
        <v/>
      </c>
      <c r="AC160" s="80" t="str">
        <f>IF(AND($O160=$AB$7,$B160&lt;'1332'!$I$9),"x","")</f>
        <v/>
      </c>
      <c r="AD160" s="80" t="str">
        <f>IF(AND($P160=$AB$7,$B160&lt;'1332'!$I$9),"x","")</f>
        <v/>
      </c>
      <c r="AE160" s="80" t="str">
        <f>IF(AND('341-CT'!$H$9=H160,OR(LEFT(O160,3)=$AE$7,LEFT(P160,3)=$AE$7)),"x","")</f>
        <v/>
      </c>
      <c r="AF160" s="80" t="str">
        <f>IF(OR(TH!O160=TH!$AF$7,P160=TH!$AF$7),"x","")</f>
        <v>x</v>
      </c>
      <c r="AG160" s="80"/>
      <c r="AH160" s="80" t="str">
        <f>IF(AND(B160&gt;='IN-NX'!$P$3,B160&lt;='IN-NX'!$Q$3,'IN-NX'!$D$7=D160,OR(LEFT(L160,2)="15",AND(LEFT(M160,2)&lt;&gt;"15",LEFT(M160,2)&lt;&gt;"33"))),"x","")</f>
        <v/>
      </c>
      <c r="AI160" s="80" t="str">
        <f>IF(AND(OR(LEFT(TH!O160,2)="15",LEFT(TH!P160,2)="15"),'152-CT'!$J$8=TH!F160),"x","")</f>
        <v/>
      </c>
      <c r="AJ160" s="80" t="str">
        <f>IF(AND(OR(LEFT(TH!O160,2)="15",LEFT(TH!P160,2)="15"),'THE KHO'!$E$7=TH!F160),"x","")</f>
        <v/>
      </c>
      <c r="AK160" s="80" t="str">
        <f>IF(AND(O160="1521",MONTH(C160)='BK NL'!$M$11),"x","")</f>
        <v/>
      </c>
      <c r="AM160" s="1007">
        <v>1</v>
      </c>
    </row>
    <row r="161" spans="1:39" s="1007" customFormat="1" ht="15.75" customHeight="1">
      <c r="A161" s="362" t="str">
        <f>IF(B161&lt;&gt;"",IF(AND(B161&gt;=_TM1,B161&lt;=_TM2,OR(TH!O161="1111",TH!P161="1111")),TH!D161,""),"")</f>
        <v/>
      </c>
      <c r="B161" s="63">
        <f t="shared" si="7"/>
        <v>2</v>
      </c>
      <c r="C161" s="337">
        <v>42425</v>
      </c>
      <c r="D161" s="337" t="s">
        <v>8</v>
      </c>
      <c r="E161" s="337">
        <v>42425</v>
      </c>
      <c r="F161" s="338" t="s">
        <v>405</v>
      </c>
      <c r="G161" s="1022" t="s">
        <v>798</v>
      </c>
      <c r="H161" s="339" t="s">
        <v>184</v>
      </c>
      <c r="I161" s="476"/>
      <c r="J161" s="476"/>
      <c r="K161" s="469"/>
      <c r="L161" s="476"/>
      <c r="M161" s="65">
        <v>8199985</v>
      </c>
      <c r="N161" s="65"/>
      <c r="O161" s="340" t="s">
        <v>133</v>
      </c>
      <c r="P161" s="340" t="s">
        <v>31</v>
      </c>
      <c r="Q161" s="66" t="str">
        <f>IF(AND('331-CT'!$E$7=TH!H161,OR(O161="331",P161="331")),"x","")</f>
        <v/>
      </c>
      <c r="R161" s="66" t="str">
        <f>IF(AND($B161&gt;='111'!$N$11,$B161&lt;='111'!$O$11,OR($O161=$R$7,$P161=$R$7)),"x","")</f>
        <v/>
      </c>
      <c r="S161" s="66" t="str">
        <f>IF(AND($O161=$R$7,$B161&lt;'111'!$N$11),"x","")</f>
        <v/>
      </c>
      <c r="T161" s="66" t="str">
        <f>IF(AND($P161=$R$7,$B161&lt;'111'!$N$11),"x","")</f>
        <v/>
      </c>
      <c r="U161" s="66" t="str">
        <f>IF(AND($B161&gt;='112'!$M$9,$B161&lt;='112'!$N$9,OR($O161='112'!$I$6,$P161='112'!$I$6)),"x","")</f>
        <v/>
      </c>
      <c r="V161" s="66" t="str">
        <f>IF(AND($O161='112'!$I$6,$B161&lt;'112'!$M$9),"x","")</f>
        <v/>
      </c>
      <c r="W161" s="66" t="str">
        <f>IF(AND($P161='112'!$I$6,$B161&lt;'112'!$M$9),"x","")</f>
        <v>x</v>
      </c>
      <c r="X161" s="66" t="str">
        <f>IF(AND('131-CT'!$H$9=TH!H161,OR(O161="131",P161="131")),"x","")</f>
        <v/>
      </c>
      <c r="Y161" s="80" t="str">
        <f>IF(AND($B161&gt;='1331'!$I$9,$B161&lt;='1331'!$J$9,OR($O161=$Y$7,$P161=$Y$7)),"x","")</f>
        <v/>
      </c>
      <c r="Z161" s="80" t="str">
        <f>IF(AND($O161=$Y$7,$B161&lt;'1331'!$I$9),"x","")</f>
        <v/>
      </c>
      <c r="AA161" s="80" t="str">
        <f>IF(AND($P161=$Y$7,$B161&lt;'1331'!$I$9),"x","")</f>
        <v/>
      </c>
      <c r="AB161" s="80" t="str">
        <f>IF(AND($B161&gt;='1332'!$I$9,$B161&lt;='1332'!$I$9,OR($O161=$AB$7,$P161=$AB$7)),"x","")</f>
        <v/>
      </c>
      <c r="AC161" s="80" t="str">
        <f>IF(AND($O161=$AB$7,$B161&lt;'1332'!$I$9),"x","")</f>
        <v/>
      </c>
      <c r="AD161" s="80" t="str">
        <f>IF(AND($P161=$AB$7,$B161&lt;'1332'!$I$9),"x","")</f>
        <v/>
      </c>
      <c r="AE161" s="80" t="str">
        <f>IF(AND('341-CT'!$H$9=H161,OR(LEFT(O161,3)=$AE$7,LEFT(P161,3)=$AE$7)),"x","")</f>
        <v/>
      </c>
      <c r="AF161" s="80" t="str">
        <f>IF(OR(TH!O161=TH!$AF$7,P161=TH!$AF$7),"x","")</f>
        <v/>
      </c>
      <c r="AG161" s="80"/>
      <c r="AH161" s="80" t="str">
        <f>IF(AND(B161&gt;='IN-NX'!$P$3,B161&lt;='IN-NX'!$Q$3,'IN-NX'!$D$7=D161,OR(LEFT(L161,2)="15",AND(LEFT(M161,2)&lt;&gt;"15",LEFT(M161,2)&lt;&gt;"33"))),"x","")</f>
        <v/>
      </c>
      <c r="AI161" s="80" t="str">
        <f>IF(AND(OR(LEFT(TH!O161,2)="15",LEFT(TH!P161,2)="15"),'152-CT'!$J$8=TH!F161),"x","")</f>
        <v/>
      </c>
      <c r="AJ161" s="80" t="str">
        <f>IF(AND(OR(LEFT(TH!O161,2)="15",LEFT(TH!P161,2)="15"),'THE KHO'!$E$7=TH!F161),"x","")</f>
        <v/>
      </c>
      <c r="AK161" s="80" t="str">
        <f>IF(AND(O161="1521",MONTH(C161)='BK NL'!$M$11),"x","")</f>
        <v/>
      </c>
      <c r="AM161" s="1007">
        <v>1</v>
      </c>
    </row>
    <row r="162" spans="1:39" s="1007" customFormat="1" ht="15.75" customHeight="1">
      <c r="A162" s="362" t="str">
        <f>IF(B162&lt;&gt;"",IF(AND(B162&gt;=_TM1,B162&lt;=_TM2,OR(TH!O162="1111",TH!P162="1111")),TH!D162,""),"")</f>
        <v/>
      </c>
      <c r="B162" s="63">
        <f t="shared" ref="B162:B200" si="8">IF(C162&lt;&gt;"",MONTH(C162),"")</f>
        <v>2</v>
      </c>
      <c r="C162" s="337">
        <v>42426</v>
      </c>
      <c r="D162" s="337" t="s">
        <v>1015</v>
      </c>
      <c r="E162" s="337">
        <v>42414</v>
      </c>
      <c r="F162" s="338" t="s">
        <v>816</v>
      </c>
      <c r="G162" s="1025" t="s">
        <v>820</v>
      </c>
      <c r="H162" s="339" t="s">
        <v>221</v>
      </c>
      <c r="I162" s="476"/>
      <c r="J162" s="476"/>
      <c r="K162" s="469"/>
      <c r="L162" s="476"/>
      <c r="M162" s="65">
        <v>36759800</v>
      </c>
      <c r="N162" s="65"/>
      <c r="O162" s="340" t="s">
        <v>135</v>
      </c>
      <c r="P162" s="340" t="s">
        <v>9</v>
      </c>
      <c r="Q162" s="66" t="str">
        <f>IF(AND('331-CT'!$E$7=TH!H162,OR(O162="331",P162="331")),"x","")</f>
        <v/>
      </c>
      <c r="R162" s="66" t="str">
        <f>IF(AND($B162&gt;='111'!$N$11,$B162&lt;='111'!$O$11,OR($O162=$R$7,$P162=$R$7)),"x","")</f>
        <v/>
      </c>
      <c r="S162" s="66" t="str">
        <f>IF(AND($O162=$R$7,$B162&lt;'111'!$N$11),"x","")</f>
        <v/>
      </c>
      <c r="T162" s="66" t="str">
        <f>IF(AND($P162=$R$7,$B162&lt;'111'!$N$11),"x","")</f>
        <v/>
      </c>
      <c r="U162" s="66" t="str">
        <f>IF(AND($B162&gt;='112'!$M$9,$B162&lt;='112'!$N$9,OR($O162='112'!$I$6,$P162='112'!$I$6)),"x","")</f>
        <v/>
      </c>
      <c r="V162" s="66" t="str">
        <f>IF(AND($O162='112'!$I$6,$B162&lt;'112'!$M$9),"x","")</f>
        <v/>
      </c>
      <c r="W162" s="66" t="str">
        <f>IF(AND($P162='112'!$I$6,$B162&lt;'112'!$M$9),"x","")</f>
        <v/>
      </c>
      <c r="X162" s="66" t="str">
        <f>IF(AND('131-CT'!$H$9=TH!H162,OR(O162="131",P162="131")),"x","")</f>
        <v/>
      </c>
      <c r="Y162" s="80" t="str">
        <f>IF(AND($B162&gt;='1331'!$I$9,$B162&lt;='1331'!$J$9,OR($O162=$Y$7,$P162=$Y$7)),"x","")</f>
        <v/>
      </c>
      <c r="Z162" s="80" t="str">
        <f>IF(AND($O162=$Y$7,$B162&lt;'1331'!$I$9),"x","")</f>
        <v/>
      </c>
      <c r="AA162" s="80" t="str">
        <f>IF(AND($P162=$Y$7,$B162&lt;'1331'!$I$9),"x","")</f>
        <v/>
      </c>
      <c r="AB162" s="80" t="str">
        <f>IF(AND($B162&gt;='1332'!$I$9,$B162&lt;='1332'!$I$9,OR($O162=$AB$7,$P162=$AB$7)),"x","")</f>
        <v/>
      </c>
      <c r="AC162" s="80" t="str">
        <f>IF(AND($O162=$AB$7,$B162&lt;'1332'!$I$9),"x","")</f>
        <v/>
      </c>
      <c r="AD162" s="80" t="str">
        <f>IF(AND($P162=$AB$7,$B162&lt;'1332'!$I$9),"x","")</f>
        <v/>
      </c>
      <c r="AE162" s="80" t="str">
        <f>IF(AND('341-CT'!$H$9=H162,OR(LEFT(O162,3)=$AE$7,LEFT(P162,3)=$AE$7)),"x","")</f>
        <v/>
      </c>
      <c r="AF162" s="80" t="str">
        <f>IF(OR(TH!O162=TH!$AF$7,P162=TH!$AF$7),"x","")</f>
        <v/>
      </c>
      <c r="AG162" s="80"/>
      <c r="AH162" s="80" t="str">
        <f>IF(AND(B162&gt;='IN-NX'!$P$3,B162&lt;='IN-NX'!$Q$3,'IN-NX'!$D$7=D162,OR(LEFT(L162,2)="15",AND(LEFT(M162,2)&lt;&gt;"15",LEFT(M162,2)&lt;&gt;"33"))),"x","")</f>
        <v/>
      </c>
      <c r="AI162" s="80" t="str">
        <f>IF(AND(OR(LEFT(TH!O162,2)="15",LEFT(TH!P162,2)="15"),'152-CT'!$J$8=TH!F162),"x","")</f>
        <v/>
      </c>
      <c r="AJ162" s="80" t="str">
        <f>IF(AND(OR(LEFT(TH!O162,2)="15",LEFT(TH!P162,2)="15"),'THE KHO'!$E$7=TH!F162),"x","")</f>
        <v/>
      </c>
      <c r="AK162" s="80" t="str">
        <f>IF(AND(O162="1521",MONTH(C162)='BK NL'!$M$11),"x","")</f>
        <v/>
      </c>
    </row>
    <row r="163" spans="1:39" s="1007" customFormat="1" ht="15.75" customHeight="1">
      <c r="A163" s="362" t="str">
        <f>IF(B163&lt;&gt;"",IF(AND(B163&gt;=_TM1,B163&lt;=_TM2,OR(TH!O163="1111",TH!P163="1111")),TH!D163,""),"")</f>
        <v/>
      </c>
      <c r="B163" s="63">
        <f t="shared" si="8"/>
        <v>2</v>
      </c>
      <c r="C163" s="337">
        <v>42426</v>
      </c>
      <c r="D163" s="337" t="s">
        <v>1015</v>
      </c>
      <c r="E163" s="337">
        <v>42414</v>
      </c>
      <c r="F163" s="338" t="s">
        <v>817</v>
      </c>
      <c r="G163" s="1025" t="s">
        <v>820</v>
      </c>
      <c r="H163" s="339" t="s">
        <v>221</v>
      </c>
      <c r="I163" s="476"/>
      <c r="J163" s="476"/>
      <c r="K163" s="469"/>
      <c r="L163" s="476"/>
      <c r="M163" s="88">
        <v>3675980</v>
      </c>
      <c r="N163" s="88"/>
      <c r="O163" s="340" t="s">
        <v>10</v>
      </c>
      <c r="P163" s="340" t="s">
        <v>9</v>
      </c>
      <c r="Q163" s="66" t="str">
        <f>IF(AND('331-CT'!$E$7=TH!H163,OR(O163="331",P163="331")),"x","")</f>
        <v/>
      </c>
      <c r="R163" s="66" t="str">
        <f>IF(AND($B163&gt;='111'!$N$11,$B163&lt;='111'!$O$11,OR($O163=$R$7,$P163=$R$7)),"x","")</f>
        <v/>
      </c>
      <c r="S163" s="66" t="str">
        <f>IF(AND($O163=$R$7,$B163&lt;'111'!$N$11),"x","")</f>
        <v/>
      </c>
      <c r="T163" s="66" t="str">
        <f>IF(AND($P163=$R$7,$B163&lt;'111'!$N$11),"x","")</f>
        <v/>
      </c>
      <c r="U163" s="66" t="str">
        <f>IF(AND($B163&gt;='112'!$M$9,$B163&lt;='112'!$N$9,OR($O163='112'!$I$6,$P163='112'!$I$6)),"x","")</f>
        <v/>
      </c>
      <c r="V163" s="66" t="str">
        <f>IF(AND($O163='112'!$I$6,$B163&lt;'112'!$M$9),"x","")</f>
        <v/>
      </c>
      <c r="W163" s="66" t="str">
        <f>IF(AND($P163='112'!$I$6,$B163&lt;'112'!$M$9),"x","")</f>
        <v/>
      </c>
      <c r="X163" s="66" t="str">
        <f>IF(AND('131-CT'!$H$9=TH!H163,OR(O163="131",P163="131")),"x","")</f>
        <v/>
      </c>
      <c r="Y163" s="80" t="str">
        <f>IF(AND($B163&gt;='1331'!$I$9,$B163&lt;='1331'!$J$9,OR($O163=$Y$7,$P163=$Y$7)),"x","")</f>
        <v/>
      </c>
      <c r="Z163" s="80" t="str">
        <f>IF(AND($O163=$Y$7,$B163&lt;'1331'!$I$9),"x","")</f>
        <v>x</v>
      </c>
      <c r="AA163" s="80" t="str">
        <f>IF(AND($P163=$Y$7,$B163&lt;'1331'!$I$9),"x","")</f>
        <v/>
      </c>
      <c r="AB163" s="80" t="str">
        <f>IF(AND($B163&gt;='1332'!$I$9,$B163&lt;='1332'!$I$9,OR($O163=$AB$7,$P163=$AB$7)),"x","")</f>
        <v/>
      </c>
      <c r="AC163" s="80" t="str">
        <f>IF(AND($O163=$AB$7,$B163&lt;'1332'!$I$9),"x","")</f>
        <v/>
      </c>
      <c r="AD163" s="80" t="str">
        <f>IF(AND($P163=$AB$7,$B163&lt;'1332'!$I$9),"x","")</f>
        <v/>
      </c>
      <c r="AE163" s="80" t="str">
        <f>IF(AND('341-CT'!$H$9=H163,OR(LEFT(O163,3)=$AE$7,LEFT(P163,3)=$AE$7)),"x","")</f>
        <v/>
      </c>
      <c r="AF163" s="80" t="str">
        <f>IF(OR(TH!O163=TH!$AF$7,P163=TH!$AF$7),"x","")</f>
        <v/>
      </c>
      <c r="AG163" s="80"/>
      <c r="AH163" s="80" t="str">
        <f>IF(AND(B163&gt;='IN-NX'!$P$3,B163&lt;='IN-NX'!$Q$3,'IN-NX'!$D$7=D163,OR(LEFT(L163,2)="15",AND(LEFT(M163,2)&lt;&gt;"15",LEFT(M163,2)&lt;&gt;"33"))),"x","")</f>
        <v/>
      </c>
      <c r="AI163" s="80" t="str">
        <f>IF(AND(OR(LEFT(TH!O163,2)="15",LEFT(TH!P163,2)="15"),'152-CT'!$J$8=TH!F163),"x","")</f>
        <v/>
      </c>
      <c r="AJ163" s="80" t="str">
        <f>IF(AND(OR(LEFT(TH!O163,2)="15",LEFT(TH!P163,2)="15"),'THE KHO'!$E$7=TH!F163),"x","")</f>
        <v/>
      </c>
      <c r="AK163" s="80" t="str">
        <f>IF(AND(O163="1521",MONTH(C163)='BK NL'!$M$11),"x","")</f>
        <v/>
      </c>
    </row>
    <row r="164" spans="1:39" s="1007" customFormat="1" ht="15.75" customHeight="1">
      <c r="A164" s="362" t="str">
        <f>IF(B164&lt;&gt;"",IF(AND(B164&gt;=_TM1,B164&lt;=_TM2,OR(TH!O164="1111",TH!P164="1111")),TH!D164,""),"")</f>
        <v/>
      </c>
      <c r="B164" s="63">
        <f t="shared" si="8"/>
        <v>2</v>
      </c>
      <c r="C164" s="337">
        <v>42426</v>
      </c>
      <c r="D164" s="337" t="s">
        <v>1015</v>
      </c>
      <c r="E164" s="337">
        <v>42426</v>
      </c>
      <c r="F164" s="338" t="s">
        <v>818</v>
      </c>
      <c r="G164" s="1025" t="s">
        <v>821</v>
      </c>
      <c r="H164" s="339" t="s">
        <v>221</v>
      </c>
      <c r="I164" s="476"/>
      <c r="J164" s="476"/>
      <c r="K164" s="469"/>
      <c r="L164" s="476"/>
      <c r="M164" s="65">
        <v>29443000</v>
      </c>
      <c r="N164" s="65"/>
      <c r="O164" s="340" t="s">
        <v>135</v>
      </c>
      <c r="P164" s="340" t="s">
        <v>9</v>
      </c>
      <c r="Q164" s="66" t="str">
        <f>IF(AND('331-CT'!$E$7=TH!H164,OR(O164="331",P164="331")),"x","")</f>
        <v/>
      </c>
      <c r="R164" s="66" t="str">
        <f>IF(AND($B164&gt;='111'!$N$11,$B164&lt;='111'!$O$11,OR($O164=$R$7,$P164=$R$7)),"x","")</f>
        <v/>
      </c>
      <c r="S164" s="66" t="str">
        <f>IF(AND($O164=$R$7,$B164&lt;'111'!$N$11),"x","")</f>
        <v/>
      </c>
      <c r="T164" s="66" t="str">
        <f>IF(AND($P164=$R$7,$B164&lt;'111'!$N$11),"x","")</f>
        <v/>
      </c>
      <c r="U164" s="66" t="str">
        <f>IF(AND($B164&gt;='112'!$M$9,$B164&lt;='112'!$N$9,OR($O164='112'!$I$6,$P164='112'!$I$6)),"x","")</f>
        <v/>
      </c>
      <c r="V164" s="66" t="str">
        <f>IF(AND($O164='112'!$I$6,$B164&lt;'112'!$M$9),"x","")</f>
        <v/>
      </c>
      <c r="W164" s="66" t="str">
        <f>IF(AND($P164='112'!$I$6,$B164&lt;'112'!$M$9),"x","")</f>
        <v/>
      </c>
      <c r="X164" s="66" t="str">
        <f>IF(AND('131-CT'!$H$9=TH!H164,OR(O164="131",P164="131")),"x","")</f>
        <v/>
      </c>
      <c r="Y164" s="80" t="str">
        <f>IF(AND($B164&gt;='1331'!$I$9,$B164&lt;='1331'!$J$9,OR($O164=$Y$7,$P164=$Y$7)),"x","")</f>
        <v/>
      </c>
      <c r="Z164" s="80" t="str">
        <f>IF(AND($O164=$Y$7,$B164&lt;'1331'!$I$9),"x","")</f>
        <v/>
      </c>
      <c r="AA164" s="80" t="str">
        <f>IF(AND($P164=$Y$7,$B164&lt;'1331'!$I$9),"x","")</f>
        <v/>
      </c>
      <c r="AB164" s="80" t="str">
        <f>IF(AND($B164&gt;='1332'!$I$9,$B164&lt;='1332'!$I$9,OR($O164=$AB$7,$P164=$AB$7)),"x","")</f>
        <v/>
      </c>
      <c r="AC164" s="80" t="str">
        <f>IF(AND($O164=$AB$7,$B164&lt;'1332'!$I$9),"x","")</f>
        <v/>
      </c>
      <c r="AD164" s="80" t="str">
        <f>IF(AND($P164=$AB$7,$B164&lt;'1332'!$I$9),"x","")</f>
        <v/>
      </c>
      <c r="AE164" s="80" t="str">
        <f>IF(AND('341-CT'!$H$9=H164,OR(LEFT(O164,3)=$AE$7,LEFT(P164,3)=$AE$7)),"x","")</f>
        <v/>
      </c>
      <c r="AF164" s="80" t="str">
        <f>IF(OR(TH!O164=TH!$AF$7,P164=TH!$AF$7),"x","")</f>
        <v/>
      </c>
      <c r="AG164" s="80"/>
      <c r="AH164" s="80" t="str">
        <f>IF(AND(B164&gt;='IN-NX'!$P$3,B164&lt;='IN-NX'!$Q$3,'IN-NX'!$D$7=D164,OR(LEFT(L164,2)="15",AND(LEFT(M164,2)&lt;&gt;"15",LEFT(M164,2)&lt;&gt;"33"))),"x","")</f>
        <v/>
      </c>
      <c r="AI164" s="80" t="str">
        <f>IF(AND(OR(LEFT(TH!O164,2)="15",LEFT(TH!P164,2)="15"),'152-CT'!$J$8=TH!F164),"x","")</f>
        <v/>
      </c>
      <c r="AJ164" s="80" t="str">
        <f>IF(AND(OR(LEFT(TH!O164,2)="15",LEFT(TH!P164,2)="15"),'THE KHO'!$E$7=TH!F164),"x","")</f>
        <v/>
      </c>
      <c r="AK164" s="80" t="str">
        <f>IF(AND(O164="1521",MONTH(C164)='BK NL'!$M$11),"x","")</f>
        <v/>
      </c>
      <c r="AM164" s="1007">
        <v>1</v>
      </c>
    </row>
    <row r="165" spans="1:39" s="1007" customFormat="1" ht="15.75" customHeight="1">
      <c r="A165" s="362" t="str">
        <f>IF(B165&lt;&gt;"",IF(AND(B165&gt;=_TM1,B165&lt;=_TM2,OR(TH!O165="1111",TH!P165="1111")),TH!D165,""),"")</f>
        <v/>
      </c>
      <c r="B165" s="63">
        <f t="shared" si="8"/>
        <v>2</v>
      </c>
      <c r="C165" s="337">
        <v>42426</v>
      </c>
      <c r="D165" s="337" t="s">
        <v>1015</v>
      </c>
      <c r="E165" s="337">
        <v>42426</v>
      </c>
      <c r="F165" s="338" t="s">
        <v>819</v>
      </c>
      <c r="G165" s="1025" t="s">
        <v>821</v>
      </c>
      <c r="H165" s="339" t="s">
        <v>221</v>
      </c>
      <c r="I165" s="476"/>
      <c r="J165" s="476"/>
      <c r="K165" s="469"/>
      <c r="L165" s="476"/>
      <c r="M165" s="88">
        <v>2944300</v>
      </c>
      <c r="N165" s="88"/>
      <c r="O165" s="340" t="s">
        <v>10</v>
      </c>
      <c r="P165" s="340" t="s">
        <v>9</v>
      </c>
      <c r="Q165" s="66" t="str">
        <f>IF(AND('331-CT'!$E$7=TH!H165,OR(O165="331",P165="331")),"x","")</f>
        <v/>
      </c>
      <c r="R165" s="66" t="str">
        <f>IF(AND($B165&gt;='111'!$N$11,$B165&lt;='111'!$O$11,OR($O165=$R$7,$P165=$R$7)),"x","")</f>
        <v/>
      </c>
      <c r="S165" s="66" t="str">
        <f>IF(AND($O165=$R$7,$B165&lt;'111'!$N$11),"x","")</f>
        <v/>
      </c>
      <c r="T165" s="66" t="str">
        <f>IF(AND($P165=$R$7,$B165&lt;'111'!$N$11),"x","")</f>
        <v/>
      </c>
      <c r="U165" s="66" t="str">
        <f>IF(AND($B165&gt;='112'!$M$9,$B165&lt;='112'!$N$9,OR($O165='112'!$I$6,$P165='112'!$I$6)),"x","")</f>
        <v/>
      </c>
      <c r="V165" s="66" t="str">
        <f>IF(AND($O165='112'!$I$6,$B165&lt;'112'!$M$9),"x","")</f>
        <v/>
      </c>
      <c r="W165" s="66" t="str">
        <f>IF(AND($P165='112'!$I$6,$B165&lt;'112'!$M$9),"x","")</f>
        <v/>
      </c>
      <c r="X165" s="66" t="str">
        <f>IF(AND('131-CT'!$H$9=TH!H165,OR(O165="131",P165="131")),"x","")</f>
        <v/>
      </c>
      <c r="Y165" s="80" t="str">
        <f>IF(AND($B165&gt;='1331'!$I$9,$B165&lt;='1331'!$J$9,OR($O165=$Y$7,$P165=$Y$7)),"x","")</f>
        <v/>
      </c>
      <c r="Z165" s="80" t="str">
        <f>IF(AND($O165=$Y$7,$B165&lt;'1331'!$I$9),"x","")</f>
        <v>x</v>
      </c>
      <c r="AA165" s="80" t="str">
        <f>IF(AND($P165=$Y$7,$B165&lt;'1331'!$I$9),"x","")</f>
        <v/>
      </c>
      <c r="AB165" s="80" t="str">
        <f>IF(AND($B165&gt;='1332'!$I$9,$B165&lt;='1332'!$I$9,OR($O165=$AB$7,$P165=$AB$7)),"x","")</f>
        <v/>
      </c>
      <c r="AC165" s="80" t="str">
        <f>IF(AND($O165=$AB$7,$B165&lt;'1332'!$I$9),"x","")</f>
        <v/>
      </c>
      <c r="AD165" s="80" t="str">
        <f>IF(AND($P165=$AB$7,$B165&lt;'1332'!$I$9),"x","")</f>
        <v/>
      </c>
      <c r="AE165" s="80" t="str">
        <f>IF(AND('341-CT'!$H$9=H165,OR(LEFT(O165,3)=$AE$7,LEFT(P165,3)=$AE$7)),"x","")</f>
        <v/>
      </c>
      <c r="AF165" s="80" t="str">
        <f>IF(OR(TH!O165=TH!$AF$7,P165=TH!$AF$7),"x","")</f>
        <v/>
      </c>
      <c r="AG165" s="80"/>
      <c r="AH165" s="80" t="str">
        <f>IF(AND(B165&gt;='IN-NX'!$P$3,B165&lt;='IN-NX'!$Q$3,'IN-NX'!$D$7=D165,OR(LEFT(L165,2)="15",AND(LEFT(M165,2)&lt;&gt;"15",LEFT(M165,2)&lt;&gt;"33"))),"x","")</f>
        <v/>
      </c>
      <c r="AI165" s="80" t="str">
        <f>IF(AND(OR(LEFT(TH!O165,2)="15",LEFT(TH!P165,2)="15"),'152-CT'!$J$8=TH!F165),"x","")</f>
        <v/>
      </c>
      <c r="AJ165" s="80" t="str">
        <f>IF(AND(OR(LEFT(TH!O165,2)="15",LEFT(TH!P165,2)="15"),'THE KHO'!$E$7=TH!F165),"x","")</f>
        <v/>
      </c>
      <c r="AK165" s="80" t="str">
        <f>IF(AND(O165="1521",MONTH(C165)='BK NL'!$M$11),"x","")</f>
        <v/>
      </c>
      <c r="AM165" s="1007">
        <v>1</v>
      </c>
    </row>
    <row r="166" spans="1:39" s="1007" customFormat="1" ht="15.75" customHeight="1">
      <c r="A166" s="362" t="str">
        <f>IF(B166&lt;&gt;"",IF(AND(B166&gt;=_TM1,B166&lt;=_TM2,OR(TH!O166="1111",TH!P166="1111")),TH!D166,""),"")</f>
        <v/>
      </c>
      <c r="B166" s="63">
        <f t="shared" si="8"/>
        <v>3</v>
      </c>
      <c r="C166" s="337">
        <v>42430</v>
      </c>
      <c r="D166" s="337" t="s">
        <v>747</v>
      </c>
      <c r="E166" s="337">
        <v>42430</v>
      </c>
      <c r="F166" s="338" t="s">
        <v>410</v>
      </c>
      <c r="G166" s="1022" t="s">
        <v>798</v>
      </c>
      <c r="H166" s="368" t="s">
        <v>160</v>
      </c>
      <c r="I166" s="477"/>
      <c r="J166" s="477"/>
      <c r="K166" s="470"/>
      <c r="L166" s="477"/>
      <c r="M166" s="65">
        <v>41000000</v>
      </c>
      <c r="N166" s="65"/>
      <c r="O166" s="340" t="s">
        <v>31</v>
      </c>
      <c r="P166" s="340" t="s">
        <v>97</v>
      </c>
      <c r="Q166" s="66" t="str">
        <f>IF(AND('331-CT'!$E$7=TH!H166,OR(O166="331",P166="331")),"x","")</f>
        <v/>
      </c>
      <c r="R166" s="66" t="str">
        <f>IF(AND($B166&gt;='111'!$N$11,$B166&lt;='111'!$O$11,OR($O166=$R$7,$P166=$R$7)),"x","")</f>
        <v/>
      </c>
      <c r="S166" s="66" t="str">
        <f>IF(AND($O166=$R$7,$B166&lt;'111'!$N$11),"x","")</f>
        <v/>
      </c>
      <c r="T166" s="66" t="str">
        <f>IF(AND($P166=$R$7,$B166&lt;'111'!$N$11),"x","")</f>
        <v>x</v>
      </c>
      <c r="U166" s="66" t="str">
        <f>IF(AND($B166&gt;='112'!$M$9,$B166&lt;='112'!$N$9,OR($O166='112'!$I$6,$P166='112'!$I$6)),"x","")</f>
        <v/>
      </c>
      <c r="V166" s="66" t="str">
        <f>IF(AND($O166='112'!$I$6,$B166&lt;'112'!$M$9),"x","")</f>
        <v>x</v>
      </c>
      <c r="W166" s="66" t="str">
        <f>IF(AND($P166='112'!$I$6,$B166&lt;'112'!$M$9),"x","")</f>
        <v/>
      </c>
      <c r="X166" s="66" t="str">
        <f>IF(AND('131-CT'!$H$9=TH!H166,OR(O166="131",P166="131")),"x","")</f>
        <v/>
      </c>
      <c r="Y166" s="80" t="str">
        <f>IF(AND($B166&gt;='1331'!$I$9,$B166&lt;='1331'!$J$9,OR($O166=$Y$7,$P166=$Y$7)),"x","")</f>
        <v/>
      </c>
      <c r="Z166" s="80" t="str">
        <f>IF(AND($O166=$Y$7,$B166&lt;'1331'!$I$9),"x","")</f>
        <v/>
      </c>
      <c r="AA166" s="80" t="str">
        <f>IF(AND($P166=$Y$7,$B166&lt;'1331'!$I$9),"x","")</f>
        <v/>
      </c>
      <c r="AB166" s="80" t="str">
        <f>IF(AND($B166&gt;='1332'!$I$9,$B166&lt;='1332'!$I$9,OR($O166=$AB$7,$P166=$AB$7)),"x","")</f>
        <v/>
      </c>
      <c r="AC166" s="80" t="str">
        <f>IF(AND($O166=$AB$7,$B166&lt;'1332'!$I$9),"x","")</f>
        <v/>
      </c>
      <c r="AD166" s="80" t="str">
        <f>IF(AND($P166=$AB$7,$B166&lt;'1332'!$I$9),"x","")</f>
        <v/>
      </c>
      <c r="AE166" s="80" t="str">
        <f>IF(AND('341-CT'!$H$9=H166,OR(LEFT(O166,3)=$AE$7,LEFT(P166,3)=$AE$7)),"x","")</f>
        <v/>
      </c>
      <c r="AF166" s="80" t="str">
        <f>IF(OR(TH!O166=TH!$AF$7,P166=TH!$AF$7),"x","")</f>
        <v/>
      </c>
      <c r="AG166" s="80"/>
      <c r="AH166" s="80" t="str">
        <f>IF(AND(B166&gt;='IN-NX'!$P$3,B166&lt;='IN-NX'!$Q$3,'IN-NX'!$D$7=D166,OR(LEFT(L166,2)="15",AND(LEFT(M166,2)&lt;&gt;"15",LEFT(M166,2)&lt;&gt;"33"))),"x","")</f>
        <v/>
      </c>
      <c r="AI166" s="80" t="str">
        <f>IF(AND(OR(LEFT(TH!O166,2)="15",LEFT(TH!P166,2)="15"),'152-CT'!$J$8=TH!F166),"x","")</f>
        <v/>
      </c>
      <c r="AJ166" s="80" t="str">
        <f>IF(AND(OR(LEFT(TH!O166,2)="15",LEFT(TH!P166,2)="15"),'THE KHO'!$E$7=TH!F166),"x","")</f>
        <v/>
      </c>
      <c r="AK166" s="80" t="str">
        <f>IF(AND(O166="1521",MONTH(C166)='BK NL'!$M$11),"x","")</f>
        <v/>
      </c>
      <c r="AM166" s="1007">
        <v>1</v>
      </c>
    </row>
    <row r="167" spans="1:39" s="1007" customFormat="1" ht="15.75" customHeight="1">
      <c r="A167" s="362" t="str">
        <f>IF(B167&lt;&gt;"",IF(AND(B167&gt;=_TM1,B167&lt;=_TM2,OR(TH!O167="1111",TH!P167="1111")),TH!D167,""),"")</f>
        <v/>
      </c>
      <c r="B167" s="63">
        <f t="shared" si="8"/>
        <v>3</v>
      </c>
      <c r="C167" s="337">
        <v>42430</v>
      </c>
      <c r="D167" s="337" t="s">
        <v>8</v>
      </c>
      <c r="E167" s="337">
        <v>42430</v>
      </c>
      <c r="F167" s="338" t="s">
        <v>440</v>
      </c>
      <c r="G167" s="1022" t="s">
        <v>798</v>
      </c>
      <c r="H167" s="339" t="s">
        <v>221</v>
      </c>
      <c r="I167" s="476"/>
      <c r="J167" s="476"/>
      <c r="K167" s="469"/>
      <c r="L167" s="476"/>
      <c r="M167" s="65">
        <v>40435780</v>
      </c>
      <c r="N167" s="65"/>
      <c r="O167" s="340" t="s">
        <v>9</v>
      </c>
      <c r="P167" s="340" t="s">
        <v>31</v>
      </c>
      <c r="Q167" s="66" t="str">
        <f>IF(AND('331-CT'!$E$7=TH!H167,OR(O167="331",P167="331")),"x","")</f>
        <v/>
      </c>
      <c r="R167" s="66" t="str">
        <f>IF(AND($B167&gt;='111'!$N$11,$B167&lt;='111'!$O$11,OR($O167=$R$7,$P167=$R$7)),"x","")</f>
        <v/>
      </c>
      <c r="S167" s="66" t="str">
        <f>IF(AND($O167=$R$7,$B167&lt;'111'!$N$11),"x","")</f>
        <v/>
      </c>
      <c r="T167" s="66" t="str">
        <f>IF(AND($P167=$R$7,$B167&lt;'111'!$N$11),"x","")</f>
        <v/>
      </c>
      <c r="U167" s="66" t="str">
        <f>IF(AND($B167&gt;='112'!$M$9,$B167&lt;='112'!$N$9,OR($O167='112'!$I$6,$P167='112'!$I$6)),"x","")</f>
        <v/>
      </c>
      <c r="V167" s="66" t="str">
        <f>IF(AND($O167='112'!$I$6,$B167&lt;'112'!$M$9),"x","")</f>
        <v/>
      </c>
      <c r="W167" s="66" t="str">
        <f>IF(AND($P167='112'!$I$6,$B167&lt;'112'!$M$9),"x","")</f>
        <v>x</v>
      </c>
      <c r="X167" s="66" t="str">
        <f>IF(AND('131-CT'!$H$9=TH!H167,OR(O167="131",P167="131")),"x","")</f>
        <v/>
      </c>
      <c r="Y167" s="80" t="str">
        <f>IF(AND($B167&gt;='1331'!$I$9,$B167&lt;='1331'!$J$9,OR($O167=$Y$7,$P167=$Y$7)),"x","")</f>
        <v/>
      </c>
      <c r="Z167" s="80" t="str">
        <f>IF(AND($O167=$Y$7,$B167&lt;'1331'!$I$9),"x","")</f>
        <v/>
      </c>
      <c r="AA167" s="80" t="str">
        <f>IF(AND($P167=$Y$7,$B167&lt;'1331'!$I$9),"x","")</f>
        <v/>
      </c>
      <c r="AB167" s="80" t="str">
        <f>IF(AND($B167&gt;='1332'!$I$9,$B167&lt;='1332'!$I$9,OR($O167=$AB$7,$P167=$AB$7)),"x","")</f>
        <v/>
      </c>
      <c r="AC167" s="80" t="str">
        <f>IF(AND($O167=$AB$7,$B167&lt;'1332'!$I$9),"x","")</f>
        <v/>
      </c>
      <c r="AD167" s="80" t="str">
        <f>IF(AND($P167=$AB$7,$B167&lt;'1332'!$I$9),"x","")</f>
        <v/>
      </c>
      <c r="AE167" s="80" t="str">
        <f>IF(AND('341-CT'!$H$9=H167,OR(LEFT(O167,3)=$AE$7,LEFT(P167,3)=$AE$7)),"x","")</f>
        <v/>
      </c>
      <c r="AF167" s="80" t="str">
        <f>IF(OR(TH!O167=TH!$AF$7,P167=TH!$AF$7),"x","")</f>
        <v/>
      </c>
      <c r="AG167" s="80"/>
      <c r="AH167" s="80" t="str">
        <f>IF(AND(B167&gt;='IN-NX'!$P$3,B167&lt;='IN-NX'!$Q$3,'IN-NX'!$D$7=D167,OR(LEFT(L167,2)="15",AND(LEFT(M167,2)&lt;&gt;"15",LEFT(M167,2)&lt;&gt;"33"))),"x","")</f>
        <v/>
      </c>
      <c r="AI167" s="80" t="str">
        <f>IF(AND(OR(LEFT(TH!O167,2)="15",LEFT(TH!P167,2)="15"),'152-CT'!$J$8=TH!F167),"x","")</f>
        <v/>
      </c>
      <c r="AJ167" s="80" t="str">
        <f>IF(AND(OR(LEFT(TH!O167,2)="15",LEFT(TH!P167,2)="15"),'THE KHO'!$E$7=TH!F167),"x","")</f>
        <v/>
      </c>
      <c r="AK167" s="80" t="str">
        <f>IF(AND(O167="1521",MONTH(C167)='BK NL'!$M$11),"x","")</f>
        <v/>
      </c>
      <c r="AM167" s="1007">
        <v>1</v>
      </c>
    </row>
    <row r="168" spans="1:39" s="1007" customFormat="1" ht="15.75" customHeight="1">
      <c r="A168" s="362" t="str">
        <f>IF(B168&lt;&gt;"",IF(AND(B168&gt;=_TM1,B168&lt;=_TM2,OR(TH!O168="1111",TH!P168="1111")),TH!D168,""),"")</f>
        <v/>
      </c>
      <c r="B168" s="63">
        <f t="shared" si="8"/>
        <v>3</v>
      </c>
      <c r="C168" s="337">
        <v>42430</v>
      </c>
      <c r="D168" s="337" t="s">
        <v>8</v>
      </c>
      <c r="E168" s="337">
        <v>42430</v>
      </c>
      <c r="F168" s="338" t="s">
        <v>22</v>
      </c>
      <c r="G168" s="1022" t="s">
        <v>798</v>
      </c>
      <c r="H168" s="339"/>
      <c r="I168" s="476"/>
      <c r="J168" s="476"/>
      <c r="K168" s="469"/>
      <c r="L168" s="476"/>
      <c r="M168" s="65">
        <v>45000</v>
      </c>
      <c r="N168" s="65"/>
      <c r="O168" s="340" t="s">
        <v>135</v>
      </c>
      <c r="P168" s="340" t="s">
        <v>31</v>
      </c>
      <c r="Q168" s="66" t="str">
        <f>IF(AND('331-CT'!$E$7=TH!H168,OR(O168="331",P168="331")),"x","")</f>
        <v/>
      </c>
      <c r="R168" s="66" t="str">
        <f>IF(AND($B168&gt;='111'!$N$11,$B168&lt;='111'!$O$11,OR($O168=$R$7,$P168=$R$7)),"x","")</f>
        <v/>
      </c>
      <c r="S168" s="66" t="str">
        <f>IF(AND($O168=$R$7,$B168&lt;'111'!$N$11),"x","")</f>
        <v/>
      </c>
      <c r="T168" s="66" t="str">
        <f>IF(AND($P168=$R$7,$B168&lt;'111'!$N$11),"x","")</f>
        <v/>
      </c>
      <c r="U168" s="66" t="str">
        <f>IF(AND($B168&gt;='112'!$M$9,$B168&lt;='112'!$N$9,OR($O168='112'!$I$6,$P168='112'!$I$6)),"x","")</f>
        <v/>
      </c>
      <c r="V168" s="66" t="str">
        <f>IF(AND($O168='112'!$I$6,$B168&lt;'112'!$M$9),"x","")</f>
        <v/>
      </c>
      <c r="W168" s="66" t="str">
        <f>IF(AND($P168='112'!$I$6,$B168&lt;'112'!$M$9),"x","")</f>
        <v>x</v>
      </c>
      <c r="X168" s="66" t="str">
        <f>IF(AND('131-CT'!$H$9=TH!H168,OR(O168="131",P168="131")),"x","")</f>
        <v/>
      </c>
      <c r="Y168" s="80" t="str">
        <f>IF(AND($B168&gt;='1331'!$I$9,$B168&lt;='1331'!$J$9,OR($O168=$Y$7,$P168=$Y$7)),"x","")</f>
        <v/>
      </c>
      <c r="Z168" s="80" t="str">
        <f>IF(AND($O168=$Y$7,$B168&lt;'1331'!$I$9),"x","")</f>
        <v/>
      </c>
      <c r="AA168" s="80" t="str">
        <f>IF(AND($P168=$Y$7,$B168&lt;'1331'!$I$9),"x","")</f>
        <v/>
      </c>
      <c r="AB168" s="80" t="str">
        <f>IF(AND($B168&gt;='1332'!$I$9,$B168&lt;='1332'!$I$9,OR($O168=$AB$7,$P168=$AB$7)),"x","")</f>
        <v/>
      </c>
      <c r="AC168" s="80" t="str">
        <f>IF(AND($O168=$AB$7,$B168&lt;'1332'!$I$9),"x","")</f>
        <v/>
      </c>
      <c r="AD168" s="80" t="str">
        <f>IF(AND($P168=$AB$7,$B168&lt;'1332'!$I$9),"x","")</f>
        <v/>
      </c>
      <c r="AE168" s="80" t="str">
        <f>IF(AND('341-CT'!$H$9=H168,OR(LEFT(O168,3)=$AE$7,LEFT(P168,3)=$AE$7)),"x","")</f>
        <v/>
      </c>
      <c r="AF168" s="80" t="str">
        <f>IF(OR(TH!O168=TH!$AF$7,P168=TH!$AF$7),"x","")</f>
        <v/>
      </c>
      <c r="AG168" s="80"/>
      <c r="AH168" s="80" t="str">
        <f>IF(AND(B168&gt;='IN-NX'!$P$3,B168&lt;='IN-NX'!$Q$3,'IN-NX'!$D$7=D168,OR(LEFT(L168,2)="15",AND(LEFT(M168,2)&lt;&gt;"15",LEFT(M168,2)&lt;&gt;"33"))),"x","")</f>
        <v/>
      </c>
      <c r="AI168" s="80" t="str">
        <f>IF(AND(OR(LEFT(TH!O168,2)="15",LEFT(TH!P168,2)="15"),'152-CT'!$J$8=TH!F168),"x","")</f>
        <v/>
      </c>
      <c r="AJ168" s="80" t="str">
        <f>IF(AND(OR(LEFT(TH!O168,2)="15",LEFT(TH!P168,2)="15"),'THE KHO'!$E$7=TH!F168),"x","")</f>
        <v/>
      </c>
      <c r="AK168" s="80" t="str">
        <f>IF(AND(O168="1521",MONTH(C168)='BK NL'!$M$11),"x","")</f>
        <v/>
      </c>
    </row>
    <row r="169" spans="1:39" s="1007" customFormat="1" ht="15.75" customHeight="1">
      <c r="A169" s="362" t="str">
        <f>IF(B169&lt;&gt;"",IF(AND(B169&gt;=_TM1,B169&lt;=_TM2,OR(TH!O169="1111",TH!P169="1111")),TH!D169,""),"")</f>
        <v/>
      </c>
      <c r="B169" s="63">
        <f t="shared" si="8"/>
        <v>3</v>
      </c>
      <c r="C169" s="337">
        <v>42430</v>
      </c>
      <c r="D169" s="337" t="s">
        <v>8</v>
      </c>
      <c r="E169" s="337">
        <v>42430</v>
      </c>
      <c r="F169" s="338" t="s">
        <v>23</v>
      </c>
      <c r="G169" s="1022" t="s">
        <v>798</v>
      </c>
      <c r="H169" s="339"/>
      <c r="I169" s="476"/>
      <c r="J169" s="476"/>
      <c r="K169" s="469"/>
      <c r="L169" s="476"/>
      <c r="M169" s="88">
        <v>4500</v>
      </c>
      <c r="N169" s="88"/>
      <c r="O169" s="340" t="s">
        <v>10</v>
      </c>
      <c r="P169" s="340" t="s">
        <v>31</v>
      </c>
      <c r="Q169" s="66" t="str">
        <f>IF(AND('331-CT'!$E$7=TH!H169,OR(O169="331",P169="331")),"x","")</f>
        <v/>
      </c>
      <c r="R169" s="66" t="str">
        <f>IF(AND($B169&gt;='111'!$N$11,$B169&lt;='111'!$O$11,OR($O169=$R$7,$P169=$R$7)),"x","")</f>
        <v/>
      </c>
      <c r="S169" s="66" t="str">
        <f>IF(AND($O169=$R$7,$B169&lt;'111'!$N$11),"x","")</f>
        <v/>
      </c>
      <c r="T169" s="66" t="str">
        <f>IF(AND($P169=$R$7,$B169&lt;'111'!$N$11),"x","")</f>
        <v/>
      </c>
      <c r="U169" s="66" t="str">
        <f>IF(AND($B169&gt;='112'!$M$9,$B169&lt;='112'!$N$9,OR($O169='112'!$I$6,$P169='112'!$I$6)),"x","")</f>
        <v/>
      </c>
      <c r="V169" s="66" t="str">
        <f>IF(AND($O169='112'!$I$6,$B169&lt;'112'!$M$9),"x","")</f>
        <v/>
      </c>
      <c r="W169" s="66" t="str">
        <f>IF(AND($P169='112'!$I$6,$B169&lt;'112'!$M$9),"x","")</f>
        <v>x</v>
      </c>
      <c r="X169" s="66" t="str">
        <f>IF(AND('131-CT'!$H$9=TH!H169,OR(O169="131",P169="131")),"x","")</f>
        <v/>
      </c>
      <c r="Y169" s="80" t="str">
        <f>IF(AND($B169&gt;='1331'!$I$9,$B169&lt;='1331'!$J$9,OR($O169=$Y$7,$P169=$Y$7)),"x","")</f>
        <v/>
      </c>
      <c r="Z169" s="80" t="str">
        <f>IF(AND($O169=$Y$7,$B169&lt;'1331'!$I$9),"x","")</f>
        <v>x</v>
      </c>
      <c r="AA169" s="80" t="str">
        <f>IF(AND($P169=$Y$7,$B169&lt;'1331'!$I$9),"x","")</f>
        <v/>
      </c>
      <c r="AB169" s="80" t="str">
        <f>IF(AND($B169&gt;='1332'!$I$9,$B169&lt;='1332'!$I$9,OR($O169=$AB$7,$P169=$AB$7)),"x","")</f>
        <v/>
      </c>
      <c r="AC169" s="80" t="str">
        <f>IF(AND($O169=$AB$7,$B169&lt;'1332'!$I$9),"x","")</f>
        <v/>
      </c>
      <c r="AD169" s="80" t="str">
        <f>IF(AND($P169=$AB$7,$B169&lt;'1332'!$I$9),"x","")</f>
        <v/>
      </c>
      <c r="AE169" s="80" t="str">
        <f>IF(AND('341-CT'!$H$9=H169,OR(LEFT(O169,3)=$AE$7,LEFT(P169,3)=$AE$7)),"x","")</f>
        <v/>
      </c>
      <c r="AF169" s="80" t="str">
        <f>IF(OR(TH!O169=TH!$AF$7,P169=TH!$AF$7),"x","")</f>
        <v/>
      </c>
      <c r="AG169" s="80"/>
      <c r="AH169" s="80" t="str">
        <f>IF(AND(B169&gt;='IN-NX'!$P$3,B169&lt;='IN-NX'!$Q$3,'IN-NX'!$D$7=D169,OR(LEFT(L169,2)="15",AND(LEFT(M169,2)&lt;&gt;"15",LEFT(M169,2)&lt;&gt;"33"))),"x","")</f>
        <v/>
      </c>
      <c r="AI169" s="80" t="str">
        <f>IF(AND(OR(LEFT(TH!O169,2)="15",LEFT(TH!P169,2)="15"),'152-CT'!$J$8=TH!F169),"x","")</f>
        <v/>
      </c>
      <c r="AJ169" s="80" t="str">
        <f>IF(AND(OR(LEFT(TH!O169,2)="15",LEFT(TH!P169,2)="15"),'THE KHO'!$E$7=TH!F169),"x","")</f>
        <v/>
      </c>
      <c r="AK169" s="80" t="str">
        <f>IF(AND(O169="1521",MONTH(C169)='BK NL'!$M$11),"x","")</f>
        <v/>
      </c>
    </row>
    <row r="170" spans="1:39" s="1007" customFormat="1" ht="15.75" customHeight="1">
      <c r="A170" s="362" t="str">
        <f>IF(B170&lt;&gt;"",IF(AND(B170&gt;=_TM1,B170&lt;=_TM2,OR(TH!O170="1111",TH!P170="1111")),TH!D170,""),"")</f>
        <v/>
      </c>
      <c r="B170" s="63">
        <f t="shared" si="8"/>
        <v>3</v>
      </c>
      <c r="C170" s="337">
        <v>42432</v>
      </c>
      <c r="D170" s="337" t="s">
        <v>8</v>
      </c>
      <c r="E170" s="337">
        <f>C170</f>
        <v>42432</v>
      </c>
      <c r="F170" s="338" t="s">
        <v>786</v>
      </c>
      <c r="G170" s="1022" t="s">
        <v>798</v>
      </c>
      <c r="H170" s="338"/>
      <c r="I170" s="476"/>
      <c r="J170" s="476"/>
      <c r="K170" s="469"/>
      <c r="L170" s="476"/>
      <c r="M170" s="65">
        <v>10000</v>
      </c>
      <c r="N170" s="65"/>
      <c r="O170" s="340" t="s">
        <v>135</v>
      </c>
      <c r="P170" s="340" t="s">
        <v>31</v>
      </c>
      <c r="Q170" s="66" t="str">
        <f>IF(AND('331-CT'!$E$7=TH!H170,OR(O170="331",P170="331")),"x","")</f>
        <v/>
      </c>
      <c r="R170" s="66" t="str">
        <f>IF(AND($B170&gt;='111'!$N$11,$B170&lt;='111'!$O$11,OR($O170=$R$7,$P170=$R$7)),"x","")</f>
        <v/>
      </c>
      <c r="S170" s="66" t="str">
        <f>IF(AND($O170=$R$7,$B170&lt;'111'!$N$11),"x","")</f>
        <v/>
      </c>
      <c r="T170" s="66" t="str">
        <f>IF(AND($P170=$R$7,$B170&lt;'111'!$N$11),"x","")</f>
        <v/>
      </c>
      <c r="U170" s="66" t="str">
        <f>IF(AND($B170&gt;='112'!$M$9,$B170&lt;='112'!$N$9,OR($O170='112'!$I$6,$P170='112'!$I$6)),"x","")</f>
        <v/>
      </c>
      <c r="V170" s="66" t="str">
        <f>IF(AND($O170='112'!$I$6,$B170&lt;'112'!$M$9),"x","")</f>
        <v/>
      </c>
      <c r="W170" s="66" t="str">
        <f>IF(AND($P170='112'!$I$6,$B170&lt;'112'!$M$9),"x","")</f>
        <v>x</v>
      </c>
      <c r="X170" s="66" t="str">
        <f>IF(AND('131-CT'!$H$9=TH!H170,OR(O170="131",P170="131")),"x","")</f>
        <v/>
      </c>
      <c r="Y170" s="80" t="str">
        <f>IF(AND($B170&gt;='1331'!$I$9,$B170&lt;='1331'!$J$9,OR($O170=$Y$7,$P170=$Y$7)),"x","")</f>
        <v/>
      </c>
      <c r="Z170" s="80" t="str">
        <f>IF(AND($O170=$Y$7,$B170&lt;'1331'!$I$9),"x","")</f>
        <v/>
      </c>
      <c r="AA170" s="80" t="str">
        <f>IF(AND($P170=$Y$7,$B170&lt;'1331'!$I$9),"x","")</f>
        <v/>
      </c>
      <c r="AB170" s="80" t="str">
        <f>IF(AND($B170&gt;='1332'!$I$9,$B170&lt;='1332'!$I$9,OR($O170=$AB$7,$P170=$AB$7)),"x","")</f>
        <v/>
      </c>
      <c r="AC170" s="80" t="str">
        <f>IF(AND($O170=$AB$7,$B170&lt;'1332'!$I$9),"x","")</f>
        <v/>
      </c>
      <c r="AD170" s="80" t="str">
        <f>IF(AND($P170=$AB$7,$B170&lt;'1332'!$I$9),"x","")</f>
        <v/>
      </c>
      <c r="AE170" s="80" t="str">
        <f>IF(AND('341-CT'!$H$9=H170,OR(LEFT(O170,3)=$AE$7,LEFT(P170,3)=$AE$7)),"x","")</f>
        <v/>
      </c>
      <c r="AF170" s="80" t="str">
        <f>IF(OR(TH!O170=TH!$AF$7,P170=TH!$AF$7),"x","")</f>
        <v/>
      </c>
      <c r="AG170" s="80"/>
      <c r="AH170" s="80" t="str">
        <f>IF(AND(B170&gt;='IN-NX'!$P$3,B170&lt;='IN-NX'!$Q$3,'IN-NX'!$D$7=D170,OR(LEFT(L170,2)="15",AND(LEFT(M170,2)&lt;&gt;"15",LEFT(M170,2)&lt;&gt;"33"))),"x","")</f>
        <v/>
      </c>
      <c r="AI170" s="80" t="str">
        <f>IF(AND(OR(LEFT(TH!O170,2)="15",LEFT(TH!P170,2)="15"),'152-CT'!$J$8=TH!F170),"x","")</f>
        <v/>
      </c>
      <c r="AJ170" s="80" t="str">
        <f>IF(AND(OR(LEFT(TH!O170,2)="15",LEFT(TH!P170,2)="15"),'THE KHO'!$E$7=TH!F170),"x","")</f>
        <v/>
      </c>
      <c r="AK170" s="80" t="str">
        <f>IF(AND(O170="1521",MONTH(C170)='BK NL'!$M$11),"x","")</f>
        <v/>
      </c>
      <c r="AM170" s="1007">
        <v>1</v>
      </c>
    </row>
    <row r="171" spans="1:39" s="1007" customFormat="1" ht="15.75" customHeight="1">
      <c r="A171" s="362" t="str">
        <f>IF(B171&lt;&gt;"",IF(AND(B171&gt;=_TM1,B171&lt;=_TM2,OR(TH!O171="1111",TH!P171="1111")),TH!D171,""),"")</f>
        <v/>
      </c>
      <c r="B171" s="63">
        <f t="shared" si="8"/>
        <v>3</v>
      </c>
      <c r="C171" s="337">
        <v>42432</v>
      </c>
      <c r="D171" s="337" t="s">
        <v>8</v>
      </c>
      <c r="E171" s="337">
        <f>C171</f>
        <v>42432</v>
      </c>
      <c r="F171" s="338" t="s">
        <v>787</v>
      </c>
      <c r="G171" s="1022" t="s">
        <v>798</v>
      </c>
      <c r="H171" s="338"/>
      <c r="I171" s="476"/>
      <c r="J171" s="476"/>
      <c r="K171" s="469"/>
      <c r="L171" s="476"/>
      <c r="M171" s="88">
        <v>1000</v>
      </c>
      <c r="N171" s="88"/>
      <c r="O171" s="340" t="s">
        <v>10</v>
      </c>
      <c r="P171" s="340" t="s">
        <v>31</v>
      </c>
      <c r="Q171" s="66" t="str">
        <f>IF(AND('331-CT'!$E$7=TH!H171,OR(O171="331",P171="331")),"x","")</f>
        <v/>
      </c>
      <c r="R171" s="66" t="str">
        <f>IF(AND($B171&gt;='111'!$N$11,$B171&lt;='111'!$O$11,OR($O171=$R$7,$P171=$R$7)),"x","")</f>
        <v/>
      </c>
      <c r="S171" s="66" t="str">
        <f>IF(AND($O171=$R$7,$B171&lt;'111'!$N$11),"x","")</f>
        <v/>
      </c>
      <c r="T171" s="66" t="str">
        <f>IF(AND($P171=$R$7,$B171&lt;'111'!$N$11),"x","")</f>
        <v/>
      </c>
      <c r="U171" s="66" t="str">
        <f>IF(AND($B171&gt;='112'!$M$9,$B171&lt;='112'!$N$9,OR($O171='112'!$I$6,$P171='112'!$I$6)),"x","")</f>
        <v/>
      </c>
      <c r="V171" s="66" t="str">
        <f>IF(AND($O171='112'!$I$6,$B171&lt;'112'!$M$9),"x","")</f>
        <v/>
      </c>
      <c r="W171" s="66" t="str">
        <f>IF(AND($P171='112'!$I$6,$B171&lt;'112'!$M$9),"x","")</f>
        <v>x</v>
      </c>
      <c r="X171" s="66" t="str">
        <f>IF(AND('131-CT'!$H$9=TH!H171,OR(O171="131",P171="131")),"x","")</f>
        <v/>
      </c>
      <c r="Y171" s="80" t="str">
        <f>IF(AND($B171&gt;='1331'!$I$9,$B171&lt;='1331'!$J$9,OR($O171=$Y$7,$P171=$Y$7)),"x","")</f>
        <v/>
      </c>
      <c r="Z171" s="80" t="str">
        <f>IF(AND($O171=$Y$7,$B171&lt;'1331'!$I$9),"x","")</f>
        <v>x</v>
      </c>
      <c r="AA171" s="80" t="str">
        <f>IF(AND($P171=$Y$7,$B171&lt;'1331'!$I$9),"x","")</f>
        <v/>
      </c>
      <c r="AB171" s="80" t="str">
        <f>IF(AND($B171&gt;='1332'!$I$9,$B171&lt;='1332'!$I$9,OR($O171=$AB$7,$P171=$AB$7)),"x","")</f>
        <v/>
      </c>
      <c r="AC171" s="80" t="str">
        <f>IF(AND($O171=$AB$7,$B171&lt;'1332'!$I$9),"x","")</f>
        <v/>
      </c>
      <c r="AD171" s="80" t="str">
        <f>IF(AND($P171=$AB$7,$B171&lt;'1332'!$I$9),"x","")</f>
        <v/>
      </c>
      <c r="AE171" s="80" t="str">
        <f>IF(AND('341-CT'!$H$9=H171,OR(LEFT(O171,3)=$AE$7,LEFT(P171,3)=$AE$7)),"x","")</f>
        <v/>
      </c>
      <c r="AF171" s="80" t="str">
        <f>IF(OR(TH!O171=TH!$AF$7,P171=TH!$AF$7),"x","")</f>
        <v/>
      </c>
      <c r="AG171" s="80"/>
      <c r="AH171" s="80" t="str">
        <f>IF(AND(B171&gt;='IN-NX'!$P$3,B171&lt;='IN-NX'!$Q$3,'IN-NX'!$D$7=D171,OR(LEFT(L171,2)="15",AND(LEFT(M171,2)&lt;&gt;"15",LEFT(M171,2)&lt;&gt;"33"))),"x","")</f>
        <v/>
      </c>
      <c r="AI171" s="80" t="str">
        <f>IF(AND(OR(LEFT(TH!O171,2)="15",LEFT(TH!P171,2)="15"),'152-CT'!$J$8=TH!F171),"x","")</f>
        <v/>
      </c>
      <c r="AJ171" s="80" t="str">
        <f>IF(AND(OR(LEFT(TH!O171,2)="15",LEFT(TH!P171,2)="15"),'THE KHO'!$E$7=TH!F171),"x","")</f>
        <v/>
      </c>
      <c r="AK171" s="80" t="str">
        <f>IF(AND(O171="1521",MONTH(C171)='BK NL'!$M$11),"x","")</f>
        <v/>
      </c>
      <c r="AM171" s="1007">
        <v>1</v>
      </c>
    </row>
    <row r="172" spans="1:39" s="1007" customFormat="1" ht="15.75" customHeight="1">
      <c r="A172" s="362" t="str">
        <f>IF(B172&lt;&gt;"",IF(AND(B172&gt;=_TM1,B172&lt;=_TM2,OR(TH!O172="1111",TH!P172="1111")),TH!D172,""),"")</f>
        <v/>
      </c>
      <c r="B172" s="63">
        <f t="shared" si="8"/>
        <v>3</v>
      </c>
      <c r="C172" s="337">
        <v>42436</v>
      </c>
      <c r="D172" s="337" t="s">
        <v>748</v>
      </c>
      <c r="E172" s="337">
        <v>42436</v>
      </c>
      <c r="F172" s="338" t="s">
        <v>753</v>
      </c>
      <c r="G172" s="351" t="s">
        <v>754</v>
      </c>
      <c r="H172" s="339" t="s">
        <v>322</v>
      </c>
      <c r="I172" s="476"/>
      <c r="J172" s="476"/>
      <c r="K172" s="469"/>
      <c r="L172" s="476"/>
      <c r="M172" s="65">
        <v>330000</v>
      </c>
      <c r="N172" s="65"/>
      <c r="O172" s="340" t="s">
        <v>242</v>
      </c>
      <c r="P172" s="340" t="s">
        <v>97</v>
      </c>
      <c r="Q172" s="66" t="str">
        <f>IF(AND('331-CT'!$E$7=TH!H172,OR(O172="331",P172="331")),"x","")</f>
        <v/>
      </c>
      <c r="R172" s="66" t="str">
        <f>IF(AND($B172&gt;='111'!$N$11,$B172&lt;='111'!$O$11,OR($O172=$R$7,$P172=$R$7)),"x","")</f>
        <v/>
      </c>
      <c r="S172" s="66" t="str">
        <f>IF(AND($O172=$R$7,$B172&lt;'111'!$N$11),"x","")</f>
        <v/>
      </c>
      <c r="T172" s="66" t="str">
        <f>IF(AND($P172=$R$7,$B172&lt;'111'!$N$11),"x","")</f>
        <v>x</v>
      </c>
      <c r="U172" s="66" t="str">
        <f>IF(AND($B172&gt;='112'!$M$9,$B172&lt;='112'!$N$9,OR($O172='112'!$I$6,$P172='112'!$I$6)),"x","")</f>
        <v/>
      </c>
      <c r="V172" s="66" t="str">
        <f>IF(AND($O172='112'!$I$6,$B172&lt;'112'!$M$9),"x","")</f>
        <v/>
      </c>
      <c r="W172" s="66" t="str">
        <f>IF(AND($P172='112'!$I$6,$B172&lt;'112'!$M$9),"x","")</f>
        <v/>
      </c>
      <c r="X172" s="66" t="str">
        <f>IF(AND('131-CT'!$H$9=TH!H172,OR(O172="131",P172="131")),"x","")</f>
        <v/>
      </c>
      <c r="Y172" s="80" t="str">
        <f>IF(AND($B172&gt;='1331'!$I$9,$B172&lt;='1331'!$J$9,OR($O172=$Y$7,$P172=$Y$7)),"x","")</f>
        <v/>
      </c>
      <c r="Z172" s="80" t="str">
        <f>IF(AND($O172=$Y$7,$B172&lt;'1331'!$I$9),"x","")</f>
        <v/>
      </c>
      <c r="AA172" s="80" t="str">
        <f>IF(AND($P172=$Y$7,$B172&lt;'1331'!$I$9),"x","")</f>
        <v/>
      </c>
      <c r="AB172" s="80" t="str">
        <f>IF(AND($B172&gt;='1332'!$I$9,$B172&lt;='1332'!$I$9,OR($O172=$AB$7,$P172=$AB$7)),"x","")</f>
        <v/>
      </c>
      <c r="AC172" s="80" t="str">
        <f>IF(AND($O172=$AB$7,$B172&lt;'1332'!$I$9),"x","")</f>
        <v/>
      </c>
      <c r="AD172" s="80" t="str">
        <f>IF(AND($P172=$AB$7,$B172&lt;'1332'!$I$9),"x","")</f>
        <v/>
      </c>
      <c r="AE172" s="80" t="str">
        <f>IF(AND('341-CT'!$H$9=H172,OR(LEFT(O172,3)=$AE$7,LEFT(P172,3)=$AE$7)),"x","")</f>
        <v/>
      </c>
      <c r="AF172" s="80" t="str">
        <f>IF(OR(TH!O172=TH!$AF$7,P172=TH!$AF$7),"x","")</f>
        <v/>
      </c>
      <c r="AG172" s="80"/>
      <c r="AH172" s="80" t="str">
        <f>IF(AND(B172&gt;='IN-NX'!$P$3,B172&lt;='IN-NX'!$Q$3,'IN-NX'!$D$7=D172,OR(LEFT(L172,2)="15",AND(LEFT(M172,2)&lt;&gt;"15",LEFT(M172,2)&lt;&gt;"33"))),"x","")</f>
        <v/>
      </c>
      <c r="AI172" s="80" t="str">
        <f>IF(AND(OR(LEFT(TH!O172,2)="15",LEFT(TH!P172,2)="15"),'152-CT'!$J$8=TH!F172),"x","")</f>
        <v/>
      </c>
      <c r="AJ172" s="80" t="str">
        <f>IF(AND(OR(LEFT(TH!O172,2)="15",LEFT(TH!P172,2)="15"),'THE KHO'!$E$7=TH!F172),"x","")</f>
        <v/>
      </c>
      <c r="AK172" s="80" t="str">
        <f>IF(AND(O172="1521",MONTH(C172)='BK NL'!$M$11),"x","")</f>
        <v/>
      </c>
      <c r="AM172" s="1007">
        <v>1</v>
      </c>
    </row>
    <row r="173" spans="1:39" s="1007" customFormat="1" ht="15.75" customHeight="1">
      <c r="A173" s="362" t="str">
        <f>IF(B173&lt;&gt;"",IF(AND(B173&gt;=_TM1,B173&lt;=_TM2,OR(TH!O173="1111",TH!P173="1111")),TH!D173,""),"")</f>
        <v/>
      </c>
      <c r="B173" s="63">
        <f t="shared" si="8"/>
        <v>3</v>
      </c>
      <c r="C173" s="337">
        <v>42436</v>
      </c>
      <c r="D173" s="337" t="s">
        <v>752</v>
      </c>
      <c r="E173" s="337">
        <v>42436</v>
      </c>
      <c r="F173" s="338" t="s">
        <v>399</v>
      </c>
      <c r="G173" s="351" t="s">
        <v>756</v>
      </c>
      <c r="H173" s="339" t="s">
        <v>319</v>
      </c>
      <c r="I173" s="476"/>
      <c r="J173" s="476"/>
      <c r="K173" s="469"/>
      <c r="L173" s="476"/>
      <c r="M173" s="65">
        <v>2810000</v>
      </c>
      <c r="N173" s="65"/>
      <c r="O173" s="340" t="s">
        <v>242</v>
      </c>
      <c r="P173" s="340" t="s">
        <v>97</v>
      </c>
      <c r="Q173" s="66" t="str">
        <f>IF(AND('331-CT'!$E$7=TH!H173,OR(O173="331",P173="331")),"x","")</f>
        <v/>
      </c>
      <c r="R173" s="66" t="str">
        <f>IF(AND($B173&gt;='111'!$N$11,$B173&lt;='111'!$O$11,OR($O173=$R$7,$P173=$R$7)),"x","")</f>
        <v/>
      </c>
      <c r="S173" s="66" t="str">
        <f>IF(AND($O173=$R$7,$B173&lt;'111'!$N$11),"x","")</f>
        <v/>
      </c>
      <c r="T173" s="66" t="str">
        <f>IF(AND($P173=$R$7,$B173&lt;'111'!$N$11),"x","")</f>
        <v>x</v>
      </c>
      <c r="U173" s="66" t="str">
        <f>IF(AND($B173&gt;='112'!$M$9,$B173&lt;='112'!$N$9,OR($O173='112'!$I$6,$P173='112'!$I$6)),"x","")</f>
        <v/>
      </c>
      <c r="V173" s="66" t="str">
        <f>IF(AND($O173='112'!$I$6,$B173&lt;'112'!$M$9),"x","")</f>
        <v/>
      </c>
      <c r="W173" s="66" t="str">
        <f>IF(AND($P173='112'!$I$6,$B173&lt;'112'!$M$9),"x","")</f>
        <v/>
      </c>
      <c r="X173" s="66" t="str">
        <f>IF(AND('131-CT'!$H$9=TH!H173,OR(O173="131",P173="131")),"x","")</f>
        <v/>
      </c>
      <c r="Y173" s="80" t="str">
        <f>IF(AND($B173&gt;='1331'!$I$9,$B173&lt;='1331'!$J$9,OR($O173=$Y$7,$P173=$Y$7)),"x","")</f>
        <v/>
      </c>
      <c r="Z173" s="80" t="str">
        <f>IF(AND($O173=$Y$7,$B173&lt;'1331'!$I$9),"x","")</f>
        <v/>
      </c>
      <c r="AA173" s="80" t="str">
        <f>IF(AND($P173=$Y$7,$B173&lt;'1331'!$I$9),"x","")</f>
        <v/>
      </c>
      <c r="AB173" s="80" t="str">
        <f>IF(AND($B173&gt;='1332'!$I$9,$B173&lt;='1332'!$I$9,OR($O173=$AB$7,$P173=$AB$7)),"x","")</f>
        <v/>
      </c>
      <c r="AC173" s="80" t="str">
        <f>IF(AND($O173=$AB$7,$B173&lt;'1332'!$I$9),"x","")</f>
        <v/>
      </c>
      <c r="AD173" s="80" t="str">
        <f>IF(AND($P173=$AB$7,$B173&lt;'1332'!$I$9),"x","")</f>
        <v/>
      </c>
      <c r="AE173" s="80" t="str">
        <f>IF(AND('341-CT'!$H$9=H173,OR(LEFT(O173,3)=$AE$7,LEFT(P173,3)=$AE$7)),"x","")</f>
        <v/>
      </c>
      <c r="AF173" s="80" t="str">
        <f>IF(OR(TH!O173=TH!$AF$7,P173=TH!$AF$7),"x","")</f>
        <v/>
      </c>
      <c r="AG173" s="80"/>
      <c r="AH173" s="80" t="str">
        <f>IF(AND(B173&gt;='IN-NX'!$P$3,B173&lt;='IN-NX'!$Q$3,'IN-NX'!$D$7=D173,OR(LEFT(L173,2)="15",AND(LEFT(M173,2)&lt;&gt;"15",LEFT(M173,2)&lt;&gt;"33"))),"x","")</f>
        <v/>
      </c>
      <c r="AI173" s="80" t="str">
        <f>IF(AND(OR(LEFT(TH!O173,2)="15",LEFT(TH!P173,2)="15"),'152-CT'!$J$8=TH!F173),"x","")</f>
        <v/>
      </c>
      <c r="AJ173" s="80" t="str">
        <f>IF(AND(OR(LEFT(TH!O173,2)="15",LEFT(TH!P173,2)="15"),'THE KHO'!$E$7=TH!F173),"x","")</f>
        <v/>
      </c>
      <c r="AK173" s="80" t="str">
        <f>IF(AND(O173="1521",MONTH(C173)='BK NL'!$M$11),"x","")</f>
        <v/>
      </c>
      <c r="AM173" s="1007">
        <v>1</v>
      </c>
    </row>
    <row r="174" spans="1:39" s="1007" customFormat="1" ht="15.75" customHeight="1">
      <c r="A174" s="362" t="str">
        <f>IF(B174&lt;&gt;"",IF(AND(B174&gt;=_TM1,B174&lt;=_TM2,OR(TH!O174="1111",TH!P174="1111")),TH!D174,""),"")</f>
        <v/>
      </c>
      <c r="B174" s="63">
        <f t="shared" si="8"/>
        <v>3</v>
      </c>
      <c r="C174" s="337">
        <v>42439</v>
      </c>
      <c r="D174" s="337" t="s">
        <v>755</v>
      </c>
      <c r="E174" s="337">
        <v>42439</v>
      </c>
      <c r="F174" s="338" t="s">
        <v>749</v>
      </c>
      <c r="G174" s="351" t="s">
        <v>751</v>
      </c>
      <c r="H174" s="339" t="s">
        <v>315</v>
      </c>
      <c r="I174" s="476"/>
      <c r="J174" s="476"/>
      <c r="K174" s="469"/>
      <c r="L174" s="476"/>
      <c r="M174" s="65">
        <v>6818182</v>
      </c>
      <c r="N174" s="65"/>
      <c r="O174" s="340" t="s">
        <v>135</v>
      </c>
      <c r="P174" s="340" t="s">
        <v>97</v>
      </c>
      <c r="Q174" s="66" t="str">
        <f>IF(AND('331-CT'!$E$7=TH!H174,OR(O174="331",P174="331")),"x","")</f>
        <v/>
      </c>
      <c r="R174" s="66" t="str">
        <f>IF(AND($B174&gt;='111'!$N$11,$B174&lt;='111'!$O$11,OR($O174=$R$7,$P174=$R$7)),"x","")</f>
        <v/>
      </c>
      <c r="S174" s="66" t="str">
        <f>IF(AND($O174=$R$7,$B174&lt;'111'!$N$11),"x","")</f>
        <v/>
      </c>
      <c r="T174" s="66" t="str">
        <f>IF(AND($P174=$R$7,$B174&lt;'111'!$N$11),"x","")</f>
        <v>x</v>
      </c>
      <c r="U174" s="66" t="str">
        <f>IF(AND($B174&gt;='112'!$M$9,$B174&lt;='112'!$N$9,OR($O174='112'!$I$6,$P174='112'!$I$6)),"x","")</f>
        <v/>
      </c>
      <c r="V174" s="66" t="str">
        <f>IF(AND($O174='112'!$I$6,$B174&lt;'112'!$M$9),"x","")</f>
        <v/>
      </c>
      <c r="W174" s="66" t="str">
        <f>IF(AND($P174='112'!$I$6,$B174&lt;'112'!$M$9),"x","")</f>
        <v/>
      </c>
      <c r="X174" s="66" t="str">
        <f>IF(AND('131-CT'!$H$9=TH!H174,OR(O174="131",P174="131")),"x","")</f>
        <v/>
      </c>
      <c r="Y174" s="80" t="str">
        <f>IF(AND($B174&gt;='1331'!$I$9,$B174&lt;='1331'!$J$9,OR($O174=$Y$7,$P174=$Y$7)),"x","")</f>
        <v/>
      </c>
      <c r="Z174" s="80" t="str">
        <f>IF(AND($O174=$Y$7,$B174&lt;'1331'!$I$9),"x","")</f>
        <v/>
      </c>
      <c r="AA174" s="80" t="str">
        <f>IF(AND($P174=$Y$7,$B174&lt;'1331'!$I$9),"x","")</f>
        <v/>
      </c>
      <c r="AB174" s="80" t="str">
        <f>IF(AND($B174&gt;='1332'!$I$9,$B174&lt;='1332'!$I$9,OR($O174=$AB$7,$P174=$AB$7)),"x","")</f>
        <v/>
      </c>
      <c r="AC174" s="80" t="str">
        <f>IF(AND($O174=$AB$7,$B174&lt;'1332'!$I$9),"x","")</f>
        <v/>
      </c>
      <c r="AD174" s="80" t="str">
        <f>IF(AND($P174=$AB$7,$B174&lt;'1332'!$I$9),"x","")</f>
        <v/>
      </c>
      <c r="AE174" s="80" t="str">
        <f>IF(AND('341-CT'!$H$9=H174,OR(LEFT(O174,3)=$AE$7,LEFT(P174,3)=$AE$7)),"x","")</f>
        <v/>
      </c>
      <c r="AF174" s="80" t="str">
        <f>IF(OR(TH!O174=TH!$AF$7,P174=TH!$AF$7),"x","")</f>
        <v/>
      </c>
      <c r="AG174" s="80"/>
      <c r="AH174" s="80" t="str">
        <f>IF(AND(B174&gt;='IN-NX'!$P$3,B174&lt;='IN-NX'!$Q$3,'IN-NX'!$D$7=D174,OR(LEFT(L174,2)="15",AND(LEFT(M174,2)&lt;&gt;"15",LEFT(M174,2)&lt;&gt;"33"))),"x","")</f>
        <v/>
      </c>
      <c r="AI174" s="80" t="str">
        <f>IF(AND(OR(LEFT(TH!O174,2)="15",LEFT(TH!P174,2)="15"),'152-CT'!$J$8=TH!F174),"x","")</f>
        <v/>
      </c>
      <c r="AJ174" s="80" t="str">
        <f>IF(AND(OR(LEFT(TH!O174,2)="15",LEFT(TH!P174,2)="15"),'THE KHO'!$E$7=TH!F174),"x","")</f>
        <v/>
      </c>
      <c r="AK174" s="80" t="str">
        <f>IF(AND(O174="1521",MONTH(C174)='BK NL'!$M$11),"x","")</f>
        <v/>
      </c>
      <c r="AM174" s="1007">
        <v>1</v>
      </c>
    </row>
    <row r="175" spans="1:39" s="1007" customFormat="1" ht="15.75" customHeight="1">
      <c r="A175" s="362" t="str">
        <f>IF(B175&lt;&gt;"",IF(AND(B175&gt;=_TM1,B175&lt;=_TM2,OR(TH!O175="1111",TH!P175="1111")),TH!D175,""),"")</f>
        <v/>
      </c>
      <c r="B175" s="63">
        <f t="shared" si="8"/>
        <v>3</v>
      </c>
      <c r="C175" s="337">
        <v>42439</v>
      </c>
      <c r="D175" s="337" t="s">
        <v>755</v>
      </c>
      <c r="E175" s="337">
        <v>42439</v>
      </c>
      <c r="F175" s="338" t="s">
        <v>750</v>
      </c>
      <c r="G175" s="351" t="s">
        <v>751</v>
      </c>
      <c r="H175" s="339" t="s">
        <v>315</v>
      </c>
      <c r="I175" s="476"/>
      <c r="J175" s="476"/>
      <c r="K175" s="469"/>
      <c r="L175" s="476"/>
      <c r="M175" s="88">
        <v>681818</v>
      </c>
      <c r="N175" s="88"/>
      <c r="O175" s="340" t="s">
        <v>10</v>
      </c>
      <c r="P175" s="340" t="s">
        <v>97</v>
      </c>
      <c r="Q175" s="66" t="str">
        <f>IF(AND('331-CT'!$E$7=TH!H175,OR(O175="331",P175="331")),"x","")</f>
        <v/>
      </c>
      <c r="R175" s="66" t="str">
        <f>IF(AND($B175&gt;='111'!$N$11,$B175&lt;='111'!$O$11,OR($O175=$R$7,$P175=$R$7)),"x","")</f>
        <v/>
      </c>
      <c r="S175" s="66" t="str">
        <f>IF(AND($O175=$R$7,$B175&lt;'111'!$N$11),"x","")</f>
        <v/>
      </c>
      <c r="T175" s="66" t="str">
        <f>IF(AND($P175=$R$7,$B175&lt;'111'!$N$11),"x","")</f>
        <v>x</v>
      </c>
      <c r="U175" s="66" t="str">
        <f>IF(AND($B175&gt;='112'!$M$9,$B175&lt;='112'!$N$9,OR($O175='112'!$I$6,$P175='112'!$I$6)),"x","")</f>
        <v/>
      </c>
      <c r="V175" s="66" t="str">
        <f>IF(AND($O175='112'!$I$6,$B175&lt;'112'!$M$9),"x","")</f>
        <v/>
      </c>
      <c r="W175" s="66" t="str">
        <f>IF(AND($P175='112'!$I$6,$B175&lt;'112'!$M$9),"x","")</f>
        <v/>
      </c>
      <c r="X175" s="66" t="str">
        <f>IF(AND('131-CT'!$H$9=TH!H175,OR(O175="131",P175="131")),"x","")</f>
        <v/>
      </c>
      <c r="Y175" s="80" t="str">
        <f>IF(AND($B175&gt;='1331'!$I$9,$B175&lt;='1331'!$J$9,OR($O175=$Y$7,$P175=$Y$7)),"x","")</f>
        <v/>
      </c>
      <c r="Z175" s="80" t="str">
        <f>IF(AND($O175=$Y$7,$B175&lt;'1331'!$I$9),"x","")</f>
        <v>x</v>
      </c>
      <c r="AA175" s="80" t="str">
        <f>IF(AND($P175=$Y$7,$B175&lt;'1331'!$I$9),"x","")</f>
        <v/>
      </c>
      <c r="AB175" s="80" t="str">
        <f>IF(AND($B175&gt;='1332'!$I$9,$B175&lt;='1332'!$I$9,OR($O175=$AB$7,$P175=$AB$7)),"x","")</f>
        <v/>
      </c>
      <c r="AC175" s="80" t="str">
        <f>IF(AND($O175=$AB$7,$B175&lt;'1332'!$I$9),"x","")</f>
        <v/>
      </c>
      <c r="AD175" s="80" t="str">
        <f>IF(AND($P175=$AB$7,$B175&lt;'1332'!$I$9),"x","")</f>
        <v/>
      </c>
      <c r="AE175" s="80" t="str">
        <f>IF(AND('341-CT'!$H$9=H175,OR(LEFT(O175,3)=$AE$7,LEFT(P175,3)=$AE$7)),"x","")</f>
        <v/>
      </c>
      <c r="AF175" s="80" t="str">
        <f>IF(OR(TH!O175=TH!$AF$7,P175=TH!$AF$7),"x","")</f>
        <v/>
      </c>
      <c r="AG175" s="80"/>
      <c r="AH175" s="80" t="str">
        <f>IF(AND(B175&gt;='IN-NX'!$P$3,B175&lt;='IN-NX'!$Q$3,'IN-NX'!$D$7=D175,OR(LEFT(L175,2)="15",AND(LEFT(M175,2)&lt;&gt;"15",LEFT(M175,2)&lt;&gt;"33"))),"x","")</f>
        <v/>
      </c>
      <c r="AI175" s="80" t="str">
        <f>IF(AND(OR(LEFT(TH!O175,2)="15",LEFT(TH!P175,2)="15"),'152-CT'!$J$8=TH!F175),"x","")</f>
        <v/>
      </c>
      <c r="AJ175" s="80" t="str">
        <f>IF(AND(OR(LEFT(TH!O175,2)="15",LEFT(TH!P175,2)="15"),'THE KHO'!$E$7=TH!F175),"x","")</f>
        <v/>
      </c>
      <c r="AK175" s="80" t="str">
        <f>IF(AND(O175="1521",MONTH(C175)='BK NL'!$M$11),"x","")</f>
        <v/>
      </c>
      <c r="AM175" s="1007">
        <v>1</v>
      </c>
    </row>
    <row r="176" spans="1:39" s="1007" customFormat="1" ht="15.75" customHeight="1">
      <c r="A176" s="362" t="str">
        <f>IF(B176&lt;&gt;"",IF(AND(B176&gt;=_TM1,B176&lt;=_TM2,OR(TH!O176="1111",TH!P176="1111")),TH!D176,""),"")</f>
        <v/>
      </c>
      <c r="B176" s="63">
        <f t="shared" si="8"/>
        <v>3</v>
      </c>
      <c r="C176" s="337">
        <v>42441</v>
      </c>
      <c r="D176" s="337" t="s">
        <v>784</v>
      </c>
      <c r="E176" s="337">
        <v>42441</v>
      </c>
      <c r="F176" s="338" t="s">
        <v>760</v>
      </c>
      <c r="G176" s="351" t="s">
        <v>757</v>
      </c>
      <c r="H176" s="338" t="s">
        <v>758</v>
      </c>
      <c r="I176" s="477">
        <v>500</v>
      </c>
      <c r="J176" s="477">
        <v>33000</v>
      </c>
      <c r="K176" s="470"/>
      <c r="L176" s="477"/>
      <c r="M176" s="65">
        <v>16500000</v>
      </c>
      <c r="N176" s="65"/>
      <c r="O176" s="340" t="s">
        <v>462</v>
      </c>
      <c r="P176" s="340" t="s">
        <v>9</v>
      </c>
      <c r="Q176" s="66" t="str">
        <f>IF(AND('331-CT'!$E$7=TH!H176,OR(O176="331",P176="331")),"x","")</f>
        <v/>
      </c>
      <c r="R176" s="66" t="str">
        <f>IF(AND($B176&gt;='111'!$N$11,$B176&lt;='111'!$O$11,OR($O176=$R$7,$P176=$R$7)),"x","")</f>
        <v/>
      </c>
      <c r="S176" s="66" t="str">
        <f>IF(AND($O176=$R$7,$B176&lt;'111'!$N$11),"x","")</f>
        <v/>
      </c>
      <c r="T176" s="66" t="str">
        <f>IF(AND($P176=$R$7,$B176&lt;'111'!$N$11),"x","")</f>
        <v/>
      </c>
      <c r="U176" s="66" t="str">
        <f>IF(AND($B176&gt;='112'!$M$9,$B176&lt;='112'!$N$9,OR($O176='112'!$I$6,$P176='112'!$I$6)),"x","")</f>
        <v/>
      </c>
      <c r="V176" s="66" t="str">
        <f>IF(AND($O176='112'!$I$6,$B176&lt;'112'!$M$9),"x","")</f>
        <v/>
      </c>
      <c r="W176" s="66" t="str">
        <f>IF(AND($P176='112'!$I$6,$B176&lt;'112'!$M$9),"x","")</f>
        <v/>
      </c>
      <c r="X176" s="66" t="str">
        <f>IF(AND('131-CT'!$H$9=TH!H176,OR(O176="131",P176="131")),"x","")</f>
        <v/>
      </c>
      <c r="Y176" s="80" t="str">
        <f>IF(AND($B176&gt;='1331'!$I$9,$B176&lt;='1331'!$J$9,OR($O176=$Y$7,$P176=$Y$7)),"x","")</f>
        <v/>
      </c>
      <c r="Z176" s="80" t="str">
        <f>IF(AND($O176=$Y$7,$B176&lt;'1331'!$I$9),"x","")</f>
        <v/>
      </c>
      <c r="AA176" s="80" t="str">
        <f>IF(AND($P176=$Y$7,$B176&lt;'1331'!$I$9),"x","")</f>
        <v/>
      </c>
      <c r="AB176" s="80" t="str">
        <f>IF(AND($B176&gt;='1332'!$I$9,$B176&lt;='1332'!$I$9,OR($O176=$AB$7,$P176=$AB$7)),"x","")</f>
        <v/>
      </c>
      <c r="AC176" s="80" t="str">
        <f>IF(AND($O176=$AB$7,$B176&lt;'1332'!$I$9),"x","")</f>
        <v/>
      </c>
      <c r="AD176" s="80" t="str">
        <f>IF(AND($P176=$AB$7,$B176&lt;'1332'!$I$9),"x","")</f>
        <v/>
      </c>
      <c r="AE176" s="80" t="str">
        <f>IF(AND('341-CT'!$H$9=H176,OR(LEFT(O176,3)=$AE$7,LEFT(P176,3)=$AE$7)),"x","")</f>
        <v/>
      </c>
      <c r="AF176" s="80" t="str">
        <f>IF(OR(TH!O176=TH!$AF$7,P176=TH!$AF$7),"x","")</f>
        <v/>
      </c>
      <c r="AG176" s="80"/>
      <c r="AH176" s="80" t="str">
        <f>IF(AND(B176&gt;='IN-NX'!$P$3,B176&lt;='IN-NX'!$Q$3,'IN-NX'!$D$7=D176,OR(LEFT(L176,2)="15",AND(LEFT(M176,2)&lt;&gt;"15",LEFT(M176,2)&lt;&gt;"33"))),"x","")</f>
        <v/>
      </c>
      <c r="AI176" s="80" t="str">
        <f>IF(AND(OR(LEFT(TH!O176,2)="15",LEFT(TH!P176,2)="15"),'152-CT'!$J$8=TH!F176),"x","")</f>
        <v>x</v>
      </c>
      <c r="AJ176" s="80" t="str">
        <f>IF(AND(OR(LEFT(TH!O176,2)="15",LEFT(TH!P176,2)="15"),'THE KHO'!$E$7=TH!F176),"x","")</f>
        <v>x</v>
      </c>
      <c r="AK176" s="80" t="str">
        <f>IF(AND(O176="1521",MONTH(C176)='BK NL'!$M$11),"x","")</f>
        <v/>
      </c>
      <c r="AM176" s="1007">
        <v>1</v>
      </c>
    </row>
    <row r="177" spans="1:39" s="1007" customFormat="1" ht="15.75" customHeight="1">
      <c r="A177" s="362" t="str">
        <f>IF(B177&lt;&gt;"",IF(AND(B177&gt;=_TM1,B177&lt;=_TM2,OR(TH!O177="1111",TH!P177="1111")),TH!D177,""),"")</f>
        <v/>
      </c>
      <c r="B177" s="63">
        <f t="shared" si="8"/>
        <v>3</v>
      </c>
      <c r="C177" s="337">
        <v>42441</v>
      </c>
      <c r="D177" s="337" t="s">
        <v>784</v>
      </c>
      <c r="E177" s="337">
        <v>42441</v>
      </c>
      <c r="F177" s="338" t="s">
        <v>761</v>
      </c>
      <c r="G177" s="351" t="s">
        <v>757</v>
      </c>
      <c r="H177" s="338" t="s">
        <v>758</v>
      </c>
      <c r="I177" s="477">
        <v>500</v>
      </c>
      <c r="J177" s="477">
        <v>33000</v>
      </c>
      <c r="K177" s="470"/>
      <c r="L177" s="477"/>
      <c r="M177" s="65">
        <v>16500000</v>
      </c>
      <c r="N177" s="65"/>
      <c r="O177" s="340" t="s">
        <v>462</v>
      </c>
      <c r="P177" s="340" t="s">
        <v>9</v>
      </c>
      <c r="Q177" s="66" t="str">
        <f>IF(AND('331-CT'!$E$7=TH!H177,OR(O177="331",P177="331")),"x","")</f>
        <v/>
      </c>
      <c r="R177" s="66" t="str">
        <f>IF(AND($B177&gt;='111'!$N$11,$B177&lt;='111'!$O$11,OR($O177=$R$7,$P177=$R$7)),"x","")</f>
        <v/>
      </c>
      <c r="S177" s="66" t="str">
        <f>IF(AND($O177=$R$7,$B177&lt;'111'!$N$11),"x","")</f>
        <v/>
      </c>
      <c r="T177" s="66" t="str">
        <f>IF(AND($P177=$R$7,$B177&lt;'111'!$N$11),"x","")</f>
        <v/>
      </c>
      <c r="U177" s="66" t="str">
        <f>IF(AND($B177&gt;='112'!$M$9,$B177&lt;='112'!$N$9,OR($O177='112'!$I$6,$P177='112'!$I$6)),"x","")</f>
        <v/>
      </c>
      <c r="V177" s="66" t="str">
        <f>IF(AND($O177='112'!$I$6,$B177&lt;'112'!$M$9),"x","")</f>
        <v/>
      </c>
      <c r="W177" s="66" t="str">
        <f>IF(AND($P177='112'!$I$6,$B177&lt;'112'!$M$9),"x","")</f>
        <v/>
      </c>
      <c r="X177" s="66" t="str">
        <f>IF(AND('131-CT'!$H$9=TH!H177,OR(O177="131",P177="131")),"x","")</f>
        <v/>
      </c>
      <c r="Y177" s="80" t="str">
        <f>IF(AND($B177&gt;='1331'!$I$9,$B177&lt;='1331'!$J$9,OR($O177=$Y$7,$P177=$Y$7)),"x","")</f>
        <v/>
      </c>
      <c r="Z177" s="80" t="str">
        <f>IF(AND($O177=$Y$7,$B177&lt;'1331'!$I$9),"x","")</f>
        <v/>
      </c>
      <c r="AA177" s="80" t="str">
        <f>IF(AND($P177=$Y$7,$B177&lt;'1331'!$I$9),"x","")</f>
        <v/>
      </c>
      <c r="AB177" s="80" t="str">
        <f>IF(AND($B177&gt;='1332'!$I$9,$B177&lt;='1332'!$I$9,OR($O177=$AB$7,$P177=$AB$7)),"x","")</f>
        <v/>
      </c>
      <c r="AC177" s="80" t="str">
        <f>IF(AND($O177=$AB$7,$B177&lt;'1332'!$I$9),"x","")</f>
        <v/>
      </c>
      <c r="AD177" s="80" t="str">
        <f>IF(AND($P177=$AB$7,$B177&lt;'1332'!$I$9),"x","")</f>
        <v/>
      </c>
      <c r="AE177" s="80" t="str">
        <f>IF(AND('341-CT'!$H$9=H177,OR(LEFT(O177,3)=$AE$7,LEFT(P177,3)=$AE$7)),"x","")</f>
        <v/>
      </c>
      <c r="AF177" s="80" t="str">
        <f>IF(OR(TH!O177=TH!$AF$7,P177=TH!$AF$7),"x","")</f>
        <v/>
      </c>
      <c r="AG177" s="80"/>
      <c r="AH177" s="80" t="str">
        <f>IF(AND(B177&gt;='IN-NX'!$P$3,B177&lt;='IN-NX'!$Q$3,'IN-NX'!$D$7=D177,OR(LEFT(L177,2)="15",AND(LEFT(M177,2)&lt;&gt;"15",LEFT(M177,2)&lt;&gt;"33"))),"x","")</f>
        <v/>
      </c>
      <c r="AI177" s="80" t="str">
        <f>IF(AND(OR(LEFT(TH!O177,2)="15",LEFT(TH!P177,2)="15"),'152-CT'!$J$8=TH!F177),"x","")</f>
        <v/>
      </c>
      <c r="AJ177" s="80" t="str">
        <f>IF(AND(OR(LEFT(TH!O177,2)="15",LEFT(TH!P177,2)="15"),'THE KHO'!$E$7=TH!F177),"x","")</f>
        <v/>
      </c>
      <c r="AK177" s="80" t="str">
        <f>IF(AND(O177="1521",MONTH(C177)='BK NL'!$M$11),"x","")</f>
        <v/>
      </c>
    </row>
    <row r="178" spans="1:39" s="1007" customFormat="1" ht="15.75" customHeight="1">
      <c r="A178" s="362" t="str">
        <f>IF(B178&lt;&gt;"",IF(AND(B178&gt;=_TM1,B178&lt;=_TM2,OR(TH!O178="1111",TH!P178="1111")),TH!D178,""),"")</f>
        <v/>
      </c>
      <c r="B178" s="63">
        <f t="shared" si="8"/>
        <v>3</v>
      </c>
      <c r="C178" s="337">
        <v>42441</v>
      </c>
      <c r="D178" s="337" t="s">
        <v>784</v>
      </c>
      <c r="E178" s="337">
        <v>42441</v>
      </c>
      <c r="F178" s="338" t="s">
        <v>759</v>
      </c>
      <c r="G178" s="351" t="s">
        <v>757</v>
      </c>
      <c r="H178" s="338" t="s">
        <v>758</v>
      </c>
      <c r="I178" s="477"/>
      <c r="J178" s="477"/>
      <c r="K178" s="470"/>
      <c r="L178" s="477"/>
      <c r="M178" s="88">
        <v>3300000</v>
      </c>
      <c r="N178" s="88"/>
      <c r="O178" s="340" t="s">
        <v>10</v>
      </c>
      <c r="P178" s="340" t="s">
        <v>9</v>
      </c>
      <c r="Q178" s="66" t="str">
        <f>IF(AND('331-CT'!$E$7=TH!H178,OR(O178="331",P178="331")),"x","")</f>
        <v/>
      </c>
      <c r="R178" s="66" t="str">
        <f>IF(AND($B178&gt;='111'!$N$11,$B178&lt;='111'!$O$11,OR($O178=$R$7,$P178=$R$7)),"x","")</f>
        <v/>
      </c>
      <c r="S178" s="66" t="str">
        <f>IF(AND($O178=$R$7,$B178&lt;'111'!$N$11),"x","")</f>
        <v/>
      </c>
      <c r="T178" s="66" t="str">
        <f>IF(AND($P178=$R$7,$B178&lt;'111'!$N$11),"x","")</f>
        <v/>
      </c>
      <c r="U178" s="66" t="str">
        <f>IF(AND($B178&gt;='112'!$M$9,$B178&lt;='112'!$N$9,OR($O178='112'!$I$6,$P178='112'!$I$6)),"x","")</f>
        <v/>
      </c>
      <c r="V178" s="66" t="str">
        <f>IF(AND($O178='112'!$I$6,$B178&lt;'112'!$M$9),"x","")</f>
        <v/>
      </c>
      <c r="W178" s="66" t="str">
        <f>IF(AND($P178='112'!$I$6,$B178&lt;'112'!$M$9),"x","")</f>
        <v/>
      </c>
      <c r="X178" s="66" t="str">
        <f>IF(AND('131-CT'!$H$9=TH!H178,OR(O178="131",P178="131")),"x","")</f>
        <v/>
      </c>
      <c r="Y178" s="80" t="str">
        <f>IF(AND($B178&gt;='1331'!$I$9,$B178&lt;='1331'!$J$9,OR($O178=$Y$7,$P178=$Y$7)),"x","")</f>
        <v/>
      </c>
      <c r="Z178" s="80" t="str">
        <f>IF(AND($O178=$Y$7,$B178&lt;'1331'!$I$9),"x","")</f>
        <v>x</v>
      </c>
      <c r="AA178" s="80" t="str">
        <f>IF(AND($P178=$Y$7,$B178&lt;'1331'!$I$9),"x","")</f>
        <v/>
      </c>
      <c r="AB178" s="80" t="str">
        <f>IF(AND($B178&gt;='1332'!$I$9,$B178&lt;='1332'!$I$9,OR($O178=$AB$7,$P178=$AB$7)),"x","")</f>
        <v/>
      </c>
      <c r="AC178" s="80" t="str">
        <f>IF(AND($O178=$AB$7,$B178&lt;'1332'!$I$9),"x","")</f>
        <v/>
      </c>
      <c r="AD178" s="80" t="str">
        <f>IF(AND($P178=$AB$7,$B178&lt;'1332'!$I$9),"x","")</f>
        <v/>
      </c>
      <c r="AE178" s="80" t="str">
        <f>IF(AND('341-CT'!$H$9=H178,OR(LEFT(O178,3)=$AE$7,LEFT(P178,3)=$AE$7)),"x","")</f>
        <v/>
      </c>
      <c r="AF178" s="80" t="str">
        <f>IF(OR(TH!O178=TH!$AF$7,P178=TH!$AF$7),"x","")</f>
        <v/>
      </c>
      <c r="AG178" s="80"/>
      <c r="AH178" s="80" t="str">
        <f>IF(AND(B178&gt;='IN-NX'!$P$3,B178&lt;='IN-NX'!$Q$3,'IN-NX'!$D$7=D178,OR(LEFT(L178,2)="15",AND(LEFT(M178,2)&lt;&gt;"15",LEFT(M178,2)&lt;&gt;"33"))),"x","")</f>
        <v/>
      </c>
      <c r="AI178" s="80" t="str">
        <f>IF(AND(OR(LEFT(TH!O178,2)="15",LEFT(TH!P178,2)="15"),'152-CT'!$J$8=TH!F178),"x","")</f>
        <v/>
      </c>
      <c r="AJ178" s="80" t="str">
        <f>IF(AND(OR(LEFT(TH!O178,2)="15",LEFT(TH!P178,2)="15"),'THE KHO'!$E$7=TH!F178),"x","")</f>
        <v/>
      </c>
      <c r="AK178" s="80" t="str">
        <f>IF(AND(O178="1521",MONTH(C178)='BK NL'!$M$11),"x","")</f>
        <v/>
      </c>
    </row>
    <row r="179" spans="1:39" s="1007" customFormat="1" ht="15.75" customHeight="1">
      <c r="A179" s="362" t="str">
        <f>IF(B179&lt;&gt;"",IF(AND(B179&gt;=_TM1,B179&lt;=_TM2,OR(TH!O179="1111",TH!P179="1111")),TH!D179,""),"")</f>
        <v/>
      </c>
      <c r="B179" s="63">
        <f t="shared" si="8"/>
        <v>3</v>
      </c>
      <c r="C179" s="337">
        <v>42444</v>
      </c>
      <c r="D179" s="337" t="s">
        <v>762</v>
      </c>
      <c r="E179" s="337">
        <v>42444</v>
      </c>
      <c r="F179" s="338" t="s">
        <v>434</v>
      </c>
      <c r="G179" s="351" t="s">
        <v>763</v>
      </c>
      <c r="H179" s="339" t="s">
        <v>161</v>
      </c>
      <c r="I179" s="477"/>
      <c r="J179" s="477"/>
      <c r="K179" s="470"/>
      <c r="L179" s="477"/>
      <c r="M179" s="65">
        <v>429415</v>
      </c>
      <c r="N179" s="65"/>
      <c r="O179" s="340" t="s">
        <v>135</v>
      </c>
      <c r="P179" s="340" t="s">
        <v>97</v>
      </c>
      <c r="Q179" s="66" t="str">
        <f>IF(AND('331-CT'!$E$7=TH!H179,OR(O179="331",P179="331")),"x","")</f>
        <v/>
      </c>
      <c r="R179" s="66" t="str">
        <f>IF(AND($B179&gt;='111'!$N$11,$B179&lt;='111'!$O$11,OR($O179=$R$7,$P179=$R$7)),"x","")</f>
        <v/>
      </c>
      <c r="S179" s="66" t="str">
        <f>IF(AND($O179=$R$7,$B179&lt;'111'!$N$11),"x","")</f>
        <v/>
      </c>
      <c r="T179" s="66" t="str">
        <f>IF(AND($P179=$R$7,$B179&lt;'111'!$N$11),"x","")</f>
        <v>x</v>
      </c>
      <c r="U179" s="66" t="str">
        <f>IF(AND($B179&gt;='112'!$M$9,$B179&lt;='112'!$N$9,OR($O179='112'!$I$6,$P179='112'!$I$6)),"x","")</f>
        <v/>
      </c>
      <c r="V179" s="66" t="str">
        <f>IF(AND($O179='112'!$I$6,$B179&lt;'112'!$M$9),"x","")</f>
        <v/>
      </c>
      <c r="W179" s="66" t="str">
        <f>IF(AND($P179='112'!$I$6,$B179&lt;'112'!$M$9),"x","")</f>
        <v/>
      </c>
      <c r="X179" s="66" t="str">
        <f>IF(AND('131-CT'!$H$9=TH!H179,OR(O179="131",P179="131")),"x","")</f>
        <v/>
      </c>
      <c r="Y179" s="80" t="str">
        <f>IF(AND($B179&gt;='1331'!$I$9,$B179&lt;='1331'!$J$9,OR($O179=$Y$7,$P179=$Y$7)),"x","")</f>
        <v/>
      </c>
      <c r="Z179" s="80" t="str">
        <f>IF(AND($O179=$Y$7,$B179&lt;'1331'!$I$9),"x","")</f>
        <v/>
      </c>
      <c r="AA179" s="80" t="str">
        <f>IF(AND($P179=$Y$7,$B179&lt;'1331'!$I$9),"x","")</f>
        <v/>
      </c>
      <c r="AB179" s="80" t="str">
        <f>IF(AND($B179&gt;='1332'!$I$9,$B179&lt;='1332'!$I$9,OR($O179=$AB$7,$P179=$AB$7)),"x","")</f>
        <v/>
      </c>
      <c r="AC179" s="80" t="str">
        <f>IF(AND($O179=$AB$7,$B179&lt;'1332'!$I$9),"x","")</f>
        <v/>
      </c>
      <c r="AD179" s="80" t="str">
        <f>IF(AND($P179=$AB$7,$B179&lt;'1332'!$I$9),"x","")</f>
        <v/>
      </c>
      <c r="AE179" s="80" t="str">
        <f>IF(AND('341-CT'!$H$9=H179,OR(LEFT(O179,3)=$AE$7,LEFT(P179,3)=$AE$7)),"x","")</f>
        <v/>
      </c>
      <c r="AF179" s="80" t="str">
        <f>IF(OR(TH!O179=TH!$AF$7,P179=TH!$AF$7),"x","")</f>
        <v/>
      </c>
      <c r="AG179" s="80"/>
      <c r="AH179" s="80" t="str">
        <f>IF(AND(B179&gt;='IN-NX'!$P$3,B179&lt;='IN-NX'!$Q$3,'IN-NX'!$D$7=D179,OR(LEFT(L179,2)="15",AND(LEFT(M179,2)&lt;&gt;"15",LEFT(M179,2)&lt;&gt;"33"))),"x","")</f>
        <v/>
      </c>
      <c r="AI179" s="80" t="str">
        <f>IF(AND(OR(LEFT(TH!O179,2)="15",LEFT(TH!P179,2)="15"),'152-CT'!$J$8=TH!F179),"x","")</f>
        <v/>
      </c>
      <c r="AJ179" s="80" t="str">
        <f>IF(AND(OR(LEFT(TH!O179,2)="15",LEFT(TH!P179,2)="15"),'THE KHO'!$E$7=TH!F179),"x","")</f>
        <v/>
      </c>
      <c r="AK179" s="80" t="str">
        <f>IF(AND(O179="1521",MONTH(C179)='BK NL'!$M$11),"x","")</f>
        <v/>
      </c>
    </row>
    <row r="180" spans="1:39" s="1007" customFormat="1" ht="15.75" customHeight="1">
      <c r="A180" s="362" t="str">
        <f>IF(B180&lt;&gt;"",IF(AND(B180&gt;=_TM1,B180&lt;=_TM2,OR(TH!O180="1111",TH!P180="1111")),TH!D180,""),"")</f>
        <v/>
      </c>
      <c r="B180" s="63">
        <f t="shared" si="8"/>
        <v>3</v>
      </c>
      <c r="C180" s="337">
        <v>42444</v>
      </c>
      <c r="D180" s="337" t="s">
        <v>762</v>
      </c>
      <c r="E180" s="337">
        <v>42444</v>
      </c>
      <c r="F180" s="338" t="s">
        <v>436</v>
      </c>
      <c r="G180" s="351" t="s">
        <v>763</v>
      </c>
      <c r="H180" s="339" t="s">
        <v>161</v>
      </c>
      <c r="I180" s="476"/>
      <c r="J180" s="476"/>
      <c r="K180" s="469"/>
      <c r="L180" s="476"/>
      <c r="M180" s="88">
        <v>42942</v>
      </c>
      <c r="N180" s="88"/>
      <c r="O180" s="340" t="s">
        <v>10</v>
      </c>
      <c r="P180" s="340" t="s">
        <v>97</v>
      </c>
      <c r="Q180" s="66" t="str">
        <f>IF(AND('331-CT'!$E$7=TH!H180,OR(O180="331",P180="331")),"x","")</f>
        <v/>
      </c>
      <c r="R180" s="66" t="str">
        <f>IF(AND($B180&gt;='111'!$N$11,$B180&lt;='111'!$O$11,OR($O180=$R$7,$P180=$R$7)),"x","")</f>
        <v/>
      </c>
      <c r="S180" s="66" t="str">
        <f>IF(AND($O180=$R$7,$B180&lt;'111'!$N$11),"x","")</f>
        <v/>
      </c>
      <c r="T180" s="66" t="str">
        <f>IF(AND($P180=$R$7,$B180&lt;'111'!$N$11),"x","")</f>
        <v>x</v>
      </c>
      <c r="U180" s="66" t="str">
        <f>IF(AND($B180&gt;='112'!$M$9,$B180&lt;='112'!$N$9,OR($O180='112'!$I$6,$P180='112'!$I$6)),"x","")</f>
        <v/>
      </c>
      <c r="V180" s="66" t="str">
        <f>IF(AND($O180='112'!$I$6,$B180&lt;'112'!$M$9),"x","")</f>
        <v/>
      </c>
      <c r="W180" s="66" t="str">
        <f>IF(AND($P180='112'!$I$6,$B180&lt;'112'!$M$9),"x","")</f>
        <v/>
      </c>
      <c r="X180" s="66" t="str">
        <f>IF(AND('131-CT'!$H$9=TH!H180,OR(O180="131",P180="131")),"x","")</f>
        <v/>
      </c>
      <c r="Y180" s="80" t="str">
        <f>IF(AND($B180&gt;='1331'!$I$9,$B180&lt;='1331'!$J$9,OR($O180=$Y$7,$P180=$Y$7)),"x","")</f>
        <v/>
      </c>
      <c r="Z180" s="80" t="str">
        <f>IF(AND($O180=$Y$7,$B180&lt;'1331'!$I$9),"x","")</f>
        <v>x</v>
      </c>
      <c r="AA180" s="80" t="str">
        <f>IF(AND($P180=$Y$7,$B180&lt;'1331'!$I$9),"x","")</f>
        <v/>
      </c>
      <c r="AB180" s="80" t="str">
        <f>IF(AND($B180&gt;='1332'!$I$9,$B180&lt;='1332'!$I$9,OR($O180=$AB$7,$P180=$AB$7)),"x","")</f>
        <v/>
      </c>
      <c r="AC180" s="80" t="str">
        <f>IF(AND($O180=$AB$7,$B180&lt;'1332'!$I$9),"x","")</f>
        <v/>
      </c>
      <c r="AD180" s="80" t="str">
        <f>IF(AND($P180=$AB$7,$B180&lt;'1332'!$I$9),"x","")</f>
        <v/>
      </c>
      <c r="AE180" s="80" t="str">
        <f>IF(AND('341-CT'!$H$9=H180,OR(LEFT(O180,3)=$AE$7,LEFT(P180,3)=$AE$7)),"x","")</f>
        <v/>
      </c>
      <c r="AF180" s="80" t="str">
        <f>IF(OR(TH!O180=TH!$AF$7,P180=TH!$AF$7),"x","")</f>
        <v/>
      </c>
      <c r="AG180" s="80"/>
      <c r="AH180" s="80" t="str">
        <f>IF(AND(B180&gt;='IN-NX'!$P$3,B180&lt;='IN-NX'!$Q$3,'IN-NX'!$D$7=D180,OR(LEFT(L180,2)="15",AND(LEFT(M180,2)&lt;&gt;"15",LEFT(M180,2)&lt;&gt;"33"))),"x","")</f>
        <v/>
      </c>
      <c r="AI180" s="80" t="str">
        <f>IF(AND(OR(LEFT(TH!O180,2)="15",LEFT(TH!P180,2)="15"),'152-CT'!$J$8=TH!F180),"x","")</f>
        <v/>
      </c>
      <c r="AJ180" s="80" t="str">
        <f>IF(AND(OR(LEFT(TH!O180,2)="15",LEFT(TH!P180,2)="15"),'THE KHO'!$E$7=TH!F180),"x","")</f>
        <v/>
      </c>
      <c r="AK180" s="80" t="str">
        <f>IF(AND(O180="1521",MONTH(C180)='BK NL'!$M$11),"x","")</f>
        <v/>
      </c>
    </row>
    <row r="181" spans="1:39" s="1007" customFormat="1" ht="15.75" customHeight="1">
      <c r="A181" s="362" t="str">
        <f>IF(B181&lt;&gt;"",IF(AND(B181&gt;=_TM1,B181&lt;=_TM2,OR(TH!O181="1111",TH!P181="1111")),TH!D181,""),"")</f>
        <v/>
      </c>
      <c r="B181" s="63">
        <f t="shared" si="8"/>
        <v>3</v>
      </c>
      <c r="C181" s="337">
        <v>42444</v>
      </c>
      <c r="D181" s="337" t="s">
        <v>764</v>
      </c>
      <c r="E181" s="337">
        <v>42444</v>
      </c>
      <c r="F181" s="338" t="s">
        <v>765</v>
      </c>
      <c r="G181" s="351" t="s">
        <v>766</v>
      </c>
      <c r="H181" s="338" t="s">
        <v>322</v>
      </c>
      <c r="I181" s="476"/>
      <c r="J181" s="476"/>
      <c r="K181" s="469"/>
      <c r="L181" s="476"/>
      <c r="M181" s="65">
        <v>348000</v>
      </c>
      <c r="N181" s="65"/>
      <c r="O181" s="340" t="s">
        <v>242</v>
      </c>
      <c r="P181" s="340" t="s">
        <v>97</v>
      </c>
      <c r="Q181" s="66" t="str">
        <f>IF(AND('331-CT'!$E$7=TH!H181,OR(O181="331",P181="331")),"x","")</f>
        <v/>
      </c>
      <c r="R181" s="66" t="str">
        <f>IF(AND($B181&gt;='111'!$N$11,$B181&lt;='111'!$O$11,OR($O181=$R$7,$P181=$R$7)),"x","")</f>
        <v/>
      </c>
      <c r="S181" s="66" t="str">
        <f>IF(AND($O181=$R$7,$B181&lt;'111'!$N$11),"x","")</f>
        <v/>
      </c>
      <c r="T181" s="66" t="str">
        <f>IF(AND($P181=$R$7,$B181&lt;'111'!$N$11),"x","")</f>
        <v>x</v>
      </c>
      <c r="U181" s="66" t="str">
        <f>IF(AND($B181&gt;='112'!$M$9,$B181&lt;='112'!$N$9,OR($O181='112'!$I$6,$P181='112'!$I$6)),"x","")</f>
        <v/>
      </c>
      <c r="V181" s="66" t="str">
        <f>IF(AND($O181='112'!$I$6,$B181&lt;'112'!$M$9),"x","")</f>
        <v/>
      </c>
      <c r="W181" s="66" t="str">
        <f>IF(AND($P181='112'!$I$6,$B181&lt;'112'!$M$9),"x","")</f>
        <v/>
      </c>
      <c r="X181" s="66" t="str">
        <f>IF(AND('131-CT'!$H$9=TH!H181,OR(O181="131",P181="131")),"x","")</f>
        <v/>
      </c>
      <c r="Y181" s="80" t="str">
        <f>IF(AND($B181&gt;='1331'!$I$9,$B181&lt;='1331'!$J$9,OR($O181=$Y$7,$P181=$Y$7)),"x","")</f>
        <v/>
      </c>
      <c r="Z181" s="80" t="str">
        <f>IF(AND($O181=$Y$7,$B181&lt;'1331'!$I$9),"x","")</f>
        <v/>
      </c>
      <c r="AA181" s="80" t="str">
        <f>IF(AND($P181=$Y$7,$B181&lt;'1331'!$I$9),"x","")</f>
        <v/>
      </c>
      <c r="AB181" s="80" t="str">
        <f>IF(AND($B181&gt;='1332'!$I$9,$B181&lt;='1332'!$I$9,OR($O181=$AB$7,$P181=$AB$7)),"x","")</f>
        <v/>
      </c>
      <c r="AC181" s="80" t="str">
        <f>IF(AND($O181=$AB$7,$B181&lt;'1332'!$I$9),"x","")</f>
        <v/>
      </c>
      <c r="AD181" s="80" t="str">
        <f>IF(AND($P181=$AB$7,$B181&lt;'1332'!$I$9),"x","")</f>
        <v/>
      </c>
      <c r="AE181" s="80" t="str">
        <f>IF(AND('341-CT'!$H$9=H181,OR(LEFT(O181,3)=$AE$7,LEFT(P181,3)=$AE$7)),"x","")</f>
        <v/>
      </c>
      <c r="AF181" s="80" t="str">
        <f>IF(OR(TH!O181=TH!$AF$7,P181=TH!$AF$7),"x","")</f>
        <v/>
      </c>
      <c r="AG181" s="80"/>
      <c r="AH181" s="80" t="str">
        <f>IF(AND(B181&gt;='IN-NX'!$P$3,B181&lt;='IN-NX'!$Q$3,'IN-NX'!$D$7=D181,OR(LEFT(L181,2)="15",AND(LEFT(M181,2)&lt;&gt;"15",LEFT(M181,2)&lt;&gt;"33"))),"x","")</f>
        <v/>
      </c>
      <c r="AI181" s="80" t="str">
        <f>IF(AND(OR(LEFT(TH!O181,2)="15",LEFT(TH!P181,2)="15"),'152-CT'!$J$8=TH!F181),"x","")</f>
        <v/>
      </c>
      <c r="AJ181" s="80" t="str">
        <f>IF(AND(OR(LEFT(TH!O181,2)="15",LEFT(TH!P181,2)="15"),'THE KHO'!$E$7=TH!F181),"x","")</f>
        <v/>
      </c>
      <c r="AK181" s="80" t="str">
        <f>IF(AND(O181="1521",MONTH(C181)='BK NL'!$M$11),"x","")</f>
        <v/>
      </c>
    </row>
    <row r="182" spans="1:39" s="1007" customFormat="1" ht="15.75" customHeight="1">
      <c r="A182" s="362" t="str">
        <f>IF(B182&lt;&gt;"",IF(AND(B182&gt;=_TM1,B182&lt;=_TM2,OR(TH!O182="1111",TH!P182="1111")),TH!D182,""),"")</f>
        <v/>
      </c>
      <c r="B182" s="63">
        <f t="shared" si="8"/>
        <v>3</v>
      </c>
      <c r="C182" s="337">
        <v>42444</v>
      </c>
      <c r="D182" s="362" t="s">
        <v>796</v>
      </c>
      <c r="E182" s="337">
        <f t="shared" ref="E182:E231" si="9">C182</f>
        <v>42444</v>
      </c>
      <c r="F182" s="338" t="s">
        <v>410</v>
      </c>
      <c r="G182" s="1022" t="s">
        <v>798</v>
      </c>
      <c r="H182" s="368" t="s">
        <v>160</v>
      </c>
      <c r="I182" s="477"/>
      <c r="J182" s="477"/>
      <c r="K182" s="470"/>
      <c r="L182" s="477"/>
      <c r="M182" s="65">
        <v>380000000</v>
      </c>
      <c r="N182" s="65"/>
      <c r="O182" s="340" t="s">
        <v>31</v>
      </c>
      <c r="P182" s="340" t="s">
        <v>97</v>
      </c>
      <c r="Q182" s="66" t="str">
        <f>IF(AND('331-CT'!$E$7=TH!H182,OR(O182="331",P182="331")),"x","")</f>
        <v/>
      </c>
      <c r="R182" s="66" t="str">
        <f>IF(AND($B182&gt;='111'!$N$11,$B182&lt;='111'!$O$11,OR($O182=$R$7,$P182=$R$7)),"x","")</f>
        <v/>
      </c>
      <c r="S182" s="66" t="str">
        <f>IF(AND($O182=$R$7,$B182&lt;'111'!$N$11),"x","")</f>
        <v/>
      </c>
      <c r="T182" s="66" t="str">
        <f>IF(AND($P182=$R$7,$B182&lt;'111'!$N$11),"x","")</f>
        <v>x</v>
      </c>
      <c r="U182" s="66" t="str">
        <f>IF(AND($B182&gt;='112'!$M$9,$B182&lt;='112'!$N$9,OR($O182='112'!$I$6,$P182='112'!$I$6)),"x","")</f>
        <v/>
      </c>
      <c r="V182" s="66" t="str">
        <f>IF(AND($O182='112'!$I$6,$B182&lt;'112'!$M$9),"x","")</f>
        <v>x</v>
      </c>
      <c r="W182" s="66" t="str">
        <f>IF(AND($P182='112'!$I$6,$B182&lt;'112'!$M$9),"x","")</f>
        <v/>
      </c>
      <c r="X182" s="66" t="str">
        <f>IF(AND('131-CT'!$H$9=TH!H182,OR(O182="131",P182="131")),"x","")</f>
        <v/>
      </c>
      <c r="Y182" s="80" t="str">
        <f>IF(AND($B182&gt;='1331'!$I$9,$B182&lt;='1331'!$J$9,OR($O182=$Y$7,$P182=$Y$7)),"x","")</f>
        <v/>
      </c>
      <c r="Z182" s="80" t="str">
        <f>IF(AND($O182=$Y$7,$B182&lt;'1331'!$I$9),"x","")</f>
        <v/>
      </c>
      <c r="AA182" s="80" t="str">
        <f>IF(AND($P182=$Y$7,$B182&lt;'1331'!$I$9),"x","")</f>
        <v/>
      </c>
      <c r="AB182" s="80" t="str">
        <f>IF(AND($B182&gt;='1332'!$I$9,$B182&lt;='1332'!$I$9,OR($O182=$AB$7,$P182=$AB$7)),"x","")</f>
        <v/>
      </c>
      <c r="AC182" s="80" t="str">
        <f>IF(AND($O182=$AB$7,$B182&lt;'1332'!$I$9),"x","")</f>
        <v/>
      </c>
      <c r="AD182" s="80" t="str">
        <f>IF(AND($P182=$AB$7,$B182&lt;'1332'!$I$9),"x","")</f>
        <v/>
      </c>
      <c r="AE182" s="80" t="str">
        <f>IF(AND('341-CT'!$H$9=H182,OR(LEFT(O182,3)=$AE$7,LEFT(P182,3)=$AE$7)),"x","")</f>
        <v/>
      </c>
      <c r="AF182" s="80" t="str">
        <f>IF(OR(TH!O182=TH!$AF$7,P182=TH!$AF$7),"x","")</f>
        <v/>
      </c>
      <c r="AG182" s="80"/>
      <c r="AH182" s="80" t="str">
        <f>IF(AND(B182&gt;='IN-NX'!$P$3,B182&lt;='IN-NX'!$Q$3,'IN-NX'!$D$7=D182,OR(LEFT(L182,2)="15",AND(LEFT(M182,2)&lt;&gt;"15",LEFT(M182,2)&lt;&gt;"33"))),"x","")</f>
        <v/>
      </c>
      <c r="AI182" s="80" t="str">
        <f>IF(AND(OR(LEFT(TH!O182,2)="15",LEFT(TH!P182,2)="15"),'152-CT'!$J$8=TH!F182),"x","")</f>
        <v/>
      </c>
      <c r="AJ182" s="80" t="str">
        <f>IF(AND(OR(LEFT(TH!O182,2)="15",LEFT(TH!P182,2)="15"),'THE KHO'!$E$7=TH!F182),"x","")</f>
        <v/>
      </c>
      <c r="AK182" s="80" t="str">
        <f>IF(AND(O182="1521",MONTH(C182)='BK NL'!$M$11),"x","")</f>
        <v/>
      </c>
      <c r="AM182" s="1007">
        <v>1</v>
      </c>
    </row>
    <row r="183" spans="1:39" s="1007" customFormat="1" ht="15.75" customHeight="1">
      <c r="A183" s="362" t="str">
        <f>IF(B183&lt;&gt;"",IF(AND(B183&gt;=_TM1,B183&lt;=_TM2,OR(TH!O183="1111",TH!P183="1111")),TH!D183,""),"")</f>
        <v/>
      </c>
      <c r="B183" s="63">
        <f t="shared" si="8"/>
        <v>3</v>
      </c>
      <c r="C183" s="337">
        <v>42444</v>
      </c>
      <c r="D183" s="337" t="s">
        <v>8</v>
      </c>
      <c r="E183" s="337">
        <f t="shared" si="9"/>
        <v>42444</v>
      </c>
      <c r="F183" s="338" t="s">
        <v>405</v>
      </c>
      <c r="G183" s="1022" t="s">
        <v>798</v>
      </c>
      <c r="H183" s="339" t="s">
        <v>325</v>
      </c>
      <c r="I183" s="476"/>
      <c r="J183" s="476"/>
      <c r="K183" s="469"/>
      <c r="L183" s="476"/>
      <c r="M183" s="65">
        <v>6331895</v>
      </c>
      <c r="N183" s="65"/>
      <c r="O183" s="340" t="s">
        <v>133</v>
      </c>
      <c r="P183" s="340" t="s">
        <v>31</v>
      </c>
      <c r="Q183" s="66" t="str">
        <f>IF(AND('331-CT'!$E$7=TH!H183,OR(O183="331",P183="331")),"x","")</f>
        <v/>
      </c>
      <c r="R183" s="66" t="str">
        <f>IF(AND($B183&gt;='111'!$N$11,$B183&lt;='111'!$O$11,OR($O183=$R$7,$P183=$R$7)),"x","")</f>
        <v/>
      </c>
      <c r="S183" s="66" t="str">
        <f>IF(AND($O183=$R$7,$B183&lt;'111'!$N$11),"x","")</f>
        <v/>
      </c>
      <c r="T183" s="66" t="str">
        <f>IF(AND($P183=$R$7,$B183&lt;'111'!$N$11),"x","")</f>
        <v/>
      </c>
      <c r="U183" s="66" t="str">
        <f>IF(AND($B183&gt;='112'!$M$9,$B183&lt;='112'!$N$9,OR($O183='112'!$I$6,$P183='112'!$I$6)),"x","")</f>
        <v/>
      </c>
      <c r="V183" s="66" t="str">
        <f>IF(AND($O183='112'!$I$6,$B183&lt;'112'!$M$9),"x","")</f>
        <v/>
      </c>
      <c r="W183" s="66" t="str">
        <f>IF(AND($P183='112'!$I$6,$B183&lt;'112'!$M$9),"x","")</f>
        <v>x</v>
      </c>
      <c r="X183" s="66" t="str">
        <f>IF(AND('131-CT'!$H$9=TH!H183,OR(O183="131",P183="131")),"x","")</f>
        <v/>
      </c>
      <c r="Y183" s="80" t="str">
        <f>IF(AND($B183&gt;='1331'!$I$9,$B183&lt;='1331'!$J$9,OR($O183=$Y$7,$P183=$Y$7)),"x","")</f>
        <v/>
      </c>
      <c r="Z183" s="80" t="str">
        <f>IF(AND($O183=$Y$7,$B183&lt;'1331'!$I$9),"x","")</f>
        <v/>
      </c>
      <c r="AA183" s="80" t="str">
        <f>IF(AND($P183=$Y$7,$B183&lt;'1331'!$I$9),"x","")</f>
        <v/>
      </c>
      <c r="AB183" s="80" t="str">
        <f>IF(AND($B183&gt;='1332'!$I$9,$B183&lt;='1332'!$I$9,OR($O183=$AB$7,$P183=$AB$7)),"x","")</f>
        <v/>
      </c>
      <c r="AC183" s="80" t="str">
        <f>IF(AND($O183=$AB$7,$B183&lt;'1332'!$I$9),"x","")</f>
        <v/>
      </c>
      <c r="AD183" s="80" t="str">
        <f>IF(AND($P183=$AB$7,$B183&lt;'1332'!$I$9),"x","")</f>
        <v/>
      </c>
      <c r="AE183" s="80" t="str">
        <f>IF(AND('341-CT'!$H$9=H183,OR(LEFT(O183,3)=$AE$7,LEFT(P183,3)=$AE$7)),"x","")</f>
        <v/>
      </c>
      <c r="AF183" s="80" t="str">
        <f>IF(OR(TH!O183=TH!$AF$7,P183=TH!$AF$7),"x","")</f>
        <v/>
      </c>
      <c r="AG183" s="80"/>
      <c r="AH183" s="80" t="str">
        <f>IF(AND(B183&gt;='IN-NX'!$P$3,B183&lt;='IN-NX'!$Q$3,'IN-NX'!$D$7=D183,OR(LEFT(L183,2)="15",AND(LEFT(M183,2)&lt;&gt;"15",LEFT(M183,2)&lt;&gt;"33"))),"x","")</f>
        <v/>
      </c>
      <c r="AI183" s="80" t="str">
        <f>IF(AND(OR(LEFT(TH!O183,2)="15",LEFT(TH!P183,2)="15"),'152-CT'!$J$8=TH!F183),"x","")</f>
        <v/>
      </c>
      <c r="AJ183" s="80" t="str">
        <f>IF(AND(OR(LEFT(TH!O183,2)="15",LEFT(TH!P183,2)="15"),'THE KHO'!$E$7=TH!F183),"x","")</f>
        <v/>
      </c>
      <c r="AK183" s="80" t="str">
        <f>IF(AND(O183="1521",MONTH(C183)='BK NL'!$M$11),"x","")</f>
        <v/>
      </c>
      <c r="AM183" s="1007">
        <v>1</v>
      </c>
    </row>
    <row r="184" spans="1:39" s="1007" customFormat="1" ht="15.75" customHeight="1">
      <c r="A184" s="362" t="str">
        <f>IF(B184&lt;&gt;"",IF(AND(B184&gt;=_TM1,B184&lt;=_TM2,OR(TH!O184="1111",TH!P184="1111")),TH!D184,""),"")</f>
        <v/>
      </c>
      <c r="B184" s="63">
        <f t="shared" si="8"/>
        <v>3</v>
      </c>
      <c r="C184" s="337">
        <v>42444</v>
      </c>
      <c r="D184" s="362" t="s">
        <v>795</v>
      </c>
      <c r="E184" s="337">
        <f t="shared" si="9"/>
        <v>42444</v>
      </c>
      <c r="F184" s="338" t="s">
        <v>788</v>
      </c>
      <c r="G184" s="1022"/>
      <c r="H184" s="338" t="s">
        <v>182</v>
      </c>
      <c r="I184" s="476"/>
      <c r="J184" s="476"/>
      <c r="K184" s="469"/>
      <c r="L184" s="476"/>
      <c r="M184" s="65">
        <v>1000000000</v>
      </c>
      <c r="N184" s="65"/>
      <c r="O184" s="340" t="s">
        <v>97</v>
      </c>
      <c r="P184" s="340" t="s">
        <v>24</v>
      </c>
      <c r="Q184" s="66" t="str">
        <f>IF(AND('331-CT'!$E$7=TH!H184,OR(O184="331",P184="331")),"x","")</f>
        <v/>
      </c>
      <c r="R184" s="66" t="str">
        <f>IF(AND($B184&gt;='111'!$N$11,$B184&lt;='111'!$O$11,OR($O184=$R$7,$P184=$R$7)),"x","")</f>
        <v/>
      </c>
      <c r="S184" s="66" t="str">
        <f>IF(AND($O184=$R$7,$B184&lt;'111'!$N$11),"x","")</f>
        <v>x</v>
      </c>
      <c r="T184" s="66" t="str">
        <f>IF(AND($P184=$R$7,$B184&lt;'111'!$N$11),"x","")</f>
        <v/>
      </c>
      <c r="U184" s="66" t="str">
        <f>IF(AND($B184&gt;='112'!$M$9,$B184&lt;='112'!$N$9,OR($O184='112'!$I$6,$P184='112'!$I$6)),"x","")</f>
        <v/>
      </c>
      <c r="V184" s="66" t="str">
        <f>IF(AND($O184='112'!$I$6,$B184&lt;'112'!$M$9),"x","")</f>
        <v/>
      </c>
      <c r="W184" s="66" t="str">
        <f>IF(AND($P184='112'!$I$6,$B184&lt;'112'!$M$9),"x","")</f>
        <v/>
      </c>
      <c r="X184" s="66" t="str">
        <f>IF(AND('131-CT'!$H$9=TH!H184,OR(O184="131",P184="131")),"x","")</f>
        <v/>
      </c>
      <c r="Y184" s="80" t="str">
        <f>IF(AND($B184&gt;='1331'!$I$9,$B184&lt;='1331'!$J$9,OR($O184=$Y$7,$P184=$Y$7)),"x","")</f>
        <v/>
      </c>
      <c r="Z184" s="80" t="str">
        <f>IF(AND($O184=$Y$7,$B184&lt;'1331'!$I$9),"x","")</f>
        <v/>
      </c>
      <c r="AA184" s="80" t="str">
        <f>IF(AND($P184=$Y$7,$B184&lt;'1331'!$I$9),"x","")</f>
        <v/>
      </c>
      <c r="AB184" s="80" t="str">
        <f>IF(AND($B184&gt;='1332'!$I$9,$B184&lt;='1332'!$I$9,OR($O184=$AB$7,$P184=$AB$7)),"x","")</f>
        <v/>
      </c>
      <c r="AC184" s="80" t="str">
        <f>IF(AND($O184=$AB$7,$B184&lt;'1332'!$I$9),"x","")</f>
        <v/>
      </c>
      <c r="AD184" s="80" t="str">
        <f>IF(AND($P184=$AB$7,$B184&lt;'1332'!$I$9),"x","")</f>
        <v/>
      </c>
      <c r="AE184" s="80" t="str">
        <f>IF(AND('341-CT'!$H$9=H184,OR(LEFT(O184,3)=$AE$7,LEFT(P184,3)=$AE$7)),"x","")</f>
        <v/>
      </c>
      <c r="AF184" s="80" t="str">
        <f>IF(OR(TH!O184=TH!$AF$7,P184=TH!$AF$7),"x","")</f>
        <v>x</v>
      </c>
      <c r="AG184" s="80"/>
      <c r="AH184" s="80" t="str">
        <f>IF(AND(B184&gt;='IN-NX'!$P$3,B184&lt;='IN-NX'!$Q$3,'IN-NX'!$D$7=D184,OR(LEFT(L184,2)="15",AND(LEFT(M184,2)&lt;&gt;"15",LEFT(M184,2)&lt;&gt;"33"))),"x","")</f>
        <v/>
      </c>
      <c r="AI184" s="80" t="str">
        <f>IF(AND(OR(LEFT(TH!O184,2)="15",LEFT(TH!P184,2)="15"),'152-CT'!$J$8=TH!F184),"x","")</f>
        <v/>
      </c>
      <c r="AJ184" s="80" t="str">
        <f>IF(AND(OR(LEFT(TH!O184,2)="15",LEFT(TH!P184,2)="15"),'THE KHO'!$E$7=TH!F184),"x","")</f>
        <v/>
      </c>
      <c r="AK184" s="80" t="str">
        <f>IF(AND(O184="1521",MONTH(C184)='BK NL'!$M$11),"x","")</f>
        <v/>
      </c>
      <c r="AM184" s="1007">
        <v>1</v>
      </c>
    </row>
    <row r="185" spans="1:39" s="1007" customFormat="1" ht="15.75" customHeight="1">
      <c r="A185" s="362" t="str">
        <f>IF(B185&lt;&gt;"",IF(AND(B185&gt;=_TM1,B185&lt;=_TM2,OR(TH!O185="1111",TH!P185="1111")),TH!D185,""),"")</f>
        <v/>
      </c>
      <c r="B185" s="63">
        <f t="shared" si="8"/>
        <v>3</v>
      </c>
      <c r="C185" s="337">
        <v>42445</v>
      </c>
      <c r="D185" s="337" t="s">
        <v>8</v>
      </c>
      <c r="E185" s="337">
        <f t="shared" si="9"/>
        <v>42445</v>
      </c>
      <c r="F185" s="338" t="s">
        <v>789</v>
      </c>
      <c r="G185" s="1022" t="s">
        <v>798</v>
      </c>
      <c r="H185" s="7" t="s">
        <v>49</v>
      </c>
      <c r="I185" s="476"/>
      <c r="J185" s="476"/>
      <c r="K185" s="469"/>
      <c r="L185" s="476"/>
      <c r="M185" s="65">
        <v>34408000</v>
      </c>
      <c r="N185" s="65"/>
      <c r="O185" s="340" t="s">
        <v>9</v>
      </c>
      <c r="P185" s="340" t="s">
        <v>31</v>
      </c>
      <c r="Q185" s="66" t="str">
        <f>IF(AND('331-CT'!$E$7=TH!H185,OR(O185="331",P185="331")),"x","")</f>
        <v/>
      </c>
      <c r="R185" s="66" t="str">
        <f>IF(AND($B185&gt;='111'!$N$11,$B185&lt;='111'!$O$11,OR($O185=$R$7,$P185=$R$7)),"x","")</f>
        <v/>
      </c>
      <c r="S185" s="66" t="str">
        <f>IF(AND($O185=$R$7,$B185&lt;'111'!$N$11),"x","")</f>
        <v/>
      </c>
      <c r="T185" s="66" t="str">
        <f>IF(AND($P185=$R$7,$B185&lt;'111'!$N$11),"x","")</f>
        <v/>
      </c>
      <c r="U185" s="66" t="str">
        <f>IF(AND($B185&gt;='112'!$M$9,$B185&lt;='112'!$N$9,OR($O185='112'!$I$6,$P185='112'!$I$6)),"x","")</f>
        <v/>
      </c>
      <c r="V185" s="66" t="str">
        <f>IF(AND($O185='112'!$I$6,$B185&lt;'112'!$M$9),"x","")</f>
        <v/>
      </c>
      <c r="W185" s="66" t="str">
        <f>IF(AND($P185='112'!$I$6,$B185&lt;'112'!$M$9),"x","")</f>
        <v>x</v>
      </c>
      <c r="X185" s="66" t="str">
        <f>IF(AND('131-CT'!$H$9=TH!H185,OR(O185="131",P185="131")),"x","")</f>
        <v/>
      </c>
      <c r="Y185" s="80" t="str">
        <f>IF(AND($B185&gt;='1331'!$I$9,$B185&lt;='1331'!$J$9,OR($O185=$Y$7,$P185=$Y$7)),"x","")</f>
        <v/>
      </c>
      <c r="Z185" s="80" t="str">
        <f>IF(AND($O185=$Y$7,$B185&lt;'1331'!$I$9),"x","")</f>
        <v/>
      </c>
      <c r="AA185" s="80" t="str">
        <f>IF(AND($P185=$Y$7,$B185&lt;'1331'!$I$9),"x","")</f>
        <v/>
      </c>
      <c r="AB185" s="80" t="str">
        <f>IF(AND($B185&gt;='1332'!$I$9,$B185&lt;='1332'!$I$9,OR($O185=$AB$7,$P185=$AB$7)),"x","")</f>
        <v/>
      </c>
      <c r="AC185" s="80" t="str">
        <f>IF(AND($O185=$AB$7,$B185&lt;'1332'!$I$9),"x","")</f>
        <v/>
      </c>
      <c r="AD185" s="80" t="str">
        <f>IF(AND($P185=$AB$7,$B185&lt;'1332'!$I$9),"x","")</f>
        <v/>
      </c>
      <c r="AE185" s="80" t="str">
        <f>IF(AND('341-CT'!$H$9=H185,OR(LEFT(O185,3)=$AE$7,LEFT(P185,3)=$AE$7)),"x","")</f>
        <v/>
      </c>
      <c r="AF185" s="80" t="str">
        <f>IF(OR(TH!O185=TH!$AF$7,P185=TH!$AF$7),"x","")</f>
        <v/>
      </c>
      <c r="AG185" s="80"/>
      <c r="AH185" s="80" t="str">
        <f>IF(AND(B185&gt;='IN-NX'!$P$3,B185&lt;='IN-NX'!$Q$3,'IN-NX'!$D$7=D185,OR(LEFT(L185,2)="15",AND(LEFT(M185,2)&lt;&gt;"15",LEFT(M185,2)&lt;&gt;"33"))),"x","")</f>
        <v/>
      </c>
      <c r="AI185" s="80" t="str">
        <f>IF(AND(OR(LEFT(TH!O185,2)="15",LEFT(TH!P185,2)="15"),'152-CT'!$J$8=TH!F185),"x","")</f>
        <v/>
      </c>
      <c r="AJ185" s="80" t="str">
        <f>IF(AND(OR(LEFT(TH!O185,2)="15",LEFT(TH!P185,2)="15"),'THE KHO'!$E$7=TH!F185),"x","")</f>
        <v/>
      </c>
      <c r="AK185" s="80" t="str">
        <f>IF(AND(O185="1521",MONTH(C185)='BK NL'!$M$11),"x","")</f>
        <v/>
      </c>
      <c r="AM185" s="1007">
        <v>1</v>
      </c>
    </row>
    <row r="186" spans="1:39" s="1007" customFormat="1" ht="15.75" customHeight="1">
      <c r="A186" s="362" t="str">
        <f>IF(B186&lt;&gt;"",IF(AND(B186&gt;=_TM1,B186&lt;=_TM2,OR(TH!O186="1111",TH!P186="1111")),TH!D186,""),"")</f>
        <v/>
      </c>
      <c r="B186" s="63">
        <f t="shared" si="8"/>
        <v>3</v>
      </c>
      <c r="C186" s="337">
        <v>42445</v>
      </c>
      <c r="D186" s="337" t="s">
        <v>8</v>
      </c>
      <c r="E186" s="337">
        <f t="shared" si="9"/>
        <v>42445</v>
      </c>
      <c r="F186" s="338" t="s">
        <v>22</v>
      </c>
      <c r="G186" s="1022" t="s">
        <v>798</v>
      </c>
      <c r="H186" s="339"/>
      <c r="I186" s="476"/>
      <c r="J186" s="476"/>
      <c r="K186" s="469"/>
      <c r="L186" s="476"/>
      <c r="M186" s="65">
        <v>25000</v>
      </c>
      <c r="N186" s="65"/>
      <c r="O186" s="340" t="s">
        <v>135</v>
      </c>
      <c r="P186" s="340" t="s">
        <v>31</v>
      </c>
      <c r="Q186" s="66" t="str">
        <f>IF(AND('331-CT'!$E$7=TH!H186,OR(O186="331",P186="331")),"x","")</f>
        <v/>
      </c>
      <c r="R186" s="66" t="str">
        <f>IF(AND($B186&gt;='111'!$N$11,$B186&lt;='111'!$O$11,OR($O186=$R$7,$P186=$R$7)),"x","")</f>
        <v/>
      </c>
      <c r="S186" s="66" t="str">
        <f>IF(AND($O186=$R$7,$B186&lt;'111'!$N$11),"x","")</f>
        <v/>
      </c>
      <c r="T186" s="66" t="str">
        <f>IF(AND($P186=$R$7,$B186&lt;'111'!$N$11),"x","")</f>
        <v/>
      </c>
      <c r="U186" s="66" t="str">
        <f>IF(AND($B186&gt;='112'!$M$9,$B186&lt;='112'!$N$9,OR($O186='112'!$I$6,$P186='112'!$I$6)),"x","")</f>
        <v/>
      </c>
      <c r="V186" s="66" t="str">
        <f>IF(AND($O186='112'!$I$6,$B186&lt;'112'!$M$9),"x","")</f>
        <v/>
      </c>
      <c r="W186" s="66" t="str">
        <f>IF(AND($P186='112'!$I$6,$B186&lt;'112'!$M$9),"x","")</f>
        <v>x</v>
      </c>
      <c r="X186" s="66" t="str">
        <f>IF(AND('131-CT'!$H$9=TH!H186,OR(O186="131",P186="131")),"x","")</f>
        <v/>
      </c>
      <c r="Y186" s="80" t="str">
        <f>IF(AND($B186&gt;='1331'!$I$9,$B186&lt;='1331'!$J$9,OR($O186=$Y$7,$P186=$Y$7)),"x","")</f>
        <v/>
      </c>
      <c r="Z186" s="80" t="str">
        <f>IF(AND($O186=$Y$7,$B186&lt;'1331'!$I$9),"x","")</f>
        <v/>
      </c>
      <c r="AA186" s="80" t="str">
        <f>IF(AND($P186=$Y$7,$B186&lt;'1331'!$I$9),"x","")</f>
        <v/>
      </c>
      <c r="AB186" s="80" t="str">
        <f>IF(AND($B186&gt;='1332'!$I$9,$B186&lt;='1332'!$I$9,OR($O186=$AB$7,$P186=$AB$7)),"x","")</f>
        <v/>
      </c>
      <c r="AC186" s="80" t="str">
        <f>IF(AND($O186=$AB$7,$B186&lt;'1332'!$I$9),"x","")</f>
        <v/>
      </c>
      <c r="AD186" s="80" t="str">
        <f>IF(AND($P186=$AB$7,$B186&lt;'1332'!$I$9),"x","")</f>
        <v/>
      </c>
      <c r="AE186" s="80" t="str">
        <f>IF(AND('341-CT'!$H$9=H186,OR(LEFT(O186,3)=$AE$7,LEFT(P186,3)=$AE$7)),"x","")</f>
        <v/>
      </c>
      <c r="AF186" s="80" t="str">
        <f>IF(OR(TH!O186=TH!$AF$7,P186=TH!$AF$7),"x","")</f>
        <v/>
      </c>
      <c r="AG186" s="80"/>
      <c r="AH186" s="80" t="str">
        <f>IF(AND(B186&gt;='IN-NX'!$P$3,B186&lt;='IN-NX'!$Q$3,'IN-NX'!$D$7=D186,OR(LEFT(L186,2)="15",AND(LEFT(M186,2)&lt;&gt;"15",LEFT(M186,2)&lt;&gt;"33"))),"x","")</f>
        <v/>
      </c>
      <c r="AI186" s="80" t="str">
        <f>IF(AND(OR(LEFT(TH!O186,2)="15",LEFT(TH!P186,2)="15"),'152-CT'!$J$8=TH!F186),"x","")</f>
        <v/>
      </c>
      <c r="AJ186" s="80" t="str">
        <f>IF(AND(OR(LEFT(TH!O186,2)="15",LEFT(TH!P186,2)="15"),'THE KHO'!$E$7=TH!F186),"x","")</f>
        <v/>
      </c>
      <c r="AK186" s="80" t="str">
        <f>IF(AND(O186="1521",MONTH(C186)='BK NL'!$M$11),"x","")</f>
        <v/>
      </c>
    </row>
    <row r="187" spans="1:39" s="1007" customFormat="1" ht="15.75" customHeight="1">
      <c r="A187" s="362" t="str">
        <f>IF(B187&lt;&gt;"",IF(AND(B187&gt;=_TM1,B187&lt;=_TM2,OR(TH!O187="1111",TH!P187="1111")),TH!D187,""),"")</f>
        <v/>
      </c>
      <c r="B187" s="63">
        <f t="shared" si="8"/>
        <v>3</v>
      </c>
      <c r="C187" s="337">
        <v>42445</v>
      </c>
      <c r="D187" s="337" t="s">
        <v>8</v>
      </c>
      <c r="E187" s="337">
        <f t="shared" si="9"/>
        <v>42445</v>
      </c>
      <c r="F187" s="338" t="s">
        <v>23</v>
      </c>
      <c r="G187" s="1022" t="s">
        <v>798</v>
      </c>
      <c r="H187" s="339"/>
      <c r="I187" s="476"/>
      <c r="J187" s="476"/>
      <c r="K187" s="469"/>
      <c r="L187" s="476"/>
      <c r="M187" s="88">
        <v>2500</v>
      </c>
      <c r="N187" s="88"/>
      <c r="O187" s="340" t="s">
        <v>10</v>
      </c>
      <c r="P187" s="340" t="s">
        <v>31</v>
      </c>
      <c r="Q187" s="66" t="str">
        <f>IF(AND('331-CT'!$E$7=TH!H187,OR(O187="331",P187="331")),"x","")</f>
        <v/>
      </c>
      <c r="R187" s="66" t="str">
        <f>IF(AND($B187&gt;='111'!$N$11,$B187&lt;='111'!$O$11,OR($O187=$R$7,$P187=$R$7)),"x","")</f>
        <v/>
      </c>
      <c r="S187" s="66" t="str">
        <f>IF(AND($O187=$R$7,$B187&lt;'111'!$N$11),"x","")</f>
        <v/>
      </c>
      <c r="T187" s="66" t="str">
        <f>IF(AND($P187=$R$7,$B187&lt;'111'!$N$11),"x","")</f>
        <v/>
      </c>
      <c r="U187" s="66" t="str">
        <f>IF(AND($B187&gt;='112'!$M$9,$B187&lt;='112'!$N$9,OR($O187='112'!$I$6,$P187='112'!$I$6)),"x","")</f>
        <v/>
      </c>
      <c r="V187" s="66" t="str">
        <f>IF(AND($O187='112'!$I$6,$B187&lt;'112'!$M$9),"x","")</f>
        <v/>
      </c>
      <c r="W187" s="66" t="str">
        <f>IF(AND($P187='112'!$I$6,$B187&lt;'112'!$M$9),"x","")</f>
        <v>x</v>
      </c>
      <c r="X187" s="66" t="str">
        <f>IF(AND('131-CT'!$H$9=TH!H187,OR(O187="131",P187="131")),"x","")</f>
        <v/>
      </c>
      <c r="Y187" s="80" t="str">
        <f>IF(AND($B187&gt;='1331'!$I$9,$B187&lt;='1331'!$J$9,OR($O187=$Y$7,$P187=$Y$7)),"x","")</f>
        <v/>
      </c>
      <c r="Z187" s="80" t="str">
        <f>IF(AND($O187=$Y$7,$B187&lt;'1331'!$I$9),"x","")</f>
        <v>x</v>
      </c>
      <c r="AA187" s="80" t="str">
        <f>IF(AND($P187=$Y$7,$B187&lt;'1331'!$I$9),"x","")</f>
        <v/>
      </c>
      <c r="AB187" s="80" t="str">
        <f>IF(AND($B187&gt;='1332'!$I$9,$B187&lt;='1332'!$I$9,OR($O187=$AB$7,$P187=$AB$7)),"x","")</f>
        <v/>
      </c>
      <c r="AC187" s="80" t="str">
        <f>IF(AND($O187=$AB$7,$B187&lt;'1332'!$I$9),"x","")</f>
        <v/>
      </c>
      <c r="AD187" s="80" t="str">
        <f>IF(AND($P187=$AB$7,$B187&lt;'1332'!$I$9),"x","")</f>
        <v/>
      </c>
      <c r="AE187" s="80" t="str">
        <f>IF(AND('341-CT'!$H$9=H187,OR(LEFT(O187,3)=$AE$7,LEFT(P187,3)=$AE$7)),"x","")</f>
        <v/>
      </c>
      <c r="AF187" s="80" t="str">
        <f>IF(OR(TH!O187=TH!$AF$7,P187=TH!$AF$7),"x","")</f>
        <v/>
      </c>
      <c r="AG187" s="80"/>
      <c r="AH187" s="80" t="str">
        <f>IF(AND(B187&gt;='IN-NX'!$P$3,B187&lt;='IN-NX'!$Q$3,'IN-NX'!$D$7=D187,OR(LEFT(L187,2)="15",AND(LEFT(M187,2)&lt;&gt;"15",LEFT(M187,2)&lt;&gt;"33"))),"x","")</f>
        <v/>
      </c>
      <c r="AI187" s="80" t="str">
        <f>IF(AND(OR(LEFT(TH!O187,2)="15",LEFT(TH!P187,2)="15"),'152-CT'!$J$8=TH!F187),"x","")</f>
        <v/>
      </c>
      <c r="AJ187" s="80" t="str">
        <f>IF(AND(OR(LEFT(TH!O187,2)="15",LEFT(TH!P187,2)="15"),'THE KHO'!$E$7=TH!F187),"x","")</f>
        <v/>
      </c>
      <c r="AK187" s="80" t="str">
        <f>IF(AND(O187="1521",MONTH(C187)='BK NL'!$M$11),"x","")</f>
        <v/>
      </c>
      <c r="AM187" s="1007">
        <v>1</v>
      </c>
    </row>
    <row r="188" spans="1:39" s="1007" customFormat="1" ht="15.75" customHeight="1">
      <c r="A188" s="362" t="str">
        <f>IF(B188&lt;&gt;"",IF(AND(B188&gt;=_TM1,B188&lt;=_TM2,OR(TH!O188="1111",TH!P188="1111")),TH!D188,""),"")</f>
        <v/>
      </c>
      <c r="B188" s="63">
        <f t="shared" si="8"/>
        <v>3</v>
      </c>
      <c r="C188" s="337">
        <v>42445</v>
      </c>
      <c r="D188" s="337" t="s">
        <v>8</v>
      </c>
      <c r="E188" s="337">
        <f t="shared" si="9"/>
        <v>42445</v>
      </c>
      <c r="F188" s="338" t="s">
        <v>790</v>
      </c>
      <c r="G188" s="1022" t="s">
        <v>798</v>
      </c>
      <c r="H188" s="338"/>
      <c r="I188" s="476"/>
      <c r="J188" s="476"/>
      <c r="K188" s="469"/>
      <c r="L188" s="476"/>
      <c r="M188" s="65">
        <v>20000</v>
      </c>
      <c r="N188" s="65"/>
      <c r="O188" s="340" t="s">
        <v>135</v>
      </c>
      <c r="P188" s="340" t="s">
        <v>31</v>
      </c>
      <c r="Q188" s="66" t="str">
        <f>IF(AND('331-CT'!$E$7=TH!H188,OR(O188="331",P188="331")),"x","")</f>
        <v/>
      </c>
      <c r="R188" s="66" t="str">
        <f>IF(AND($B188&gt;='111'!$N$11,$B188&lt;='111'!$O$11,OR($O188=$R$7,$P188=$R$7)),"x","")</f>
        <v/>
      </c>
      <c r="S188" s="66" t="str">
        <f>IF(AND($O188=$R$7,$B188&lt;'111'!$N$11),"x","")</f>
        <v/>
      </c>
      <c r="T188" s="66" t="str">
        <f>IF(AND($P188=$R$7,$B188&lt;'111'!$N$11),"x","")</f>
        <v/>
      </c>
      <c r="U188" s="66" t="str">
        <f>IF(AND($B188&gt;='112'!$M$9,$B188&lt;='112'!$N$9,OR($O188='112'!$I$6,$P188='112'!$I$6)),"x","")</f>
        <v/>
      </c>
      <c r="V188" s="66" t="str">
        <f>IF(AND($O188='112'!$I$6,$B188&lt;'112'!$M$9),"x","")</f>
        <v/>
      </c>
      <c r="W188" s="66" t="str">
        <f>IF(AND($P188='112'!$I$6,$B188&lt;'112'!$M$9),"x","")</f>
        <v>x</v>
      </c>
      <c r="X188" s="66" t="str">
        <f>IF(AND('131-CT'!$H$9=TH!H188,OR(O188="131",P188="131")),"x","")</f>
        <v/>
      </c>
      <c r="Y188" s="80" t="str">
        <f>IF(AND($B188&gt;='1331'!$I$9,$B188&lt;='1331'!$J$9,OR($O188=$Y$7,$P188=$Y$7)),"x","")</f>
        <v/>
      </c>
      <c r="Z188" s="80" t="str">
        <f>IF(AND($O188=$Y$7,$B188&lt;'1331'!$I$9),"x","")</f>
        <v/>
      </c>
      <c r="AA188" s="80" t="str">
        <f>IF(AND($P188=$Y$7,$B188&lt;'1331'!$I$9),"x","")</f>
        <v/>
      </c>
      <c r="AB188" s="80" t="str">
        <f>IF(AND($B188&gt;='1332'!$I$9,$B188&lt;='1332'!$I$9,OR($O188=$AB$7,$P188=$AB$7)),"x","")</f>
        <v/>
      </c>
      <c r="AC188" s="80" t="str">
        <f>IF(AND($O188=$AB$7,$B188&lt;'1332'!$I$9),"x","")</f>
        <v/>
      </c>
      <c r="AD188" s="80" t="str">
        <f>IF(AND($P188=$AB$7,$B188&lt;'1332'!$I$9),"x","")</f>
        <v/>
      </c>
      <c r="AE188" s="80" t="str">
        <f>IF(AND('341-CT'!$H$9=H188,OR(LEFT(O188,3)=$AE$7,LEFT(P188,3)=$AE$7)),"x","")</f>
        <v/>
      </c>
      <c r="AF188" s="80" t="str">
        <f>IF(OR(TH!O188=TH!$AF$7,P188=TH!$AF$7),"x","")</f>
        <v/>
      </c>
      <c r="AG188" s="80"/>
      <c r="AH188" s="80" t="str">
        <f>IF(AND(B188&gt;='IN-NX'!$P$3,B188&lt;='IN-NX'!$Q$3,'IN-NX'!$D$7=D188,OR(LEFT(L188,2)="15",AND(LEFT(M188,2)&lt;&gt;"15",LEFT(M188,2)&lt;&gt;"33"))),"x","")</f>
        <v/>
      </c>
      <c r="AI188" s="80" t="str">
        <f>IF(AND(OR(LEFT(TH!O188,2)="15",LEFT(TH!P188,2)="15"),'152-CT'!$J$8=TH!F188),"x","")</f>
        <v/>
      </c>
      <c r="AJ188" s="80" t="str">
        <f>IF(AND(OR(LEFT(TH!O188,2)="15",LEFT(TH!P188,2)="15"),'THE KHO'!$E$7=TH!F188),"x","")</f>
        <v/>
      </c>
      <c r="AK188" s="80" t="str">
        <f>IF(AND(O188="1521",MONTH(C188)='BK NL'!$M$11),"x","")</f>
        <v/>
      </c>
      <c r="AM188" s="1007">
        <v>1</v>
      </c>
    </row>
    <row r="189" spans="1:39" s="1007" customFormat="1" ht="15.75" customHeight="1">
      <c r="A189" s="362" t="str">
        <f>IF(B189&lt;&gt;"",IF(AND(B189&gt;=_TM1,B189&lt;=_TM2,OR(TH!O189="1111",TH!P189="1111")),TH!D189,""),"")</f>
        <v/>
      </c>
      <c r="B189" s="63">
        <f t="shared" si="8"/>
        <v>3</v>
      </c>
      <c r="C189" s="337">
        <v>42445</v>
      </c>
      <c r="D189" s="337" t="s">
        <v>8</v>
      </c>
      <c r="E189" s="337">
        <f t="shared" si="9"/>
        <v>42445</v>
      </c>
      <c r="F189" s="338" t="s">
        <v>791</v>
      </c>
      <c r="G189" s="1022" t="s">
        <v>798</v>
      </c>
      <c r="H189" s="338"/>
      <c r="I189" s="476"/>
      <c r="J189" s="476"/>
      <c r="K189" s="469"/>
      <c r="L189" s="476"/>
      <c r="M189" s="88">
        <v>2000</v>
      </c>
      <c r="N189" s="88"/>
      <c r="O189" s="340" t="s">
        <v>10</v>
      </c>
      <c r="P189" s="340" t="s">
        <v>31</v>
      </c>
      <c r="Q189" s="66" t="str">
        <f>IF(AND('331-CT'!$E$7=TH!H189,OR(O189="331",P189="331")),"x","")</f>
        <v/>
      </c>
      <c r="R189" s="66" t="str">
        <f>IF(AND($B189&gt;='111'!$N$11,$B189&lt;='111'!$O$11,OR($O189=$R$7,$P189=$R$7)),"x","")</f>
        <v/>
      </c>
      <c r="S189" s="66" t="str">
        <f>IF(AND($O189=$R$7,$B189&lt;'111'!$N$11),"x","")</f>
        <v/>
      </c>
      <c r="T189" s="66" t="str">
        <f>IF(AND($P189=$R$7,$B189&lt;'111'!$N$11),"x","")</f>
        <v/>
      </c>
      <c r="U189" s="66" t="str">
        <f>IF(AND($B189&gt;='112'!$M$9,$B189&lt;='112'!$N$9,OR($O189='112'!$I$6,$P189='112'!$I$6)),"x","")</f>
        <v/>
      </c>
      <c r="V189" s="66" t="str">
        <f>IF(AND($O189='112'!$I$6,$B189&lt;'112'!$M$9),"x","")</f>
        <v/>
      </c>
      <c r="W189" s="66" t="str">
        <f>IF(AND($P189='112'!$I$6,$B189&lt;'112'!$M$9),"x","")</f>
        <v>x</v>
      </c>
      <c r="X189" s="66" t="str">
        <f>IF(AND('131-CT'!$H$9=TH!H189,OR(O189="131",P189="131")),"x","")</f>
        <v/>
      </c>
      <c r="Y189" s="80" t="str">
        <f>IF(AND($B189&gt;='1331'!$I$9,$B189&lt;='1331'!$J$9,OR($O189=$Y$7,$P189=$Y$7)),"x","")</f>
        <v/>
      </c>
      <c r="Z189" s="80" t="str">
        <f>IF(AND($O189=$Y$7,$B189&lt;'1331'!$I$9),"x","")</f>
        <v>x</v>
      </c>
      <c r="AA189" s="80" t="str">
        <f>IF(AND($P189=$Y$7,$B189&lt;'1331'!$I$9),"x","")</f>
        <v/>
      </c>
      <c r="AB189" s="80" t="str">
        <f>IF(AND($B189&gt;='1332'!$I$9,$B189&lt;='1332'!$I$9,OR($O189=$AB$7,$P189=$AB$7)),"x","")</f>
        <v/>
      </c>
      <c r="AC189" s="80" t="str">
        <f>IF(AND($O189=$AB$7,$B189&lt;'1332'!$I$9),"x","")</f>
        <v/>
      </c>
      <c r="AD189" s="80" t="str">
        <f>IF(AND($P189=$AB$7,$B189&lt;'1332'!$I$9),"x","")</f>
        <v/>
      </c>
      <c r="AE189" s="80" t="str">
        <f>IF(AND('341-CT'!$H$9=H189,OR(LEFT(O189,3)=$AE$7,LEFT(P189,3)=$AE$7)),"x","")</f>
        <v/>
      </c>
      <c r="AF189" s="80" t="str">
        <f>IF(OR(TH!O189=TH!$AF$7,P189=TH!$AF$7),"x","")</f>
        <v/>
      </c>
      <c r="AG189" s="80"/>
      <c r="AH189" s="80" t="str">
        <f>IF(AND(B189&gt;='IN-NX'!$P$3,B189&lt;='IN-NX'!$Q$3,'IN-NX'!$D$7=D189,OR(LEFT(L189,2)="15",AND(LEFT(M189,2)&lt;&gt;"15",LEFT(M189,2)&lt;&gt;"33"))),"x","")</f>
        <v/>
      </c>
      <c r="AI189" s="80" t="str">
        <f>IF(AND(OR(LEFT(TH!O189,2)="15",LEFT(TH!P189,2)="15"),'152-CT'!$J$8=TH!F189),"x","")</f>
        <v/>
      </c>
      <c r="AJ189" s="80" t="str">
        <f>IF(AND(OR(LEFT(TH!O189,2)="15",LEFT(TH!P189,2)="15"),'THE KHO'!$E$7=TH!F189),"x","")</f>
        <v/>
      </c>
      <c r="AK189" s="80" t="str">
        <f>IF(AND(O189="1521",MONTH(C189)='BK NL'!$M$11),"x","")</f>
        <v/>
      </c>
      <c r="AM189" s="1007">
        <v>1</v>
      </c>
    </row>
    <row r="190" spans="1:39" s="1007" customFormat="1" ht="15.75" customHeight="1">
      <c r="A190" s="362" t="str">
        <f>IF(B190&lt;&gt;"",IF(AND(B190&gt;=_TM1,B190&lt;=_TM2,OR(TH!O190="1111",TH!P190="1111")),TH!D190,""),"")</f>
        <v/>
      </c>
      <c r="B190" s="63">
        <f t="shared" si="8"/>
        <v>3</v>
      </c>
      <c r="C190" s="337">
        <v>42445</v>
      </c>
      <c r="D190" s="337" t="s">
        <v>8</v>
      </c>
      <c r="E190" s="337">
        <f t="shared" si="9"/>
        <v>42445</v>
      </c>
      <c r="F190" s="338" t="s">
        <v>792</v>
      </c>
      <c r="G190" s="1022" t="s">
        <v>798</v>
      </c>
      <c r="H190" s="7" t="s">
        <v>309</v>
      </c>
      <c r="I190" s="477"/>
      <c r="J190" s="477"/>
      <c r="K190" s="470"/>
      <c r="L190" s="477"/>
      <c r="M190" s="65">
        <v>11539968</v>
      </c>
      <c r="N190" s="65"/>
      <c r="O190" s="340" t="s">
        <v>9</v>
      </c>
      <c r="P190" s="340" t="s">
        <v>31</v>
      </c>
      <c r="Q190" s="66" t="str">
        <f>IF(AND('331-CT'!$E$7=TH!H190,OR(O190="331",P190="331")),"x","")</f>
        <v/>
      </c>
      <c r="R190" s="66" t="str">
        <f>IF(AND($B190&gt;='111'!$N$11,$B190&lt;='111'!$O$11,OR($O190=$R$7,$P190=$R$7)),"x","")</f>
        <v/>
      </c>
      <c r="S190" s="66" t="str">
        <f>IF(AND($O190=$R$7,$B190&lt;'111'!$N$11),"x","")</f>
        <v/>
      </c>
      <c r="T190" s="66" t="str">
        <f>IF(AND($P190=$R$7,$B190&lt;'111'!$N$11),"x","")</f>
        <v/>
      </c>
      <c r="U190" s="66" t="str">
        <f>IF(AND($B190&gt;='112'!$M$9,$B190&lt;='112'!$N$9,OR($O190='112'!$I$6,$P190='112'!$I$6)),"x","")</f>
        <v/>
      </c>
      <c r="V190" s="66" t="str">
        <f>IF(AND($O190='112'!$I$6,$B190&lt;'112'!$M$9),"x","")</f>
        <v/>
      </c>
      <c r="W190" s="66" t="str">
        <f>IF(AND($P190='112'!$I$6,$B190&lt;'112'!$M$9),"x","")</f>
        <v>x</v>
      </c>
      <c r="X190" s="66" t="str">
        <f>IF(AND('131-CT'!$H$9=TH!H190,OR(O190="131",P190="131")),"x","")</f>
        <v/>
      </c>
      <c r="Y190" s="80" t="str">
        <f>IF(AND($B190&gt;='1331'!$I$9,$B190&lt;='1331'!$J$9,OR($O190=$Y$7,$P190=$Y$7)),"x","")</f>
        <v/>
      </c>
      <c r="Z190" s="80" t="str">
        <f>IF(AND($O190=$Y$7,$B190&lt;'1331'!$I$9),"x","")</f>
        <v/>
      </c>
      <c r="AA190" s="80" t="str">
        <f>IF(AND($P190=$Y$7,$B190&lt;'1331'!$I$9),"x","")</f>
        <v/>
      </c>
      <c r="AB190" s="80" t="str">
        <f>IF(AND($B190&gt;='1332'!$I$9,$B190&lt;='1332'!$I$9,OR($O190=$AB$7,$P190=$AB$7)),"x","")</f>
        <v/>
      </c>
      <c r="AC190" s="80" t="str">
        <f>IF(AND($O190=$AB$7,$B190&lt;'1332'!$I$9),"x","")</f>
        <v/>
      </c>
      <c r="AD190" s="80" t="str">
        <f>IF(AND($P190=$AB$7,$B190&lt;'1332'!$I$9),"x","")</f>
        <v/>
      </c>
      <c r="AE190" s="80" t="str">
        <f>IF(AND('341-CT'!$H$9=H190,OR(LEFT(O190,3)=$AE$7,LEFT(P190,3)=$AE$7)),"x","")</f>
        <v/>
      </c>
      <c r="AF190" s="80" t="str">
        <f>IF(OR(TH!O190=TH!$AF$7,P190=TH!$AF$7),"x","")</f>
        <v/>
      </c>
      <c r="AG190" s="80"/>
      <c r="AH190" s="80" t="str">
        <f>IF(AND(B190&gt;='IN-NX'!$P$3,B190&lt;='IN-NX'!$Q$3,'IN-NX'!$D$7=D190,OR(LEFT(L190,2)="15",AND(LEFT(M190,2)&lt;&gt;"15",LEFT(M190,2)&lt;&gt;"33"))),"x","")</f>
        <v/>
      </c>
      <c r="AI190" s="80" t="str">
        <f>IF(AND(OR(LEFT(TH!O190,2)="15",LEFT(TH!P190,2)="15"),'152-CT'!$J$8=TH!F190),"x","")</f>
        <v/>
      </c>
      <c r="AJ190" s="80" t="str">
        <f>IF(AND(OR(LEFT(TH!O190,2)="15",LEFT(TH!P190,2)="15"),'THE KHO'!$E$7=TH!F190),"x","")</f>
        <v/>
      </c>
      <c r="AK190" s="80" t="str">
        <f>IF(AND(O190="1521",MONTH(C190)='BK NL'!$M$11),"x","")</f>
        <v/>
      </c>
      <c r="AM190" s="1007">
        <v>1</v>
      </c>
    </row>
    <row r="191" spans="1:39" s="374" customFormat="1" ht="15.75" customHeight="1">
      <c r="A191" s="362" t="str">
        <f>IF(B191&lt;&gt;"",IF(AND(B191&gt;=_TM1,B191&lt;=_TM2,OR(TH!O191="1111",TH!P191="1111")),TH!D191,""),"")</f>
        <v/>
      </c>
      <c r="B191" s="63">
        <f t="shared" si="8"/>
        <v>3</v>
      </c>
      <c r="C191" s="337">
        <v>42445</v>
      </c>
      <c r="D191" s="337" t="s">
        <v>8</v>
      </c>
      <c r="E191" s="337">
        <f t="shared" si="9"/>
        <v>42445</v>
      </c>
      <c r="F191" s="338" t="s">
        <v>22</v>
      </c>
      <c r="G191" s="1022" t="s">
        <v>798</v>
      </c>
      <c r="H191" s="338"/>
      <c r="I191" s="476"/>
      <c r="J191" s="476"/>
      <c r="K191" s="469"/>
      <c r="L191" s="476"/>
      <c r="M191" s="65">
        <v>25000</v>
      </c>
      <c r="N191" s="65"/>
      <c r="O191" s="340" t="s">
        <v>135</v>
      </c>
      <c r="P191" s="340" t="s">
        <v>31</v>
      </c>
      <c r="Q191" s="66" t="str">
        <f>IF(AND('331-CT'!$E$7=TH!H191,OR(O191="331",P191="331")),"x","")</f>
        <v/>
      </c>
      <c r="R191" s="66" t="str">
        <f>IF(AND($B191&gt;='111'!$N$11,$B191&lt;='111'!$O$11,OR($O191=$R$7,$P191=$R$7)),"x","")</f>
        <v/>
      </c>
      <c r="S191" s="66" t="str">
        <f>IF(AND($O191=$R$7,$B191&lt;'111'!$N$11),"x","")</f>
        <v/>
      </c>
      <c r="T191" s="66" t="str">
        <f>IF(AND($P191=$R$7,$B191&lt;'111'!$N$11),"x","")</f>
        <v/>
      </c>
      <c r="U191" s="66" t="str">
        <f>IF(AND($B191&gt;='112'!$M$9,$B191&lt;='112'!$N$9,OR($O191='112'!$I$6,$P191='112'!$I$6)),"x","")</f>
        <v/>
      </c>
      <c r="V191" s="66" t="str">
        <f>IF(AND($O191='112'!$I$6,$B191&lt;'112'!$M$9),"x","")</f>
        <v/>
      </c>
      <c r="W191" s="66" t="str">
        <f>IF(AND($P191='112'!$I$6,$B191&lt;'112'!$M$9),"x","")</f>
        <v>x</v>
      </c>
      <c r="X191" s="66" t="str">
        <f>IF(AND('131-CT'!$H$9=TH!H191,OR(O191="131",P191="131")),"x","")</f>
        <v/>
      </c>
      <c r="Y191" s="80" t="str">
        <f>IF(AND($B191&gt;='1331'!$I$9,$B191&lt;='1331'!$J$9,OR($O191=$Y$7,$P191=$Y$7)),"x","")</f>
        <v/>
      </c>
      <c r="Z191" s="80" t="str">
        <f>IF(AND($O191=$Y$7,$B191&lt;'1331'!$I$9),"x","")</f>
        <v/>
      </c>
      <c r="AA191" s="80" t="str">
        <f>IF(AND($P191=$Y$7,$B191&lt;'1331'!$I$9),"x","")</f>
        <v/>
      </c>
      <c r="AB191" s="80" t="str">
        <f>IF(AND($B191&gt;='1332'!$I$9,$B191&lt;='1332'!$I$9,OR($O191=$AB$7,$P191=$AB$7)),"x","")</f>
        <v/>
      </c>
      <c r="AC191" s="80" t="str">
        <f>IF(AND($O191=$AB$7,$B191&lt;'1332'!$I$9),"x","")</f>
        <v/>
      </c>
      <c r="AD191" s="80" t="str">
        <f>IF(AND($P191=$AB$7,$B191&lt;'1332'!$I$9),"x","")</f>
        <v/>
      </c>
      <c r="AE191" s="80" t="str">
        <f>IF(AND('341-CT'!$H$9=H191,OR(LEFT(O191,3)=$AE$7,LEFT(P191,3)=$AE$7)),"x","")</f>
        <v/>
      </c>
      <c r="AF191" s="80" t="str">
        <f>IF(OR(TH!O191=TH!$AF$7,P191=TH!$AF$7),"x","")</f>
        <v/>
      </c>
      <c r="AG191" s="80"/>
      <c r="AH191" s="80" t="str">
        <f>IF(AND(B191&gt;='IN-NX'!$P$3,B191&lt;='IN-NX'!$Q$3,'IN-NX'!$D$7=D191,OR(LEFT(L191,2)="15",AND(LEFT(M191,2)&lt;&gt;"15",LEFT(M191,2)&lt;&gt;"33"))),"x","")</f>
        <v/>
      </c>
      <c r="AI191" s="80" t="str">
        <f>IF(AND(OR(LEFT(TH!O191,2)="15",LEFT(TH!P191,2)="15"),'152-CT'!$J$8=TH!F191),"x","")</f>
        <v/>
      </c>
      <c r="AJ191" s="80" t="str">
        <f>IF(AND(OR(LEFT(TH!O191,2)="15",LEFT(TH!P191,2)="15"),'THE KHO'!$E$7=TH!F191),"x","")</f>
        <v/>
      </c>
      <c r="AK191" s="80" t="str">
        <f>IF(AND(O191="1521",MONTH(C191)='BK NL'!$M$11),"x","")</f>
        <v/>
      </c>
    </row>
    <row r="192" spans="1:39" s="374" customFormat="1" ht="15.75" customHeight="1">
      <c r="A192" s="362" t="str">
        <f>IF(B192&lt;&gt;"",IF(AND(B192&gt;=_TM1,B192&lt;=_TM2,OR(TH!O192="1111",TH!P192="1111")),TH!D192,""),"")</f>
        <v/>
      </c>
      <c r="B192" s="63">
        <f t="shared" si="8"/>
        <v>3</v>
      </c>
      <c r="C192" s="337">
        <v>42445</v>
      </c>
      <c r="D192" s="337" t="s">
        <v>8</v>
      </c>
      <c r="E192" s="337">
        <f t="shared" si="9"/>
        <v>42445</v>
      </c>
      <c r="F192" s="338" t="s">
        <v>23</v>
      </c>
      <c r="G192" s="1022" t="s">
        <v>798</v>
      </c>
      <c r="H192" s="338"/>
      <c r="I192" s="476"/>
      <c r="J192" s="476"/>
      <c r="K192" s="469"/>
      <c r="L192" s="476"/>
      <c r="M192" s="88">
        <v>2500</v>
      </c>
      <c r="N192" s="88"/>
      <c r="O192" s="340" t="s">
        <v>10</v>
      </c>
      <c r="P192" s="340" t="s">
        <v>31</v>
      </c>
      <c r="Q192" s="66" t="str">
        <f>IF(AND('331-CT'!$E$7=TH!H192,OR(O192="331",P192="331")),"x","")</f>
        <v/>
      </c>
      <c r="R192" s="66" t="str">
        <f>IF(AND($B192&gt;='111'!$N$11,$B192&lt;='111'!$O$11,OR($O192=$R$7,$P192=$R$7)),"x","")</f>
        <v/>
      </c>
      <c r="S192" s="66" t="str">
        <f>IF(AND($O192=$R$7,$B192&lt;'111'!$N$11),"x","")</f>
        <v/>
      </c>
      <c r="T192" s="66" t="str">
        <f>IF(AND($P192=$R$7,$B192&lt;'111'!$N$11),"x","")</f>
        <v/>
      </c>
      <c r="U192" s="66" t="str">
        <f>IF(AND($B192&gt;='112'!$M$9,$B192&lt;='112'!$N$9,OR($O192='112'!$I$6,$P192='112'!$I$6)),"x","")</f>
        <v/>
      </c>
      <c r="V192" s="66" t="str">
        <f>IF(AND($O192='112'!$I$6,$B192&lt;'112'!$M$9),"x","")</f>
        <v/>
      </c>
      <c r="W192" s="66" t="str">
        <f>IF(AND($P192='112'!$I$6,$B192&lt;'112'!$M$9),"x","")</f>
        <v>x</v>
      </c>
      <c r="X192" s="66" t="str">
        <f>IF(AND('131-CT'!$H$9=TH!H192,OR(O192="131",P192="131")),"x","")</f>
        <v/>
      </c>
      <c r="Y192" s="80" t="str">
        <f>IF(AND($B192&gt;='1331'!$I$9,$B192&lt;='1331'!$J$9,OR($O192=$Y$7,$P192=$Y$7)),"x","")</f>
        <v/>
      </c>
      <c r="Z192" s="80" t="str">
        <f>IF(AND($O192=$Y$7,$B192&lt;'1331'!$I$9),"x","")</f>
        <v>x</v>
      </c>
      <c r="AA192" s="80" t="str">
        <f>IF(AND($P192=$Y$7,$B192&lt;'1331'!$I$9),"x","")</f>
        <v/>
      </c>
      <c r="AB192" s="80" t="str">
        <f>IF(AND($B192&gt;='1332'!$I$9,$B192&lt;='1332'!$I$9,OR($O192=$AB$7,$P192=$AB$7)),"x","")</f>
        <v/>
      </c>
      <c r="AC192" s="80" t="str">
        <f>IF(AND($O192=$AB$7,$B192&lt;'1332'!$I$9),"x","")</f>
        <v/>
      </c>
      <c r="AD192" s="80" t="str">
        <f>IF(AND($P192=$AB$7,$B192&lt;'1332'!$I$9),"x","")</f>
        <v/>
      </c>
      <c r="AE192" s="80" t="str">
        <f>IF(AND('341-CT'!$H$9=H192,OR(LEFT(O192,3)=$AE$7,LEFT(P192,3)=$AE$7)),"x","")</f>
        <v/>
      </c>
      <c r="AF192" s="80" t="str">
        <f>IF(OR(TH!O192=TH!$AF$7,P192=TH!$AF$7),"x","")</f>
        <v/>
      </c>
      <c r="AG192" s="80"/>
      <c r="AH192" s="80" t="str">
        <f>IF(AND(B192&gt;='IN-NX'!$P$3,B192&lt;='IN-NX'!$Q$3,'IN-NX'!$D$7=D192,OR(LEFT(L192,2)="15",AND(LEFT(M192,2)&lt;&gt;"15",LEFT(M192,2)&lt;&gt;"33"))),"x","")</f>
        <v/>
      </c>
      <c r="AI192" s="80" t="str">
        <f>IF(AND(OR(LEFT(TH!O192,2)="15",LEFT(TH!P192,2)="15"),'152-CT'!$J$8=TH!F192),"x","")</f>
        <v/>
      </c>
      <c r="AJ192" s="80" t="str">
        <f>IF(AND(OR(LEFT(TH!O192,2)="15",LEFT(TH!P192,2)="15"),'THE KHO'!$E$7=TH!F192),"x","")</f>
        <v/>
      </c>
      <c r="AK192" s="80" t="str">
        <f>IF(AND(O192="1521",MONTH(C192)='BK NL'!$M$11),"x","")</f>
        <v/>
      </c>
      <c r="AM192" s="374">
        <v>1</v>
      </c>
    </row>
    <row r="193" spans="1:39" s="374" customFormat="1" ht="15.75" customHeight="1">
      <c r="A193" s="362" t="str">
        <f>IF(B193&lt;&gt;"",IF(AND(B193&gt;=_TM1,B193&lt;=_TM2,OR(TH!O193="1111",TH!P193="1111")),TH!D193,""),"")</f>
        <v/>
      </c>
      <c r="B193" s="63">
        <f t="shared" si="8"/>
        <v>3</v>
      </c>
      <c r="C193" s="337">
        <v>42445</v>
      </c>
      <c r="D193" s="337" t="s">
        <v>8</v>
      </c>
      <c r="E193" s="337">
        <f t="shared" si="9"/>
        <v>42445</v>
      </c>
      <c r="F193" s="338" t="s">
        <v>790</v>
      </c>
      <c r="G193" s="1022" t="s">
        <v>798</v>
      </c>
      <c r="H193" s="338"/>
      <c r="I193" s="477"/>
      <c r="J193" s="477"/>
      <c r="K193" s="470"/>
      <c r="L193" s="477"/>
      <c r="M193" s="65">
        <v>20000</v>
      </c>
      <c r="N193" s="65"/>
      <c r="O193" s="340" t="s">
        <v>135</v>
      </c>
      <c r="P193" s="340" t="s">
        <v>31</v>
      </c>
      <c r="Q193" s="66" t="str">
        <f>IF(AND('331-CT'!$E$7=TH!H193,OR(O193="331",P193="331")),"x","")</f>
        <v/>
      </c>
      <c r="R193" s="66" t="str">
        <f>IF(AND($B193&gt;='111'!$N$11,$B193&lt;='111'!$O$11,OR($O193=$R$7,$P193=$R$7)),"x","")</f>
        <v/>
      </c>
      <c r="S193" s="66" t="str">
        <f>IF(AND($O193=$R$7,$B193&lt;'111'!$N$11),"x","")</f>
        <v/>
      </c>
      <c r="T193" s="66" t="str">
        <f>IF(AND($P193=$R$7,$B193&lt;'111'!$N$11),"x","")</f>
        <v/>
      </c>
      <c r="U193" s="66" t="str">
        <f>IF(AND($B193&gt;='112'!$M$9,$B193&lt;='112'!$N$9,OR($O193='112'!$I$6,$P193='112'!$I$6)),"x","")</f>
        <v/>
      </c>
      <c r="V193" s="66" t="str">
        <f>IF(AND($O193='112'!$I$6,$B193&lt;'112'!$M$9),"x","")</f>
        <v/>
      </c>
      <c r="W193" s="66" t="str">
        <f>IF(AND($P193='112'!$I$6,$B193&lt;'112'!$M$9),"x","")</f>
        <v>x</v>
      </c>
      <c r="X193" s="66" t="str">
        <f>IF(AND('131-CT'!$H$9=TH!H193,OR(O193="131",P193="131")),"x","")</f>
        <v/>
      </c>
      <c r="Y193" s="80" t="str">
        <f>IF(AND($B193&gt;='1331'!$I$9,$B193&lt;='1331'!$J$9,OR($O193=$Y$7,$P193=$Y$7)),"x","")</f>
        <v/>
      </c>
      <c r="Z193" s="80" t="str">
        <f>IF(AND($O193=$Y$7,$B193&lt;'1331'!$I$9),"x","")</f>
        <v/>
      </c>
      <c r="AA193" s="80" t="str">
        <f>IF(AND($P193=$Y$7,$B193&lt;'1331'!$I$9),"x","")</f>
        <v/>
      </c>
      <c r="AB193" s="80" t="str">
        <f>IF(AND($B193&gt;='1332'!$I$9,$B193&lt;='1332'!$I$9,OR($O193=$AB$7,$P193=$AB$7)),"x","")</f>
        <v/>
      </c>
      <c r="AC193" s="80" t="str">
        <f>IF(AND($O193=$AB$7,$B193&lt;'1332'!$I$9),"x","")</f>
        <v/>
      </c>
      <c r="AD193" s="80" t="str">
        <f>IF(AND($P193=$AB$7,$B193&lt;'1332'!$I$9),"x","")</f>
        <v/>
      </c>
      <c r="AE193" s="80" t="str">
        <f>IF(AND('341-CT'!$H$9=H193,OR(LEFT(O193,3)=$AE$7,LEFT(P193,3)=$AE$7)),"x","")</f>
        <v/>
      </c>
      <c r="AF193" s="80" t="str">
        <f>IF(OR(TH!O193=TH!$AF$7,P193=TH!$AF$7),"x","")</f>
        <v/>
      </c>
      <c r="AG193" s="80"/>
      <c r="AH193" s="80" t="str">
        <f>IF(AND(B193&gt;='IN-NX'!$P$3,B193&lt;='IN-NX'!$Q$3,'IN-NX'!$D$7=D193,OR(LEFT(L193,2)="15",AND(LEFT(M193,2)&lt;&gt;"15",LEFT(M193,2)&lt;&gt;"33"))),"x","")</f>
        <v/>
      </c>
      <c r="AI193" s="80" t="str">
        <f>IF(AND(OR(LEFT(TH!O193,2)="15",LEFT(TH!P193,2)="15"),'152-CT'!$J$8=TH!F193),"x","")</f>
        <v/>
      </c>
      <c r="AJ193" s="80" t="str">
        <f>IF(AND(OR(LEFT(TH!O193,2)="15",LEFT(TH!P193,2)="15"),'THE KHO'!$E$7=TH!F193),"x","")</f>
        <v/>
      </c>
      <c r="AK193" s="80" t="str">
        <f>IF(AND(O193="1521",MONTH(C193)='BK NL'!$M$11),"x","")</f>
        <v/>
      </c>
      <c r="AM193" s="374">
        <v>1</v>
      </c>
    </row>
    <row r="194" spans="1:39" s="374" customFormat="1" ht="15.75" customHeight="1">
      <c r="A194" s="362" t="str">
        <f>IF(B194&lt;&gt;"",IF(AND(B194&gt;=_TM1,B194&lt;=_TM2,OR(TH!O194="1111",TH!P194="1111")),TH!D194,""),"")</f>
        <v/>
      </c>
      <c r="B194" s="63">
        <f t="shared" si="8"/>
        <v>3</v>
      </c>
      <c r="C194" s="337">
        <v>42445</v>
      </c>
      <c r="D194" s="337" t="s">
        <v>8</v>
      </c>
      <c r="E194" s="337">
        <f t="shared" si="9"/>
        <v>42445</v>
      </c>
      <c r="F194" s="338" t="s">
        <v>791</v>
      </c>
      <c r="G194" s="1022" t="s">
        <v>798</v>
      </c>
      <c r="H194" s="338"/>
      <c r="I194" s="476"/>
      <c r="J194" s="476"/>
      <c r="K194" s="469"/>
      <c r="L194" s="476"/>
      <c r="M194" s="88">
        <v>2000</v>
      </c>
      <c r="N194" s="88"/>
      <c r="O194" s="340" t="s">
        <v>10</v>
      </c>
      <c r="P194" s="340" t="s">
        <v>31</v>
      </c>
      <c r="Q194" s="66" t="str">
        <f>IF(AND('331-CT'!$E$7=TH!H194,OR(O194="331",P194="331")),"x","")</f>
        <v/>
      </c>
      <c r="R194" s="66" t="str">
        <f>IF(AND($B194&gt;='111'!$N$11,$B194&lt;='111'!$O$11,OR($O194=$R$7,$P194=$R$7)),"x","")</f>
        <v/>
      </c>
      <c r="S194" s="66" t="str">
        <f>IF(AND($O194=$R$7,$B194&lt;'111'!$N$11),"x","")</f>
        <v/>
      </c>
      <c r="T194" s="66" t="str">
        <f>IF(AND($P194=$R$7,$B194&lt;'111'!$N$11),"x","")</f>
        <v/>
      </c>
      <c r="U194" s="66" t="str">
        <f>IF(AND($B194&gt;='112'!$M$9,$B194&lt;='112'!$N$9,OR($O194='112'!$I$6,$P194='112'!$I$6)),"x","")</f>
        <v/>
      </c>
      <c r="V194" s="66" t="str">
        <f>IF(AND($O194='112'!$I$6,$B194&lt;'112'!$M$9),"x","")</f>
        <v/>
      </c>
      <c r="W194" s="66" t="str">
        <f>IF(AND($P194='112'!$I$6,$B194&lt;'112'!$M$9),"x","")</f>
        <v>x</v>
      </c>
      <c r="X194" s="66" t="str">
        <f>IF(AND('131-CT'!$H$9=TH!H194,OR(O194="131",P194="131")),"x","")</f>
        <v/>
      </c>
      <c r="Y194" s="80" t="str">
        <f>IF(AND($B194&gt;='1331'!$I$9,$B194&lt;='1331'!$J$9,OR($O194=$Y$7,$P194=$Y$7)),"x","")</f>
        <v/>
      </c>
      <c r="Z194" s="80" t="str">
        <f>IF(AND($O194=$Y$7,$B194&lt;'1331'!$I$9),"x","")</f>
        <v>x</v>
      </c>
      <c r="AA194" s="80" t="str">
        <f>IF(AND($P194=$Y$7,$B194&lt;'1331'!$I$9),"x","")</f>
        <v/>
      </c>
      <c r="AB194" s="80" t="str">
        <f>IF(AND($B194&gt;='1332'!$I$9,$B194&lt;='1332'!$I$9,OR($O194=$AB$7,$P194=$AB$7)),"x","")</f>
        <v/>
      </c>
      <c r="AC194" s="80" t="str">
        <f>IF(AND($O194=$AB$7,$B194&lt;'1332'!$I$9),"x","")</f>
        <v/>
      </c>
      <c r="AD194" s="80" t="str">
        <f>IF(AND($P194=$AB$7,$B194&lt;'1332'!$I$9),"x","")</f>
        <v/>
      </c>
      <c r="AE194" s="80" t="str">
        <f>IF(AND('341-CT'!$H$9=H194,OR(LEFT(O194,3)=$AE$7,LEFT(P194,3)=$AE$7)),"x","")</f>
        <v/>
      </c>
      <c r="AF194" s="80" t="str">
        <f>IF(OR(TH!O194=TH!$AF$7,P194=TH!$AF$7),"x","")</f>
        <v/>
      </c>
      <c r="AG194" s="80"/>
      <c r="AH194" s="80" t="str">
        <f>IF(AND(B194&gt;='IN-NX'!$P$3,B194&lt;='IN-NX'!$Q$3,'IN-NX'!$D$7=D194,OR(LEFT(L194,2)="15",AND(LEFT(M194,2)&lt;&gt;"15",LEFT(M194,2)&lt;&gt;"33"))),"x","")</f>
        <v/>
      </c>
      <c r="AI194" s="80" t="str">
        <f>IF(AND(OR(LEFT(TH!O194,2)="15",LEFT(TH!P194,2)="15"),'152-CT'!$J$8=TH!F194),"x","")</f>
        <v/>
      </c>
      <c r="AJ194" s="80" t="str">
        <f>IF(AND(OR(LEFT(TH!O194,2)="15",LEFT(TH!P194,2)="15"),'THE KHO'!$E$7=TH!F194),"x","")</f>
        <v/>
      </c>
      <c r="AK194" s="80" t="str">
        <f>IF(AND(O194="1521",MONTH(C194)='BK NL'!$M$11),"x","")</f>
        <v/>
      </c>
      <c r="AM194" s="374">
        <v>1</v>
      </c>
    </row>
    <row r="195" spans="1:39" s="374" customFormat="1" ht="15.75" customHeight="1">
      <c r="A195" s="362" t="str">
        <f>IF(B195&lt;&gt;"",IF(AND(B195&gt;=_TM1,B195&lt;=_TM2,OR(TH!O195="1111",TH!P195="1111")),TH!D195,""),"")</f>
        <v/>
      </c>
      <c r="B195" s="63">
        <f t="shared" si="8"/>
        <v>3</v>
      </c>
      <c r="C195" s="337">
        <v>42445</v>
      </c>
      <c r="D195" s="337" t="s">
        <v>8</v>
      </c>
      <c r="E195" s="337">
        <f t="shared" si="9"/>
        <v>42445</v>
      </c>
      <c r="F195" s="338" t="s">
        <v>793</v>
      </c>
      <c r="G195" s="1022" t="s">
        <v>798</v>
      </c>
      <c r="H195" s="339" t="s">
        <v>221</v>
      </c>
      <c r="I195" s="476"/>
      <c r="J195" s="476"/>
      <c r="K195" s="469"/>
      <c r="L195" s="476"/>
      <c r="M195" s="65">
        <v>32387300</v>
      </c>
      <c r="N195" s="65"/>
      <c r="O195" s="340" t="s">
        <v>9</v>
      </c>
      <c r="P195" s="340" t="s">
        <v>31</v>
      </c>
      <c r="Q195" s="66" t="str">
        <f>IF(AND('331-CT'!$E$7=TH!H195,OR(O195="331",P195="331")),"x","")</f>
        <v/>
      </c>
      <c r="R195" s="66" t="str">
        <f>IF(AND($B195&gt;='111'!$N$11,$B195&lt;='111'!$O$11,OR($O195=$R$7,$P195=$R$7)),"x","")</f>
        <v/>
      </c>
      <c r="S195" s="66" t="str">
        <f>IF(AND($O195=$R$7,$B195&lt;'111'!$N$11),"x","")</f>
        <v/>
      </c>
      <c r="T195" s="66" t="str">
        <f>IF(AND($P195=$R$7,$B195&lt;'111'!$N$11),"x","")</f>
        <v/>
      </c>
      <c r="U195" s="66" t="str">
        <f>IF(AND($B195&gt;='112'!$M$9,$B195&lt;='112'!$N$9,OR($O195='112'!$I$6,$P195='112'!$I$6)),"x","")</f>
        <v/>
      </c>
      <c r="V195" s="66" t="str">
        <f>IF(AND($O195='112'!$I$6,$B195&lt;'112'!$M$9),"x","")</f>
        <v/>
      </c>
      <c r="W195" s="66" t="str">
        <f>IF(AND($P195='112'!$I$6,$B195&lt;'112'!$M$9),"x","")</f>
        <v>x</v>
      </c>
      <c r="X195" s="66" t="str">
        <f>IF(AND('131-CT'!$H$9=TH!H195,OR(O195="131",P195="131")),"x","")</f>
        <v/>
      </c>
      <c r="Y195" s="80" t="str">
        <f>IF(AND($B195&gt;='1331'!$I$9,$B195&lt;='1331'!$J$9,OR($O195=$Y$7,$P195=$Y$7)),"x","")</f>
        <v/>
      </c>
      <c r="Z195" s="80" t="str">
        <f>IF(AND($O195=$Y$7,$B195&lt;'1331'!$I$9),"x","")</f>
        <v/>
      </c>
      <c r="AA195" s="80" t="str">
        <f>IF(AND($P195=$Y$7,$B195&lt;'1331'!$I$9),"x","")</f>
        <v/>
      </c>
      <c r="AB195" s="80" t="str">
        <f>IF(AND($B195&gt;='1332'!$I$9,$B195&lt;='1332'!$I$9,OR($O195=$AB$7,$P195=$AB$7)),"x","")</f>
        <v/>
      </c>
      <c r="AC195" s="80" t="str">
        <f>IF(AND($O195=$AB$7,$B195&lt;'1332'!$I$9),"x","")</f>
        <v/>
      </c>
      <c r="AD195" s="80" t="str">
        <f>IF(AND($P195=$AB$7,$B195&lt;'1332'!$I$9),"x","")</f>
        <v/>
      </c>
      <c r="AE195" s="80" t="str">
        <f>IF(AND('341-CT'!$H$9=H195,OR(LEFT(O195,3)=$AE$7,LEFT(P195,3)=$AE$7)),"x","")</f>
        <v/>
      </c>
      <c r="AF195" s="80" t="str">
        <f>IF(OR(TH!O195=TH!$AF$7,P195=TH!$AF$7),"x","")</f>
        <v/>
      </c>
      <c r="AG195" s="80"/>
      <c r="AH195" s="80" t="str">
        <f>IF(AND(B195&gt;='IN-NX'!$P$3,B195&lt;='IN-NX'!$Q$3,'IN-NX'!$D$7=D195,OR(LEFT(L195,2)="15",AND(LEFT(M195,2)&lt;&gt;"15",LEFT(M195,2)&lt;&gt;"33"))),"x","")</f>
        <v/>
      </c>
      <c r="AI195" s="80" t="str">
        <f>IF(AND(OR(LEFT(TH!O195,2)="15",LEFT(TH!P195,2)="15"),'152-CT'!$J$8=TH!F195),"x","")</f>
        <v/>
      </c>
      <c r="AJ195" s="80" t="str">
        <f>IF(AND(OR(LEFT(TH!O195,2)="15",LEFT(TH!P195,2)="15"),'THE KHO'!$E$7=TH!F195),"x","")</f>
        <v/>
      </c>
      <c r="AK195" s="80" t="str">
        <f>IF(AND(O195="1521",MONTH(C195)='BK NL'!$M$11),"x","")</f>
        <v/>
      </c>
      <c r="AM195" s="374">
        <v>1</v>
      </c>
    </row>
    <row r="196" spans="1:39" s="374" customFormat="1" ht="15.75" customHeight="1">
      <c r="A196" s="362" t="str">
        <f>IF(B196&lt;&gt;"",IF(AND(B196&gt;=_TM1,B196&lt;=_TM2,OR(TH!O196="1111",TH!P196="1111")),TH!D196,""),"")</f>
        <v/>
      </c>
      <c r="B196" s="63">
        <f t="shared" si="8"/>
        <v>3</v>
      </c>
      <c r="C196" s="337">
        <v>42445</v>
      </c>
      <c r="D196" s="337" t="s">
        <v>8</v>
      </c>
      <c r="E196" s="337">
        <f t="shared" si="9"/>
        <v>42445</v>
      </c>
      <c r="F196" s="338" t="s">
        <v>22</v>
      </c>
      <c r="G196" s="1022" t="s">
        <v>798</v>
      </c>
      <c r="H196" s="339"/>
      <c r="I196" s="476"/>
      <c r="J196" s="476"/>
      <c r="K196" s="469"/>
      <c r="L196" s="476"/>
      <c r="M196" s="65">
        <v>25000</v>
      </c>
      <c r="N196" s="65"/>
      <c r="O196" s="340" t="s">
        <v>135</v>
      </c>
      <c r="P196" s="340" t="s">
        <v>31</v>
      </c>
      <c r="Q196" s="66" t="str">
        <f>IF(AND('331-CT'!$E$7=TH!H196,OR(O196="331",P196="331")),"x","")</f>
        <v/>
      </c>
      <c r="R196" s="66" t="str">
        <f>IF(AND($B196&gt;='111'!$N$11,$B196&lt;='111'!$O$11,OR($O196=$R$7,$P196=$R$7)),"x","")</f>
        <v/>
      </c>
      <c r="S196" s="66" t="str">
        <f>IF(AND($O196=$R$7,$B196&lt;'111'!$N$11),"x","")</f>
        <v/>
      </c>
      <c r="T196" s="66" t="str">
        <f>IF(AND($P196=$R$7,$B196&lt;'111'!$N$11),"x","")</f>
        <v/>
      </c>
      <c r="U196" s="66" t="str">
        <f>IF(AND($B196&gt;='112'!$M$9,$B196&lt;='112'!$N$9,OR($O196='112'!$I$6,$P196='112'!$I$6)),"x","")</f>
        <v/>
      </c>
      <c r="V196" s="66" t="str">
        <f>IF(AND($O196='112'!$I$6,$B196&lt;'112'!$M$9),"x","")</f>
        <v/>
      </c>
      <c r="W196" s="66" t="str">
        <f>IF(AND($P196='112'!$I$6,$B196&lt;'112'!$M$9),"x","")</f>
        <v>x</v>
      </c>
      <c r="X196" s="66" t="str">
        <f>IF(AND('131-CT'!$H$9=TH!H196,OR(O196="131",P196="131")),"x","")</f>
        <v/>
      </c>
      <c r="Y196" s="80" t="str">
        <f>IF(AND($B196&gt;='1331'!$I$9,$B196&lt;='1331'!$J$9,OR($O196=$Y$7,$P196=$Y$7)),"x","")</f>
        <v/>
      </c>
      <c r="Z196" s="80" t="str">
        <f>IF(AND($O196=$Y$7,$B196&lt;'1331'!$I$9),"x","")</f>
        <v/>
      </c>
      <c r="AA196" s="80" t="str">
        <f>IF(AND($P196=$Y$7,$B196&lt;'1331'!$I$9),"x","")</f>
        <v/>
      </c>
      <c r="AB196" s="80" t="str">
        <f>IF(AND($B196&gt;='1332'!$I$9,$B196&lt;='1332'!$I$9,OR($O196=$AB$7,$P196=$AB$7)),"x","")</f>
        <v/>
      </c>
      <c r="AC196" s="80" t="str">
        <f>IF(AND($O196=$AB$7,$B196&lt;'1332'!$I$9),"x","")</f>
        <v/>
      </c>
      <c r="AD196" s="80" t="str">
        <f>IF(AND($P196=$AB$7,$B196&lt;'1332'!$I$9),"x","")</f>
        <v/>
      </c>
      <c r="AE196" s="80" t="str">
        <f>IF(AND('341-CT'!$H$9=H196,OR(LEFT(O196,3)=$AE$7,LEFT(P196,3)=$AE$7)),"x","")</f>
        <v/>
      </c>
      <c r="AF196" s="80" t="str">
        <f>IF(OR(TH!O196=TH!$AF$7,P196=TH!$AF$7),"x","")</f>
        <v/>
      </c>
      <c r="AG196" s="80"/>
      <c r="AH196" s="80" t="str">
        <f>IF(AND(B196&gt;='IN-NX'!$P$3,B196&lt;='IN-NX'!$Q$3,'IN-NX'!$D$7=D196,OR(LEFT(L196,2)="15",AND(LEFT(M196,2)&lt;&gt;"15",LEFT(M196,2)&lt;&gt;"33"))),"x","")</f>
        <v/>
      </c>
      <c r="AI196" s="80" t="str">
        <f>IF(AND(OR(LEFT(TH!O196,2)="15",LEFT(TH!P196,2)="15"),'152-CT'!$J$8=TH!F196),"x","")</f>
        <v/>
      </c>
      <c r="AJ196" s="80" t="str">
        <f>IF(AND(OR(LEFT(TH!O196,2)="15",LEFT(TH!P196,2)="15"),'THE KHO'!$E$7=TH!F196),"x","")</f>
        <v/>
      </c>
      <c r="AK196" s="80" t="str">
        <f>IF(AND(O196="1521",MONTH(C196)='BK NL'!$M$11),"x","")</f>
        <v/>
      </c>
    </row>
    <row r="197" spans="1:39" s="374" customFormat="1" ht="15.75" customHeight="1">
      <c r="A197" s="362" t="str">
        <f>IF(B197&lt;&gt;"",IF(AND(B197&gt;=_TM1,B197&lt;=_TM2,OR(TH!O197="1111",TH!P197="1111")),TH!D197,""),"")</f>
        <v/>
      </c>
      <c r="B197" s="63">
        <f t="shared" si="8"/>
        <v>3</v>
      </c>
      <c r="C197" s="337">
        <v>42445</v>
      </c>
      <c r="D197" s="337" t="s">
        <v>8</v>
      </c>
      <c r="E197" s="337">
        <f t="shared" si="9"/>
        <v>42445</v>
      </c>
      <c r="F197" s="338" t="s">
        <v>23</v>
      </c>
      <c r="G197" s="1022" t="s">
        <v>798</v>
      </c>
      <c r="H197" s="339"/>
      <c r="I197" s="476"/>
      <c r="J197" s="476"/>
      <c r="K197" s="469"/>
      <c r="L197" s="476"/>
      <c r="M197" s="88">
        <v>2500</v>
      </c>
      <c r="N197" s="88"/>
      <c r="O197" s="340" t="s">
        <v>10</v>
      </c>
      <c r="P197" s="340" t="s">
        <v>31</v>
      </c>
      <c r="Q197" s="66" t="str">
        <f>IF(AND('331-CT'!$E$7=TH!H197,OR(O197="331",P197="331")),"x","")</f>
        <v/>
      </c>
      <c r="R197" s="66" t="str">
        <f>IF(AND($B197&gt;='111'!$N$11,$B197&lt;='111'!$O$11,OR($O197=$R$7,$P197=$R$7)),"x","")</f>
        <v/>
      </c>
      <c r="S197" s="66" t="str">
        <f>IF(AND($O197=$R$7,$B197&lt;'111'!$N$11),"x","")</f>
        <v/>
      </c>
      <c r="T197" s="66" t="str">
        <f>IF(AND($P197=$R$7,$B197&lt;'111'!$N$11),"x","")</f>
        <v/>
      </c>
      <c r="U197" s="66" t="str">
        <f>IF(AND($B197&gt;='112'!$M$9,$B197&lt;='112'!$N$9,OR($O197='112'!$I$6,$P197='112'!$I$6)),"x","")</f>
        <v/>
      </c>
      <c r="V197" s="66" t="str">
        <f>IF(AND($O197='112'!$I$6,$B197&lt;'112'!$M$9),"x","")</f>
        <v/>
      </c>
      <c r="W197" s="66" t="str">
        <f>IF(AND($P197='112'!$I$6,$B197&lt;'112'!$M$9),"x","")</f>
        <v>x</v>
      </c>
      <c r="X197" s="66" t="str">
        <f>IF(AND('131-CT'!$H$9=TH!H197,OR(O197="131",P197="131")),"x","")</f>
        <v/>
      </c>
      <c r="Y197" s="80" t="str">
        <f>IF(AND($B197&gt;='1331'!$I$9,$B197&lt;='1331'!$J$9,OR($O197=$Y$7,$P197=$Y$7)),"x","")</f>
        <v/>
      </c>
      <c r="Z197" s="80" t="str">
        <f>IF(AND($O197=$Y$7,$B197&lt;'1331'!$I$9),"x","")</f>
        <v>x</v>
      </c>
      <c r="AA197" s="80" t="str">
        <f>IF(AND($P197=$Y$7,$B197&lt;'1331'!$I$9),"x","")</f>
        <v/>
      </c>
      <c r="AB197" s="80" t="str">
        <f>IF(AND($B197&gt;='1332'!$I$9,$B197&lt;='1332'!$I$9,OR($O197=$AB$7,$P197=$AB$7)),"x","")</f>
        <v/>
      </c>
      <c r="AC197" s="80" t="str">
        <f>IF(AND($O197=$AB$7,$B197&lt;'1332'!$I$9),"x","")</f>
        <v/>
      </c>
      <c r="AD197" s="80" t="str">
        <f>IF(AND($P197=$AB$7,$B197&lt;'1332'!$I$9),"x","")</f>
        <v/>
      </c>
      <c r="AE197" s="80" t="str">
        <f>IF(AND('341-CT'!$H$9=H197,OR(LEFT(O197,3)=$AE$7,LEFT(P197,3)=$AE$7)),"x","")</f>
        <v/>
      </c>
      <c r="AF197" s="80" t="str">
        <f>IF(OR(TH!O197=TH!$AF$7,P197=TH!$AF$7),"x","")</f>
        <v/>
      </c>
      <c r="AG197" s="80"/>
      <c r="AH197" s="80" t="str">
        <f>IF(AND(B197&gt;='IN-NX'!$P$3,B197&lt;='IN-NX'!$Q$3,'IN-NX'!$D$7=D197,OR(LEFT(L197,2)="15",AND(LEFT(M197,2)&lt;&gt;"15",LEFT(M197,2)&lt;&gt;"33"))),"x","")</f>
        <v/>
      </c>
      <c r="AI197" s="80" t="str">
        <f>IF(AND(OR(LEFT(TH!O197,2)="15",LEFT(TH!P197,2)="15"),'152-CT'!$J$8=TH!F197),"x","")</f>
        <v/>
      </c>
      <c r="AJ197" s="80" t="str">
        <f>IF(AND(OR(LEFT(TH!O197,2)="15",LEFT(TH!P197,2)="15"),'THE KHO'!$E$7=TH!F197),"x","")</f>
        <v/>
      </c>
      <c r="AK197" s="80" t="str">
        <f>IF(AND(O197="1521",MONTH(C197)='BK NL'!$M$11),"x","")</f>
        <v/>
      </c>
      <c r="AM197" s="374">
        <v>1</v>
      </c>
    </row>
    <row r="198" spans="1:39" s="374" customFormat="1" ht="15.75" customHeight="1">
      <c r="A198" s="362" t="str">
        <f>IF(B198&lt;&gt;"",IF(AND(B198&gt;=_TM1,B198&lt;=_TM2,OR(TH!O198="1111",TH!P198="1111")),TH!D198,""),"")</f>
        <v/>
      </c>
      <c r="B198" s="63">
        <f t="shared" si="8"/>
        <v>3</v>
      </c>
      <c r="C198" s="337">
        <v>42445</v>
      </c>
      <c r="D198" s="337" t="s">
        <v>8</v>
      </c>
      <c r="E198" s="337">
        <f t="shared" si="9"/>
        <v>42445</v>
      </c>
      <c r="F198" s="338" t="s">
        <v>790</v>
      </c>
      <c r="G198" s="1022" t="s">
        <v>798</v>
      </c>
      <c r="H198" s="338"/>
      <c r="I198" s="477"/>
      <c r="J198" s="477"/>
      <c r="K198" s="470"/>
      <c r="L198" s="477"/>
      <c r="M198" s="65">
        <v>20000</v>
      </c>
      <c r="N198" s="65"/>
      <c r="O198" s="340" t="s">
        <v>135</v>
      </c>
      <c r="P198" s="340" t="s">
        <v>31</v>
      </c>
      <c r="Q198" s="66" t="str">
        <f>IF(AND('331-CT'!$E$7=TH!H198,OR(O198="331",P198="331")),"x","")</f>
        <v/>
      </c>
      <c r="R198" s="66" t="str">
        <f>IF(AND($B198&gt;='111'!$N$11,$B198&lt;='111'!$O$11,OR($O198=$R$7,$P198=$R$7)),"x","")</f>
        <v/>
      </c>
      <c r="S198" s="66" t="str">
        <f>IF(AND($O198=$R$7,$B198&lt;'111'!$N$11),"x","")</f>
        <v/>
      </c>
      <c r="T198" s="66" t="str">
        <f>IF(AND($P198=$R$7,$B198&lt;'111'!$N$11),"x","")</f>
        <v/>
      </c>
      <c r="U198" s="66" t="str">
        <f>IF(AND($B198&gt;='112'!$M$9,$B198&lt;='112'!$N$9,OR($O198='112'!$I$6,$P198='112'!$I$6)),"x","")</f>
        <v/>
      </c>
      <c r="V198" s="66" t="str">
        <f>IF(AND($O198='112'!$I$6,$B198&lt;'112'!$M$9),"x","")</f>
        <v/>
      </c>
      <c r="W198" s="66" t="str">
        <f>IF(AND($P198='112'!$I$6,$B198&lt;'112'!$M$9),"x","")</f>
        <v>x</v>
      </c>
      <c r="X198" s="66" t="str">
        <f>IF(AND('131-CT'!$H$9=TH!H198,OR(O198="131",P198="131")),"x","")</f>
        <v/>
      </c>
      <c r="Y198" s="80" t="str">
        <f>IF(AND($B198&gt;='1331'!$I$9,$B198&lt;='1331'!$J$9,OR($O198=$Y$7,$P198=$Y$7)),"x","")</f>
        <v/>
      </c>
      <c r="Z198" s="80" t="str">
        <f>IF(AND($O198=$Y$7,$B198&lt;'1331'!$I$9),"x","")</f>
        <v/>
      </c>
      <c r="AA198" s="80" t="str">
        <f>IF(AND($P198=$Y$7,$B198&lt;'1331'!$I$9),"x","")</f>
        <v/>
      </c>
      <c r="AB198" s="80" t="str">
        <f>IF(AND($B198&gt;='1332'!$I$9,$B198&lt;='1332'!$I$9,OR($O198=$AB$7,$P198=$AB$7)),"x","")</f>
        <v/>
      </c>
      <c r="AC198" s="80" t="str">
        <f>IF(AND($O198=$AB$7,$B198&lt;'1332'!$I$9),"x","")</f>
        <v/>
      </c>
      <c r="AD198" s="80" t="str">
        <f>IF(AND($P198=$AB$7,$B198&lt;'1332'!$I$9),"x","")</f>
        <v/>
      </c>
      <c r="AE198" s="80" t="str">
        <f>IF(AND('341-CT'!$H$9=H198,OR(LEFT(O198,3)=$AE$7,LEFT(P198,3)=$AE$7)),"x","")</f>
        <v/>
      </c>
      <c r="AF198" s="80" t="str">
        <f>IF(OR(TH!O198=TH!$AF$7,P198=TH!$AF$7),"x","")</f>
        <v/>
      </c>
      <c r="AG198" s="80"/>
      <c r="AH198" s="80" t="str">
        <f>IF(AND(B198&gt;='IN-NX'!$P$3,B198&lt;='IN-NX'!$Q$3,'IN-NX'!$D$7=D198,OR(LEFT(L198,2)="15",AND(LEFT(M198,2)&lt;&gt;"15",LEFT(M198,2)&lt;&gt;"33"))),"x","")</f>
        <v/>
      </c>
      <c r="AI198" s="80" t="str">
        <f>IF(AND(OR(LEFT(TH!O198,2)="15",LEFT(TH!P198,2)="15"),'152-CT'!$J$8=TH!F198),"x","")</f>
        <v/>
      </c>
      <c r="AJ198" s="80" t="str">
        <f>IF(AND(OR(LEFT(TH!O198,2)="15",LEFT(TH!P198,2)="15"),'THE KHO'!$E$7=TH!F198),"x","")</f>
        <v/>
      </c>
      <c r="AK198" s="80" t="str">
        <f>IF(AND(O198="1521",MONTH(C198)='BK NL'!$M$11),"x","")</f>
        <v/>
      </c>
      <c r="AM198" s="374">
        <v>1</v>
      </c>
    </row>
    <row r="199" spans="1:39" s="374" customFormat="1" ht="15.75" customHeight="1">
      <c r="A199" s="362" t="str">
        <f>IF(B199&lt;&gt;"",IF(AND(B199&gt;=_TM1,B199&lt;=_TM2,OR(TH!O199="1111",TH!P199="1111")),TH!D199,""),"")</f>
        <v/>
      </c>
      <c r="B199" s="63">
        <f t="shared" si="8"/>
        <v>3</v>
      </c>
      <c r="C199" s="337">
        <v>42445</v>
      </c>
      <c r="D199" s="337" t="s">
        <v>8</v>
      </c>
      <c r="E199" s="337">
        <f t="shared" si="9"/>
        <v>42445</v>
      </c>
      <c r="F199" s="338" t="s">
        <v>791</v>
      </c>
      <c r="G199" s="1022" t="s">
        <v>798</v>
      </c>
      <c r="H199" s="338"/>
      <c r="I199" s="476"/>
      <c r="J199" s="476"/>
      <c r="K199" s="469"/>
      <c r="L199" s="476"/>
      <c r="M199" s="88">
        <v>2000</v>
      </c>
      <c r="N199" s="88"/>
      <c r="O199" s="340" t="s">
        <v>10</v>
      </c>
      <c r="P199" s="340" t="s">
        <v>31</v>
      </c>
      <c r="Q199" s="66" t="str">
        <f>IF(AND('331-CT'!$E$7=TH!H199,OR(O199="331",P199="331")),"x","")</f>
        <v/>
      </c>
      <c r="R199" s="66" t="str">
        <f>IF(AND($B199&gt;='111'!$N$11,$B199&lt;='111'!$O$11,OR($O199=$R$7,$P199=$R$7)),"x","")</f>
        <v/>
      </c>
      <c r="S199" s="66" t="str">
        <f>IF(AND($O199=$R$7,$B199&lt;'111'!$N$11),"x","")</f>
        <v/>
      </c>
      <c r="T199" s="66" t="str">
        <f>IF(AND($P199=$R$7,$B199&lt;'111'!$N$11),"x","")</f>
        <v/>
      </c>
      <c r="U199" s="66" t="str">
        <f>IF(AND($B199&gt;='112'!$M$9,$B199&lt;='112'!$N$9,OR($O199='112'!$I$6,$P199='112'!$I$6)),"x","")</f>
        <v/>
      </c>
      <c r="V199" s="66" t="str">
        <f>IF(AND($O199='112'!$I$6,$B199&lt;'112'!$M$9),"x","")</f>
        <v/>
      </c>
      <c r="W199" s="66" t="str">
        <f>IF(AND($P199='112'!$I$6,$B199&lt;'112'!$M$9),"x","")</f>
        <v>x</v>
      </c>
      <c r="X199" s="66" t="str">
        <f>IF(AND('131-CT'!$H$9=TH!H199,OR(O199="131",P199="131")),"x","")</f>
        <v/>
      </c>
      <c r="Y199" s="80" t="str">
        <f>IF(AND($B199&gt;='1331'!$I$9,$B199&lt;='1331'!$J$9,OR($O199=$Y$7,$P199=$Y$7)),"x","")</f>
        <v/>
      </c>
      <c r="Z199" s="80" t="str">
        <f>IF(AND($O199=$Y$7,$B199&lt;'1331'!$I$9),"x","")</f>
        <v>x</v>
      </c>
      <c r="AA199" s="80" t="str">
        <f>IF(AND($P199=$Y$7,$B199&lt;'1331'!$I$9),"x","")</f>
        <v/>
      </c>
      <c r="AB199" s="80" t="str">
        <f>IF(AND($B199&gt;='1332'!$I$9,$B199&lt;='1332'!$I$9,OR($O199=$AB$7,$P199=$AB$7)),"x","")</f>
        <v/>
      </c>
      <c r="AC199" s="80" t="str">
        <f>IF(AND($O199=$AB$7,$B199&lt;'1332'!$I$9),"x","")</f>
        <v/>
      </c>
      <c r="AD199" s="80" t="str">
        <f>IF(AND($P199=$AB$7,$B199&lt;'1332'!$I$9),"x","")</f>
        <v/>
      </c>
      <c r="AE199" s="80" t="str">
        <f>IF(AND('341-CT'!$H$9=H199,OR(LEFT(O199,3)=$AE$7,LEFT(P199,3)=$AE$7)),"x","")</f>
        <v/>
      </c>
      <c r="AF199" s="80" t="str">
        <f>IF(OR(TH!O199=TH!$AF$7,P199=TH!$AF$7),"x","")</f>
        <v/>
      </c>
      <c r="AG199" s="80"/>
      <c r="AH199" s="80" t="str">
        <f>IF(AND(B199&gt;='IN-NX'!$P$3,B199&lt;='IN-NX'!$Q$3,'IN-NX'!$D$7=D199,OR(LEFT(L199,2)="15",AND(LEFT(M199,2)&lt;&gt;"15",LEFT(M199,2)&lt;&gt;"33"))),"x","")</f>
        <v/>
      </c>
      <c r="AI199" s="80" t="str">
        <f>IF(AND(OR(LEFT(TH!O199,2)="15",LEFT(TH!P199,2)="15"),'152-CT'!$J$8=TH!F199),"x","")</f>
        <v/>
      </c>
      <c r="AJ199" s="80" t="str">
        <f>IF(AND(OR(LEFT(TH!O199,2)="15",LEFT(TH!P199,2)="15"),'THE KHO'!$E$7=TH!F199),"x","")</f>
        <v/>
      </c>
      <c r="AK199" s="80" t="str">
        <f>IF(AND(O199="1521",MONTH(C199)='BK NL'!$M$11),"x","")</f>
        <v/>
      </c>
      <c r="AM199" s="374">
        <v>1</v>
      </c>
    </row>
    <row r="200" spans="1:39" s="374" customFormat="1" ht="15.75" customHeight="1">
      <c r="A200" s="362" t="str">
        <f>IF(B200&lt;&gt;"",IF(AND(B200&gt;=_TM1,B200&lt;=_TM2,OR(TH!O200="1111",TH!P200="1111")),TH!D200,""),"")</f>
        <v/>
      </c>
      <c r="B200" s="63">
        <f t="shared" si="8"/>
        <v>3</v>
      </c>
      <c r="C200" s="337">
        <v>42445</v>
      </c>
      <c r="D200" s="337" t="s">
        <v>8</v>
      </c>
      <c r="E200" s="337">
        <f t="shared" si="9"/>
        <v>42445</v>
      </c>
      <c r="F200" s="338" t="s">
        <v>794</v>
      </c>
      <c r="G200" s="1022" t="s">
        <v>798</v>
      </c>
      <c r="H200" s="339" t="s">
        <v>162</v>
      </c>
      <c r="I200" s="476"/>
      <c r="J200" s="476"/>
      <c r="K200" s="469"/>
      <c r="L200" s="476"/>
      <c r="M200" s="65">
        <v>92291900</v>
      </c>
      <c r="N200" s="65"/>
      <c r="O200" s="340" t="s">
        <v>9</v>
      </c>
      <c r="P200" s="340" t="s">
        <v>31</v>
      </c>
      <c r="Q200" s="66" t="str">
        <f>IF(AND('331-CT'!$E$7=TH!H200,OR(O200="331",P200="331")),"x","")</f>
        <v/>
      </c>
      <c r="R200" s="66" t="str">
        <f>IF(AND($B200&gt;='111'!$N$11,$B200&lt;='111'!$O$11,OR($O200=$R$7,$P200=$R$7)),"x","")</f>
        <v/>
      </c>
      <c r="S200" s="66" t="str">
        <f>IF(AND($O200=$R$7,$B200&lt;'111'!$N$11),"x","")</f>
        <v/>
      </c>
      <c r="T200" s="66" t="str">
        <f>IF(AND($P200=$R$7,$B200&lt;'111'!$N$11),"x","")</f>
        <v/>
      </c>
      <c r="U200" s="66" t="str">
        <f>IF(AND($B200&gt;='112'!$M$9,$B200&lt;='112'!$N$9,OR($O200='112'!$I$6,$P200='112'!$I$6)),"x","")</f>
        <v/>
      </c>
      <c r="V200" s="66" t="str">
        <f>IF(AND($O200='112'!$I$6,$B200&lt;'112'!$M$9),"x","")</f>
        <v/>
      </c>
      <c r="W200" s="66" t="str">
        <f>IF(AND($P200='112'!$I$6,$B200&lt;'112'!$M$9),"x","")</f>
        <v>x</v>
      </c>
      <c r="X200" s="66" t="str">
        <f>IF(AND('131-CT'!$H$9=TH!H200,OR(O200="131",P200="131")),"x","")</f>
        <v/>
      </c>
      <c r="Y200" s="80" t="str">
        <f>IF(AND($B200&gt;='1331'!$I$9,$B200&lt;='1331'!$J$9,OR($O200=$Y$7,$P200=$Y$7)),"x","")</f>
        <v/>
      </c>
      <c r="Z200" s="80" t="str">
        <f>IF(AND($O200=$Y$7,$B200&lt;'1331'!$I$9),"x","")</f>
        <v/>
      </c>
      <c r="AA200" s="80" t="str">
        <f>IF(AND($P200=$Y$7,$B200&lt;'1331'!$I$9),"x","")</f>
        <v/>
      </c>
      <c r="AB200" s="80" t="str">
        <f>IF(AND($B200&gt;='1332'!$I$9,$B200&lt;='1332'!$I$9,OR($O200=$AB$7,$P200=$AB$7)),"x","")</f>
        <v/>
      </c>
      <c r="AC200" s="80" t="str">
        <f>IF(AND($O200=$AB$7,$B200&lt;'1332'!$I$9),"x","")</f>
        <v/>
      </c>
      <c r="AD200" s="80" t="str">
        <f>IF(AND($P200=$AB$7,$B200&lt;'1332'!$I$9),"x","")</f>
        <v/>
      </c>
      <c r="AE200" s="80" t="str">
        <f>IF(AND('341-CT'!$H$9=H200,OR(LEFT(O200,3)=$AE$7,LEFT(P200,3)=$AE$7)),"x","")</f>
        <v/>
      </c>
      <c r="AF200" s="80" t="str">
        <f>IF(OR(TH!O200=TH!$AF$7,P200=TH!$AF$7),"x","")</f>
        <v/>
      </c>
      <c r="AG200" s="80"/>
      <c r="AH200" s="80" t="str">
        <f>IF(AND(B200&gt;='IN-NX'!$P$3,B200&lt;='IN-NX'!$Q$3,'IN-NX'!$D$7=D200,OR(LEFT(L200,2)="15",AND(LEFT(M200,2)&lt;&gt;"15",LEFT(M200,2)&lt;&gt;"33"))),"x","")</f>
        <v/>
      </c>
      <c r="AI200" s="80" t="str">
        <f>IF(AND(OR(LEFT(TH!O200,2)="15",LEFT(TH!P200,2)="15"),'152-CT'!$J$8=TH!F200),"x","")</f>
        <v/>
      </c>
      <c r="AJ200" s="80" t="str">
        <f>IF(AND(OR(LEFT(TH!O200,2)="15",LEFT(TH!P200,2)="15"),'THE KHO'!$E$7=TH!F200),"x","")</f>
        <v/>
      </c>
      <c r="AK200" s="80" t="str">
        <f>IF(AND(O200="1521",MONTH(C200)='BK NL'!$M$11),"x","")</f>
        <v/>
      </c>
      <c r="AM200" s="374">
        <v>1</v>
      </c>
    </row>
    <row r="201" spans="1:39" s="374" customFormat="1" ht="15.75" customHeight="1">
      <c r="A201" s="362" t="str">
        <f>IF(B201&lt;&gt;"",IF(AND(B201&gt;=_TM1,B201&lt;=_TM2,OR(TH!O201="1111",TH!P201="1111")),TH!D201,""),"")</f>
        <v/>
      </c>
      <c r="B201" s="63">
        <f t="shared" si="6"/>
        <v>3</v>
      </c>
      <c r="C201" s="337">
        <v>42445</v>
      </c>
      <c r="D201" s="337" t="s">
        <v>8</v>
      </c>
      <c r="E201" s="337">
        <f t="shared" si="9"/>
        <v>42445</v>
      </c>
      <c r="F201" s="338" t="s">
        <v>22</v>
      </c>
      <c r="G201" s="1022" t="s">
        <v>798</v>
      </c>
      <c r="H201" s="339"/>
      <c r="I201" s="476"/>
      <c r="J201" s="476"/>
      <c r="K201" s="469"/>
      <c r="L201" s="476"/>
      <c r="M201" s="65">
        <v>46146</v>
      </c>
      <c r="N201" s="65"/>
      <c r="O201" s="340" t="s">
        <v>135</v>
      </c>
      <c r="P201" s="340" t="s">
        <v>31</v>
      </c>
      <c r="Q201" s="66" t="str">
        <f>IF(AND('331-CT'!$E$7=TH!H201,OR(O201="331",P201="331")),"x","")</f>
        <v/>
      </c>
      <c r="R201" s="66" t="str">
        <f>IF(AND($B201&gt;='111'!$N$11,$B201&lt;='111'!$O$11,OR($O201=$R$7,$P201=$R$7)),"x","")</f>
        <v/>
      </c>
      <c r="S201" s="66" t="str">
        <f>IF(AND($O201=$R$7,$B201&lt;'111'!$N$11),"x","")</f>
        <v/>
      </c>
      <c r="T201" s="66" t="str">
        <f>IF(AND($P201=$R$7,$B201&lt;'111'!$N$11),"x","")</f>
        <v/>
      </c>
      <c r="U201" s="66" t="str">
        <f>IF(AND($B201&gt;='112'!$M$9,$B201&lt;='112'!$N$9,OR($O201='112'!$I$6,$P201='112'!$I$6)),"x","")</f>
        <v/>
      </c>
      <c r="V201" s="66" t="str">
        <f>IF(AND($O201='112'!$I$6,$B201&lt;'112'!$M$9),"x","")</f>
        <v/>
      </c>
      <c r="W201" s="66" t="str">
        <f>IF(AND($P201='112'!$I$6,$B201&lt;'112'!$M$9),"x","")</f>
        <v>x</v>
      </c>
      <c r="X201" s="66" t="str">
        <f>IF(AND('131-CT'!$H$9=TH!H201,OR(O201="131",P201="131")),"x","")</f>
        <v/>
      </c>
      <c r="Y201" s="80" t="str">
        <f>IF(AND($B201&gt;='1331'!$I$9,$B201&lt;='1331'!$J$9,OR($O201=$Y$7,$P201=$Y$7)),"x","")</f>
        <v/>
      </c>
      <c r="Z201" s="80" t="str">
        <f>IF(AND($O201=$Y$7,$B201&lt;'1331'!$I$9),"x","")</f>
        <v/>
      </c>
      <c r="AA201" s="80" t="str">
        <f>IF(AND($P201=$Y$7,$B201&lt;'1331'!$I$9),"x","")</f>
        <v/>
      </c>
      <c r="AB201" s="80" t="str">
        <f>IF(AND($B201&gt;='1332'!$I$9,$B201&lt;='1332'!$I$9,OR($O201=$AB$7,$P201=$AB$7)),"x","")</f>
        <v/>
      </c>
      <c r="AC201" s="80" t="str">
        <f>IF(AND($O201=$AB$7,$B201&lt;'1332'!$I$9),"x","")</f>
        <v/>
      </c>
      <c r="AD201" s="80" t="str">
        <f>IF(AND($P201=$AB$7,$B201&lt;'1332'!$I$9),"x","")</f>
        <v/>
      </c>
      <c r="AE201" s="80" t="str">
        <f>IF(AND('341-CT'!$H$9=H201,OR(LEFT(O201,3)=$AE$7,LEFT(P201,3)=$AE$7)),"x","")</f>
        <v/>
      </c>
      <c r="AF201" s="80" t="str">
        <f>IF(OR(TH!O201=TH!$AF$7,P201=TH!$AF$7),"x","")</f>
        <v/>
      </c>
      <c r="AG201" s="80"/>
      <c r="AH201" s="80" t="str">
        <f>IF(AND(B201&gt;='IN-NX'!$P$3,B201&lt;='IN-NX'!$Q$3,'IN-NX'!$D$7=D201,OR(LEFT(L201,2)="15",AND(LEFT(M201,2)&lt;&gt;"15",LEFT(M201,2)&lt;&gt;"33"))),"x","")</f>
        <v/>
      </c>
      <c r="AI201" s="80" t="str">
        <f>IF(AND(OR(LEFT(TH!O201,2)="15",LEFT(TH!P201,2)="15"),'152-CT'!$J$8=TH!F201),"x","")</f>
        <v/>
      </c>
      <c r="AJ201" s="80" t="str">
        <f>IF(AND(OR(LEFT(TH!O201,2)="15",LEFT(TH!P201,2)="15"),'THE KHO'!$E$7=TH!F201),"x","")</f>
        <v/>
      </c>
      <c r="AK201" s="80" t="str">
        <f>IF(AND(O201="1521",MONTH(C201)='BK NL'!$M$11),"x","")</f>
        <v/>
      </c>
    </row>
    <row r="202" spans="1:39" s="374" customFormat="1" ht="15.75" customHeight="1">
      <c r="A202" s="362" t="str">
        <f>IF(B202&lt;&gt;"",IF(AND(B202&gt;=_TM1,B202&lt;=_TM2,OR(TH!O202="1111",TH!P202="1111")),TH!D202,""),"")</f>
        <v/>
      </c>
      <c r="B202" s="63">
        <f t="shared" si="6"/>
        <v>3</v>
      </c>
      <c r="C202" s="337">
        <v>42445</v>
      </c>
      <c r="D202" s="337" t="s">
        <v>8</v>
      </c>
      <c r="E202" s="337">
        <f t="shared" si="9"/>
        <v>42445</v>
      </c>
      <c r="F202" s="338" t="s">
        <v>23</v>
      </c>
      <c r="G202" s="1022" t="s">
        <v>798</v>
      </c>
      <c r="H202" s="339"/>
      <c r="I202" s="476"/>
      <c r="J202" s="476"/>
      <c r="K202" s="469"/>
      <c r="L202" s="476"/>
      <c r="M202" s="88">
        <v>4615</v>
      </c>
      <c r="N202" s="88"/>
      <c r="O202" s="340" t="s">
        <v>10</v>
      </c>
      <c r="P202" s="340" t="s">
        <v>31</v>
      </c>
      <c r="Q202" s="66" t="str">
        <f>IF(AND('331-CT'!$E$7=TH!H202,OR(O202="331",P202="331")),"x","")</f>
        <v/>
      </c>
      <c r="R202" s="66" t="str">
        <f>IF(AND($B202&gt;='111'!$N$11,$B202&lt;='111'!$O$11,OR($O202=$R$7,$P202=$R$7)),"x","")</f>
        <v/>
      </c>
      <c r="S202" s="66" t="str">
        <f>IF(AND($O202=$R$7,$B202&lt;'111'!$N$11),"x","")</f>
        <v/>
      </c>
      <c r="T202" s="66" t="str">
        <f>IF(AND($P202=$R$7,$B202&lt;'111'!$N$11),"x","")</f>
        <v/>
      </c>
      <c r="U202" s="66" t="str">
        <f>IF(AND($B202&gt;='112'!$M$9,$B202&lt;='112'!$N$9,OR($O202='112'!$I$6,$P202='112'!$I$6)),"x","")</f>
        <v/>
      </c>
      <c r="V202" s="66" t="str">
        <f>IF(AND($O202='112'!$I$6,$B202&lt;'112'!$M$9),"x","")</f>
        <v/>
      </c>
      <c r="W202" s="66" t="str">
        <f>IF(AND($P202='112'!$I$6,$B202&lt;'112'!$M$9),"x","")</f>
        <v>x</v>
      </c>
      <c r="X202" s="66" t="str">
        <f>IF(AND('131-CT'!$H$9=TH!H202,OR(O202="131",P202="131")),"x","")</f>
        <v/>
      </c>
      <c r="Y202" s="80" t="str">
        <f>IF(AND($B202&gt;='1331'!$I$9,$B202&lt;='1331'!$J$9,OR($O202=$Y$7,$P202=$Y$7)),"x","")</f>
        <v/>
      </c>
      <c r="Z202" s="80" t="str">
        <f>IF(AND($O202=$Y$7,$B202&lt;'1331'!$I$9),"x","")</f>
        <v>x</v>
      </c>
      <c r="AA202" s="80" t="str">
        <f>IF(AND($P202=$Y$7,$B202&lt;'1331'!$I$9),"x","")</f>
        <v/>
      </c>
      <c r="AB202" s="80" t="str">
        <f>IF(AND($B202&gt;='1332'!$I$9,$B202&lt;='1332'!$I$9,OR($O202=$AB$7,$P202=$AB$7)),"x","")</f>
        <v/>
      </c>
      <c r="AC202" s="80" t="str">
        <f>IF(AND($O202=$AB$7,$B202&lt;'1332'!$I$9),"x","")</f>
        <v/>
      </c>
      <c r="AD202" s="80" t="str">
        <f>IF(AND($P202=$AB$7,$B202&lt;'1332'!$I$9),"x","")</f>
        <v/>
      </c>
      <c r="AE202" s="80" t="str">
        <f>IF(AND('341-CT'!$H$9=H202,OR(LEFT(O202,3)=$AE$7,LEFT(P202,3)=$AE$7)),"x","")</f>
        <v/>
      </c>
      <c r="AF202" s="80" t="str">
        <f>IF(OR(TH!O202=TH!$AF$7,P202=TH!$AF$7),"x","")</f>
        <v/>
      </c>
      <c r="AG202" s="80"/>
      <c r="AH202" s="80" t="str">
        <f>IF(AND(B202&gt;='IN-NX'!$P$3,B202&lt;='IN-NX'!$Q$3,'IN-NX'!$D$7=D202,OR(LEFT(L202,2)="15",AND(LEFT(M202,2)&lt;&gt;"15",LEFT(M202,2)&lt;&gt;"33"))),"x","")</f>
        <v/>
      </c>
      <c r="AI202" s="80" t="str">
        <f>IF(AND(OR(LEFT(TH!O202,2)="15",LEFT(TH!P202,2)="15"),'152-CT'!$J$8=TH!F202),"x","")</f>
        <v/>
      </c>
      <c r="AJ202" s="80" t="str">
        <f>IF(AND(OR(LEFT(TH!O202,2)="15",LEFT(TH!P202,2)="15"),'THE KHO'!$E$7=TH!F202),"x","")</f>
        <v/>
      </c>
      <c r="AK202" s="80" t="str">
        <f>IF(AND(O202="1521",MONTH(C202)='BK NL'!$M$11),"x","")</f>
        <v/>
      </c>
    </row>
    <row r="203" spans="1:39" s="374" customFormat="1" ht="15.75" customHeight="1">
      <c r="A203" s="362" t="str">
        <f>IF(B203&lt;&gt;"",IF(AND(B203&gt;=_TM1,B203&lt;=_TM2,OR(TH!O203="1111",TH!P203="1111")),TH!D203,""),"")</f>
        <v/>
      </c>
      <c r="B203" s="63">
        <f t="shared" si="6"/>
        <v>3</v>
      </c>
      <c r="C203" s="337">
        <v>42445</v>
      </c>
      <c r="D203" s="337" t="s">
        <v>8</v>
      </c>
      <c r="E203" s="337">
        <f t="shared" si="9"/>
        <v>42445</v>
      </c>
      <c r="F203" s="338" t="s">
        <v>790</v>
      </c>
      <c r="G203" s="1022" t="s">
        <v>798</v>
      </c>
      <c r="H203" s="338"/>
      <c r="I203" s="477"/>
      <c r="J203" s="477"/>
      <c r="K203" s="470"/>
      <c r="L203" s="477"/>
      <c r="M203" s="65">
        <v>27688</v>
      </c>
      <c r="N203" s="65"/>
      <c r="O203" s="340" t="s">
        <v>135</v>
      </c>
      <c r="P203" s="340" t="s">
        <v>31</v>
      </c>
      <c r="Q203" s="66" t="str">
        <f>IF(AND('331-CT'!$E$7=TH!H203,OR(O203="331",P203="331")),"x","")</f>
        <v/>
      </c>
      <c r="R203" s="66" t="str">
        <f>IF(AND($B203&gt;='111'!$N$11,$B203&lt;='111'!$O$11,OR($O203=$R$7,$P203=$R$7)),"x","")</f>
        <v/>
      </c>
      <c r="S203" s="66" t="str">
        <f>IF(AND($O203=$R$7,$B203&lt;'111'!$N$11),"x","")</f>
        <v/>
      </c>
      <c r="T203" s="66" t="str">
        <f>IF(AND($P203=$R$7,$B203&lt;'111'!$N$11),"x","")</f>
        <v/>
      </c>
      <c r="U203" s="66" t="str">
        <f>IF(AND($B203&gt;='112'!$M$9,$B203&lt;='112'!$N$9,OR($O203='112'!$I$6,$P203='112'!$I$6)),"x","")</f>
        <v/>
      </c>
      <c r="V203" s="66" t="str">
        <f>IF(AND($O203='112'!$I$6,$B203&lt;'112'!$M$9),"x","")</f>
        <v/>
      </c>
      <c r="W203" s="66" t="str">
        <f>IF(AND($P203='112'!$I$6,$B203&lt;'112'!$M$9),"x","")</f>
        <v>x</v>
      </c>
      <c r="X203" s="66" t="str">
        <f>IF(AND('131-CT'!$H$9=TH!H203,OR(O203="131",P203="131")),"x","")</f>
        <v/>
      </c>
      <c r="Y203" s="80" t="str">
        <f>IF(AND($B203&gt;='1331'!$I$9,$B203&lt;='1331'!$J$9,OR($O203=$Y$7,$P203=$Y$7)),"x","")</f>
        <v/>
      </c>
      <c r="Z203" s="80" t="str">
        <f>IF(AND($O203=$Y$7,$B203&lt;'1331'!$I$9),"x","")</f>
        <v/>
      </c>
      <c r="AA203" s="80" t="str">
        <f>IF(AND($P203=$Y$7,$B203&lt;'1331'!$I$9),"x","")</f>
        <v/>
      </c>
      <c r="AB203" s="80" t="str">
        <f>IF(AND($B203&gt;='1332'!$I$9,$B203&lt;='1332'!$I$9,OR($O203=$AB$7,$P203=$AB$7)),"x","")</f>
        <v/>
      </c>
      <c r="AC203" s="80" t="str">
        <f>IF(AND($O203=$AB$7,$B203&lt;'1332'!$I$9),"x","")</f>
        <v/>
      </c>
      <c r="AD203" s="80" t="str">
        <f>IF(AND($P203=$AB$7,$B203&lt;'1332'!$I$9),"x","")</f>
        <v/>
      </c>
      <c r="AE203" s="80" t="str">
        <f>IF(AND('341-CT'!$H$9=H203,OR(LEFT(O203,3)=$AE$7,LEFT(P203,3)=$AE$7)),"x","")</f>
        <v/>
      </c>
      <c r="AF203" s="80" t="str">
        <f>IF(OR(TH!O203=TH!$AF$7,P203=TH!$AF$7),"x","")</f>
        <v/>
      </c>
      <c r="AG203" s="80"/>
      <c r="AH203" s="80" t="str">
        <f>IF(AND(B203&gt;='IN-NX'!$P$3,B203&lt;='IN-NX'!$Q$3,'IN-NX'!$D$7=D203,OR(LEFT(L203,2)="15",AND(LEFT(M203,2)&lt;&gt;"15",LEFT(M203,2)&lt;&gt;"33"))),"x","")</f>
        <v/>
      </c>
      <c r="AI203" s="80" t="str">
        <f>IF(AND(OR(LEFT(TH!O203,2)="15",LEFT(TH!P203,2)="15"),'152-CT'!$J$8=TH!F203),"x","")</f>
        <v/>
      </c>
      <c r="AJ203" s="80" t="str">
        <f>IF(AND(OR(LEFT(TH!O203,2)="15",LEFT(TH!P203,2)="15"),'THE KHO'!$E$7=TH!F203),"x","")</f>
        <v/>
      </c>
      <c r="AK203" s="80" t="str">
        <f>IF(AND(O203="1521",MONTH(C203)='BK NL'!$M$11),"x","")</f>
        <v/>
      </c>
    </row>
    <row r="204" spans="1:39" s="374" customFormat="1" ht="15.75" customHeight="1">
      <c r="A204" s="362" t="str">
        <f>IF(B204&lt;&gt;"",IF(AND(B204&gt;=_TM1,B204&lt;=_TM2,OR(TH!O204="1111",TH!P204="1111")),TH!D204,""),"")</f>
        <v/>
      </c>
      <c r="B204" s="63">
        <f t="shared" si="6"/>
        <v>3</v>
      </c>
      <c r="C204" s="337">
        <v>42445</v>
      </c>
      <c r="D204" s="337" t="s">
        <v>8</v>
      </c>
      <c r="E204" s="337">
        <f t="shared" si="9"/>
        <v>42445</v>
      </c>
      <c r="F204" s="338" t="s">
        <v>791</v>
      </c>
      <c r="G204" s="1022" t="s">
        <v>798</v>
      </c>
      <c r="H204" s="338"/>
      <c r="I204" s="476"/>
      <c r="J204" s="476"/>
      <c r="K204" s="469"/>
      <c r="L204" s="476"/>
      <c r="M204" s="88">
        <v>2769</v>
      </c>
      <c r="N204" s="88"/>
      <c r="O204" s="340" t="s">
        <v>10</v>
      </c>
      <c r="P204" s="340" t="s">
        <v>31</v>
      </c>
      <c r="Q204" s="66" t="str">
        <f>IF(AND('331-CT'!$E$7=TH!H204,OR(O204="331",P204="331")),"x","")</f>
        <v/>
      </c>
      <c r="R204" s="66" t="str">
        <f>IF(AND($B204&gt;='111'!$N$11,$B204&lt;='111'!$O$11,OR($O204=$R$7,$P204=$R$7)),"x","")</f>
        <v/>
      </c>
      <c r="S204" s="66" t="str">
        <f>IF(AND($O204=$R$7,$B204&lt;'111'!$N$11),"x","")</f>
        <v/>
      </c>
      <c r="T204" s="66" t="str">
        <f>IF(AND($P204=$R$7,$B204&lt;'111'!$N$11),"x","")</f>
        <v/>
      </c>
      <c r="U204" s="66" t="str">
        <f>IF(AND($B204&gt;='112'!$M$9,$B204&lt;='112'!$N$9,OR($O204='112'!$I$6,$P204='112'!$I$6)),"x","")</f>
        <v/>
      </c>
      <c r="V204" s="66" t="str">
        <f>IF(AND($O204='112'!$I$6,$B204&lt;'112'!$M$9),"x","")</f>
        <v/>
      </c>
      <c r="W204" s="66" t="str">
        <f>IF(AND($P204='112'!$I$6,$B204&lt;'112'!$M$9),"x","")</f>
        <v>x</v>
      </c>
      <c r="X204" s="66" t="str">
        <f>IF(AND('131-CT'!$H$9=TH!H204,OR(O204="131",P204="131")),"x","")</f>
        <v/>
      </c>
      <c r="Y204" s="80" t="str">
        <f>IF(AND($B204&gt;='1331'!$I$9,$B204&lt;='1331'!$J$9,OR($O204=$Y$7,$P204=$Y$7)),"x","")</f>
        <v/>
      </c>
      <c r="Z204" s="80" t="str">
        <f>IF(AND($O204=$Y$7,$B204&lt;'1331'!$I$9),"x","")</f>
        <v>x</v>
      </c>
      <c r="AA204" s="80" t="str">
        <f>IF(AND($P204=$Y$7,$B204&lt;'1331'!$I$9),"x","")</f>
        <v/>
      </c>
      <c r="AB204" s="80" t="str">
        <f>IF(AND($B204&gt;='1332'!$I$9,$B204&lt;='1332'!$I$9,OR($O204=$AB$7,$P204=$AB$7)),"x","")</f>
        <v/>
      </c>
      <c r="AC204" s="80" t="str">
        <f>IF(AND($O204=$AB$7,$B204&lt;'1332'!$I$9),"x","")</f>
        <v/>
      </c>
      <c r="AD204" s="80" t="str">
        <f>IF(AND($P204=$AB$7,$B204&lt;'1332'!$I$9),"x","")</f>
        <v/>
      </c>
      <c r="AE204" s="80" t="str">
        <f>IF(AND('341-CT'!$H$9=H204,OR(LEFT(O204,3)=$AE$7,LEFT(P204,3)=$AE$7)),"x","")</f>
        <v/>
      </c>
      <c r="AF204" s="80" t="str">
        <f>IF(OR(TH!O204=TH!$AF$7,P204=TH!$AF$7),"x","")</f>
        <v/>
      </c>
      <c r="AG204" s="80"/>
      <c r="AH204" s="80" t="str">
        <f>IF(AND(B204&gt;='IN-NX'!$P$3,B204&lt;='IN-NX'!$Q$3,'IN-NX'!$D$7=D204,OR(LEFT(L204,2)="15",AND(LEFT(M204,2)&lt;&gt;"15",LEFT(M204,2)&lt;&gt;"33"))),"x","")</f>
        <v/>
      </c>
      <c r="AI204" s="80" t="str">
        <f>IF(AND(OR(LEFT(TH!O204,2)="15",LEFT(TH!P204,2)="15"),'152-CT'!$J$8=TH!F204),"x","")</f>
        <v/>
      </c>
      <c r="AJ204" s="80" t="str">
        <f>IF(AND(OR(LEFT(TH!O204,2)="15",LEFT(TH!P204,2)="15"),'THE KHO'!$E$7=TH!F204),"x","")</f>
        <v/>
      </c>
      <c r="AK204" s="80" t="str">
        <f>IF(AND(O204="1521",MONTH(C204)='BK NL'!$M$11),"x","")</f>
        <v/>
      </c>
    </row>
    <row r="205" spans="1:39" s="374" customFormat="1" ht="15.75" customHeight="1">
      <c r="A205" s="362" t="str">
        <f>IF(B205&lt;&gt;"",IF(AND(B205&gt;=_TM1,B205&lt;=_TM2,OR(TH!O205="1111",TH!P205="1111")),TH!D205,""),"")</f>
        <v/>
      </c>
      <c r="B205" s="63">
        <f t="shared" si="6"/>
        <v>3</v>
      </c>
      <c r="C205" s="337">
        <v>42448</v>
      </c>
      <c r="D205" s="337" t="s">
        <v>8</v>
      </c>
      <c r="E205" s="337">
        <f t="shared" si="9"/>
        <v>42448</v>
      </c>
      <c r="F205" s="338" t="s">
        <v>405</v>
      </c>
      <c r="G205" s="1022" t="s">
        <v>798</v>
      </c>
      <c r="H205" s="339" t="s">
        <v>166</v>
      </c>
      <c r="I205" s="476"/>
      <c r="J205" s="476"/>
      <c r="K205" s="469"/>
      <c r="L205" s="476"/>
      <c r="M205" s="65">
        <v>7652778</v>
      </c>
      <c r="N205" s="65"/>
      <c r="O205" s="340" t="s">
        <v>133</v>
      </c>
      <c r="P205" s="340" t="s">
        <v>31</v>
      </c>
      <c r="Q205" s="66" t="str">
        <f>IF(AND('331-CT'!$E$7=TH!H205,OR(O205="331",P205="331")),"x","")</f>
        <v/>
      </c>
      <c r="R205" s="66" t="str">
        <f>IF(AND($B205&gt;='111'!$N$11,$B205&lt;='111'!$O$11,OR($O205=$R$7,$P205=$R$7)),"x","")</f>
        <v/>
      </c>
      <c r="S205" s="66" t="str">
        <f>IF(AND($O205=$R$7,$B205&lt;'111'!$N$11),"x","")</f>
        <v/>
      </c>
      <c r="T205" s="66" t="str">
        <f>IF(AND($P205=$R$7,$B205&lt;'111'!$N$11),"x","")</f>
        <v/>
      </c>
      <c r="U205" s="66" t="str">
        <f>IF(AND($B205&gt;='112'!$M$9,$B205&lt;='112'!$N$9,OR($O205='112'!$I$6,$P205='112'!$I$6)),"x","")</f>
        <v/>
      </c>
      <c r="V205" s="66" t="str">
        <f>IF(AND($O205='112'!$I$6,$B205&lt;'112'!$M$9),"x","")</f>
        <v/>
      </c>
      <c r="W205" s="66" t="str">
        <f>IF(AND($P205='112'!$I$6,$B205&lt;'112'!$M$9),"x","")</f>
        <v>x</v>
      </c>
      <c r="X205" s="66" t="str">
        <f>IF(AND('131-CT'!$H$9=TH!H205,OR(O205="131",P205="131")),"x","")</f>
        <v/>
      </c>
      <c r="Y205" s="80" t="str">
        <f>IF(AND($B205&gt;='1331'!$I$9,$B205&lt;='1331'!$J$9,OR($O205=$Y$7,$P205=$Y$7)),"x","")</f>
        <v/>
      </c>
      <c r="Z205" s="80" t="str">
        <f>IF(AND($O205=$Y$7,$B205&lt;'1331'!$I$9),"x","")</f>
        <v/>
      </c>
      <c r="AA205" s="80" t="str">
        <f>IF(AND($P205=$Y$7,$B205&lt;'1331'!$I$9),"x","")</f>
        <v/>
      </c>
      <c r="AB205" s="80" t="str">
        <f>IF(AND($B205&gt;='1332'!$I$9,$B205&lt;='1332'!$I$9,OR($O205=$AB$7,$P205=$AB$7)),"x","")</f>
        <v/>
      </c>
      <c r="AC205" s="80" t="str">
        <f>IF(AND($O205=$AB$7,$B205&lt;'1332'!$I$9),"x","")</f>
        <v/>
      </c>
      <c r="AD205" s="80" t="str">
        <f>IF(AND($P205=$AB$7,$B205&lt;'1332'!$I$9),"x","")</f>
        <v/>
      </c>
      <c r="AE205" s="80" t="str">
        <f>IF(AND('341-CT'!$H$9=H205,OR(LEFT(O205,3)=$AE$7,LEFT(P205,3)=$AE$7)),"x","")</f>
        <v/>
      </c>
      <c r="AF205" s="80" t="str">
        <f>IF(OR(TH!O205=TH!$AF$7,P205=TH!$AF$7),"x","")</f>
        <v/>
      </c>
      <c r="AG205" s="80"/>
      <c r="AH205" s="80" t="str">
        <f>IF(AND(B205&gt;='IN-NX'!$P$3,B205&lt;='IN-NX'!$Q$3,'IN-NX'!$D$7=D205,OR(LEFT(L205,2)="15",AND(LEFT(M205,2)&lt;&gt;"15",LEFT(M205,2)&lt;&gt;"33"))),"x","")</f>
        <v/>
      </c>
      <c r="AI205" s="80" t="str">
        <f>IF(AND(OR(LEFT(TH!O205,2)="15",LEFT(TH!P205,2)="15"),'152-CT'!$J$8=TH!F205),"x","")</f>
        <v/>
      </c>
      <c r="AJ205" s="80" t="str">
        <f>IF(AND(OR(LEFT(TH!O205,2)="15",LEFT(TH!P205,2)="15"),'THE KHO'!$E$7=TH!F205),"x","")</f>
        <v/>
      </c>
      <c r="AK205" s="80" t="str">
        <f>IF(AND(O205="1521",MONTH(C205)='BK NL'!$M$11),"x","")</f>
        <v/>
      </c>
    </row>
    <row r="206" spans="1:39" s="374" customFormat="1" ht="15.75" customHeight="1">
      <c r="A206" s="362" t="str">
        <f>IF(B206&lt;&gt;"",IF(AND(B206&gt;=_TM1,B206&lt;=_TM2,OR(TH!O206="1111",TH!P206="1111")),TH!D206,""),"")</f>
        <v/>
      </c>
      <c r="B206" s="63">
        <f t="shared" si="6"/>
        <v>3</v>
      </c>
      <c r="C206" s="337">
        <v>42448</v>
      </c>
      <c r="D206" s="337" t="s">
        <v>8</v>
      </c>
      <c r="E206" s="337">
        <f t="shared" si="9"/>
        <v>42448</v>
      </c>
      <c r="F206" s="338" t="s">
        <v>405</v>
      </c>
      <c r="G206" s="1022" t="s">
        <v>798</v>
      </c>
      <c r="H206" s="339" t="s">
        <v>167</v>
      </c>
      <c r="I206" s="476"/>
      <c r="J206" s="476"/>
      <c r="K206" s="469"/>
      <c r="L206" s="476"/>
      <c r="M206" s="65">
        <v>15305556</v>
      </c>
      <c r="N206" s="65"/>
      <c r="O206" s="340" t="s">
        <v>133</v>
      </c>
      <c r="P206" s="340" t="s">
        <v>31</v>
      </c>
      <c r="Q206" s="66" t="str">
        <f>IF(AND('331-CT'!$E$7=TH!H206,OR(O206="331",P206="331")),"x","")</f>
        <v/>
      </c>
      <c r="R206" s="66" t="str">
        <f>IF(AND($B206&gt;='111'!$N$11,$B206&lt;='111'!$O$11,OR($O206=$R$7,$P206=$R$7)),"x","")</f>
        <v/>
      </c>
      <c r="S206" s="66" t="str">
        <f>IF(AND($O206=$R$7,$B206&lt;'111'!$N$11),"x","")</f>
        <v/>
      </c>
      <c r="T206" s="66" t="str">
        <f>IF(AND($P206=$R$7,$B206&lt;'111'!$N$11),"x","")</f>
        <v/>
      </c>
      <c r="U206" s="66" t="str">
        <f>IF(AND($B206&gt;='112'!$M$9,$B206&lt;='112'!$N$9,OR($O206='112'!$I$6,$P206='112'!$I$6)),"x","")</f>
        <v/>
      </c>
      <c r="V206" s="66" t="str">
        <f>IF(AND($O206='112'!$I$6,$B206&lt;'112'!$M$9),"x","")</f>
        <v/>
      </c>
      <c r="W206" s="66" t="str">
        <f>IF(AND($P206='112'!$I$6,$B206&lt;'112'!$M$9),"x","")</f>
        <v>x</v>
      </c>
      <c r="X206" s="66" t="str">
        <f>IF(AND('131-CT'!$H$9=TH!H206,OR(O206="131",P206="131")),"x","")</f>
        <v/>
      </c>
      <c r="Y206" s="80" t="str">
        <f>IF(AND($B206&gt;='1331'!$I$9,$B206&lt;='1331'!$J$9,OR($O206=$Y$7,$P206=$Y$7)),"x","")</f>
        <v/>
      </c>
      <c r="Z206" s="80" t="str">
        <f>IF(AND($O206=$Y$7,$B206&lt;'1331'!$I$9),"x","")</f>
        <v/>
      </c>
      <c r="AA206" s="80" t="str">
        <f>IF(AND($P206=$Y$7,$B206&lt;'1331'!$I$9),"x","")</f>
        <v/>
      </c>
      <c r="AB206" s="80" t="str">
        <f>IF(AND($B206&gt;='1332'!$I$9,$B206&lt;='1332'!$I$9,OR($O206=$AB$7,$P206=$AB$7)),"x","")</f>
        <v/>
      </c>
      <c r="AC206" s="80" t="str">
        <f>IF(AND($O206=$AB$7,$B206&lt;'1332'!$I$9),"x","")</f>
        <v/>
      </c>
      <c r="AD206" s="80" t="str">
        <f>IF(AND($P206=$AB$7,$B206&lt;'1332'!$I$9),"x","")</f>
        <v/>
      </c>
      <c r="AE206" s="80" t="str">
        <f>IF(AND('341-CT'!$H$9=H206,OR(LEFT(O206,3)=$AE$7,LEFT(P206,3)=$AE$7)),"x","")</f>
        <v/>
      </c>
      <c r="AF206" s="80" t="str">
        <f>IF(OR(TH!O206=TH!$AF$7,P206=TH!$AF$7),"x","")</f>
        <v/>
      </c>
      <c r="AG206" s="80"/>
      <c r="AH206" s="80" t="str">
        <f>IF(AND(B206&gt;='IN-NX'!$P$3,B206&lt;='IN-NX'!$Q$3,'IN-NX'!$D$7=D206,OR(LEFT(L206,2)="15",AND(LEFT(M206,2)&lt;&gt;"15",LEFT(M206,2)&lt;&gt;"33"))),"x","")</f>
        <v/>
      </c>
      <c r="AI206" s="80" t="str">
        <f>IF(AND(OR(LEFT(TH!O206,2)="15",LEFT(TH!P206,2)="15"),'152-CT'!$J$8=TH!F206),"x","")</f>
        <v/>
      </c>
      <c r="AJ206" s="80" t="str">
        <f>IF(AND(OR(LEFT(TH!O206,2)="15",LEFT(TH!P206,2)="15"),'THE KHO'!$E$7=TH!F206),"x","")</f>
        <v/>
      </c>
      <c r="AK206" s="80" t="str">
        <f>IF(AND(O206="1521",MONTH(C206)='BK NL'!$M$11),"x","")</f>
        <v/>
      </c>
    </row>
    <row r="207" spans="1:39" s="374" customFormat="1" ht="15.75" customHeight="1">
      <c r="A207" s="362" t="str">
        <f>IF(B207&lt;&gt;"",IF(AND(B207&gt;=_TM1,B207&lt;=_TM2,OR(TH!O207="1111",TH!P207="1111")),TH!D207,""),"")</f>
        <v/>
      </c>
      <c r="B207" s="63">
        <f t="shared" si="6"/>
        <v>3</v>
      </c>
      <c r="C207" s="337">
        <v>42448</v>
      </c>
      <c r="D207" s="337" t="s">
        <v>8</v>
      </c>
      <c r="E207" s="337">
        <f t="shared" si="9"/>
        <v>42448</v>
      </c>
      <c r="F207" s="338" t="s">
        <v>405</v>
      </c>
      <c r="G207" s="1022" t="s">
        <v>798</v>
      </c>
      <c r="H207" s="1026" t="s">
        <v>169</v>
      </c>
      <c r="I207" s="477"/>
      <c r="J207" s="477"/>
      <c r="K207" s="470"/>
      <c r="L207" s="477"/>
      <c r="M207" s="65">
        <v>12244444</v>
      </c>
      <c r="N207" s="65"/>
      <c r="O207" s="340" t="s">
        <v>133</v>
      </c>
      <c r="P207" s="340" t="s">
        <v>31</v>
      </c>
      <c r="Q207" s="66" t="str">
        <f>IF(AND('331-CT'!$E$7=TH!H207,OR(O207="331",P207="331")),"x","")</f>
        <v/>
      </c>
      <c r="R207" s="66" t="str">
        <f>IF(AND($B207&gt;='111'!$N$11,$B207&lt;='111'!$O$11,OR($O207=$R$7,$P207=$R$7)),"x","")</f>
        <v/>
      </c>
      <c r="S207" s="66" t="str">
        <f>IF(AND($O207=$R$7,$B207&lt;'111'!$N$11),"x","")</f>
        <v/>
      </c>
      <c r="T207" s="66" t="str">
        <f>IF(AND($P207=$R$7,$B207&lt;'111'!$N$11),"x","")</f>
        <v/>
      </c>
      <c r="U207" s="66" t="str">
        <f>IF(AND($B207&gt;='112'!$M$9,$B207&lt;='112'!$N$9,OR($O207='112'!$I$6,$P207='112'!$I$6)),"x","")</f>
        <v/>
      </c>
      <c r="V207" s="66" t="str">
        <f>IF(AND($O207='112'!$I$6,$B207&lt;'112'!$M$9),"x","")</f>
        <v/>
      </c>
      <c r="W207" s="66" t="str">
        <f>IF(AND($P207='112'!$I$6,$B207&lt;'112'!$M$9),"x","")</f>
        <v>x</v>
      </c>
      <c r="X207" s="66" t="str">
        <f>IF(AND('131-CT'!$H$9=TH!H207,OR(O207="131",P207="131")),"x","")</f>
        <v/>
      </c>
      <c r="Y207" s="80" t="str">
        <f>IF(AND($B207&gt;='1331'!$I$9,$B207&lt;='1331'!$J$9,OR($O207=$Y$7,$P207=$Y$7)),"x","")</f>
        <v/>
      </c>
      <c r="Z207" s="80" t="str">
        <f>IF(AND($O207=$Y$7,$B207&lt;'1331'!$I$9),"x","")</f>
        <v/>
      </c>
      <c r="AA207" s="80" t="str">
        <f>IF(AND($P207=$Y$7,$B207&lt;'1331'!$I$9),"x","")</f>
        <v/>
      </c>
      <c r="AB207" s="80" t="str">
        <f>IF(AND($B207&gt;='1332'!$I$9,$B207&lt;='1332'!$I$9,OR($O207=$AB$7,$P207=$AB$7)),"x","")</f>
        <v/>
      </c>
      <c r="AC207" s="80" t="str">
        <f>IF(AND($O207=$AB$7,$B207&lt;'1332'!$I$9),"x","")</f>
        <v/>
      </c>
      <c r="AD207" s="80" t="str">
        <f>IF(AND($P207=$AB$7,$B207&lt;'1332'!$I$9),"x","")</f>
        <v/>
      </c>
      <c r="AE207" s="80" t="str">
        <f>IF(AND('341-CT'!$H$9=H207,OR(LEFT(O207,3)=$AE$7,LEFT(P207,3)=$AE$7)),"x","")</f>
        <v/>
      </c>
      <c r="AF207" s="80" t="str">
        <f>IF(OR(TH!O207=TH!$AF$7,P207=TH!$AF$7),"x","")</f>
        <v/>
      </c>
      <c r="AG207" s="80"/>
      <c r="AH207" s="80" t="str">
        <f>IF(AND(B207&gt;='IN-NX'!$P$3,B207&lt;='IN-NX'!$Q$3,'IN-NX'!$D$7=D207,OR(LEFT(L207,2)="15",AND(LEFT(M207,2)&lt;&gt;"15",LEFT(M207,2)&lt;&gt;"33"))),"x","")</f>
        <v/>
      </c>
      <c r="AI207" s="80" t="str">
        <f>IF(AND(OR(LEFT(TH!O207,2)="15",LEFT(TH!P207,2)="15"),'152-CT'!$J$8=TH!F207),"x","")</f>
        <v/>
      </c>
      <c r="AJ207" s="80" t="str">
        <f>IF(AND(OR(LEFT(TH!O207,2)="15",LEFT(TH!P207,2)="15"),'THE KHO'!$E$7=TH!F207),"x","")</f>
        <v/>
      </c>
      <c r="AK207" s="80" t="str">
        <f>IF(AND(O207="1521",MONTH(C207)='BK NL'!$M$11),"x","")</f>
        <v/>
      </c>
    </row>
    <row r="208" spans="1:39" s="374" customFormat="1" ht="15.75" customHeight="1">
      <c r="A208" s="362" t="str">
        <f>IF(B208&lt;&gt;"",IF(AND(B208&gt;=_TM1,B208&lt;=_TM2,OR(TH!O208="1111",TH!P208="1111")),TH!D208,""),"")</f>
        <v/>
      </c>
      <c r="B208" s="63">
        <f t="shared" si="6"/>
        <v>3</v>
      </c>
      <c r="C208" s="337">
        <v>42448</v>
      </c>
      <c r="D208" s="337" t="s">
        <v>8</v>
      </c>
      <c r="E208" s="337">
        <f t="shared" si="9"/>
        <v>42448</v>
      </c>
      <c r="F208" s="338" t="s">
        <v>405</v>
      </c>
      <c r="G208" s="1022" t="s">
        <v>798</v>
      </c>
      <c r="H208" s="339" t="s">
        <v>168</v>
      </c>
      <c r="I208" s="477"/>
      <c r="J208" s="477"/>
      <c r="K208" s="470"/>
      <c r="L208" s="477"/>
      <c r="M208" s="65">
        <v>11479167</v>
      </c>
      <c r="N208" s="65"/>
      <c r="O208" s="340" t="s">
        <v>133</v>
      </c>
      <c r="P208" s="340" t="s">
        <v>31</v>
      </c>
      <c r="Q208" s="66" t="str">
        <f>IF(AND('331-CT'!$E$7=TH!H208,OR(O208="331",P208="331")),"x","")</f>
        <v/>
      </c>
      <c r="R208" s="66" t="str">
        <f>IF(AND($B208&gt;='111'!$N$11,$B208&lt;='111'!$O$11,OR($O208=$R$7,$P208=$R$7)),"x","")</f>
        <v/>
      </c>
      <c r="S208" s="66" t="str">
        <f>IF(AND($O208=$R$7,$B208&lt;'111'!$N$11),"x","")</f>
        <v/>
      </c>
      <c r="T208" s="66" t="str">
        <f>IF(AND($P208=$R$7,$B208&lt;'111'!$N$11),"x","")</f>
        <v/>
      </c>
      <c r="U208" s="66" t="str">
        <f>IF(AND($B208&gt;='112'!$M$9,$B208&lt;='112'!$N$9,OR($O208='112'!$I$6,$P208='112'!$I$6)),"x","")</f>
        <v/>
      </c>
      <c r="V208" s="66" t="str">
        <f>IF(AND($O208='112'!$I$6,$B208&lt;'112'!$M$9),"x","")</f>
        <v/>
      </c>
      <c r="W208" s="66" t="str">
        <f>IF(AND($P208='112'!$I$6,$B208&lt;'112'!$M$9),"x","")</f>
        <v>x</v>
      </c>
      <c r="X208" s="66" t="str">
        <f>IF(AND('131-CT'!$H$9=TH!H208,OR(O208="131",P208="131")),"x","")</f>
        <v/>
      </c>
      <c r="Y208" s="80" t="str">
        <f>IF(AND($B208&gt;='1331'!$I$9,$B208&lt;='1331'!$J$9,OR($O208=$Y$7,$P208=$Y$7)),"x","")</f>
        <v/>
      </c>
      <c r="Z208" s="80" t="str">
        <f>IF(AND($O208=$Y$7,$B208&lt;'1331'!$I$9),"x","")</f>
        <v/>
      </c>
      <c r="AA208" s="80" t="str">
        <f>IF(AND($P208=$Y$7,$B208&lt;'1331'!$I$9),"x","")</f>
        <v/>
      </c>
      <c r="AB208" s="80" t="str">
        <f>IF(AND($B208&gt;='1332'!$I$9,$B208&lt;='1332'!$I$9,OR($O208=$AB$7,$P208=$AB$7)),"x","")</f>
        <v/>
      </c>
      <c r="AC208" s="80" t="str">
        <f>IF(AND($O208=$AB$7,$B208&lt;'1332'!$I$9),"x","")</f>
        <v/>
      </c>
      <c r="AD208" s="80" t="str">
        <f>IF(AND($P208=$AB$7,$B208&lt;'1332'!$I$9),"x","")</f>
        <v/>
      </c>
      <c r="AE208" s="80" t="str">
        <f>IF(AND('341-CT'!$H$9=H208,OR(LEFT(O208,3)=$AE$7,LEFT(P208,3)=$AE$7)),"x","")</f>
        <v/>
      </c>
      <c r="AF208" s="80" t="str">
        <f>IF(OR(TH!O208=TH!$AF$7,P208=TH!$AF$7),"x","")</f>
        <v/>
      </c>
      <c r="AG208" s="80"/>
      <c r="AH208" s="80" t="str">
        <f>IF(AND(B208&gt;='IN-NX'!$P$3,B208&lt;='IN-NX'!$Q$3,'IN-NX'!$D$7=D208,OR(LEFT(L208,2)="15",AND(LEFT(M208,2)&lt;&gt;"15",LEFT(M208,2)&lt;&gt;"33"))),"x","")</f>
        <v/>
      </c>
      <c r="AI208" s="80" t="str">
        <f>IF(AND(OR(LEFT(TH!O208,2)="15",LEFT(TH!P208,2)="15"),'152-CT'!$J$8=TH!F208),"x","")</f>
        <v/>
      </c>
      <c r="AJ208" s="80" t="str">
        <f>IF(AND(OR(LEFT(TH!O208,2)="15",LEFT(TH!P208,2)="15"),'THE KHO'!$E$7=TH!F208),"x","")</f>
        <v/>
      </c>
      <c r="AK208" s="80" t="str">
        <f>IF(AND(O208="1521",MONTH(C208)='BK NL'!$M$11),"x","")</f>
        <v/>
      </c>
    </row>
    <row r="209" spans="1:39" s="374" customFormat="1" ht="15.75" customHeight="1">
      <c r="A209" s="362" t="str">
        <f>IF(B209&lt;&gt;"",IF(AND(B209&gt;=_TM1,B209&lt;=_TM2,OR(TH!O209="1111",TH!P209="1111")),TH!D209,""),"")</f>
        <v/>
      </c>
      <c r="B209" s="63">
        <f t="shared" si="6"/>
        <v>3</v>
      </c>
      <c r="C209" s="337">
        <v>42448</v>
      </c>
      <c r="D209" s="337" t="s">
        <v>8</v>
      </c>
      <c r="E209" s="337">
        <f t="shared" si="9"/>
        <v>42448</v>
      </c>
      <c r="F209" s="338" t="s">
        <v>405</v>
      </c>
      <c r="G209" s="1022" t="s">
        <v>798</v>
      </c>
      <c r="H209" s="339" t="s">
        <v>170</v>
      </c>
      <c r="I209" s="477"/>
      <c r="J209" s="477"/>
      <c r="K209" s="470"/>
      <c r="L209" s="477"/>
      <c r="M209" s="65">
        <v>7652778</v>
      </c>
      <c r="N209" s="65"/>
      <c r="O209" s="340" t="s">
        <v>133</v>
      </c>
      <c r="P209" s="340" t="s">
        <v>31</v>
      </c>
      <c r="Q209" s="66" t="str">
        <f>IF(AND('331-CT'!$E$7=TH!H209,OR(O209="331",P209="331")),"x","")</f>
        <v/>
      </c>
      <c r="R209" s="66" t="str">
        <f>IF(AND($B209&gt;='111'!$N$11,$B209&lt;='111'!$O$11,OR($O209=$R$7,$P209=$R$7)),"x","")</f>
        <v/>
      </c>
      <c r="S209" s="66" t="str">
        <f>IF(AND($O209=$R$7,$B209&lt;'111'!$N$11),"x","")</f>
        <v/>
      </c>
      <c r="T209" s="66" t="str">
        <f>IF(AND($P209=$R$7,$B209&lt;'111'!$N$11),"x","")</f>
        <v/>
      </c>
      <c r="U209" s="66" t="str">
        <f>IF(AND($B209&gt;='112'!$M$9,$B209&lt;='112'!$N$9,OR($O209='112'!$I$6,$P209='112'!$I$6)),"x","")</f>
        <v/>
      </c>
      <c r="V209" s="66" t="str">
        <f>IF(AND($O209='112'!$I$6,$B209&lt;'112'!$M$9),"x","")</f>
        <v/>
      </c>
      <c r="W209" s="66" t="str">
        <f>IF(AND($P209='112'!$I$6,$B209&lt;'112'!$M$9),"x","")</f>
        <v>x</v>
      </c>
      <c r="X209" s="66" t="str">
        <f>IF(AND('131-CT'!$H$9=TH!H209,OR(O209="131",P209="131")),"x","")</f>
        <v/>
      </c>
      <c r="Y209" s="80" t="str">
        <f>IF(AND($B209&gt;='1331'!$I$9,$B209&lt;='1331'!$J$9,OR($O209=$Y$7,$P209=$Y$7)),"x","")</f>
        <v/>
      </c>
      <c r="Z209" s="80" t="str">
        <f>IF(AND($O209=$Y$7,$B209&lt;'1331'!$I$9),"x","")</f>
        <v/>
      </c>
      <c r="AA209" s="80" t="str">
        <f>IF(AND($P209=$Y$7,$B209&lt;'1331'!$I$9),"x","")</f>
        <v/>
      </c>
      <c r="AB209" s="80" t="str">
        <f>IF(AND($B209&gt;='1332'!$I$9,$B209&lt;='1332'!$I$9,OR($O209=$AB$7,$P209=$AB$7)),"x","")</f>
        <v/>
      </c>
      <c r="AC209" s="80" t="str">
        <f>IF(AND($O209=$AB$7,$B209&lt;'1332'!$I$9),"x","")</f>
        <v/>
      </c>
      <c r="AD209" s="80" t="str">
        <f>IF(AND($P209=$AB$7,$B209&lt;'1332'!$I$9),"x","")</f>
        <v/>
      </c>
      <c r="AE209" s="80" t="str">
        <f>IF(AND('341-CT'!$H$9=H209,OR(LEFT(O209,3)=$AE$7,LEFT(P209,3)=$AE$7)),"x","")</f>
        <v/>
      </c>
      <c r="AF209" s="80" t="str">
        <f>IF(OR(TH!O209=TH!$AF$7,P209=TH!$AF$7),"x","")</f>
        <v/>
      </c>
      <c r="AG209" s="80"/>
      <c r="AH209" s="80" t="str">
        <f>IF(AND(B209&gt;='IN-NX'!$P$3,B209&lt;='IN-NX'!$Q$3,'IN-NX'!$D$7=D209,OR(LEFT(L209,2)="15",AND(LEFT(M209,2)&lt;&gt;"15",LEFT(M209,2)&lt;&gt;"33"))),"x","")</f>
        <v/>
      </c>
      <c r="AI209" s="80" t="str">
        <f>IF(AND(OR(LEFT(TH!O209,2)="15",LEFT(TH!P209,2)="15"),'152-CT'!$J$8=TH!F209),"x","")</f>
        <v/>
      </c>
      <c r="AJ209" s="80" t="str">
        <f>IF(AND(OR(LEFT(TH!O209,2)="15",LEFT(TH!P209,2)="15"),'THE KHO'!$E$7=TH!F209),"x","")</f>
        <v/>
      </c>
      <c r="AK209" s="80" t="str">
        <f>IF(AND(O209="1521",MONTH(C209)='BK NL'!$M$11),"x","")</f>
        <v/>
      </c>
    </row>
    <row r="210" spans="1:39" s="374" customFormat="1" ht="15.75" customHeight="1">
      <c r="A210" s="362" t="str">
        <f>IF(B210&lt;&gt;"",IF(AND(B210&gt;=_TM1,B210&lt;=_TM2,OR(TH!O210="1111",TH!P210="1111")),TH!D210,""),"")</f>
        <v/>
      </c>
      <c r="B210" s="63">
        <f t="shared" si="6"/>
        <v>3</v>
      </c>
      <c r="C210" s="337">
        <v>42448</v>
      </c>
      <c r="D210" s="337" t="s">
        <v>8</v>
      </c>
      <c r="E210" s="337">
        <f t="shared" si="9"/>
        <v>42448</v>
      </c>
      <c r="F210" s="338" t="s">
        <v>405</v>
      </c>
      <c r="G210" s="1022" t="s">
        <v>798</v>
      </c>
      <c r="H210" s="339" t="s">
        <v>171</v>
      </c>
      <c r="I210" s="477"/>
      <c r="J210" s="477"/>
      <c r="K210" s="470"/>
      <c r="L210" s="477"/>
      <c r="M210" s="65">
        <v>11479167</v>
      </c>
      <c r="N210" s="65"/>
      <c r="O210" s="340" t="s">
        <v>133</v>
      </c>
      <c r="P210" s="340" t="s">
        <v>31</v>
      </c>
      <c r="Q210" s="66" t="str">
        <f>IF(AND('331-CT'!$E$7=TH!H210,OR(O210="331",P210="331")),"x","")</f>
        <v/>
      </c>
      <c r="R210" s="66" t="str">
        <f>IF(AND($B210&gt;='111'!$N$11,$B210&lt;='111'!$O$11,OR($O210=$R$7,$P210=$R$7)),"x","")</f>
        <v/>
      </c>
      <c r="S210" s="66" t="str">
        <f>IF(AND($O210=$R$7,$B210&lt;'111'!$N$11),"x","")</f>
        <v/>
      </c>
      <c r="T210" s="66" t="str">
        <f>IF(AND($P210=$R$7,$B210&lt;'111'!$N$11),"x","")</f>
        <v/>
      </c>
      <c r="U210" s="66" t="str">
        <f>IF(AND($B210&gt;='112'!$M$9,$B210&lt;='112'!$N$9,OR($O210='112'!$I$6,$P210='112'!$I$6)),"x","")</f>
        <v/>
      </c>
      <c r="V210" s="66" t="str">
        <f>IF(AND($O210='112'!$I$6,$B210&lt;'112'!$M$9),"x","")</f>
        <v/>
      </c>
      <c r="W210" s="66" t="str">
        <f>IF(AND($P210='112'!$I$6,$B210&lt;'112'!$M$9),"x","")</f>
        <v>x</v>
      </c>
      <c r="X210" s="66" t="str">
        <f>IF(AND('131-CT'!$H$9=TH!H210,OR(O210="131",P210="131")),"x","")</f>
        <v/>
      </c>
      <c r="Y210" s="80" t="str">
        <f>IF(AND($B210&gt;='1331'!$I$9,$B210&lt;='1331'!$J$9,OR($O210=$Y$7,$P210=$Y$7)),"x","")</f>
        <v/>
      </c>
      <c r="Z210" s="80" t="str">
        <f>IF(AND($O210=$Y$7,$B210&lt;'1331'!$I$9),"x","")</f>
        <v/>
      </c>
      <c r="AA210" s="80" t="str">
        <f>IF(AND($P210=$Y$7,$B210&lt;'1331'!$I$9),"x","")</f>
        <v/>
      </c>
      <c r="AB210" s="80" t="str">
        <f>IF(AND($B210&gt;='1332'!$I$9,$B210&lt;='1332'!$I$9,OR($O210=$AB$7,$P210=$AB$7)),"x","")</f>
        <v/>
      </c>
      <c r="AC210" s="80" t="str">
        <f>IF(AND($O210=$AB$7,$B210&lt;'1332'!$I$9),"x","")</f>
        <v/>
      </c>
      <c r="AD210" s="80" t="str">
        <f>IF(AND($P210=$AB$7,$B210&lt;'1332'!$I$9),"x","")</f>
        <v/>
      </c>
      <c r="AE210" s="80" t="str">
        <f>IF(AND('341-CT'!$H$9=H210,OR(LEFT(O210,3)=$AE$7,LEFT(P210,3)=$AE$7)),"x","")</f>
        <v/>
      </c>
      <c r="AF210" s="80" t="str">
        <f>IF(OR(TH!O210=TH!$AF$7,P210=TH!$AF$7),"x","")</f>
        <v/>
      </c>
      <c r="AG210" s="80"/>
      <c r="AH210" s="80" t="str">
        <f>IF(AND(B210&gt;='IN-NX'!$P$3,B210&lt;='IN-NX'!$Q$3,'IN-NX'!$D$7=D210,OR(LEFT(L210,2)="15",AND(LEFT(M210,2)&lt;&gt;"15",LEFT(M210,2)&lt;&gt;"33"))),"x","")</f>
        <v/>
      </c>
      <c r="AI210" s="80" t="str">
        <f>IF(AND(OR(LEFT(TH!O210,2)="15",LEFT(TH!P210,2)="15"),'152-CT'!$J$8=TH!F210),"x","")</f>
        <v/>
      </c>
      <c r="AJ210" s="80" t="str">
        <f>IF(AND(OR(LEFT(TH!O210,2)="15",LEFT(TH!P210,2)="15"),'THE KHO'!$E$7=TH!F210),"x","")</f>
        <v/>
      </c>
      <c r="AK210" s="80" t="str">
        <f>IF(AND(O210="1521",MONTH(C210)='BK NL'!$M$11),"x","")</f>
        <v/>
      </c>
    </row>
    <row r="211" spans="1:39" s="374" customFormat="1" ht="15.75" customHeight="1">
      <c r="A211" s="362" t="str">
        <f>IF(B211&lt;&gt;"",IF(AND(B211&gt;=_TM1,B211&lt;=_TM2,OR(TH!O211="1111",TH!P211="1111")),TH!D211,""),"")</f>
        <v/>
      </c>
      <c r="B211" s="63">
        <f t="shared" si="6"/>
        <v>3</v>
      </c>
      <c r="C211" s="337">
        <v>42448</v>
      </c>
      <c r="D211" s="337" t="s">
        <v>8</v>
      </c>
      <c r="E211" s="337">
        <f t="shared" si="9"/>
        <v>42448</v>
      </c>
      <c r="F211" s="338" t="s">
        <v>405</v>
      </c>
      <c r="G211" s="1022" t="s">
        <v>798</v>
      </c>
      <c r="H211" s="339" t="s">
        <v>172</v>
      </c>
      <c r="I211" s="477"/>
      <c r="J211" s="477"/>
      <c r="K211" s="470"/>
      <c r="L211" s="477"/>
      <c r="M211" s="65">
        <v>15305556</v>
      </c>
      <c r="N211" s="65"/>
      <c r="O211" s="340" t="s">
        <v>133</v>
      </c>
      <c r="P211" s="340" t="s">
        <v>31</v>
      </c>
      <c r="Q211" s="66" t="str">
        <f>IF(AND('331-CT'!$E$7=TH!H211,OR(O211="331",P211="331")),"x","")</f>
        <v/>
      </c>
      <c r="R211" s="66" t="str">
        <f>IF(AND($B211&gt;='111'!$N$11,$B211&lt;='111'!$O$11,OR($O211=$R$7,$P211=$R$7)),"x","")</f>
        <v/>
      </c>
      <c r="S211" s="66" t="str">
        <f>IF(AND($O211=$R$7,$B211&lt;'111'!$N$11),"x","")</f>
        <v/>
      </c>
      <c r="T211" s="66" t="str">
        <f>IF(AND($P211=$R$7,$B211&lt;'111'!$N$11),"x","")</f>
        <v/>
      </c>
      <c r="U211" s="66" t="str">
        <f>IF(AND($B211&gt;='112'!$M$9,$B211&lt;='112'!$N$9,OR($O211='112'!$I$6,$P211='112'!$I$6)),"x","")</f>
        <v/>
      </c>
      <c r="V211" s="66" t="str">
        <f>IF(AND($O211='112'!$I$6,$B211&lt;'112'!$M$9),"x","")</f>
        <v/>
      </c>
      <c r="W211" s="66" t="str">
        <f>IF(AND($P211='112'!$I$6,$B211&lt;'112'!$M$9),"x","")</f>
        <v>x</v>
      </c>
      <c r="X211" s="66" t="str">
        <f>IF(AND('131-CT'!$H$9=TH!H211,OR(O211="131",P211="131")),"x","")</f>
        <v/>
      </c>
      <c r="Y211" s="80" t="str">
        <f>IF(AND($B211&gt;='1331'!$I$9,$B211&lt;='1331'!$J$9,OR($O211=$Y$7,$P211=$Y$7)),"x","")</f>
        <v/>
      </c>
      <c r="Z211" s="80" t="str">
        <f>IF(AND($O211=$Y$7,$B211&lt;'1331'!$I$9),"x","")</f>
        <v/>
      </c>
      <c r="AA211" s="80" t="str">
        <f>IF(AND($P211=$Y$7,$B211&lt;'1331'!$I$9),"x","")</f>
        <v/>
      </c>
      <c r="AB211" s="80" t="str">
        <f>IF(AND($B211&gt;='1332'!$I$9,$B211&lt;='1332'!$I$9,OR($O211=$AB$7,$P211=$AB$7)),"x","")</f>
        <v/>
      </c>
      <c r="AC211" s="80" t="str">
        <f>IF(AND($O211=$AB$7,$B211&lt;'1332'!$I$9),"x","")</f>
        <v/>
      </c>
      <c r="AD211" s="80" t="str">
        <f>IF(AND($P211=$AB$7,$B211&lt;'1332'!$I$9),"x","")</f>
        <v/>
      </c>
      <c r="AE211" s="80" t="str">
        <f>IF(AND('341-CT'!$H$9=H211,OR(LEFT(O211,3)=$AE$7,LEFT(P211,3)=$AE$7)),"x","")</f>
        <v/>
      </c>
      <c r="AF211" s="80" t="str">
        <f>IF(OR(TH!O211=TH!$AF$7,P211=TH!$AF$7),"x","")</f>
        <v/>
      </c>
      <c r="AG211" s="80"/>
      <c r="AH211" s="80" t="str">
        <f>IF(AND(B211&gt;='IN-NX'!$P$3,B211&lt;='IN-NX'!$Q$3,'IN-NX'!$D$7=D211,OR(LEFT(L211,2)="15",AND(LEFT(M211,2)&lt;&gt;"15",LEFT(M211,2)&lt;&gt;"33"))),"x","")</f>
        <v/>
      </c>
      <c r="AI211" s="80" t="str">
        <f>IF(AND(OR(LEFT(TH!O211,2)="15",LEFT(TH!P211,2)="15"),'152-CT'!$J$8=TH!F211),"x","")</f>
        <v/>
      </c>
      <c r="AJ211" s="80" t="str">
        <f>IF(AND(OR(LEFT(TH!O211,2)="15",LEFT(TH!P211,2)="15"),'THE KHO'!$E$7=TH!F211),"x","")</f>
        <v/>
      </c>
      <c r="AK211" s="80" t="str">
        <f>IF(AND(O211="1521",MONTH(C211)='BK NL'!$M$11),"x","")</f>
        <v/>
      </c>
    </row>
    <row r="212" spans="1:39" s="374" customFormat="1" ht="15.75" customHeight="1">
      <c r="A212" s="362" t="str">
        <f>IF(B212&lt;&gt;"",IF(AND(B212&gt;=_TM1,B212&lt;=_TM2,OR(TH!O212="1111",TH!P212="1111")),TH!D212,""),"")</f>
        <v/>
      </c>
      <c r="B212" s="63">
        <f t="shared" si="6"/>
        <v>3</v>
      </c>
      <c r="C212" s="337">
        <v>42448</v>
      </c>
      <c r="D212" s="337" t="s">
        <v>8</v>
      </c>
      <c r="E212" s="337">
        <f t="shared" si="9"/>
        <v>42448</v>
      </c>
      <c r="F212" s="338" t="s">
        <v>405</v>
      </c>
      <c r="G212" s="1022" t="s">
        <v>798</v>
      </c>
      <c r="H212" s="339" t="s">
        <v>173</v>
      </c>
      <c r="I212" s="477"/>
      <c r="J212" s="477"/>
      <c r="K212" s="470"/>
      <c r="L212" s="477"/>
      <c r="M212" s="65">
        <v>10713889</v>
      </c>
      <c r="N212" s="65"/>
      <c r="O212" s="340" t="s">
        <v>133</v>
      </c>
      <c r="P212" s="340" t="s">
        <v>31</v>
      </c>
      <c r="Q212" s="66" t="str">
        <f>IF(AND('331-CT'!$E$7=TH!H212,OR(O212="331",P212="331")),"x","")</f>
        <v/>
      </c>
      <c r="R212" s="66" t="str">
        <f>IF(AND($B212&gt;='111'!$N$11,$B212&lt;='111'!$O$11,OR($O212=$R$7,$P212=$R$7)),"x","")</f>
        <v/>
      </c>
      <c r="S212" s="66" t="str">
        <f>IF(AND($O212=$R$7,$B212&lt;'111'!$N$11),"x","")</f>
        <v/>
      </c>
      <c r="T212" s="66" t="str">
        <f>IF(AND($P212=$R$7,$B212&lt;'111'!$N$11),"x","")</f>
        <v/>
      </c>
      <c r="U212" s="66" t="str">
        <f>IF(AND($B212&gt;='112'!$M$9,$B212&lt;='112'!$N$9,OR($O212='112'!$I$6,$P212='112'!$I$6)),"x","")</f>
        <v/>
      </c>
      <c r="V212" s="66" t="str">
        <f>IF(AND($O212='112'!$I$6,$B212&lt;'112'!$M$9),"x","")</f>
        <v/>
      </c>
      <c r="W212" s="66" t="str">
        <f>IF(AND($P212='112'!$I$6,$B212&lt;'112'!$M$9),"x","")</f>
        <v>x</v>
      </c>
      <c r="X212" s="66" t="str">
        <f>IF(AND('131-CT'!$H$9=TH!H212,OR(O212="131",P212="131")),"x","")</f>
        <v/>
      </c>
      <c r="Y212" s="80" t="str">
        <f>IF(AND($B212&gt;='1331'!$I$9,$B212&lt;='1331'!$J$9,OR($O212=$Y$7,$P212=$Y$7)),"x","")</f>
        <v/>
      </c>
      <c r="Z212" s="80" t="str">
        <f>IF(AND($O212=$Y$7,$B212&lt;'1331'!$I$9),"x","")</f>
        <v/>
      </c>
      <c r="AA212" s="80" t="str">
        <f>IF(AND($P212=$Y$7,$B212&lt;'1331'!$I$9),"x","")</f>
        <v/>
      </c>
      <c r="AB212" s="80" t="str">
        <f>IF(AND($B212&gt;='1332'!$I$9,$B212&lt;='1332'!$I$9,OR($O212=$AB$7,$P212=$AB$7)),"x","")</f>
        <v/>
      </c>
      <c r="AC212" s="80" t="str">
        <f>IF(AND($O212=$AB$7,$B212&lt;'1332'!$I$9),"x","")</f>
        <v/>
      </c>
      <c r="AD212" s="80" t="str">
        <f>IF(AND($P212=$AB$7,$B212&lt;'1332'!$I$9),"x","")</f>
        <v/>
      </c>
      <c r="AE212" s="80" t="str">
        <f>IF(AND('341-CT'!$H$9=H212,OR(LEFT(O212,3)=$AE$7,LEFT(P212,3)=$AE$7)),"x","")</f>
        <v/>
      </c>
      <c r="AF212" s="80" t="str">
        <f>IF(OR(TH!O212=TH!$AF$7,P212=TH!$AF$7),"x","")</f>
        <v/>
      </c>
      <c r="AG212" s="80"/>
      <c r="AH212" s="80" t="str">
        <f>IF(AND(B212&gt;='IN-NX'!$P$3,B212&lt;='IN-NX'!$Q$3,'IN-NX'!$D$7=D212,OR(LEFT(L212,2)="15",AND(LEFT(M212,2)&lt;&gt;"15",LEFT(M212,2)&lt;&gt;"33"))),"x","")</f>
        <v/>
      </c>
      <c r="AI212" s="80" t="str">
        <f>IF(AND(OR(LEFT(TH!O212,2)="15",LEFT(TH!P212,2)="15"),'152-CT'!$J$8=TH!F212),"x","")</f>
        <v/>
      </c>
      <c r="AJ212" s="80" t="str">
        <f>IF(AND(OR(LEFT(TH!O212,2)="15",LEFT(TH!P212,2)="15"),'THE KHO'!$E$7=TH!F212),"x","")</f>
        <v/>
      </c>
      <c r="AK212" s="80" t="str">
        <f>IF(AND(O212="1521",MONTH(C212)='BK NL'!$M$11),"x","")</f>
        <v/>
      </c>
    </row>
    <row r="213" spans="1:39" s="374" customFormat="1" ht="15.75" customHeight="1">
      <c r="A213" s="362" t="str">
        <f>IF(B213&lt;&gt;"",IF(AND(B213&gt;=_TM1,B213&lt;=_TM2,OR(TH!O213="1111",TH!P213="1111")),TH!D213,""),"")</f>
        <v/>
      </c>
      <c r="B213" s="63">
        <f t="shared" si="6"/>
        <v>3</v>
      </c>
      <c r="C213" s="337">
        <v>42448</v>
      </c>
      <c r="D213" s="337" t="s">
        <v>8</v>
      </c>
      <c r="E213" s="337">
        <f t="shared" si="9"/>
        <v>42448</v>
      </c>
      <c r="F213" s="338" t="s">
        <v>405</v>
      </c>
      <c r="G213" s="1022" t="s">
        <v>798</v>
      </c>
      <c r="H213" s="368" t="s">
        <v>174</v>
      </c>
      <c r="I213" s="476"/>
      <c r="J213" s="476"/>
      <c r="K213" s="469"/>
      <c r="L213" s="476"/>
      <c r="M213" s="65">
        <v>11479167</v>
      </c>
      <c r="N213" s="65"/>
      <c r="O213" s="340" t="s">
        <v>133</v>
      </c>
      <c r="P213" s="340" t="s">
        <v>31</v>
      </c>
      <c r="Q213" s="66" t="str">
        <f>IF(AND('331-CT'!$E$7=TH!H213,OR(O213="331",P213="331")),"x","")</f>
        <v/>
      </c>
      <c r="R213" s="66" t="str">
        <f>IF(AND($B213&gt;='111'!$N$11,$B213&lt;='111'!$O$11,OR($O213=$R$7,$P213=$R$7)),"x","")</f>
        <v/>
      </c>
      <c r="S213" s="66" t="str">
        <f>IF(AND($O213=$R$7,$B213&lt;'111'!$N$11),"x","")</f>
        <v/>
      </c>
      <c r="T213" s="66" t="str">
        <f>IF(AND($P213=$R$7,$B213&lt;'111'!$N$11),"x","")</f>
        <v/>
      </c>
      <c r="U213" s="66" t="str">
        <f>IF(AND($B213&gt;='112'!$M$9,$B213&lt;='112'!$N$9,OR($O213='112'!$I$6,$P213='112'!$I$6)),"x","")</f>
        <v/>
      </c>
      <c r="V213" s="66" t="str">
        <f>IF(AND($O213='112'!$I$6,$B213&lt;'112'!$M$9),"x","")</f>
        <v/>
      </c>
      <c r="W213" s="66" t="str">
        <f>IF(AND($P213='112'!$I$6,$B213&lt;'112'!$M$9),"x","")</f>
        <v>x</v>
      </c>
      <c r="X213" s="66" t="str">
        <f>IF(AND('131-CT'!$H$9=TH!H213,OR(O213="131",P213="131")),"x","")</f>
        <v/>
      </c>
      <c r="Y213" s="80" t="str">
        <f>IF(AND($B213&gt;='1331'!$I$9,$B213&lt;='1331'!$J$9,OR($O213=$Y$7,$P213=$Y$7)),"x","")</f>
        <v/>
      </c>
      <c r="Z213" s="80" t="str">
        <f>IF(AND($O213=$Y$7,$B213&lt;'1331'!$I$9),"x","")</f>
        <v/>
      </c>
      <c r="AA213" s="80" t="str">
        <f>IF(AND($P213=$Y$7,$B213&lt;'1331'!$I$9),"x","")</f>
        <v/>
      </c>
      <c r="AB213" s="80" t="str">
        <f>IF(AND($B213&gt;='1332'!$I$9,$B213&lt;='1332'!$I$9,OR($O213=$AB$7,$P213=$AB$7)),"x","")</f>
        <v/>
      </c>
      <c r="AC213" s="80" t="str">
        <f>IF(AND($O213=$AB$7,$B213&lt;'1332'!$I$9),"x","")</f>
        <v/>
      </c>
      <c r="AD213" s="80" t="str">
        <f>IF(AND($P213=$AB$7,$B213&lt;'1332'!$I$9),"x","")</f>
        <v/>
      </c>
      <c r="AE213" s="80" t="str">
        <f>IF(AND('341-CT'!$H$9=H213,OR(LEFT(O213,3)=$AE$7,LEFT(P213,3)=$AE$7)),"x","")</f>
        <v/>
      </c>
      <c r="AF213" s="80" t="str">
        <f>IF(OR(TH!O213=TH!$AF$7,P213=TH!$AF$7),"x","")</f>
        <v/>
      </c>
      <c r="AG213" s="80"/>
      <c r="AH213" s="80" t="str">
        <f>IF(AND(B213&gt;='IN-NX'!$P$3,B213&lt;='IN-NX'!$Q$3,'IN-NX'!$D$7=D213,OR(LEFT(L213,2)="15",AND(LEFT(M213,2)&lt;&gt;"15",LEFT(M213,2)&lt;&gt;"33"))),"x","")</f>
        <v/>
      </c>
      <c r="AI213" s="80" t="str">
        <f>IF(AND(OR(LEFT(TH!O213,2)="15",LEFT(TH!P213,2)="15"),'152-CT'!$J$8=TH!F213),"x","")</f>
        <v/>
      </c>
      <c r="AJ213" s="80" t="str">
        <f>IF(AND(OR(LEFT(TH!O213,2)="15",LEFT(TH!P213,2)="15"),'THE KHO'!$E$7=TH!F213),"x","")</f>
        <v/>
      </c>
      <c r="AK213" s="80" t="str">
        <f>IF(AND(O213="1521",MONTH(C213)='BK NL'!$M$11),"x","")</f>
        <v/>
      </c>
    </row>
    <row r="214" spans="1:39" s="374" customFormat="1" ht="15.75" customHeight="1">
      <c r="A214" s="362" t="str">
        <f>IF(B214&lt;&gt;"",IF(AND(B214&gt;=_TM1,B214&lt;=_TM2,OR(TH!O214="1111",TH!P214="1111")),TH!D214,""),"")</f>
        <v/>
      </c>
      <c r="B214" s="63">
        <f t="shared" si="6"/>
        <v>3</v>
      </c>
      <c r="C214" s="337">
        <v>42448</v>
      </c>
      <c r="D214" s="337" t="s">
        <v>8</v>
      </c>
      <c r="E214" s="337">
        <f t="shared" si="9"/>
        <v>42448</v>
      </c>
      <c r="F214" s="338" t="s">
        <v>405</v>
      </c>
      <c r="G214" s="1022" t="s">
        <v>798</v>
      </c>
      <c r="H214" s="339" t="s">
        <v>176</v>
      </c>
      <c r="I214" s="476"/>
      <c r="J214" s="476"/>
      <c r="K214" s="469"/>
      <c r="L214" s="476"/>
      <c r="M214" s="65">
        <v>11479167</v>
      </c>
      <c r="N214" s="65"/>
      <c r="O214" s="340" t="s">
        <v>133</v>
      </c>
      <c r="P214" s="340" t="s">
        <v>31</v>
      </c>
      <c r="Q214" s="66" t="str">
        <f>IF(AND('331-CT'!$E$7=TH!H214,OR(O214="331",P214="331")),"x","")</f>
        <v/>
      </c>
      <c r="R214" s="66" t="str">
        <f>IF(AND($B214&gt;='111'!$N$11,$B214&lt;='111'!$O$11,OR($O214=$R$7,$P214=$R$7)),"x","")</f>
        <v/>
      </c>
      <c r="S214" s="66" t="str">
        <f>IF(AND($O214=$R$7,$B214&lt;'111'!$N$11),"x","")</f>
        <v/>
      </c>
      <c r="T214" s="66" t="str">
        <f>IF(AND($P214=$R$7,$B214&lt;'111'!$N$11),"x","")</f>
        <v/>
      </c>
      <c r="U214" s="66" t="str">
        <f>IF(AND($B214&gt;='112'!$M$9,$B214&lt;='112'!$N$9,OR($O214='112'!$I$6,$P214='112'!$I$6)),"x","")</f>
        <v/>
      </c>
      <c r="V214" s="66" t="str">
        <f>IF(AND($O214='112'!$I$6,$B214&lt;'112'!$M$9),"x","")</f>
        <v/>
      </c>
      <c r="W214" s="66" t="str">
        <f>IF(AND($P214='112'!$I$6,$B214&lt;'112'!$M$9),"x","")</f>
        <v>x</v>
      </c>
      <c r="X214" s="66" t="str">
        <f>IF(AND('131-CT'!$H$9=TH!H214,OR(O214="131",P214="131")),"x","")</f>
        <v/>
      </c>
      <c r="Y214" s="80" t="str">
        <f>IF(AND($B214&gt;='1331'!$I$9,$B214&lt;='1331'!$J$9,OR($O214=$Y$7,$P214=$Y$7)),"x","")</f>
        <v/>
      </c>
      <c r="Z214" s="80" t="str">
        <f>IF(AND($O214=$Y$7,$B214&lt;'1331'!$I$9),"x","")</f>
        <v/>
      </c>
      <c r="AA214" s="80" t="str">
        <f>IF(AND($P214=$Y$7,$B214&lt;'1331'!$I$9),"x","")</f>
        <v/>
      </c>
      <c r="AB214" s="80" t="str">
        <f>IF(AND($B214&gt;='1332'!$I$9,$B214&lt;='1332'!$I$9,OR($O214=$AB$7,$P214=$AB$7)),"x","")</f>
        <v/>
      </c>
      <c r="AC214" s="80" t="str">
        <f>IF(AND($O214=$AB$7,$B214&lt;'1332'!$I$9),"x","")</f>
        <v/>
      </c>
      <c r="AD214" s="80" t="str">
        <f>IF(AND($P214=$AB$7,$B214&lt;'1332'!$I$9),"x","")</f>
        <v/>
      </c>
      <c r="AE214" s="80" t="str">
        <f>IF(AND('341-CT'!$H$9=H214,OR(LEFT(O214,3)=$AE$7,LEFT(P214,3)=$AE$7)),"x","")</f>
        <v/>
      </c>
      <c r="AF214" s="80" t="str">
        <f>IF(OR(TH!O214=TH!$AF$7,P214=TH!$AF$7),"x","")</f>
        <v/>
      </c>
      <c r="AG214" s="80"/>
      <c r="AH214" s="80" t="str">
        <f>IF(AND(B214&gt;='IN-NX'!$P$3,B214&lt;='IN-NX'!$Q$3,'IN-NX'!$D$7=D214,OR(LEFT(L214,2)="15",AND(LEFT(M214,2)&lt;&gt;"15",LEFT(M214,2)&lt;&gt;"33"))),"x","")</f>
        <v/>
      </c>
      <c r="AI214" s="80" t="str">
        <f>IF(AND(OR(LEFT(TH!O214,2)="15",LEFT(TH!P214,2)="15"),'152-CT'!$J$8=TH!F214),"x","")</f>
        <v/>
      </c>
      <c r="AJ214" s="80" t="str">
        <f>IF(AND(OR(LEFT(TH!O214,2)="15",LEFT(TH!P214,2)="15"),'THE KHO'!$E$7=TH!F214),"x","")</f>
        <v/>
      </c>
      <c r="AK214" s="80" t="str">
        <f>IF(AND(O214="1521",MONTH(C214)='BK NL'!$M$11),"x","")</f>
        <v/>
      </c>
    </row>
    <row r="215" spans="1:39" s="374" customFormat="1" ht="15.75" customHeight="1">
      <c r="A215" s="362" t="str">
        <f>IF(B215&lt;&gt;"",IF(AND(B215&gt;=_TM1,B215&lt;=_TM2,OR(TH!O215="1111",TH!P215="1111")),TH!D215,""),"")</f>
        <v/>
      </c>
      <c r="B215" s="63">
        <f t="shared" si="6"/>
        <v>3</v>
      </c>
      <c r="C215" s="337">
        <v>42448</v>
      </c>
      <c r="D215" s="337" t="s">
        <v>8</v>
      </c>
      <c r="E215" s="337">
        <f t="shared" si="9"/>
        <v>42448</v>
      </c>
      <c r="F215" s="338" t="s">
        <v>405</v>
      </c>
      <c r="G215" s="1022" t="s">
        <v>798</v>
      </c>
      <c r="H215" s="368" t="s">
        <v>179</v>
      </c>
      <c r="I215" s="476"/>
      <c r="J215" s="476"/>
      <c r="K215" s="469"/>
      <c r="L215" s="476"/>
      <c r="M215" s="65">
        <v>11479167</v>
      </c>
      <c r="N215" s="65"/>
      <c r="O215" s="340" t="s">
        <v>133</v>
      </c>
      <c r="P215" s="340" t="s">
        <v>31</v>
      </c>
      <c r="Q215" s="66" t="str">
        <f>IF(AND('331-CT'!$E$7=TH!H215,OR(O215="331",P215="331")),"x","")</f>
        <v/>
      </c>
      <c r="R215" s="66" t="str">
        <f>IF(AND($B215&gt;='111'!$N$11,$B215&lt;='111'!$O$11,OR($O215=$R$7,$P215=$R$7)),"x","")</f>
        <v/>
      </c>
      <c r="S215" s="66" t="str">
        <f>IF(AND($O215=$R$7,$B215&lt;'111'!$N$11),"x","")</f>
        <v/>
      </c>
      <c r="T215" s="66" t="str">
        <f>IF(AND($P215=$R$7,$B215&lt;'111'!$N$11),"x","")</f>
        <v/>
      </c>
      <c r="U215" s="66" t="str">
        <f>IF(AND($B215&gt;='112'!$M$9,$B215&lt;='112'!$N$9,OR($O215='112'!$I$6,$P215='112'!$I$6)),"x","")</f>
        <v/>
      </c>
      <c r="V215" s="66" t="str">
        <f>IF(AND($O215='112'!$I$6,$B215&lt;'112'!$M$9),"x","")</f>
        <v/>
      </c>
      <c r="W215" s="66" t="str">
        <f>IF(AND($P215='112'!$I$6,$B215&lt;'112'!$M$9),"x","")</f>
        <v>x</v>
      </c>
      <c r="X215" s="66" t="str">
        <f>IF(AND('131-CT'!$H$9=TH!H215,OR(O215="131",P215="131")),"x","")</f>
        <v/>
      </c>
      <c r="Y215" s="80" t="str">
        <f>IF(AND($B215&gt;='1331'!$I$9,$B215&lt;='1331'!$J$9,OR($O215=$Y$7,$P215=$Y$7)),"x","")</f>
        <v/>
      </c>
      <c r="Z215" s="80" t="str">
        <f>IF(AND($O215=$Y$7,$B215&lt;'1331'!$I$9),"x","")</f>
        <v/>
      </c>
      <c r="AA215" s="80" t="str">
        <f>IF(AND($P215=$Y$7,$B215&lt;'1331'!$I$9),"x","")</f>
        <v/>
      </c>
      <c r="AB215" s="80" t="str">
        <f>IF(AND($B215&gt;='1332'!$I$9,$B215&lt;='1332'!$I$9,OR($O215=$AB$7,$P215=$AB$7)),"x","")</f>
        <v/>
      </c>
      <c r="AC215" s="80" t="str">
        <f>IF(AND($O215=$AB$7,$B215&lt;'1332'!$I$9),"x","")</f>
        <v/>
      </c>
      <c r="AD215" s="80" t="str">
        <f>IF(AND($P215=$AB$7,$B215&lt;'1332'!$I$9),"x","")</f>
        <v/>
      </c>
      <c r="AE215" s="80" t="str">
        <f>IF(AND('341-CT'!$H$9=H215,OR(LEFT(O215,3)=$AE$7,LEFT(P215,3)=$AE$7)),"x","")</f>
        <v/>
      </c>
      <c r="AF215" s="80" t="str">
        <f>IF(OR(TH!O215=TH!$AF$7,P215=TH!$AF$7),"x","")</f>
        <v/>
      </c>
      <c r="AG215" s="80"/>
      <c r="AH215" s="80" t="str">
        <f>IF(AND(B215&gt;='IN-NX'!$P$3,B215&lt;='IN-NX'!$Q$3,'IN-NX'!$D$7=D215,OR(LEFT(L215,2)="15",AND(LEFT(M215,2)&lt;&gt;"15",LEFT(M215,2)&lt;&gt;"33"))),"x","")</f>
        <v/>
      </c>
      <c r="AI215" s="80" t="str">
        <f>IF(AND(OR(LEFT(TH!O215,2)="15",LEFT(TH!P215,2)="15"),'152-CT'!$J$8=TH!F215),"x","")</f>
        <v/>
      </c>
      <c r="AJ215" s="80" t="str">
        <f>IF(AND(OR(LEFT(TH!O215,2)="15",LEFT(TH!P215,2)="15"),'THE KHO'!$E$7=TH!F215),"x","")</f>
        <v/>
      </c>
      <c r="AK215" s="80" t="str">
        <f>IF(AND(O215="1521",MONTH(C215)='BK NL'!$M$11),"x","")</f>
        <v/>
      </c>
    </row>
    <row r="216" spans="1:39" s="374" customFormat="1" ht="15.75" customHeight="1">
      <c r="A216" s="362" t="str">
        <f>IF(B216&lt;&gt;"",IF(AND(B216&gt;=_TM1,B216&lt;=_TM2,OR(TH!O216="1111",TH!P216="1111")),TH!D216,""),"")</f>
        <v/>
      </c>
      <c r="B216" s="63">
        <f t="shared" si="6"/>
        <v>3</v>
      </c>
      <c r="C216" s="337">
        <v>42448</v>
      </c>
      <c r="D216" s="337" t="s">
        <v>8</v>
      </c>
      <c r="E216" s="337">
        <f t="shared" si="9"/>
        <v>42448</v>
      </c>
      <c r="F216" s="338" t="s">
        <v>405</v>
      </c>
      <c r="G216" s="1022" t="s">
        <v>798</v>
      </c>
      <c r="H216" s="339" t="s">
        <v>175</v>
      </c>
      <c r="I216" s="476"/>
      <c r="J216" s="476"/>
      <c r="K216" s="469"/>
      <c r="L216" s="476"/>
      <c r="M216" s="65">
        <v>11479167</v>
      </c>
      <c r="N216" s="65"/>
      <c r="O216" s="340" t="s">
        <v>133</v>
      </c>
      <c r="P216" s="340" t="s">
        <v>31</v>
      </c>
      <c r="Q216" s="66" t="str">
        <f>IF(AND('331-CT'!$E$7=TH!H216,OR(O216="331",P216="331")),"x","")</f>
        <v/>
      </c>
      <c r="R216" s="66" t="str">
        <f>IF(AND($B216&gt;='111'!$N$11,$B216&lt;='111'!$O$11,OR($O216=$R$7,$P216=$R$7)),"x","")</f>
        <v/>
      </c>
      <c r="S216" s="66" t="str">
        <f>IF(AND($O216=$R$7,$B216&lt;'111'!$N$11),"x","")</f>
        <v/>
      </c>
      <c r="T216" s="66" t="str">
        <f>IF(AND($P216=$R$7,$B216&lt;'111'!$N$11),"x","")</f>
        <v/>
      </c>
      <c r="U216" s="66" t="str">
        <f>IF(AND($B216&gt;='112'!$M$9,$B216&lt;='112'!$N$9,OR($O216='112'!$I$6,$P216='112'!$I$6)),"x","")</f>
        <v/>
      </c>
      <c r="V216" s="66" t="str">
        <f>IF(AND($O216='112'!$I$6,$B216&lt;'112'!$M$9),"x","")</f>
        <v/>
      </c>
      <c r="W216" s="66" t="str">
        <f>IF(AND($P216='112'!$I$6,$B216&lt;'112'!$M$9),"x","")</f>
        <v>x</v>
      </c>
      <c r="X216" s="66" t="str">
        <f>IF(AND('131-CT'!$H$9=TH!H216,OR(O216="131",P216="131")),"x","")</f>
        <v/>
      </c>
      <c r="Y216" s="80" t="str">
        <f>IF(AND($B216&gt;='1331'!$I$9,$B216&lt;='1331'!$J$9,OR($O216=$Y$7,$P216=$Y$7)),"x","")</f>
        <v/>
      </c>
      <c r="Z216" s="80" t="str">
        <f>IF(AND($O216=$Y$7,$B216&lt;'1331'!$I$9),"x","")</f>
        <v/>
      </c>
      <c r="AA216" s="80" t="str">
        <f>IF(AND($P216=$Y$7,$B216&lt;'1331'!$I$9),"x","")</f>
        <v/>
      </c>
      <c r="AB216" s="80" t="str">
        <f>IF(AND($B216&gt;='1332'!$I$9,$B216&lt;='1332'!$I$9,OR($O216=$AB$7,$P216=$AB$7)),"x","")</f>
        <v/>
      </c>
      <c r="AC216" s="80" t="str">
        <f>IF(AND($O216=$AB$7,$B216&lt;'1332'!$I$9),"x","")</f>
        <v/>
      </c>
      <c r="AD216" s="80" t="str">
        <f>IF(AND($P216=$AB$7,$B216&lt;'1332'!$I$9),"x","")</f>
        <v/>
      </c>
      <c r="AE216" s="80" t="str">
        <f>IF(AND('341-CT'!$H$9=H216,OR(LEFT(O216,3)=$AE$7,LEFT(P216,3)=$AE$7)),"x","")</f>
        <v/>
      </c>
      <c r="AF216" s="80" t="str">
        <f>IF(OR(TH!O216=TH!$AF$7,P216=TH!$AF$7),"x","")</f>
        <v/>
      </c>
      <c r="AG216" s="80"/>
      <c r="AH216" s="80" t="str">
        <f>IF(AND(B216&gt;='IN-NX'!$P$3,B216&lt;='IN-NX'!$Q$3,'IN-NX'!$D$7=D216,OR(LEFT(L216,2)="15",AND(LEFT(M216,2)&lt;&gt;"15",LEFT(M216,2)&lt;&gt;"33"))),"x","")</f>
        <v/>
      </c>
      <c r="AI216" s="80" t="str">
        <f>IF(AND(OR(LEFT(TH!O216,2)="15",LEFT(TH!P216,2)="15"),'152-CT'!$J$8=TH!F216),"x","")</f>
        <v/>
      </c>
      <c r="AJ216" s="80" t="str">
        <f>IF(AND(OR(LEFT(TH!O216,2)="15",LEFT(TH!P216,2)="15"),'THE KHO'!$E$7=TH!F216),"x","")</f>
        <v/>
      </c>
      <c r="AK216" s="80" t="str">
        <f>IF(AND(O216="1521",MONTH(C216)='BK NL'!$M$11),"x","")</f>
        <v/>
      </c>
    </row>
    <row r="217" spans="1:39" s="374" customFormat="1" ht="15.75" customHeight="1">
      <c r="A217" s="362" t="str">
        <f>IF(B217&lt;&gt;"",IF(AND(B217&gt;=_TM1,B217&lt;=_TM2,OR(TH!O217="1111",TH!P217="1111")),TH!D217,""),"")</f>
        <v/>
      </c>
      <c r="B217" s="63">
        <f t="shared" si="6"/>
        <v>3</v>
      </c>
      <c r="C217" s="337">
        <v>42448</v>
      </c>
      <c r="D217" s="337" t="s">
        <v>8</v>
      </c>
      <c r="E217" s="337">
        <f t="shared" si="9"/>
        <v>42448</v>
      </c>
      <c r="F217" s="338" t="s">
        <v>405</v>
      </c>
      <c r="G217" s="1022" t="s">
        <v>798</v>
      </c>
      <c r="H217" s="339" t="s">
        <v>180</v>
      </c>
      <c r="I217" s="476"/>
      <c r="J217" s="476"/>
      <c r="K217" s="469"/>
      <c r="L217" s="476"/>
      <c r="M217" s="65">
        <v>7652778</v>
      </c>
      <c r="N217" s="65"/>
      <c r="O217" s="340" t="s">
        <v>133</v>
      </c>
      <c r="P217" s="340" t="s">
        <v>31</v>
      </c>
      <c r="Q217" s="66" t="str">
        <f>IF(AND('331-CT'!$E$7=TH!H217,OR(O217="331",P217="331")),"x","")</f>
        <v/>
      </c>
      <c r="R217" s="66" t="str">
        <f>IF(AND($B217&gt;='111'!$N$11,$B217&lt;='111'!$O$11,OR($O217=$R$7,$P217=$R$7)),"x","")</f>
        <v/>
      </c>
      <c r="S217" s="66" t="str">
        <f>IF(AND($O217=$R$7,$B217&lt;'111'!$N$11),"x","")</f>
        <v/>
      </c>
      <c r="T217" s="66" t="str">
        <f>IF(AND($P217=$R$7,$B217&lt;'111'!$N$11),"x","")</f>
        <v/>
      </c>
      <c r="U217" s="66" t="str">
        <f>IF(AND($B217&gt;='112'!$M$9,$B217&lt;='112'!$N$9,OR($O217='112'!$I$6,$P217='112'!$I$6)),"x","")</f>
        <v/>
      </c>
      <c r="V217" s="66" t="str">
        <f>IF(AND($O217='112'!$I$6,$B217&lt;'112'!$M$9),"x","")</f>
        <v/>
      </c>
      <c r="W217" s="66" t="str">
        <f>IF(AND($P217='112'!$I$6,$B217&lt;'112'!$M$9),"x","")</f>
        <v>x</v>
      </c>
      <c r="X217" s="66" t="str">
        <f>IF(AND('131-CT'!$H$9=TH!H217,OR(O217="131",P217="131")),"x","")</f>
        <v/>
      </c>
      <c r="Y217" s="80" t="str">
        <f>IF(AND($B217&gt;='1331'!$I$9,$B217&lt;='1331'!$J$9,OR($O217=$Y$7,$P217=$Y$7)),"x","")</f>
        <v/>
      </c>
      <c r="Z217" s="80" t="str">
        <f>IF(AND($O217=$Y$7,$B217&lt;'1331'!$I$9),"x","")</f>
        <v/>
      </c>
      <c r="AA217" s="80" t="str">
        <f>IF(AND($P217=$Y$7,$B217&lt;'1331'!$I$9),"x","")</f>
        <v/>
      </c>
      <c r="AB217" s="80" t="str">
        <f>IF(AND($B217&gt;='1332'!$I$9,$B217&lt;='1332'!$I$9,OR($O217=$AB$7,$P217=$AB$7)),"x","")</f>
        <v/>
      </c>
      <c r="AC217" s="80" t="str">
        <f>IF(AND($O217=$AB$7,$B217&lt;'1332'!$I$9),"x","")</f>
        <v/>
      </c>
      <c r="AD217" s="80" t="str">
        <f>IF(AND($P217=$AB$7,$B217&lt;'1332'!$I$9),"x","")</f>
        <v/>
      </c>
      <c r="AE217" s="80" t="str">
        <f>IF(AND('341-CT'!$H$9=H217,OR(LEFT(O217,3)=$AE$7,LEFT(P217,3)=$AE$7)),"x","")</f>
        <v/>
      </c>
      <c r="AF217" s="80" t="str">
        <f>IF(OR(TH!O217=TH!$AF$7,P217=TH!$AF$7),"x","")</f>
        <v/>
      </c>
      <c r="AG217" s="80"/>
      <c r="AH217" s="80" t="str">
        <f>IF(AND(B217&gt;='IN-NX'!$P$3,B217&lt;='IN-NX'!$Q$3,'IN-NX'!$D$7=D217,OR(LEFT(L217,2)="15",AND(LEFT(M217,2)&lt;&gt;"15",LEFT(M217,2)&lt;&gt;"33"))),"x","")</f>
        <v/>
      </c>
      <c r="AI217" s="80" t="str">
        <f>IF(AND(OR(LEFT(TH!O217,2)="15",LEFT(TH!P217,2)="15"),'152-CT'!$J$8=TH!F217),"x","")</f>
        <v/>
      </c>
      <c r="AJ217" s="80" t="str">
        <f>IF(AND(OR(LEFT(TH!O217,2)="15",LEFT(TH!P217,2)="15"),'THE KHO'!$E$7=TH!F217),"x","")</f>
        <v/>
      </c>
      <c r="AK217" s="80" t="str">
        <f>IF(AND(O217="1521",MONTH(C217)='BK NL'!$M$11),"x","")</f>
        <v/>
      </c>
      <c r="AM217" s="374">
        <v>1</v>
      </c>
    </row>
    <row r="218" spans="1:39" s="374" customFormat="1" ht="15.75" customHeight="1">
      <c r="A218" s="362" t="str">
        <f>IF(B218&lt;&gt;"",IF(AND(B218&gt;=_TM1,B218&lt;=_TM2,OR(TH!O218="1111",TH!P218="1111")),TH!D218,""),"")</f>
        <v/>
      </c>
      <c r="B218" s="63">
        <f t="shared" ref="B218" si="10">IF(C218&lt;&gt;"",MONTH(C218),"")</f>
        <v>3</v>
      </c>
      <c r="C218" s="337">
        <v>42448</v>
      </c>
      <c r="D218" s="337" t="s">
        <v>8</v>
      </c>
      <c r="E218" s="337">
        <f t="shared" si="9"/>
        <v>42448</v>
      </c>
      <c r="F218" s="338" t="s">
        <v>405</v>
      </c>
      <c r="G218" s="1022" t="s">
        <v>798</v>
      </c>
      <c r="H218" s="339" t="s">
        <v>184</v>
      </c>
      <c r="I218" s="478"/>
      <c r="J218" s="478"/>
      <c r="K218" s="471"/>
      <c r="L218" s="478"/>
      <c r="M218" s="65">
        <v>7652778</v>
      </c>
      <c r="N218" s="65"/>
      <c r="O218" s="340" t="s">
        <v>133</v>
      </c>
      <c r="P218" s="340" t="s">
        <v>31</v>
      </c>
      <c r="Q218" s="66" t="str">
        <f>IF(AND('331-CT'!$E$7=TH!H218,OR(O218="331",P218="331")),"x","")</f>
        <v/>
      </c>
      <c r="R218" s="66" t="str">
        <f>IF(AND($B218&gt;='111'!$N$11,$B218&lt;='111'!$O$11,OR($O218=$R$7,$P218=$R$7)),"x","")</f>
        <v/>
      </c>
      <c r="S218" s="66" t="str">
        <f>IF(AND($O218=$R$7,$B218&lt;'111'!$N$11),"x","")</f>
        <v/>
      </c>
      <c r="T218" s="66" t="str">
        <f>IF(AND($P218=$R$7,$B218&lt;'111'!$N$11),"x","")</f>
        <v/>
      </c>
      <c r="U218" s="66" t="str">
        <f>IF(AND($B218&gt;='112'!$M$9,$B218&lt;='112'!$N$9,OR($O218='112'!$I$6,$P218='112'!$I$6)),"x","")</f>
        <v/>
      </c>
      <c r="V218" s="66" t="str">
        <f>IF(AND($O218='112'!$I$6,$B218&lt;'112'!$M$9),"x","")</f>
        <v/>
      </c>
      <c r="W218" s="66" t="str">
        <f>IF(AND($P218='112'!$I$6,$B218&lt;'112'!$M$9),"x","")</f>
        <v>x</v>
      </c>
      <c r="X218" s="66" t="str">
        <f>IF(AND('131-CT'!$H$9=TH!H218,OR(O218="131",P218="131")),"x","")</f>
        <v/>
      </c>
      <c r="Y218" s="80" t="str">
        <f>IF(AND($B218&gt;='1331'!$I$9,$B218&lt;='1331'!$J$9,OR($O218=$Y$7,$P218=$Y$7)),"x","")</f>
        <v/>
      </c>
      <c r="Z218" s="80" t="str">
        <f>IF(AND($O218=$Y$7,$B218&lt;'1331'!$I$9),"x","")</f>
        <v/>
      </c>
      <c r="AA218" s="80" t="str">
        <f>IF(AND($P218=$Y$7,$B218&lt;'1331'!$I$9),"x","")</f>
        <v/>
      </c>
      <c r="AB218" s="80" t="str">
        <f>IF(AND($B218&gt;='1332'!$I$9,$B218&lt;='1332'!$I$9,OR($O218=$AB$7,$P218=$AB$7)),"x","")</f>
        <v/>
      </c>
      <c r="AC218" s="80" t="str">
        <f>IF(AND($O218=$AB$7,$B218&lt;'1332'!$I$9),"x","")</f>
        <v/>
      </c>
      <c r="AD218" s="80" t="str">
        <f>IF(AND($P218=$AB$7,$B218&lt;'1332'!$I$9),"x","")</f>
        <v/>
      </c>
      <c r="AE218" s="80" t="str">
        <f>IF(AND('341-CT'!$H$9=H218,OR(LEFT(O218,3)=$AE$7,LEFT(P218,3)=$AE$7)),"x","")</f>
        <v/>
      </c>
      <c r="AF218" s="80" t="str">
        <f>IF(OR(TH!O218=TH!$AF$7,P218=TH!$AF$7),"x","")</f>
        <v/>
      </c>
      <c r="AG218" s="80"/>
      <c r="AH218" s="80" t="str">
        <f>IF(AND(B218&gt;='IN-NX'!$P$3,B218&lt;='IN-NX'!$Q$3,'IN-NX'!$D$7=D218,OR(LEFT(L218,2)="15",AND(LEFT(M218,2)&lt;&gt;"15",LEFT(M218,2)&lt;&gt;"33"))),"x","")</f>
        <v/>
      </c>
      <c r="AI218" s="80" t="str">
        <f>IF(AND(OR(LEFT(TH!O218,2)="15",LEFT(TH!P218,2)="15"),'152-CT'!$J$8=TH!F218),"x","")</f>
        <v/>
      </c>
      <c r="AJ218" s="80" t="str">
        <f>IF(AND(OR(LEFT(TH!O218,2)="15",LEFT(TH!P218,2)="15"),'THE KHO'!$E$7=TH!F218),"x","")</f>
        <v/>
      </c>
      <c r="AK218" s="80" t="str">
        <f>IF(AND(O218="1521",MONTH(C218)='BK NL'!$M$11),"x","")</f>
        <v/>
      </c>
      <c r="AM218" s="374">
        <v>1</v>
      </c>
    </row>
    <row r="219" spans="1:39" s="374" customFormat="1" ht="15.75" customHeight="1">
      <c r="A219" s="362" t="str">
        <f>IF(B219&lt;&gt;"",IF(AND(B219&gt;=_TM1,B219&lt;=_TM2,OR(TH!O219="1111",TH!P219="1111")),TH!D219,""),"")</f>
        <v/>
      </c>
      <c r="B219" s="63">
        <f t="shared" ref="B219" si="11">IF(C219&lt;&gt;"",MONTH(C219),"")</f>
        <v>3</v>
      </c>
      <c r="C219" s="337">
        <v>42448</v>
      </c>
      <c r="D219" s="337" t="s">
        <v>8</v>
      </c>
      <c r="E219" s="337">
        <f t="shared" si="9"/>
        <v>42448</v>
      </c>
      <c r="F219" s="338" t="s">
        <v>788</v>
      </c>
      <c r="G219" s="1022" t="s">
        <v>798</v>
      </c>
      <c r="H219" s="339" t="s">
        <v>429</v>
      </c>
      <c r="I219" s="476"/>
      <c r="J219" s="476"/>
      <c r="K219" s="469"/>
      <c r="L219" s="476"/>
      <c r="M219" s="65">
        <v>50000000</v>
      </c>
      <c r="N219" s="65"/>
      <c r="O219" s="340" t="s">
        <v>24</v>
      </c>
      <c r="P219" s="340" t="s">
        <v>31</v>
      </c>
      <c r="Q219" s="66" t="str">
        <f>IF(AND('331-CT'!$E$7=TH!H219,OR(O219="331",P219="331")),"x","")</f>
        <v/>
      </c>
      <c r="R219" s="66" t="str">
        <f>IF(AND($B219&gt;='111'!$N$11,$B219&lt;='111'!$O$11,OR($O219=$R$7,$P219=$R$7)),"x","")</f>
        <v/>
      </c>
      <c r="S219" s="66" t="str">
        <f>IF(AND($O219=$R$7,$B219&lt;'111'!$N$11),"x","")</f>
        <v/>
      </c>
      <c r="T219" s="66" t="str">
        <f>IF(AND($P219=$R$7,$B219&lt;'111'!$N$11),"x","")</f>
        <v/>
      </c>
      <c r="U219" s="66" t="str">
        <f>IF(AND($B219&gt;='112'!$M$9,$B219&lt;='112'!$N$9,OR($O219='112'!$I$6,$P219='112'!$I$6)),"x","")</f>
        <v/>
      </c>
      <c r="V219" s="66" t="str">
        <f>IF(AND($O219='112'!$I$6,$B219&lt;'112'!$M$9),"x","")</f>
        <v/>
      </c>
      <c r="W219" s="66" t="str">
        <f>IF(AND($P219='112'!$I$6,$B219&lt;'112'!$M$9),"x","")</f>
        <v>x</v>
      </c>
      <c r="X219" s="66" t="str">
        <f>IF(AND('131-CT'!$H$9=TH!H219,OR(O219="131",P219="131")),"x","")</f>
        <v/>
      </c>
      <c r="Y219" s="80" t="str">
        <f>IF(AND($B219&gt;='1331'!$I$9,$B219&lt;='1331'!$J$9,OR($O219=$Y$7,$P219=$Y$7)),"x","")</f>
        <v/>
      </c>
      <c r="Z219" s="80" t="str">
        <f>IF(AND($O219=$Y$7,$B219&lt;'1331'!$I$9),"x","")</f>
        <v/>
      </c>
      <c r="AA219" s="80" t="str">
        <f>IF(AND($P219=$Y$7,$B219&lt;'1331'!$I$9),"x","")</f>
        <v/>
      </c>
      <c r="AB219" s="80" t="str">
        <f>IF(AND($B219&gt;='1332'!$I$9,$B219&lt;='1332'!$I$9,OR($O219=$AB$7,$P219=$AB$7)),"x","")</f>
        <v/>
      </c>
      <c r="AC219" s="80" t="str">
        <f>IF(AND($O219=$AB$7,$B219&lt;'1332'!$I$9),"x","")</f>
        <v/>
      </c>
      <c r="AD219" s="80" t="str">
        <f>IF(AND($P219=$AB$7,$B219&lt;'1332'!$I$9),"x","")</f>
        <v/>
      </c>
      <c r="AE219" s="80" t="str">
        <f>IF(AND('341-CT'!$H$9=H219,OR(LEFT(O219,3)=$AE$7,LEFT(P219,3)=$AE$7)),"x","")</f>
        <v/>
      </c>
      <c r="AF219" s="80" t="str">
        <f>IF(OR(TH!O219=TH!$AF$7,P219=TH!$AF$7),"x","")</f>
        <v>x</v>
      </c>
      <c r="AG219" s="80"/>
      <c r="AH219" s="80" t="str">
        <f>IF(AND(B219&gt;='IN-NX'!$P$3,B219&lt;='IN-NX'!$Q$3,'IN-NX'!$D$7=D219,OR(LEFT(L219,2)="15",AND(LEFT(M219,2)&lt;&gt;"15",LEFT(M219,2)&lt;&gt;"33"))),"x","")</f>
        <v/>
      </c>
      <c r="AI219" s="80" t="str">
        <f>IF(AND(OR(LEFT(TH!O219,2)="15",LEFT(TH!P219,2)="15"),'152-CT'!$J$8=TH!F219),"x","")</f>
        <v/>
      </c>
      <c r="AJ219" s="80" t="str">
        <f>IF(AND(OR(LEFT(TH!O219,2)="15",LEFT(TH!P219,2)="15"),'THE KHO'!$E$7=TH!F219),"x","")</f>
        <v/>
      </c>
      <c r="AK219" s="80" t="str">
        <f>IF(AND(O219="1521",MONTH(C219)='BK NL'!$M$11),"x","")</f>
        <v/>
      </c>
      <c r="AL219" s="374" t="s">
        <v>26</v>
      </c>
    </row>
    <row r="220" spans="1:39" s="374" customFormat="1" ht="15.75" customHeight="1">
      <c r="A220" s="362" t="str">
        <f>IF(B220&lt;&gt;"",IF(AND(B220&gt;=_TM1,B220&lt;=_TM2,OR(TH!O220="1111",TH!P220="1111")),TH!D220,""),"")</f>
        <v/>
      </c>
      <c r="B220" s="63">
        <f t="shared" ref="B220" si="12">IF(C220&lt;&gt;"",MONTH(C220),"")</f>
        <v>3</v>
      </c>
      <c r="C220" s="337">
        <v>42448</v>
      </c>
      <c r="D220" s="337" t="s">
        <v>892</v>
      </c>
      <c r="E220" s="337">
        <f t="shared" si="9"/>
        <v>42448</v>
      </c>
      <c r="F220" s="338" t="s">
        <v>797</v>
      </c>
      <c r="G220" s="351"/>
      <c r="H220" s="339" t="s">
        <v>429</v>
      </c>
      <c r="I220" s="476"/>
      <c r="J220" s="476"/>
      <c r="K220" s="469"/>
      <c r="L220" s="476"/>
      <c r="M220" s="65">
        <v>50000000</v>
      </c>
      <c r="N220" s="65"/>
      <c r="O220" s="340" t="s">
        <v>97</v>
      </c>
      <c r="P220" s="340" t="s">
        <v>24</v>
      </c>
      <c r="Q220" s="66" t="str">
        <f>IF(AND('331-CT'!$E$7=TH!H220,OR(O220="331",P220="331")),"x","")</f>
        <v/>
      </c>
      <c r="R220" s="66" t="str">
        <f>IF(AND($B220&gt;='111'!$N$11,$B220&lt;='111'!$O$11,OR($O220=$R$7,$P220=$R$7)),"x","")</f>
        <v/>
      </c>
      <c r="S220" s="66" t="str">
        <f>IF(AND($O220=$R$7,$B220&lt;'111'!$N$11),"x","")</f>
        <v>x</v>
      </c>
      <c r="T220" s="66" t="str">
        <f>IF(AND($P220=$R$7,$B220&lt;'111'!$N$11),"x","")</f>
        <v/>
      </c>
      <c r="U220" s="66" t="str">
        <f>IF(AND($B220&gt;='112'!$M$9,$B220&lt;='112'!$N$9,OR($O220='112'!$I$6,$P220='112'!$I$6)),"x","")</f>
        <v/>
      </c>
      <c r="V220" s="66" t="str">
        <f>IF(AND($O220='112'!$I$6,$B220&lt;'112'!$M$9),"x","")</f>
        <v/>
      </c>
      <c r="W220" s="66" t="str">
        <f>IF(AND($P220='112'!$I$6,$B220&lt;'112'!$M$9),"x","")</f>
        <v/>
      </c>
      <c r="X220" s="66" t="str">
        <f>IF(AND('131-CT'!$H$9=TH!H220,OR(O220="131",P220="131")),"x","")</f>
        <v/>
      </c>
      <c r="Y220" s="80" t="str">
        <f>IF(AND($B220&gt;='1331'!$I$9,$B220&lt;='1331'!$J$9,OR($O220=$Y$7,$P220=$Y$7)),"x","")</f>
        <v/>
      </c>
      <c r="Z220" s="80" t="str">
        <f>IF(AND($O220=$Y$7,$B220&lt;'1331'!$I$9),"x","")</f>
        <v/>
      </c>
      <c r="AA220" s="80" t="str">
        <f>IF(AND($P220=$Y$7,$B220&lt;'1331'!$I$9),"x","")</f>
        <v/>
      </c>
      <c r="AB220" s="80" t="str">
        <f>IF(AND($B220&gt;='1332'!$I$9,$B220&lt;='1332'!$I$9,OR($O220=$AB$7,$P220=$AB$7)),"x","")</f>
        <v/>
      </c>
      <c r="AC220" s="80" t="str">
        <f>IF(AND($O220=$AB$7,$B220&lt;'1332'!$I$9),"x","")</f>
        <v/>
      </c>
      <c r="AD220" s="80" t="str">
        <f>IF(AND($P220=$AB$7,$B220&lt;'1332'!$I$9),"x","")</f>
        <v/>
      </c>
      <c r="AE220" s="80" t="str">
        <f>IF(AND('341-CT'!$H$9=H220,OR(LEFT(O220,3)=$AE$7,LEFT(P220,3)=$AE$7)),"x","")</f>
        <v/>
      </c>
      <c r="AF220" s="80" t="str">
        <f>IF(OR(TH!O220=TH!$AF$7,P220=TH!$AF$7),"x","")</f>
        <v>x</v>
      </c>
      <c r="AG220" s="80"/>
      <c r="AH220" s="80" t="str">
        <f>IF(AND(B220&gt;='IN-NX'!$P$3,B220&lt;='IN-NX'!$Q$3,'IN-NX'!$D$7=D220,OR(LEFT(L220,2)="15",AND(LEFT(M220,2)&lt;&gt;"15",LEFT(M220,2)&lt;&gt;"33"))),"x","")</f>
        <v/>
      </c>
      <c r="AI220" s="80" t="str">
        <f>IF(AND(OR(LEFT(TH!O220,2)="15",LEFT(TH!P220,2)="15"),'152-CT'!$J$8=TH!F220),"x","")</f>
        <v/>
      </c>
      <c r="AJ220" s="80" t="str">
        <f>IF(AND(OR(LEFT(TH!O220,2)="15",LEFT(TH!P220,2)="15"),'THE KHO'!$E$7=TH!F220),"x","")</f>
        <v/>
      </c>
      <c r="AK220" s="80" t="str">
        <f>IF(AND(O220="1521",MONTH(C220)='BK NL'!$M$11),"x","")</f>
        <v/>
      </c>
    </row>
    <row r="221" spans="1:39" s="374" customFormat="1" ht="15.75" customHeight="1">
      <c r="A221" s="362" t="str">
        <f>IF(B221&lt;&gt;"",IF(AND(B221&gt;=_TM1,B221&lt;=_TM2,OR(TH!O221="1111",TH!P221="1111")),TH!D221,""),"")</f>
        <v/>
      </c>
      <c r="B221" s="63">
        <f t="shared" si="6"/>
        <v>3</v>
      </c>
      <c r="C221" s="337">
        <v>42450</v>
      </c>
      <c r="D221" s="337" t="s">
        <v>799</v>
      </c>
      <c r="E221" s="337">
        <f t="shared" si="9"/>
        <v>42450</v>
      </c>
      <c r="F221" s="338" t="s">
        <v>800</v>
      </c>
      <c r="G221" s="351" t="s">
        <v>801</v>
      </c>
      <c r="H221" s="7" t="s">
        <v>49</v>
      </c>
      <c r="I221" s="476"/>
      <c r="J221" s="476"/>
      <c r="K221" s="469"/>
      <c r="L221" s="476"/>
      <c r="M221" s="65">
        <v>4141091</v>
      </c>
      <c r="N221" s="65"/>
      <c r="O221" s="340" t="s">
        <v>135</v>
      </c>
      <c r="P221" s="340" t="s">
        <v>97</v>
      </c>
      <c r="Q221" s="66" t="str">
        <f>IF(AND('331-CT'!$E$7=TH!H221,OR(O221="331",P221="331")),"x","")</f>
        <v/>
      </c>
      <c r="R221" s="66" t="str">
        <f>IF(AND($B221&gt;='111'!$N$11,$B221&lt;='111'!$O$11,OR($O221=$R$7,$P221=$R$7)),"x","")</f>
        <v/>
      </c>
      <c r="S221" s="66" t="str">
        <f>IF(AND($O221=$R$7,$B221&lt;'111'!$N$11),"x","")</f>
        <v/>
      </c>
      <c r="T221" s="66" t="str">
        <f>IF(AND($P221=$R$7,$B221&lt;'111'!$N$11),"x","")</f>
        <v>x</v>
      </c>
      <c r="U221" s="66" t="str">
        <f>IF(AND($B221&gt;='112'!$M$9,$B221&lt;='112'!$N$9,OR($O221='112'!$I$6,$P221='112'!$I$6)),"x","")</f>
        <v/>
      </c>
      <c r="V221" s="66" t="str">
        <f>IF(AND($O221='112'!$I$6,$B221&lt;'112'!$M$9),"x","")</f>
        <v/>
      </c>
      <c r="W221" s="66" t="str">
        <f>IF(AND($P221='112'!$I$6,$B221&lt;'112'!$M$9),"x","")</f>
        <v/>
      </c>
      <c r="X221" s="66" t="str">
        <f>IF(AND('131-CT'!$H$9=TH!H221,OR(O221="131",P221="131")),"x","")</f>
        <v/>
      </c>
      <c r="Y221" s="80" t="str">
        <f>IF(AND($B221&gt;='1331'!$I$9,$B221&lt;='1331'!$J$9,OR($O221=$Y$7,$P221=$Y$7)),"x","")</f>
        <v/>
      </c>
      <c r="Z221" s="80" t="str">
        <f>IF(AND($O221=$Y$7,$B221&lt;'1331'!$I$9),"x","")</f>
        <v/>
      </c>
      <c r="AA221" s="80" t="str">
        <f>IF(AND($P221=$Y$7,$B221&lt;'1331'!$I$9),"x","")</f>
        <v/>
      </c>
      <c r="AB221" s="80" t="str">
        <f>IF(AND($B221&gt;='1332'!$I$9,$B221&lt;='1332'!$I$9,OR($O221=$AB$7,$P221=$AB$7)),"x","")</f>
        <v/>
      </c>
      <c r="AC221" s="80" t="str">
        <f>IF(AND($O221=$AB$7,$B221&lt;'1332'!$I$9),"x","")</f>
        <v/>
      </c>
      <c r="AD221" s="80" t="str">
        <f>IF(AND($P221=$AB$7,$B221&lt;'1332'!$I$9),"x","")</f>
        <v/>
      </c>
      <c r="AE221" s="80" t="str">
        <f>IF(AND('341-CT'!$H$9=H221,OR(LEFT(O221,3)=$AE$7,LEFT(P221,3)=$AE$7)),"x","")</f>
        <v/>
      </c>
      <c r="AF221" s="80" t="str">
        <f>IF(OR(TH!O221=TH!$AF$7,P221=TH!$AF$7),"x","")</f>
        <v/>
      </c>
      <c r="AG221" s="80"/>
      <c r="AH221" s="80" t="str">
        <f>IF(AND(B221&gt;='IN-NX'!$P$3,B221&lt;='IN-NX'!$Q$3,'IN-NX'!$D$7=D221,OR(LEFT(L221,2)="15",AND(LEFT(M221,2)&lt;&gt;"15",LEFT(M221,2)&lt;&gt;"33"))),"x","")</f>
        <v/>
      </c>
      <c r="AI221" s="80" t="str">
        <f>IF(AND(OR(LEFT(TH!O221,2)="15",LEFT(TH!P221,2)="15"),'152-CT'!$J$8=TH!F221),"x","")</f>
        <v/>
      </c>
      <c r="AJ221" s="80" t="str">
        <f>IF(AND(OR(LEFT(TH!O221,2)="15",LEFT(TH!P221,2)="15"),'THE KHO'!$E$7=TH!F221),"x","")</f>
        <v/>
      </c>
      <c r="AK221" s="80" t="str">
        <f>IF(AND(O221="1521",MONTH(C221)='BK NL'!$M$11),"x","")</f>
        <v/>
      </c>
      <c r="AM221" s="374">
        <v>1</v>
      </c>
    </row>
    <row r="222" spans="1:39" s="374" customFormat="1" ht="15.75" customHeight="1">
      <c r="A222" s="362" t="str">
        <f>IF(B222&lt;&gt;"",IF(AND(B222&gt;=_TM1,B222&lt;=_TM2,OR(TH!O222="1111",TH!P222="1111")),TH!D222,""),"")</f>
        <v/>
      </c>
      <c r="B222" s="63">
        <f t="shared" ref="B222" si="13">IF(C222&lt;&gt;"",MONTH(C222),"")</f>
        <v>3</v>
      </c>
      <c r="C222" s="337">
        <v>42450</v>
      </c>
      <c r="D222" s="337" t="s">
        <v>799</v>
      </c>
      <c r="E222" s="337">
        <f t="shared" si="9"/>
        <v>42450</v>
      </c>
      <c r="F222" s="338" t="s">
        <v>802</v>
      </c>
      <c r="G222" s="351" t="s">
        <v>801</v>
      </c>
      <c r="H222" s="7" t="s">
        <v>49</v>
      </c>
      <c r="I222" s="476"/>
      <c r="J222" s="476"/>
      <c r="K222" s="469"/>
      <c r="L222" s="476"/>
      <c r="M222" s="88">
        <v>414109</v>
      </c>
      <c r="N222" s="88"/>
      <c r="O222" s="340" t="s">
        <v>10</v>
      </c>
      <c r="P222" s="340" t="s">
        <v>97</v>
      </c>
      <c r="Q222" s="66" t="str">
        <f>IF(AND('331-CT'!$E$7=TH!H222,OR(O222="331",P222="331")),"x","")</f>
        <v/>
      </c>
      <c r="R222" s="66" t="str">
        <f>IF(AND($B222&gt;='111'!$N$11,$B222&lt;='111'!$O$11,OR($O222=$R$7,$P222=$R$7)),"x","")</f>
        <v/>
      </c>
      <c r="S222" s="66" t="str">
        <f>IF(AND($O222=$R$7,$B222&lt;'111'!$N$11),"x","")</f>
        <v/>
      </c>
      <c r="T222" s="66" t="str">
        <f>IF(AND($P222=$R$7,$B222&lt;'111'!$N$11),"x","")</f>
        <v>x</v>
      </c>
      <c r="U222" s="66" t="str">
        <f>IF(AND($B222&gt;='112'!$M$9,$B222&lt;='112'!$N$9,OR($O222='112'!$I$6,$P222='112'!$I$6)),"x","")</f>
        <v/>
      </c>
      <c r="V222" s="66" t="str">
        <f>IF(AND($O222='112'!$I$6,$B222&lt;'112'!$M$9),"x","")</f>
        <v/>
      </c>
      <c r="W222" s="66" t="str">
        <f>IF(AND($P222='112'!$I$6,$B222&lt;'112'!$M$9),"x","")</f>
        <v/>
      </c>
      <c r="X222" s="66" t="str">
        <f>IF(AND('131-CT'!$H$9=TH!H222,OR(O222="131",P222="131")),"x","")</f>
        <v/>
      </c>
      <c r="Y222" s="80" t="str">
        <f>IF(AND($B222&gt;='1331'!$I$9,$B222&lt;='1331'!$J$9,OR($O222=$Y$7,$P222=$Y$7)),"x","")</f>
        <v/>
      </c>
      <c r="Z222" s="80" t="str">
        <f>IF(AND($O222=$Y$7,$B222&lt;'1331'!$I$9),"x","")</f>
        <v>x</v>
      </c>
      <c r="AA222" s="80" t="str">
        <f>IF(AND($P222=$Y$7,$B222&lt;'1331'!$I$9),"x","")</f>
        <v/>
      </c>
      <c r="AB222" s="80" t="str">
        <f>IF(AND($B222&gt;='1332'!$I$9,$B222&lt;='1332'!$I$9,OR($O222=$AB$7,$P222=$AB$7)),"x","")</f>
        <v/>
      </c>
      <c r="AC222" s="80" t="str">
        <f>IF(AND($O222=$AB$7,$B222&lt;'1332'!$I$9),"x","")</f>
        <v/>
      </c>
      <c r="AD222" s="80" t="str">
        <f>IF(AND($P222=$AB$7,$B222&lt;'1332'!$I$9),"x","")</f>
        <v/>
      </c>
      <c r="AE222" s="80" t="str">
        <f>IF(AND('341-CT'!$H$9=H222,OR(LEFT(O222,3)=$AE$7,LEFT(P222,3)=$AE$7)),"x","")</f>
        <v/>
      </c>
      <c r="AF222" s="80" t="str">
        <f>IF(OR(TH!O222=TH!$AF$7,P222=TH!$AF$7),"x","")</f>
        <v/>
      </c>
      <c r="AG222" s="80"/>
      <c r="AH222" s="80" t="str">
        <f>IF(AND(B222&gt;='IN-NX'!$P$3,B222&lt;='IN-NX'!$Q$3,'IN-NX'!$D$7=D222,OR(LEFT(L222,2)="15",AND(LEFT(M222,2)&lt;&gt;"15",LEFT(M222,2)&lt;&gt;"33"))),"x","")</f>
        <v/>
      </c>
      <c r="AI222" s="80" t="str">
        <f>IF(AND(OR(LEFT(TH!O222,2)="15",LEFT(TH!P222,2)="15"),'152-CT'!$J$8=TH!F222),"x","")</f>
        <v/>
      </c>
      <c r="AJ222" s="80" t="str">
        <f>IF(AND(OR(LEFT(TH!O222,2)="15",LEFT(TH!P222,2)="15"),'THE KHO'!$E$7=TH!F222),"x","")</f>
        <v/>
      </c>
      <c r="AK222" s="80" t="str">
        <f>IF(AND(O222="1521",MONTH(C222)='BK NL'!$M$11),"x","")</f>
        <v/>
      </c>
      <c r="AM222" s="374">
        <v>1</v>
      </c>
    </row>
    <row r="223" spans="1:39" s="374" customFormat="1" ht="15.75" customHeight="1">
      <c r="A223" s="362" t="str">
        <f>IF(B223&lt;&gt;"",IF(AND(B223&gt;=_TM1,B223&lt;=_TM2,OR(TH!O223="1111",TH!P223="1111")),TH!D223,""),"")</f>
        <v/>
      </c>
      <c r="B223" s="63">
        <f t="shared" si="6"/>
        <v>3</v>
      </c>
      <c r="C223" s="337">
        <v>42450</v>
      </c>
      <c r="D223" s="337" t="s">
        <v>803</v>
      </c>
      <c r="E223" s="337">
        <f t="shared" si="9"/>
        <v>42450</v>
      </c>
      <c r="F223" s="338" t="s">
        <v>765</v>
      </c>
      <c r="G223" s="351" t="s">
        <v>804</v>
      </c>
      <c r="H223" s="339" t="s">
        <v>323</v>
      </c>
      <c r="I223" s="476"/>
      <c r="J223" s="476"/>
      <c r="K223" s="469"/>
      <c r="L223" s="476"/>
      <c r="M223" s="65">
        <v>2222000</v>
      </c>
      <c r="N223" s="65"/>
      <c r="O223" s="340" t="s">
        <v>135</v>
      </c>
      <c r="P223" s="340" t="s">
        <v>97</v>
      </c>
      <c r="Q223" s="66" t="str">
        <f>IF(AND('331-CT'!$E$7=TH!H223,OR(O223="331",P223="331")),"x","")</f>
        <v/>
      </c>
      <c r="R223" s="66" t="str">
        <f>IF(AND($B223&gt;='111'!$N$11,$B223&lt;='111'!$O$11,OR($O223=$R$7,$P223=$R$7)),"x","")</f>
        <v/>
      </c>
      <c r="S223" s="66" t="str">
        <f>IF(AND($O223=$R$7,$B223&lt;'111'!$N$11),"x","")</f>
        <v/>
      </c>
      <c r="T223" s="66" t="str">
        <f>IF(AND($P223=$R$7,$B223&lt;'111'!$N$11),"x","")</f>
        <v>x</v>
      </c>
      <c r="U223" s="66" t="str">
        <f>IF(AND($B223&gt;='112'!$M$9,$B223&lt;='112'!$N$9,OR($O223='112'!$I$6,$P223='112'!$I$6)),"x","")</f>
        <v/>
      </c>
      <c r="V223" s="66" t="str">
        <f>IF(AND($O223='112'!$I$6,$B223&lt;'112'!$M$9),"x","")</f>
        <v/>
      </c>
      <c r="W223" s="66" t="str">
        <f>IF(AND($P223='112'!$I$6,$B223&lt;'112'!$M$9),"x","")</f>
        <v/>
      </c>
      <c r="X223" s="66" t="str">
        <f>IF(AND('131-CT'!$H$9=TH!H223,OR(O223="131",P223="131")),"x","")</f>
        <v/>
      </c>
      <c r="Y223" s="80" t="str">
        <f>IF(AND($B223&gt;='1331'!$I$9,$B223&lt;='1331'!$J$9,OR($O223=$Y$7,$P223=$Y$7)),"x","")</f>
        <v/>
      </c>
      <c r="Z223" s="80" t="str">
        <f>IF(AND($O223=$Y$7,$B223&lt;'1331'!$I$9),"x","")</f>
        <v/>
      </c>
      <c r="AA223" s="80" t="str">
        <f>IF(AND($P223=$Y$7,$B223&lt;'1331'!$I$9),"x","")</f>
        <v/>
      </c>
      <c r="AB223" s="80" t="str">
        <f>IF(AND($B223&gt;='1332'!$I$9,$B223&lt;='1332'!$I$9,OR($O223=$AB$7,$P223=$AB$7)),"x","")</f>
        <v/>
      </c>
      <c r="AC223" s="80" t="str">
        <f>IF(AND($O223=$AB$7,$B223&lt;'1332'!$I$9),"x","")</f>
        <v/>
      </c>
      <c r="AD223" s="80" t="str">
        <f>IF(AND($P223=$AB$7,$B223&lt;'1332'!$I$9),"x","")</f>
        <v/>
      </c>
      <c r="AE223" s="80" t="str">
        <f>IF(AND('341-CT'!$H$9=H223,OR(LEFT(O223,3)=$AE$7,LEFT(P223,3)=$AE$7)),"x","")</f>
        <v/>
      </c>
      <c r="AF223" s="80" t="str">
        <f>IF(OR(TH!O223=TH!$AF$7,P223=TH!$AF$7),"x","")</f>
        <v/>
      </c>
      <c r="AG223" s="80"/>
      <c r="AH223" s="80" t="str">
        <f>IF(AND(B223&gt;='IN-NX'!$P$3,B223&lt;='IN-NX'!$Q$3,'IN-NX'!$D$7=D223,OR(LEFT(L223,2)="15",AND(LEFT(M223,2)&lt;&gt;"15",LEFT(M223,2)&lt;&gt;"33"))),"x","")</f>
        <v/>
      </c>
      <c r="AI223" s="80" t="str">
        <f>IF(AND(OR(LEFT(TH!O223,2)="15",LEFT(TH!P223,2)="15"),'152-CT'!$J$8=TH!F223),"x","")</f>
        <v/>
      </c>
      <c r="AJ223" s="80" t="str">
        <f>IF(AND(OR(LEFT(TH!O223,2)="15",LEFT(TH!P223,2)="15"),'THE KHO'!$E$7=TH!F223),"x","")</f>
        <v/>
      </c>
      <c r="AK223" s="80" t="str">
        <f>IF(AND(O223="1521",MONTH(C223)='BK NL'!$M$11),"x","")</f>
        <v/>
      </c>
      <c r="AM223" s="374">
        <v>1</v>
      </c>
    </row>
    <row r="224" spans="1:39" s="374" customFormat="1" ht="15.75" customHeight="1">
      <c r="A224" s="362" t="str">
        <f>IF(B224&lt;&gt;"",IF(AND(B224&gt;=_TM1,B224&lt;=_TM2,OR(TH!O224="1111",TH!P224="1111")),TH!D224,""),"")</f>
        <v/>
      </c>
      <c r="B224" s="63">
        <f t="shared" ref="B224" si="14">IF(C224&lt;&gt;"",MONTH(C224),"")</f>
        <v>3</v>
      </c>
      <c r="C224" s="337">
        <v>42451</v>
      </c>
      <c r="D224" s="337" t="s">
        <v>805</v>
      </c>
      <c r="E224" s="337">
        <f t="shared" si="9"/>
        <v>42451</v>
      </c>
      <c r="F224" s="338" t="s">
        <v>806</v>
      </c>
      <c r="G224" s="351" t="s">
        <v>807</v>
      </c>
      <c r="H224" s="339" t="s">
        <v>808</v>
      </c>
      <c r="I224" s="476"/>
      <c r="J224" s="476"/>
      <c r="K224" s="469"/>
      <c r="L224" s="476"/>
      <c r="M224" s="65">
        <v>1200000</v>
      </c>
      <c r="N224" s="65"/>
      <c r="O224" s="340" t="s">
        <v>135</v>
      </c>
      <c r="P224" s="340" t="s">
        <v>97</v>
      </c>
      <c r="Q224" s="66" t="str">
        <f>IF(AND('331-CT'!$E$7=TH!H224,OR(O224="331",P224="331")),"x","")</f>
        <v/>
      </c>
      <c r="R224" s="66" t="str">
        <f>IF(AND($B224&gt;='111'!$N$11,$B224&lt;='111'!$O$11,OR($O224=$R$7,$P224=$R$7)),"x","")</f>
        <v/>
      </c>
      <c r="S224" s="66" t="str">
        <f>IF(AND($O224=$R$7,$B224&lt;'111'!$N$11),"x","")</f>
        <v/>
      </c>
      <c r="T224" s="66" t="str">
        <f>IF(AND($P224=$R$7,$B224&lt;'111'!$N$11),"x","")</f>
        <v>x</v>
      </c>
      <c r="U224" s="66" t="str">
        <f>IF(AND($B224&gt;='112'!$M$9,$B224&lt;='112'!$N$9,OR($O224='112'!$I$6,$P224='112'!$I$6)),"x","")</f>
        <v/>
      </c>
      <c r="V224" s="66" t="str">
        <f>IF(AND($O224='112'!$I$6,$B224&lt;'112'!$M$9),"x","")</f>
        <v/>
      </c>
      <c r="W224" s="66" t="str">
        <f>IF(AND($P224='112'!$I$6,$B224&lt;'112'!$M$9),"x","")</f>
        <v/>
      </c>
      <c r="X224" s="66" t="str">
        <f>IF(AND('131-CT'!$H$9=TH!H224,OR(O224="131",P224="131")),"x","")</f>
        <v/>
      </c>
      <c r="Y224" s="80" t="str">
        <f>IF(AND($B224&gt;='1331'!$I$9,$B224&lt;='1331'!$J$9,OR($O224=$Y$7,$P224=$Y$7)),"x","")</f>
        <v/>
      </c>
      <c r="Z224" s="80" t="str">
        <f>IF(AND($O224=$Y$7,$B224&lt;'1331'!$I$9),"x","")</f>
        <v/>
      </c>
      <c r="AA224" s="80" t="str">
        <f>IF(AND($P224=$Y$7,$B224&lt;'1331'!$I$9),"x","")</f>
        <v/>
      </c>
      <c r="AB224" s="80" t="str">
        <f>IF(AND($B224&gt;='1332'!$I$9,$B224&lt;='1332'!$I$9,OR($O224=$AB$7,$P224=$AB$7)),"x","")</f>
        <v/>
      </c>
      <c r="AC224" s="80" t="str">
        <f>IF(AND($O224=$AB$7,$B224&lt;'1332'!$I$9),"x","")</f>
        <v/>
      </c>
      <c r="AD224" s="80" t="str">
        <f>IF(AND($P224=$AB$7,$B224&lt;'1332'!$I$9),"x","")</f>
        <v/>
      </c>
      <c r="AE224" s="80" t="str">
        <f>IF(AND('341-CT'!$H$9=H224,OR(LEFT(O224,3)=$AE$7,LEFT(P224,3)=$AE$7)),"x","")</f>
        <v/>
      </c>
      <c r="AF224" s="80" t="str">
        <f>IF(OR(TH!O224=TH!$AF$7,P224=TH!$AF$7),"x","")</f>
        <v/>
      </c>
      <c r="AG224" s="80"/>
      <c r="AH224" s="80" t="str">
        <f>IF(AND(B224&gt;='IN-NX'!$P$3,B224&lt;='IN-NX'!$Q$3,'IN-NX'!$D$7=D224,OR(LEFT(L224,2)="15",AND(LEFT(M224,2)&lt;&gt;"15",LEFT(M224,2)&lt;&gt;"33"))),"x","")</f>
        <v/>
      </c>
      <c r="AI224" s="80" t="str">
        <f>IF(AND(OR(LEFT(TH!O224,2)="15",LEFT(TH!P224,2)="15"),'152-CT'!$J$8=TH!F224),"x","")</f>
        <v/>
      </c>
      <c r="AJ224" s="80" t="str">
        <f>IF(AND(OR(LEFT(TH!O224,2)="15",LEFT(TH!P224,2)="15"),'THE KHO'!$E$7=TH!F224),"x","")</f>
        <v/>
      </c>
      <c r="AK224" s="80" t="str">
        <f>IF(AND(O224="1521",MONTH(C224)='BK NL'!$M$11),"x","")</f>
        <v/>
      </c>
      <c r="AM224" s="374">
        <v>1</v>
      </c>
    </row>
    <row r="225" spans="1:39" s="374" customFormat="1" ht="15.75" customHeight="1">
      <c r="A225" s="362" t="str">
        <f>IF(B225&lt;&gt;"",IF(AND(B225&gt;=_TM1,B225&lt;=_TM2,OR(TH!O225="1111",TH!P225="1111")),TH!D225,""),"")</f>
        <v/>
      </c>
      <c r="B225" s="63">
        <f t="shared" ref="B225:B248" si="15">IF(C225&lt;&gt;"",MONTH(C225),"")</f>
        <v>3</v>
      </c>
      <c r="C225" s="337">
        <v>42453</v>
      </c>
      <c r="D225" s="337" t="s">
        <v>809</v>
      </c>
      <c r="E225" s="337">
        <f t="shared" si="9"/>
        <v>42453</v>
      </c>
      <c r="F225" s="338" t="s">
        <v>810</v>
      </c>
      <c r="G225" s="351" t="s">
        <v>811</v>
      </c>
      <c r="H225" s="339" t="s">
        <v>812</v>
      </c>
      <c r="I225" s="476"/>
      <c r="J225" s="476"/>
      <c r="K225" s="469"/>
      <c r="L225" s="476"/>
      <c r="M225" s="65">
        <v>17050899</v>
      </c>
      <c r="N225" s="65"/>
      <c r="O225" s="340" t="s">
        <v>135</v>
      </c>
      <c r="P225" s="340" t="s">
        <v>97</v>
      </c>
      <c r="Q225" s="66" t="str">
        <f>IF(AND('331-CT'!$E$7=TH!H225,OR(O225="331",P225="331")),"x","")</f>
        <v/>
      </c>
      <c r="R225" s="66" t="str">
        <f>IF(AND($B225&gt;='111'!$N$11,$B225&lt;='111'!$O$11,OR($O225=$R$7,$P225=$R$7)),"x","")</f>
        <v/>
      </c>
      <c r="S225" s="66" t="str">
        <f>IF(AND($O225=$R$7,$B225&lt;'111'!$N$11),"x","")</f>
        <v/>
      </c>
      <c r="T225" s="66" t="str">
        <f>IF(AND($P225=$R$7,$B225&lt;'111'!$N$11),"x","")</f>
        <v>x</v>
      </c>
      <c r="U225" s="66" t="str">
        <f>IF(AND($B225&gt;='112'!$M$9,$B225&lt;='112'!$N$9,OR($O225='112'!$I$6,$P225='112'!$I$6)),"x","")</f>
        <v/>
      </c>
      <c r="V225" s="66" t="str">
        <f>IF(AND($O225='112'!$I$6,$B225&lt;'112'!$M$9),"x","")</f>
        <v/>
      </c>
      <c r="W225" s="66" t="str">
        <f>IF(AND($P225='112'!$I$6,$B225&lt;'112'!$M$9),"x","")</f>
        <v/>
      </c>
      <c r="X225" s="66" t="str">
        <f>IF(AND('131-CT'!$H$9=TH!H225,OR(O225="131",P225="131")),"x","")</f>
        <v/>
      </c>
      <c r="Y225" s="80" t="str">
        <f>IF(AND($B225&gt;='1331'!$I$9,$B225&lt;='1331'!$J$9,OR($O225=$Y$7,$P225=$Y$7)),"x","")</f>
        <v/>
      </c>
      <c r="Z225" s="80" t="str">
        <f>IF(AND($O225=$Y$7,$B225&lt;'1331'!$I$9),"x","")</f>
        <v/>
      </c>
      <c r="AA225" s="80" t="str">
        <f>IF(AND($P225=$Y$7,$B225&lt;'1331'!$I$9),"x","")</f>
        <v/>
      </c>
      <c r="AB225" s="80" t="str">
        <f>IF(AND($B225&gt;='1332'!$I$9,$B225&lt;='1332'!$I$9,OR($O225=$AB$7,$P225=$AB$7)),"x","")</f>
        <v/>
      </c>
      <c r="AC225" s="80" t="str">
        <f>IF(AND($O225=$AB$7,$B225&lt;'1332'!$I$9),"x","")</f>
        <v/>
      </c>
      <c r="AD225" s="80" t="str">
        <f>IF(AND($P225=$AB$7,$B225&lt;'1332'!$I$9),"x","")</f>
        <v/>
      </c>
      <c r="AE225" s="80" t="str">
        <f>IF(AND('341-CT'!$H$9=H225,OR(LEFT(O225,3)=$AE$7,LEFT(P225,3)=$AE$7)),"x","")</f>
        <v/>
      </c>
      <c r="AF225" s="80" t="str">
        <f>IF(OR(TH!O225=TH!$AF$7,P225=TH!$AF$7),"x","")</f>
        <v/>
      </c>
      <c r="AG225" s="80"/>
      <c r="AH225" s="80" t="str">
        <f>IF(AND(B225&gt;='IN-NX'!$P$3,B225&lt;='IN-NX'!$Q$3,'IN-NX'!$D$7=D225,OR(LEFT(L225,2)="15",AND(LEFT(M225,2)&lt;&gt;"15",LEFT(M225,2)&lt;&gt;"33"))),"x","")</f>
        <v/>
      </c>
      <c r="AI225" s="80" t="str">
        <f>IF(AND(OR(LEFT(TH!O225,2)="15",LEFT(TH!P225,2)="15"),'152-CT'!$J$8=TH!F225),"x","")</f>
        <v/>
      </c>
      <c r="AJ225" s="80" t="str">
        <f>IF(AND(OR(LEFT(TH!O225,2)="15",LEFT(TH!P225,2)="15"),'THE KHO'!$E$7=TH!F225),"x","")</f>
        <v/>
      </c>
      <c r="AK225" s="80" t="str">
        <f>IF(AND(O225="1521",MONTH(C225)='BK NL'!$M$11),"x","")</f>
        <v/>
      </c>
      <c r="AM225" s="374">
        <v>1</v>
      </c>
    </row>
    <row r="226" spans="1:39" s="374" customFormat="1" ht="15.75" customHeight="1">
      <c r="A226" s="362" t="str">
        <f>IF(B226&lt;&gt;"",IF(AND(B226&gt;=_TM1,B226&lt;=_TM2,OR(TH!O226="1111",TH!P226="1111")),TH!D226,""),"")</f>
        <v/>
      </c>
      <c r="B226" s="63">
        <f t="shared" si="15"/>
        <v>3</v>
      </c>
      <c r="C226" s="337">
        <v>42453</v>
      </c>
      <c r="D226" s="337" t="s">
        <v>809</v>
      </c>
      <c r="E226" s="337">
        <f t="shared" si="9"/>
        <v>42453</v>
      </c>
      <c r="F226" s="338" t="s">
        <v>813</v>
      </c>
      <c r="G226" s="351" t="s">
        <v>811</v>
      </c>
      <c r="H226" s="339" t="s">
        <v>812</v>
      </c>
      <c r="I226" s="476"/>
      <c r="J226" s="476"/>
      <c r="K226" s="469"/>
      <c r="L226" s="476"/>
      <c r="M226" s="88">
        <v>1705089</v>
      </c>
      <c r="N226" s="88"/>
      <c r="O226" s="340" t="s">
        <v>10</v>
      </c>
      <c r="P226" s="340" t="s">
        <v>97</v>
      </c>
      <c r="Q226" s="66" t="str">
        <f>IF(AND('331-CT'!$E$7=TH!H226,OR(O226="331",P226="331")),"x","")</f>
        <v/>
      </c>
      <c r="R226" s="66" t="str">
        <f>IF(AND($B226&gt;='111'!$N$11,$B226&lt;='111'!$O$11,OR($O226=$R$7,$P226=$R$7)),"x","")</f>
        <v/>
      </c>
      <c r="S226" s="66" t="str">
        <f>IF(AND($O226=$R$7,$B226&lt;'111'!$N$11),"x","")</f>
        <v/>
      </c>
      <c r="T226" s="66" t="str">
        <f>IF(AND($P226=$R$7,$B226&lt;'111'!$N$11),"x","")</f>
        <v>x</v>
      </c>
      <c r="U226" s="66" t="str">
        <f>IF(AND($B226&gt;='112'!$M$9,$B226&lt;='112'!$N$9,OR($O226='112'!$I$6,$P226='112'!$I$6)),"x","")</f>
        <v/>
      </c>
      <c r="V226" s="66" t="str">
        <f>IF(AND($O226='112'!$I$6,$B226&lt;'112'!$M$9),"x","")</f>
        <v/>
      </c>
      <c r="W226" s="66" t="str">
        <f>IF(AND($P226='112'!$I$6,$B226&lt;'112'!$M$9),"x","")</f>
        <v/>
      </c>
      <c r="X226" s="66" t="str">
        <f>IF(AND('131-CT'!$H$9=TH!H226,OR(O226="131",P226="131")),"x","")</f>
        <v/>
      </c>
      <c r="Y226" s="80" t="str">
        <f>IF(AND($B226&gt;='1331'!$I$9,$B226&lt;='1331'!$J$9,OR($O226=$Y$7,$P226=$Y$7)),"x","")</f>
        <v/>
      </c>
      <c r="Z226" s="80" t="str">
        <f>IF(AND($O226=$Y$7,$B226&lt;'1331'!$I$9),"x","")</f>
        <v>x</v>
      </c>
      <c r="AA226" s="80" t="str">
        <f>IF(AND($P226=$Y$7,$B226&lt;'1331'!$I$9),"x","")</f>
        <v/>
      </c>
      <c r="AB226" s="80" t="str">
        <f>IF(AND($B226&gt;='1332'!$I$9,$B226&lt;='1332'!$I$9,OR($O226=$AB$7,$P226=$AB$7)),"x","")</f>
        <v/>
      </c>
      <c r="AC226" s="80" t="str">
        <f>IF(AND($O226=$AB$7,$B226&lt;'1332'!$I$9),"x","")</f>
        <v/>
      </c>
      <c r="AD226" s="80" t="str">
        <f>IF(AND($P226=$AB$7,$B226&lt;'1332'!$I$9),"x","")</f>
        <v/>
      </c>
      <c r="AE226" s="80" t="str">
        <f>IF(AND('341-CT'!$H$9=H226,OR(LEFT(O226,3)=$AE$7,LEFT(P226,3)=$AE$7)),"x","")</f>
        <v/>
      </c>
      <c r="AF226" s="80" t="str">
        <f>IF(OR(TH!O226=TH!$AF$7,P226=TH!$AF$7),"x","")</f>
        <v/>
      </c>
      <c r="AG226" s="80"/>
      <c r="AH226" s="80" t="str">
        <f>IF(AND(B226&gt;='IN-NX'!$P$3,B226&lt;='IN-NX'!$Q$3,'IN-NX'!$D$7=D226,OR(LEFT(L226,2)="15",AND(LEFT(M226,2)&lt;&gt;"15",LEFT(M226,2)&lt;&gt;"33"))),"x","")</f>
        <v/>
      </c>
      <c r="AI226" s="80" t="str">
        <f>IF(AND(OR(LEFT(TH!O226,2)="15",LEFT(TH!P226,2)="15"),'152-CT'!$J$8=TH!F226),"x","")</f>
        <v/>
      </c>
      <c r="AJ226" s="80" t="str">
        <f>IF(AND(OR(LEFT(TH!O226,2)="15",LEFT(TH!P226,2)="15"),'THE KHO'!$E$7=TH!F226),"x","")</f>
        <v/>
      </c>
      <c r="AK226" s="80" t="str">
        <f>IF(AND(O226="1521",MONTH(C226)='BK NL'!$M$11),"x","")</f>
        <v/>
      </c>
      <c r="AM226" s="374">
        <v>1</v>
      </c>
    </row>
    <row r="227" spans="1:39" s="374" customFormat="1" ht="15.75" customHeight="1">
      <c r="A227" s="362" t="str">
        <f>IF(B227&lt;&gt;"",IF(AND(B227&gt;=_TM1,B227&lt;=_TM2,OR(TH!O227="1111",TH!P227="1111")),TH!D227,""),"")</f>
        <v/>
      </c>
      <c r="B227" s="63">
        <f t="shared" si="15"/>
        <v>3</v>
      </c>
      <c r="C227" s="337">
        <v>42453</v>
      </c>
      <c r="D227" s="337" t="s">
        <v>12</v>
      </c>
      <c r="E227" s="337">
        <f t="shared" si="9"/>
        <v>42453</v>
      </c>
      <c r="F227" s="338" t="s">
        <v>827</v>
      </c>
      <c r="G227" s="351" t="s">
        <v>798</v>
      </c>
      <c r="H227" s="339"/>
      <c r="I227" s="476"/>
      <c r="J227" s="476"/>
      <c r="K227" s="469"/>
      <c r="L227" s="476"/>
      <c r="M227" s="65">
        <v>9459</v>
      </c>
      <c r="N227" s="65"/>
      <c r="O227" s="340" t="s">
        <v>31</v>
      </c>
      <c r="P227" s="340" t="s">
        <v>58</v>
      </c>
      <c r="Q227" s="66" t="str">
        <f>IF(AND('331-CT'!$E$7=TH!H227,OR(O227="331",P227="331")),"x","")</f>
        <v/>
      </c>
      <c r="R227" s="66" t="str">
        <f>IF(AND($B227&gt;='111'!$N$11,$B227&lt;='111'!$O$11,OR($O227=$R$7,$P227=$R$7)),"x","")</f>
        <v/>
      </c>
      <c r="S227" s="66" t="str">
        <f>IF(AND($O227=$R$7,$B227&lt;'111'!$N$11),"x","")</f>
        <v/>
      </c>
      <c r="T227" s="66" t="str">
        <f>IF(AND($P227=$R$7,$B227&lt;'111'!$N$11),"x","")</f>
        <v/>
      </c>
      <c r="U227" s="66" t="str">
        <f>IF(AND($B227&gt;='112'!$M$9,$B227&lt;='112'!$N$9,OR($O227='112'!$I$6,$P227='112'!$I$6)),"x","")</f>
        <v/>
      </c>
      <c r="V227" s="66" t="str">
        <f>IF(AND($O227='112'!$I$6,$B227&lt;'112'!$M$9),"x","")</f>
        <v>x</v>
      </c>
      <c r="W227" s="66" t="str">
        <f>IF(AND($P227='112'!$I$6,$B227&lt;'112'!$M$9),"x","")</f>
        <v/>
      </c>
      <c r="X227" s="66" t="str">
        <f>IF(AND('131-CT'!$H$9=TH!H227,OR(O227="131",P227="131")),"x","")</f>
        <v/>
      </c>
      <c r="Y227" s="80" t="str">
        <f>IF(AND($B227&gt;='1331'!$I$9,$B227&lt;='1331'!$J$9,OR($O227=$Y$7,$P227=$Y$7)),"x","")</f>
        <v/>
      </c>
      <c r="Z227" s="80" t="str">
        <f>IF(AND($O227=$Y$7,$B227&lt;'1331'!$I$9),"x","")</f>
        <v/>
      </c>
      <c r="AA227" s="80" t="str">
        <f>IF(AND($P227=$Y$7,$B227&lt;'1331'!$I$9),"x","")</f>
        <v/>
      </c>
      <c r="AB227" s="80" t="str">
        <f>IF(AND($B227&gt;='1332'!$I$9,$B227&lt;='1332'!$I$9,OR($O227=$AB$7,$P227=$AB$7)),"x","")</f>
        <v/>
      </c>
      <c r="AC227" s="80" t="str">
        <f>IF(AND($O227=$AB$7,$B227&lt;'1332'!$I$9),"x","")</f>
        <v/>
      </c>
      <c r="AD227" s="80" t="str">
        <f>IF(AND($P227=$AB$7,$B227&lt;'1332'!$I$9),"x","")</f>
        <v/>
      </c>
      <c r="AE227" s="80" t="str">
        <f>IF(AND('341-CT'!$H$9=H227,OR(LEFT(O227,3)=$AE$7,LEFT(P227,3)=$AE$7)),"x","")</f>
        <v/>
      </c>
      <c r="AF227" s="80" t="str">
        <f>IF(OR(TH!O227=TH!$AF$7,P227=TH!$AF$7),"x","")</f>
        <v/>
      </c>
      <c r="AG227" s="80"/>
      <c r="AH227" s="80" t="str">
        <f>IF(AND(B227&gt;='IN-NX'!$P$3,B227&lt;='IN-NX'!$Q$3,'IN-NX'!$D$7=D227,OR(LEFT(L227,2)="15",AND(LEFT(M227,2)&lt;&gt;"15",LEFT(M227,2)&lt;&gt;"33"))),"x","")</f>
        <v/>
      </c>
      <c r="AI227" s="80" t="str">
        <f>IF(AND(OR(LEFT(TH!O227,2)="15",LEFT(TH!P227,2)="15"),'152-CT'!$J$8=TH!F227),"x","")</f>
        <v/>
      </c>
      <c r="AJ227" s="80" t="str">
        <f>IF(AND(OR(LEFT(TH!O227,2)="15",LEFT(TH!P227,2)="15"),'THE KHO'!$E$7=TH!F227),"x","")</f>
        <v/>
      </c>
      <c r="AK227" s="80" t="str">
        <f>IF(AND(O227="1521",MONTH(C227)='BK NL'!$M$11),"x","")</f>
        <v/>
      </c>
      <c r="AM227" s="374">
        <v>1</v>
      </c>
    </row>
    <row r="228" spans="1:39" s="374" customFormat="1" ht="15.75" customHeight="1">
      <c r="A228" s="362" t="str">
        <f>IF(B228&lt;&gt;"",IF(AND(B228&gt;=_TM1,B228&lt;=_TM2,OR(TH!O228="1111",TH!P228="1111")),TH!D228,""),"")</f>
        <v/>
      </c>
      <c r="B228" s="63">
        <f t="shared" si="15"/>
        <v>3</v>
      </c>
      <c r="C228" s="337">
        <v>42454</v>
      </c>
      <c r="D228" s="337" t="s">
        <v>8</v>
      </c>
      <c r="E228" s="337">
        <f t="shared" si="9"/>
        <v>42454</v>
      </c>
      <c r="F228" s="338" t="s">
        <v>822</v>
      </c>
      <c r="G228" s="351" t="s">
        <v>798</v>
      </c>
      <c r="H228" s="339"/>
      <c r="I228" s="476"/>
      <c r="J228" s="476"/>
      <c r="K228" s="469"/>
      <c r="L228" s="476"/>
      <c r="M228" s="65">
        <v>50000</v>
      </c>
      <c r="N228" s="65"/>
      <c r="O228" s="340" t="s">
        <v>135</v>
      </c>
      <c r="P228" s="340" t="s">
        <v>31</v>
      </c>
      <c r="Q228" s="66" t="str">
        <f>IF(AND('331-CT'!$E$7=TH!H228,OR(O228="331",P228="331")),"x","")</f>
        <v/>
      </c>
      <c r="R228" s="66" t="str">
        <f>IF(AND($B228&gt;='111'!$N$11,$B228&lt;='111'!$O$11,OR($O228=$R$7,$P228=$R$7)),"x","")</f>
        <v/>
      </c>
      <c r="S228" s="66" t="str">
        <f>IF(AND($O228=$R$7,$B228&lt;'111'!$N$11),"x","")</f>
        <v/>
      </c>
      <c r="T228" s="66" t="str">
        <f>IF(AND($P228=$R$7,$B228&lt;'111'!$N$11),"x","")</f>
        <v/>
      </c>
      <c r="U228" s="66" t="str">
        <f>IF(AND($B228&gt;='112'!$M$9,$B228&lt;='112'!$N$9,OR($O228='112'!$I$6,$P228='112'!$I$6)),"x","")</f>
        <v/>
      </c>
      <c r="V228" s="66" t="str">
        <f>IF(AND($O228='112'!$I$6,$B228&lt;'112'!$M$9),"x","")</f>
        <v/>
      </c>
      <c r="W228" s="66" t="str">
        <f>IF(AND($P228='112'!$I$6,$B228&lt;'112'!$M$9),"x","")</f>
        <v>x</v>
      </c>
      <c r="X228" s="66" t="str">
        <f>IF(AND('131-CT'!$H$9=TH!H228,OR(O228="131",P228="131")),"x","")</f>
        <v/>
      </c>
      <c r="Y228" s="80" t="str">
        <f>IF(AND($B228&gt;='1331'!$I$9,$B228&lt;='1331'!$J$9,OR($O228=$Y$7,$P228=$Y$7)),"x","")</f>
        <v/>
      </c>
      <c r="Z228" s="80" t="str">
        <f>IF(AND($O228=$Y$7,$B228&lt;'1331'!$I$9),"x","")</f>
        <v/>
      </c>
      <c r="AA228" s="80" t="str">
        <f>IF(AND($P228=$Y$7,$B228&lt;'1331'!$I$9),"x","")</f>
        <v/>
      </c>
      <c r="AB228" s="80" t="str">
        <f>IF(AND($B228&gt;='1332'!$I$9,$B228&lt;='1332'!$I$9,OR($O228=$AB$7,$P228=$AB$7)),"x","")</f>
        <v/>
      </c>
      <c r="AC228" s="80" t="str">
        <f>IF(AND($O228=$AB$7,$B228&lt;'1332'!$I$9),"x","")</f>
        <v/>
      </c>
      <c r="AD228" s="80" t="str">
        <f>IF(AND($P228=$AB$7,$B228&lt;'1332'!$I$9),"x","")</f>
        <v/>
      </c>
      <c r="AE228" s="80" t="str">
        <f>IF(AND('341-CT'!$H$9=H228,OR(LEFT(O228,3)=$AE$7,LEFT(P228,3)=$AE$7)),"x","")</f>
        <v/>
      </c>
      <c r="AF228" s="80" t="str">
        <f>IF(OR(TH!O228=TH!$AF$7,P228=TH!$AF$7),"x","")</f>
        <v/>
      </c>
      <c r="AG228" s="80"/>
      <c r="AH228" s="80" t="str">
        <f>IF(AND(B228&gt;='IN-NX'!$P$3,B228&lt;='IN-NX'!$Q$3,'IN-NX'!$D$7=D228,OR(LEFT(L228,2)="15",AND(LEFT(M228,2)&lt;&gt;"15",LEFT(M228,2)&lt;&gt;"33"))),"x","")</f>
        <v/>
      </c>
      <c r="AI228" s="80" t="str">
        <f>IF(AND(OR(LEFT(TH!O228,2)="15",LEFT(TH!P228,2)="15"),'152-CT'!$J$8=TH!F228),"x","")</f>
        <v/>
      </c>
      <c r="AJ228" s="80" t="str">
        <f>IF(AND(OR(LEFT(TH!O228,2)="15",LEFT(TH!P228,2)="15"),'THE KHO'!$E$7=TH!F228),"x","")</f>
        <v/>
      </c>
      <c r="AK228" s="80" t="str">
        <f>IF(AND(O228="1521",MONTH(C228)='BK NL'!$M$11),"x","")</f>
        <v/>
      </c>
      <c r="AM228" s="374">
        <v>1</v>
      </c>
    </row>
    <row r="229" spans="1:39" s="374" customFormat="1" ht="15.75" customHeight="1">
      <c r="A229" s="362" t="str">
        <f>IF(B229&lt;&gt;"",IF(AND(B229&gt;=_TM1,B229&lt;=_TM2,OR(TH!O229="1111",TH!P229="1111")),TH!D229,""),"")</f>
        <v/>
      </c>
      <c r="B229" s="63">
        <f t="shared" si="15"/>
        <v>3</v>
      </c>
      <c r="C229" s="337">
        <v>42454</v>
      </c>
      <c r="D229" s="337" t="s">
        <v>8</v>
      </c>
      <c r="E229" s="337">
        <f t="shared" si="9"/>
        <v>42454</v>
      </c>
      <c r="F229" s="338" t="s">
        <v>824</v>
      </c>
      <c r="G229" s="351" t="s">
        <v>798</v>
      </c>
      <c r="H229" s="368"/>
      <c r="I229" s="477"/>
      <c r="J229" s="477"/>
      <c r="K229" s="470"/>
      <c r="L229" s="477"/>
      <c r="M229" s="88">
        <v>5000</v>
      </c>
      <c r="N229" s="88"/>
      <c r="O229" s="340" t="s">
        <v>10</v>
      </c>
      <c r="P229" s="340" t="s">
        <v>31</v>
      </c>
      <c r="Q229" s="66" t="str">
        <f>IF(AND('331-CT'!$E$7=TH!H229,OR(O229="331",P229="331")),"x","")</f>
        <v/>
      </c>
      <c r="R229" s="66" t="str">
        <f>IF(AND($B229&gt;='111'!$N$11,$B229&lt;='111'!$O$11,OR($O229=$R$7,$P229=$R$7)),"x","")</f>
        <v/>
      </c>
      <c r="S229" s="66" t="str">
        <f>IF(AND($O229=$R$7,$B229&lt;'111'!$N$11),"x","")</f>
        <v/>
      </c>
      <c r="T229" s="66" t="str">
        <f>IF(AND($P229=$R$7,$B229&lt;'111'!$N$11),"x","")</f>
        <v/>
      </c>
      <c r="U229" s="66" t="str">
        <f>IF(AND($B229&gt;='112'!$M$9,$B229&lt;='112'!$N$9,OR($O229='112'!$I$6,$P229='112'!$I$6)),"x","")</f>
        <v/>
      </c>
      <c r="V229" s="66" t="str">
        <f>IF(AND($O229='112'!$I$6,$B229&lt;'112'!$M$9),"x","")</f>
        <v/>
      </c>
      <c r="W229" s="66" t="str">
        <f>IF(AND($P229='112'!$I$6,$B229&lt;'112'!$M$9),"x","")</f>
        <v>x</v>
      </c>
      <c r="X229" s="66" t="str">
        <f>IF(AND('131-CT'!$H$9=TH!H229,OR(O229="131",P229="131")),"x","")</f>
        <v/>
      </c>
      <c r="Y229" s="80" t="str">
        <f>IF(AND($B229&gt;='1331'!$I$9,$B229&lt;='1331'!$J$9,OR($O229=$Y$7,$P229=$Y$7)),"x","")</f>
        <v/>
      </c>
      <c r="Z229" s="80" t="str">
        <f>IF(AND($O229=$Y$7,$B229&lt;'1331'!$I$9),"x","")</f>
        <v>x</v>
      </c>
      <c r="AA229" s="80" t="str">
        <f>IF(AND($P229=$Y$7,$B229&lt;'1331'!$I$9),"x","")</f>
        <v/>
      </c>
      <c r="AB229" s="80" t="str">
        <f>IF(AND($B229&gt;='1332'!$I$9,$B229&lt;='1332'!$I$9,OR($O229=$AB$7,$P229=$AB$7)),"x","")</f>
        <v/>
      </c>
      <c r="AC229" s="80" t="str">
        <f>IF(AND($O229=$AB$7,$B229&lt;'1332'!$I$9),"x","")</f>
        <v/>
      </c>
      <c r="AD229" s="80" t="str">
        <f>IF(AND($P229=$AB$7,$B229&lt;'1332'!$I$9),"x","")</f>
        <v/>
      </c>
      <c r="AE229" s="80" t="str">
        <f>IF(AND('341-CT'!$H$9=H229,OR(LEFT(O229,3)=$AE$7,LEFT(P229,3)=$AE$7)),"x","")</f>
        <v/>
      </c>
      <c r="AF229" s="80" t="str">
        <f>IF(OR(TH!O229=TH!$AF$7,P229=TH!$AF$7),"x","")</f>
        <v/>
      </c>
      <c r="AG229" s="80"/>
      <c r="AH229" s="80" t="str">
        <f>IF(AND(B229&gt;='IN-NX'!$P$3,B229&lt;='IN-NX'!$Q$3,'IN-NX'!$D$7=D229,OR(LEFT(L229,2)="15",AND(LEFT(M229,2)&lt;&gt;"15",LEFT(M229,2)&lt;&gt;"33"))),"x","")</f>
        <v/>
      </c>
      <c r="AI229" s="80" t="str">
        <f>IF(AND(OR(LEFT(TH!O229,2)="15",LEFT(TH!P229,2)="15"),'152-CT'!$J$8=TH!F229),"x","")</f>
        <v/>
      </c>
      <c r="AJ229" s="80" t="str">
        <f>IF(AND(OR(LEFT(TH!O229,2)="15",LEFT(TH!P229,2)="15"),'THE KHO'!$E$7=TH!F229),"x","")</f>
        <v/>
      </c>
      <c r="AK229" s="80" t="str">
        <f>IF(AND(O229="1521",MONTH(C229)='BK NL'!$M$11),"x","")</f>
        <v/>
      </c>
      <c r="AM229" s="374">
        <v>1</v>
      </c>
    </row>
    <row r="230" spans="1:39" s="374" customFormat="1" ht="15.75" customHeight="1">
      <c r="A230" s="362" t="str">
        <f>IF(B230&lt;&gt;"",IF(AND(B230&gt;=_TM1,B230&lt;=_TM2,OR(TH!O230="1111",TH!P230="1111")),TH!D230,""),"")</f>
        <v/>
      </c>
      <c r="B230" s="63">
        <f t="shared" si="15"/>
        <v>3</v>
      </c>
      <c r="C230" s="337">
        <v>42454</v>
      </c>
      <c r="D230" s="337" t="s">
        <v>8</v>
      </c>
      <c r="E230" s="337">
        <f t="shared" si="9"/>
        <v>42454</v>
      </c>
      <c r="F230" s="338" t="s">
        <v>823</v>
      </c>
      <c r="G230" s="351" t="s">
        <v>798</v>
      </c>
      <c r="H230" s="368"/>
      <c r="I230" s="477"/>
      <c r="J230" s="477"/>
      <c r="K230" s="470"/>
      <c r="L230" s="477"/>
      <c r="M230" s="65">
        <v>50000</v>
      </c>
      <c r="N230" s="65"/>
      <c r="O230" s="340" t="s">
        <v>135</v>
      </c>
      <c r="P230" s="340" t="s">
        <v>31</v>
      </c>
      <c r="Q230" s="66" t="str">
        <f>IF(AND('331-CT'!$E$7=TH!H230,OR(O230="331",P230="331")),"x","")</f>
        <v/>
      </c>
      <c r="R230" s="66" t="str">
        <f>IF(AND($B230&gt;='111'!$N$11,$B230&lt;='111'!$O$11,OR($O230=$R$7,$P230=$R$7)),"x","")</f>
        <v/>
      </c>
      <c r="S230" s="66" t="str">
        <f>IF(AND($O230=$R$7,$B230&lt;'111'!$N$11),"x","")</f>
        <v/>
      </c>
      <c r="T230" s="66" t="str">
        <f>IF(AND($P230=$R$7,$B230&lt;'111'!$N$11),"x","")</f>
        <v/>
      </c>
      <c r="U230" s="66" t="str">
        <f>IF(AND($B230&gt;='112'!$M$9,$B230&lt;='112'!$N$9,OR($O230='112'!$I$6,$P230='112'!$I$6)),"x","")</f>
        <v/>
      </c>
      <c r="V230" s="66" t="str">
        <f>IF(AND($O230='112'!$I$6,$B230&lt;'112'!$M$9),"x","")</f>
        <v/>
      </c>
      <c r="W230" s="66" t="str">
        <f>IF(AND($P230='112'!$I$6,$B230&lt;'112'!$M$9),"x","")</f>
        <v>x</v>
      </c>
      <c r="X230" s="66" t="str">
        <f>IF(AND('131-CT'!$H$9=TH!H230,OR(O230="131",P230="131")),"x","")</f>
        <v/>
      </c>
      <c r="Y230" s="80" t="str">
        <f>IF(AND($B230&gt;='1331'!$I$9,$B230&lt;='1331'!$J$9,OR($O230=$Y$7,$P230=$Y$7)),"x","")</f>
        <v/>
      </c>
      <c r="Z230" s="80" t="str">
        <f>IF(AND($O230=$Y$7,$B230&lt;'1331'!$I$9),"x","")</f>
        <v/>
      </c>
      <c r="AA230" s="80" t="str">
        <f>IF(AND($P230=$Y$7,$B230&lt;'1331'!$I$9),"x","")</f>
        <v/>
      </c>
      <c r="AB230" s="80" t="str">
        <f>IF(AND($B230&gt;='1332'!$I$9,$B230&lt;='1332'!$I$9,OR($O230=$AB$7,$P230=$AB$7)),"x","")</f>
        <v/>
      </c>
      <c r="AC230" s="80" t="str">
        <f>IF(AND($O230=$AB$7,$B230&lt;'1332'!$I$9),"x","")</f>
        <v/>
      </c>
      <c r="AD230" s="80" t="str">
        <f>IF(AND($P230=$AB$7,$B230&lt;'1332'!$I$9),"x","")</f>
        <v/>
      </c>
      <c r="AE230" s="80" t="str">
        <f>IF(AND('341-CT'!$H$9=H230,OR(LEFT(O230,3)=$AE$7,LEFT(P230,3)=$AE$7)),"x","")</f>
        <v/>
      </c>
      <c r="AF230" s="80" t="str">
        <f>IF(OR(TH!O230=TH!$AF$7,P230=TH!$AF$7),"x","")</f>
        <v/>
      </c>
      <c r="AG230" s="80"/>
      <c r="AH230" s="80" t="str">
        <f>IF(AND(B230&gt;='IN-NX'!$P$3,B230&lt;='IN-NX'!$Q$3,'IN-NX'!$D$7=D230,OR(LEFT(L230,2)="15",AND(LEFT(M230,2)&lt;&gt;"15",LEFT(M230,2)&lt;&gt;"33"))),"x","")</f>
        <v/>
      </c>
      <c r="AI230" s="80" t="str">
        <f>IF(AND(OR(LEFT(TH!O230,2)="15",LEFT(TH!P230,2)="15"),'152-CT'!$J$8=TH!F230),"x","")</f>
        <v/>
      </c>
      <c r="AJ230" s="80" t="str">
        <f>IF(AND(OR(LEFT(TH!O230,2)="15",LEFT(TH!P230,2)="15"),'THE KHO'!$E$7=TH!F230),"x","")</f>
        <v/>
      </c>
      <c r="AK230" s="80" t="str">
        <f>IF(AND(O230="1521",MONTH(C230)='BK NL'!$M$11),"x","")</f>
        <v/>
      </c>
      <c r="AM230" s="374">
        <v>1</v>
      </c>
    </row>
    <row r="231" spans="1:39" s="374" customFormat="1" ht="15.75" customHeight="1">
      <c r="A231" s="362" t="str">
        <f>IF(B231&lt;&gt;"",IF(AND(B231&gt;=_TM1,B231&lt;=_TM2,OR(TH!O231="1111",TH!P231="1111")),TH!D231,""),"")</f>
        <v/>
      </c>
      <c r="B231" s="63">
        <f t="shared" si="15"/>
        <v>3</v>
      </c>
      <c r="C231" s="337">
        <v>42454</v>
      </c>
      <c r="D231" s="337" t="s">
        <v>8</v>
      </c>
      <c r="E231" s="337">
        <f t="shared" si="9"/>
        <v>42454</v>
      </c>
      <c r="F231" s="338" t="s">
        <v>824</v>
      </c>
      <c r="G231" s="351" t="s">
        <v>798</v>
      </c>
      <c r="H231" s="339"/>
      <c r="I231" s="476"/>
      <c r="J231" s="476"/>
      <c r="K231" s="469"/>
      <c r="L231" s="476"/>
      <c r="M231" s="88">
        <v>5000</v>
      </c>
      <c r="N231" s="88"/>
      <c r="O231" s="340" t="s">
        <v>10</v>
      </c>
      <c r="P231" s="340" t="s">
        <v>31</v>
      </c>
      <c r="Q231" s="66" t="str">
        <f>IF(AND('331-CT'!$E$7=TH!H231,OR(O231="331",P231="331")),"x","")</f>
        <v/>
      </c>
      <c r="R231" s="66" t="str">
        <f>IF(AND($B231&gt;='111'!$N$11,$B231&lt;='111'!$O$11,OR($O231=$R$7,$P231=$R$7)),"x","")</f>
        <v/>
      </c>
      <c r="S231" s="66" t="str">
        <f>IF(AND($O231=$R$7,$B231&lt;'111'!$N$11),"x","")</f>
        <v/>
      </c>
      <c r="T231" s="66" t="str">
        <f>IF(AND($P231=$R$7,$B231&lt;'111'!$N$11),"x","")</f>
        <v/>
      </c>
      <c r="U231" s="66" t="str">
        <f>IF(AND($B231&gt;='112'!$M$9,$B231&lt;='112'!$N$9,OR($O231='112'!$I$6,$P231='112'!$I$6)),"x","")</f>
        <v/>
      </c>
      <c r="V231" s="66" t="str">
        <f>IF(AND($O231='112'!$I$6,$B231&lt;'112'!$M$9),"x","")</f>
        <v/>
      </c>
      <c r="W231" s="66" t="str">
        <f>IF(AND($P231='112'!$I$6,$B231&lt;'112'!$M$9),"x","")</f>
        <v>x</v>
      </c>
      <c r="X231" s="66" t="str">
        <f>IF(AND('131-CT'!$H$9=TH!H231,OR(O231="131",P231="131")),"x","")</f>
        <v/>
      </c>
      <c r="Y231" s="80" t="str">
        <f>IF(AND($B231&gt;='1331'!$I$9,$B231&lt;='1331'!$J$9,OR($O231=$Y$7,$P231=$Y$7)),"x","")</f>
        <v/>
      </c>
      <c r="Z231" s="80" t="str">
        <f>IF(AND($O231=$Y$7,$B231&lt;'1331'!$I$9),"x","")</f>
        <v>x</v>
      </c>
      <c r="AA231" s="80" t="str">
        <f>IF(AND($P231=$Y$7,$B231&lt;'1331'!$I$9),"x","")</f>
        <v/>
      </c>
      <c r="AB231" s="80" t="str">
        <f>IF(AND($B231&gt;='1332'!$I$9,$B231&lt;='1332'!$I$9,OR($O231=$AB$7,$P231=$AB$7)),"x","")</f>
        <v/>
      </c>
      <c r="AC231" s="80" t="str">
        <f>IF(AND($O231=$AB$7,$B231&lt;'1332'!$I$9),"x","")</f>
        <v/>
      </c>
      <c r="AD231" s="80" t="str">
        <f>IF(AND($P231=$AB$7,$B231&lt;'1332'!$I$9),"x","")</f>
        <v/>
      </c>
      <c r="AE231" s="80" t="str">
        <f>IF(AND('341-CT'!$H$9=H231,OR(LEFT(O231,3)=$AE$7,LEFT(P231,3)=$AE$7)),"x","")</f>
        <v/>
      </c>
      <c r="AF231" s="80" t="str">
        <f>IF(OR(TH!O231=TH!$AF$7,P231=TH!$AF$7),"x","")</f>
        <v/>
      </c>
      <c r="AG231" s="80"/>
      <c r="AH231" s="80" t="str">
        <f>IF(AND(B231&gt;='IN-NX'!$P$3,B231&lt;='IN-NX'!$Q$3,'IN-NX'!$D$7=D231,OR(LEFT(L231,2)="15",AND(LEFT(M231,2)&lt;&gt;"15",LEFT(M231,2)&lt;&gt;"33"))),"x","")</f>
        <v/>
      </c>
      <c r="AI231" s="80" t="str">
        <f>IF(AND(OR(LEFT(TH!O231,2)="15",LEFT(TH!P231,2)="15"),'152-CT'!$J$8=TH!F231),"x","")</f>
        <v/>
      </c>
      <c r="AJ231" s="80" t="str">
        <f>IF(AND(OR(LEFT(TH!O231,2)="15",LEFT(TH!P231,2)="15"),'THE KHO'!$E$7=TH!F231),"x","")</f>
        <v/>
      </c>
      <c r="AK231" s="80" t="str">
        <f>IF(AND(O231="1521",MONTH(C231)='BK NL'!$M$11),"x","")</f>
        <v/>
      </c>
      <c r="AM231" s="374">
        <v>1</v>
      </c>
    </row>
    <row r="232" spans="1:39" s="374" customFormat="1" ht="15.75" customHeight="1">
      <c r="A232" s="362" t="str">
        <f>IF(B232&lt;&gt;"",IF(AND(B232&gt;=_TM1,B232&lt;=_TM2,OR(TH!O232="1111",TH!P232="1111")),TH!D232,""),"")</f>
        <v/>
      </c>
      <c r="B232" s="63">
        <f t="shared" si="15"/>
        <v>3</v>
      </c>
      <c r="C232" s="337">
        <v>42454</v>
      </c>
      <c r="D232" s="337" t="s">
        <v>1016</v>
      </c>
      <c r="E232" s="337">
        <v>42440</v>
      </c>
      <c r="F232" s="338" t="s">
        <v>828</v>
      </c>
      <c r="G232" s="1025" t="s">
        <v>832</v>
      </c>
      <c r="H232" s="339" t="s">
        <v>221</v>
      </c>
      <c r="I232" s="476"/>
      <c r="J232" s="476"/>
      <c r="K232" s="469"/>
      <c r="L232" s="476"/>
      <c r="M232" s="65">
        <v>38625700</v>
      </c>
      <c r="N232" s="65"/>
      <c r="O232" s="340" t="s">
        <v>135</v>
      </c>
      <c r="P232" s="340" t="s">
        <v>9</v>
      </c>
      <c r="Q232" s="66" t="str">
        <f>IF(AND('331-CT'!$E$7=TH!H232,OR(O232="331",P232="331")),"x","")</f>
        <v/>
      </c>
      <c r="R232" s="66" t="str">
        <f>IF(AND($B232&gt;='111'!$N$11,$B232&lt;='111'!$O$11,OR($O232=$R$7,$P232=$R$7)),"x","")</f>
        <v/>
      </c>
      <c r="S232" s="66" t="str">
        <f>IF(AND($O232=$R$7,$B232&lt;'111'!$N$11),"x","")</f>
        <v/>
      </c>
      <c r="T232" s="66" t="str">
        <f>IF(AND($P232=$R$7,$B232&lt;'111'!$N$11),"x","")</f>
        <v/>
      </c>
      <c r="U232" s="66" t="str">
        <f>IF(AND($B232&gt;='112'!$M$9,$B232&lt;='112'!$N$9,OR($O232='112'!$I$6,$P232='112'!$I$6)),"x","")</f>
        <v/>
      </c>
      <c r="V232" s="66" t="str">
        <f>IF(AND($O232='112'!$I$6,$B232&lt;'112'!$M$9),"x","")</f>
        <v/>
      </c>
      <c r="W232" s="66" t="str">
        <f>IF(AND($P232='112'!$I$6,$B232&lt;'112'!$M$9),"x","")</f>
        <v/>
      </c>
      <c r="X232" s="66" t="str">
        <f>IF(AND('131-CT'!$H$9=TH!H232,OR(O232="131",P232="131")),"x","")</f>
        <v/>
      </c>
      <c r="Y232" s="80" t="str">
        <f>IF(AND($B232&gt;='1331'!$I$9,$B232&lt;='1331'!$J$9,OR($O232=$Y$7,$P232=$Y$7)),"x","")</f>
        <v/>
      </c>
      <c r="Z232" s="80" t="str">
        <f>IF(AND($O232=$Y$7,$B232&lt;'1331'!$I$9),"x","")</f>
        <v/>
      </c>
      <c r="AA232" s="80" t="str">
        <f>IF(AND($P232=$Y$7,$B232&lt;'1331'!$I$9),"x","")</f>
        <v/>
      </c>
      <c r="AB232" s="80" t="str">
        <f>IF(AND($B232&gt;='1332'!$I$9,$B232&lt;='1332'!$I$9,OR($O232=$AB$7,$P232=$AB$7)),"x","")</f>
        <v/>
      </c>
      <c r="AC232" s="80" t="str">
        <f>IF(AND($O232=$AB$7,$B232&lt;'1332'!$I$9),"x","")</f>
        <v/>
      </c>
      <c r="AD232" s="80" t="str">
        <f>IF(AND($P232=$AB$7,$B232&lt;'1332'!$I$9),"x","")</f>
        <v/>
      </c>
      <c r="AE232" s="80" t="str">
        <f>IF(AND('341-CT'!$H$9=H232,OR(LEFT(O232,3)=$AE$7,LEFT(P232,3)=$AE$7)),"x","")</f>
        <v/>
      </c>
      <c r="AF232" s="80" t="str">
        <f>IF(OR(TH!O232=TH!$AF$7,P232=TH!$AF$7),"x","")</f>
        <v/>
      </c>
      <c r="AG232" s="80"/>
      <c r="AH232" s="80" t="str">
        <f>IF(AND(B232&gt;='IN-NX'!$P$3,B232&lt;='IN-NX'!$Q$3,'IN-NX'!$D$7=D232,OR(LEFT(L232,2)="15",AND(LEFT(M232,2)&lt;&gt;"15",LEFT(M232,2)&lt;&gt;"33"))),"x","")</f>
        <v/>
      </c>
      <c r="AI232" s="80" t="str">
        <f>IF(AND(OR(LEFT(TH!O232,2)="15",LEFT(TH!P232,2)="15"),'152-CT'!$J$8=TH!F232),"x","")</f>
        <v/>
      </c>
      <c r="AJ232" s="80" t="str">
        <f>IF(AND(OR(LEFT(TH!O232,2)="15",LEFT(TH!P232,2)="15"),'THE KHO'!$E$7=TH!F232),"x","")</f>
        <v/>
      </c>
      <c r="AK232" s="80" t="str">
        <f>IF(AND(O232="1521",MONTH(C232)='BK NL'!$M$11),"x","")</f>
        <v/>
      </c>
      <c r="AM232" s="374">
        <v>1</v>
      </c>
    </row>
    <row r="233" spans="1:39" s="374" customFormat="1" ht="15.75" customHeight="1">
      <c r="A233" s="362" t="str">
        <f>IF(B233&lt;&gt;"",IF(AND(B233&gt;=_TM1,B233&lt;=_TM2,OR(TH!O233="1111",TH!P233="1111")),TH!D233,""),"")</f>
        <v/>
      </c>
      <c r="B233" s="63">
        <f t="shared" ref="B233" si="16">IF(C233&lt;&gt;"",MONTH(C233),"")</f>
        <v>3</v>
      </c>
      <c r="C233" s="337">
        <v>42454</v>
      </c>
      <c r="D233" s="337" t="s">
        <v>1016</v>
      </c>
      <c r="E233" s="337">
        <v>42440</v>
      </c>
      <c r="F233" s="338" t="s">
        <v>831</v>
      </c>
      <c r="G233" s="1025" t="s">
        <v>832</v>
      </c>
      <c r="H233" s="339" t="s">
        <v>221</v>
      </c>
      <c r="I233" s="476"/>
      <c r="J233" s="476"/>
      <c r="K233" s="469"/>
      <c r="L233" s="476"/>
      <c r="M233" s="88">
        <v>3862570</v>
      </c>
      <c r="N233" s="88"/>
      <c r="O233" s="340" t="s">
        <v>10</v>
      </c>
      <c r="P233" s="340" t="s">
        <v>9</v>
      </c>
      <c r="Q233" s="66" t="str">
        <f>IF(AND('331-CT'!$E$7=TH!H233,OR(O233="331",P233="331")),"x","")</f>
        <v/>
      </c>
      <c r="R233" s="66" t="str">
        <f>IF(AND($B233&gt;='111'!$N$11,$B233&lt;='111'!$O$11,OR($O233=$R$7,$P233=$R$7)),"x","")</f>
        <v/>
      </c>
      <c r="S233" s="66" t="str">
        <f>IF(AND($O233=$R$7,$B233&lt;'111'!$N$11),"x","")</f>
        <v/>
      </c>
      <c r="T233" s="66" t="str">
        <f>IF(AND($P233=$R$7,$B233&lt;'111'!$N$11),"x","")</f>
        <v/>
      </c>
      <c r="U233" s="66" t="str">
        <f>IF(AND($B233&gt;='112'!$M$9,$B233&lt;='112'!$N$9,OR($O233='112'!$I$6,$P233='112'!$I$6)),"x","")</f>
        <v/>
      </c>
      <c r="V233" s="66" t="str">
        <f>IF(AND($O233='112'!$I$6,$B233&lt;'112'!$M$9),"x","")</f>
        <v/>
      </c>
      <c r="W233" s="66" t="str">
        <f>IF(AND($P233='112'!$I$6,$B233&lt;'112'!$M$9),"x","")</f>
        <v/>
      </c>
      <c r="X233" s="66" t="str">
        <f>IF(AND('131-CT'!$H$9=TH!H233,OR(O233="131",P233="131")),"x","")</f>
        <v/>
      </c>
      <c r="Y233" s="80" t="str">
        <f>IF(AND($B233&gt;='1331'!$I$9,$B233&lt;='1331'!$J$9,OR($O233=$Y$7,$P233=$Y$7)),"x","")</f>
        <v/>
      </c>
      <c r="Z233" s="80" t="str">
        <f>IF(AND($O233=$Y$7,$B233&lt;'1331'!$I$9),"x","")</f>
        <v>x</v>
      </c>
      <c r="AA233" s="80" t="str">
        <f>IF(AND($P233=$Y$7,$B233&lt;'1331'!$I$9),"x","")</f>
        <v/>
      </c>
      <c r="AB233" s="80" t="str">
        <f>IF(AND($B233&gt;='1332'!$I$9,$B233&lt;='1332'!$I$9,OR($O233=$AB$7,$P233=$AB$7)),"x","")</f>
        <v/>
      </c>
      <c r="AC233" s="80" t="str">
        <f>IF(AND($O233=$AB$7,$B233&lt;'1332'!$I$9),"x","")</f>
        <v/>
      </c>
      <c r="AD233" s="80" t="str">
        <f>IF(AND($P233=$AB$7,$B233&lt;'1332'!$I$9),"x","")</f>
        <v/>
      </c>
      <c r="AE233" s="80" t="str">
        <f>IF(AND('341-CT'!$H$9=H233,OR(LEFT(O233,3)=$AE$7,LEFT(P233,3)=$AE$7)),"x","")</f>
        <v/>
      </c>
      <c r="AF233" s="80" t="str">
        <f>IF(OR(TH!O233=TH!$AF$7,P233=TH!$AF$7),"x","")</f>
        <v/>
      </c>
      <c r="AG233" s="80"/>
      <c r="AH233" s="80" t="str">
        <f>IF(AND(B233&gt;='IN-NX'!$P$3,B233&lt;='IN-NX'!$Q$3,'IN-NX'!$D$7=D233,OR(LEFT(L233,2)="15",AND(LEFT(M233,2)&lt;&gt;"15",LEFT(M233,2)&lt;&gt;"33"))),"x","")</f>
        <v/>
      </c>
      <c r="AI233" s="80" t="str">
        <f>IF(AND(OR(LEFT(TH!O233,2)="15",LEFT(TH!P233,2)="15"),'152-CT'!$J$8=TH!F233),"x","")</f>
        <v/>
      </c>
      <c r="AJ233" s="80" t="str">
        <f>IF(AND(OR(LEFT(TH!O233,2)="15",LEFT(TH!P233,2)="15"),'THE KHO'!$E$7=TH!F233),"x","")</f>
        <v/>
      </c>
      <c r="AK233" s="80" t="str">
        <f>IF(AND(O233="1521",MONTH(C233)='BK NL'!$M$11),"x","")</f>
        <v/>
      </c>
    </row>
    <row r="234" spans="1:39" s="374" customFormat="1" ht="15.75" customHeight="1">
      <c r="A234" s="362" t="str">
        <f>IF(B234&lt;&gt;"",IF(AND(B234&gt;=_TM1,B234&lt;=_TM2,OR(TH!O234="1111",TH!P234="1111")),TH!D234,""),"")</f>
        <v/>
      </c>
      <c r="B234" s="63">
        <f t="shared" si="15"/>
        <v>3</v>
      </c>
      <c r="C234" s="337">
        <v>42454</v>
      </c>
      <c r="D234" s="337" t="s">
        <v>1016</v>
      </c>
      <c r="E234" s="337">
        <v>42443</v>
      </c>
      <c r="F234" s="338" t="s">
        <v>834</v>
      </c>
      <c r="G234" s="1025" t="s">
        <v>833</v>
      </c>
      <c r="H234" s="7" t="s">
        <v>165</v>
      </c>
      <c r="I234" s="476"/>
      <c r="J234" s="476"/>
      <c r="K234" s="469"/>
      <c r="L234" s="476"/>
      <c r="M234" s="65">
        <v>2050000000</v>
      </c>
      <c r="N234" s="65"/>
      <c r="O234" s="340" t="s">
        <v>242</v>
      </c>
      <c r="P234" s="340" t="s">
        <v>9</v>
      </c>
      <c r="Q234" s="66" t="str">
        <f>IF(AND('331-CT'!$E$7=TH!H234,OR(O234="331",P234="331")),"x","")</f>
        <v/>
      </c>
      <c r="R234" s="66" t="str">
        <f>IF(AND($B234&gt;='111'!$N$11,$B234&lt;='111'!$O$11,OR($O234=$R$7,$P234=$R$7)),"x","")</f>
        <v/>
      </c>
      <c r="S234" s="66" t="str">
        <f>IF(AND($O234=$R$7,$B234&lt;'111'!$N$11),"x","")</f>
        <v/>
      </c>
      <c r="T234" s="66" t="str">
        <f>IF(AND($P234=$R$7,$B234&lt;'111'!$N$11),"x","")</f>
        <v/>
      </c>
      <c r="U234" s="66" t="str">
        <f>IF(AND($B234&gt;='112'!$M$9,$B234&lt;='112'!$N$9,OR($O234='112'!$I$6,$P234='112'!$I$6)),"x","")</f>
        <v/>
      </c>
      <c r="V234" s="66" t="str">
        <f>IF(AND($O234='112'!$I$6,$B234&lt;'112'!$M$9),"x","")</f>
        <v/>
      </c>
      <c r="W234" s="66" t="str">
        <f>IF(AND($P234='112'!$I$6,$B234&lt;'112'!$M$9),"x","")</f>
        <v/>
      </c>
      <c r="X234" s="66" t="str">
        <f>IF(AND('131-CT'!$H$9=TH!H234,OR(O234="131",P234="131")),"x","")</f>
        <v/>
      </c>
      <c r="Y234" s="80" t="str">
        <f>IF(AND($B234&gt;='1331'!$I$9,$B234&lt;='1331'!$J$9,OR($O234=$Y$7,$P234=$Y$7)),"x","")</f>
        <v/>
      </c>
      <c r="Z234" s="80" t="str">
        <f>IF(AND($O234=$Y$7,$B234&lt;'1331'!$I$9),"x","")</f>
        <v/>
      </c>
      <c r="AA234" s="80" t="str">
        <f>IF(AND($P234=$Y$7,$B234&lt;'1331'!$I$9),"x","")</f>
        <v/>
      </c>
      <c r="AB234" s="80" t="str">
        <f>IF(AND($B234&gt;='1332'!$I$9,$B234&lt;='1332'!$I$9,OR($O234=$AB$7,$P234=$AB$7)),"x","")</f>
        <v/>
      </c>
      <c r="AC234" s="80" t="str">
        <f>IF(AND($O234=$AB$7,$B234&lt;'1332'!$I$9),"x","")</f>
        <v/>
      </c>
      <c r="AD234" s="80" t="str">
        <f>IF(AND($P234=$AB$7,$B234&lt;'1332'!$I$9),"x","")</f>
        <v/>
      </c>
      <c r="AE234" s="80" t="str">
        <f>IF(AND('341-CT'!$H$9=H234,OR(LEFT(O234,3)=$AE$7,LEFT(P234,3)=$AE$7)),"x","")</f>
        <v/>
      </c>
      <c r="AF234" s="80" t="str">
        <f>IF(OR(TH!O234=TH!$AF$7,P234=TH!$AF$7),"x","")</f>
        <v/>
      </c>
      <c r="AG234" s="80"/>
      <c r="AH234" s="80" t="str">
        <f>IF(AND(B234&gt;='IN-NX'!$P$3,B234&lt;='IN-NX'!$Q$3,'IN-NX'!$D$7=D234,OR(LEFT(L234,2)="15",AND(LEFT(M234,2)&lt;&gt;"15",LEFT(M234,2)&lt;&gt;"33"))),"x","")</f>
        <v/>
      </c>
      <c r="AI234" s="80" t="str">
        <f>IF(AND(OR(LEFT(TH!O234,2)="15",LEFT(TH!P234,2)="15"),'152-CT'!$J$8=TH!F234),"x","")</f>
        <v/>
      </c>
      <c r="AJ234" s="80" t="str">
        <f>IF(AND(OR(LEFT(TH!O234,2)="15",LEFT(TH!P234,2)="15"),'THE KHO'!$E$7=TH!F234),"x","")</f>
        <v/>
      </c>
      <c r="AK234" s="80" t="str">
        <f>IF(AND(O234="1521",MONTH(C234)='BK NL'!$M$11),"x","")</f>
        <v/>
      </c>
    </row>
    <row r="235" spans="1:39" s="374" customFormat="1" ht="15.75" customHeight="1">
      <c r="A235" s="362" t="str">
        <f>IF(B235&lt;&gt;"",IF(AND(B235&gt;=_TM1,B235&lt;=_TM2,OR(TH!O235="1111",TH!P235="1111")),TH!D235,""),"")</f>
        <v/>
      </c>
      <c r="B235" s="63">
        <f t="shared" si="15"/>
        <v>3</v>
      </c>
      <c r="C235" s="337">
        <v>42454</v>
      </c>
      <c r="D235" s="337" t="s">
        <v>1016</v>
      </c>
      <c r="E235" s="337">
        <v>42443</v>
      </c>
      <c r="F235" s="338" t="s">
        <v>835</v>
      </c>
      <c r="G235" s="1025" t="s">
        <v>833</v>
      </c>
      <c r="H235" s="7" t="s">
        <v>165</v>
      </c>
      <c r="I235" s="476"/>
      <c r="J235" s="476"/>
      <c r="K235" s="469"/>
      <c r="L235" s="476"/>
      <c r="M235" s="79">
        <v>205000000</v>
      </c>
      <c r="N235" s="79"/>
      <c r="O235" s="340" t="s">
        <v>981</v>
      </c>
      <c r="P235" s="340" t="s">
        <v>9</v>
      </c>
      <c r="Q235" s="66" t="str">
        <f>IF(AND('331-CT'!$E$7=TH!H235,OR(O235="331",P235="331")),"x","")</f>
        <v/>
      </c>
      <c r="R235" s="66" t="str">
        <f>IF(AND($B235&gt;='111'!$N$11,$B235&lt;='111'!$O$11,OR($O235=$R$7,$P235=$R$7)),"x","")</f>
        <v/>
      </c>
      <c r="S235" s="66" t="str">
        <f>IF(AND($O235=$R$7,$B235&lt;'111'!$N$11),"x","")</f>
        <v/>
      </c>
      <c r="T235" s="66" t="str">
        <f>IF(AND($P235=$R$7,$B235&lt;'111'!$N$11),"x","")</f>
        <v/>
      </c>
      <c r="U235" s="66" t="str">
        <f>IF(AND($B235&gt;='112'!$M$9,$B235&lt;='112'!$N$9,OR($O235='112'!$I$6,$P235='112'!$I$6)),"x","")</f>
        <v/>
      </c>
      <c r="V235" s="66" t="str">
        <f>IF(AND($O235='112'!$I$6,$B235&lt;'112'!$M$9),"x","")</f>
        <v/>
      </c>
      <c r="W235" s="66" t="str">
        <f>IF(AND($P235='112'!$I$6,$B235&lt;'112'!$M$9),"x","")</f>
        <v/>
      </c>
      <c r="X235" s="66" t="str">
        <f>IF(AND('131-CT'!$H$9=TH!H235,OR(O235="131",P235="131")),"x","")</f>
        <v/>
      </c>
      <c r="Y235" s="80" t="str">
        <f>IF(AND($B235&gt;='1331'!$I$9,$B235&lt;='1331'!$J$9,OR($O235=$Y$7,$P235=$Y$7)),"x","")</f>
        <v/>
      </c>
      <c r="Z235" s="80" t="str">
        <f>IF(AND($O235=$Y$7,$B235&lt;'1331'!$I$9),"x","")</f>
        <v/>
      </c>
      <c r="AA235" s="80" t="str">
        <f>IF(AND($P235=$Y$7,$B235&lt;'1331'!$I$9),"x","")</f>
        <v/>
      </c>
      <c r="AB235" s="80" t="str">
        <f>IF(AND($B235&gt;='1332'!$I$9,$B235&lt;='1332'!$I$9,OR($O235=$AB$7,$P235=$AB$7)),"x","")</f>
        <v/>
      </c>
      <c r="AC235" s="80" t="str">
        <f>IF(AND($O235=$AB$7,$B235&lt;'1332'!$I$9),"x","")</f>
        <v>x</v>
      </c>
      <c r="AD235" s="80" t="str">
        <f>IF(AND($P235=$AB$7,$B235&lt;'1332'!$I$9),"x","")</f>
        <v/>
      </c>
      <c r="AE235" s="80" t="str">
        <f>IF(AND('341-CT'!$H$9=H235,OR(LEFT(O235,3)=$AE$7,LEFT(P235,3)=$AE$7)),"x","")</f>
        <v/>
      </c>
      <c r="AF235" s="80" t="str">
        <f>IF(OR(TH!O235=TH!$AF$7,P235=TH!$AF$7),"x","")</f>
        <v/>
      </c>
      <c r="AG235" s="80"/>
      <c r="AH235" s="80" t="str">
        <f>IF(AND(B235&gt;='IN-NX'!$P$3,B235&lt;='IN-NX'!$Q$3,'IN-NX'!$D$7=D235,OR(LEFT(L235,2)="15",AND(LEFT(M235,2)&lt;&gt;"15",LEFT(M235,2)&lt;&gt;"33"))),"x","")</f>
        <v/>
      </c>
      <c r="AI235" s="80" t="str">
        <f>IF(AND(OR(LEFT(TH!O235,2)="15",LEFT(TH!P235,2)="15"),'152-CT'!$J$8=TH!F235),"x","")</f>
        <v/>
      </c>
      <c r="AJ235" s="80" t="str">
        <f>IF(AND(OR(LEFT(TH!O235,2)="15",LEFT(TH!P235,2)="15"),'THE KHO'!$E$7=TH!F235),"x","")</f>
        <v/>
      </c>
      <c r="AK235" s="80" t="str">
        <f>IF(AND(O235="1521",MONTH(C235)='BK NL'!$M$11),"x","")</f>
        <v/>
      </c>
    </row>
    <row r="236" spans="1:39" s="374" customFormat="1" ht="15.75" customHeight="1">
      <c r="A236" s="362" t="str">
        <f>IF(B236&lt;&gt;"",IF(AND(B236&gt;=_TM1,B236&lt;=_TM2,OR(TH!O236="1111",TH!P236="1111")),TH!D236,""),"")</f>
        <v/>
      </c>
      <c r="B236" s="63">
        <f t="shared" ref="B236" si="17">IF(C236&lt;&gt;"",MONTH(C236),"")</f>
        <v>3</v>
      </c>
      <c r="C236" s="337">
        <v>42454</v>
      </c>
      <c r="D236" s="337" t="s">
        <v>1016</v>
      </c>
      <c r="E236" s="337">
        <v>42446</v>
      </c>
      <c r="F236" s="338" t="s">
        <v>789</v>
      </c>
      <c r="G236" s="351" t="s">
        <v>814</v>
      </c>
      <c r="H236" s="7" t="s">
        <v>49</v>
      </c>
      <c r="I236" s="477"/>
      <c r="J236" s="477"/>
      <c r="K236" s="470"/>
      <c r="L236" s="477"/>
      <c r="M236" s="65">
        <v>31280000</v>
      </c>
      <c r="N236" s="65"/>
      <c r="O236" s="340" t="s">
        <v>135</v>
      </c>
      <c r="P236" s="340" t="s">
        <v>9</v>
      </c>
      <c r="Q236" s="66" t="str">
        <f>IF(AND('331-CT'!$E$7=TH!H236,OR(O236="331",P236="331")),"x","")</f>
        <v/>
      </c>
      <c r="R236" s="66" t="str">
        <f>IF(AND($B236&gt;='111'!$N$11,$B236&lt;='111'!$O$11,OR($O236=$R$7,$P236=$R$7)),"x","")</f>
        <v/>
      </c>
      <c r="S236" s="66" t="str">
        <f>IF(AND($O236=$R$7,$B236&lt;'111'!$N$11),"x","")</f>
        <v/>
      </c>
      <c r="T236" s="66" t="str">
        <f>IF(AND($P236=$R$7,$B236&lt;'111'!$N$11),"x","")</f>
        <v/>
      </c>
      <c r="U236" s="66" t="str">
        <f>IF(AND($B236&gt;='112'!$M$9,$B236&lt;='112'!$N$9,OR($O236='112'!$I$6,$P236='112'!$I$6)),"x","")</f>
        <v/>
      </c>
      <c r="V236" s="66" t="str">
        <f>IF(AND($O236='112'!$I$6,$B236&lt;'112'!$M$9),"x","")</f>
        <v/>
      </c>
      <c r="W236" s="66" t="str">
        <f>IF(AND($P236='112'!$I$6,$B236&lt;'112'!$M$9),"x","")</f>
        <v/>
      </c>
      <c r="X236" s="66" t="str">
        <f>IF(AND('131-CT'!$H$9=TH!H236,OR(O236="131",P236="131")),"x","")</f>
        <v/>
      </c>
      <c r="Y236" s="80" t="str">
        <f>IF(AND($B236&gt;='1331'!$I$9,$B236&lt;='1331'!$J$9,OR($O236=$Y$7,$P236=$Y$7)),"x","")</f>
        <v/>
      </c>
      <c r="Z236" s="80" t="str">
        <f>IF(AND($O236=$Y$7,$B236&lt;'1331'!$I$9),"x","")</f>
        <v/>
      </c>
      <c r="AA236" s="80" t="str">
        <f>IF(AND($P236=$Y$7,$B236&lt;'1331'!$I$9),"x","")</f>
        <v/>
      </c>
      <c r="AB236" s="80" t="str">
        <f>IF(AND($B236&gt;='1332'!$I$9,$B236&lt;='1332'!$I$9,OR($O236=$AB$7,$P236=$AB$7)),"x","")</f>
        <v/>
      </c>
      <c r="AC236" s="80" t="str">
        <f>IF(AND($O236=$AB$7,$B236&lt;'1332'!$I$9),"x","")</f>
        <v/>
      </c>
      <c r="AD236" s="80" t="str">
        <f>IF(AND($P236=$AB$7,$B236&lt;'1332'!$I$9),"x","")</f>
        <v/>
      </c>
      <c r="AE236" s="80" t="str">
        <f>IF(AND('341-CT'!$H$9=H236,OR(LEFT(O236,3)=$AE$7,LEFT(P236,3)=$AE$7)),"x","")</f>
        <v/>
      </c>
      <c r="AF236" s="80" t="str">
        <f>IF(OR(TH!O236=TH!$AF$7,P236=TH!$AF$7),"x","")</f>
        <v/>
      </c>
      <c r="AG236" s="80"/>
      <c r="AH236" s="80" t="str">
        <f>IF(AND(B236&gt;='IN-NX'!$P$3,B236&lt;='IN-NX'!$Q$3,'IN-NX'!$D$7=D236,OR(LEFT(L236,2)="15",AND(LEFT(M236,2)&lt;&gt;"15",LEFT(M236,2)&lt;&gt;"33"))),"x","")</f>
        <v/>
      </c>
      <c r="AI236" s="80" t="str">
        <f>IF(AND(OR(LEFT(TH!O236,2)="15",LEFT(TH!P236,2)="15"),'152-CT'!$J$8=TH!F236),"x","")</f>
        <v/>
      </c>
      <c r="AJ236" s="80" t="str">
        <f>IF(AND(OR(LEFT(TH!O236,2)="15",LEFT(TH!P236,2)="15"),'THE KHO'!$E$7=TH!F236),"x","")</f>
        <v/>
      </c>
      <c r="AK236" s="80" t="str">
        <f>IF(AND(O236="1521",MONTH(C236)='BK NL'!$M$11),"x","")</f>
        <v/>
      </c>
      <c r="AM236" s="374">
        <v>1</v>
      </c>
    </row>
    <row r="237" spans="1:39" s="374" customFormat="1" ht="15.75" customHeight="1">
      <c r="A237" s="362" t="str">
        <f>IF(B237&lt;&gt;"",IF(AND(B237&gt;=_TM1,B237&lt;=_TM2,OR(TH!O237="1111",TH!P237="1111")),TH!D237,""),"")</f>
        <v/>
      </c>
      <c r="B237" s="63">
        <f t="shared" si="15"/>
        <v>3</v>
      </c>
      <c r="C237" s="337">
        <v>42454</v>
      </c>
      <c r="D237" s="337" t="s">
        <v>1016</v>
      </c>
      <c r="E237" s="337">
        <v>42446</v>
      </c>
      <c r="F237" s="338" t="s">
        <v>815</v>
      </c>
      <c r="G237" s="351" t="s">
        <v>814</v>
      </c>
      <c r="H237" s="7" t="s">
        <v>49</v>
      </c>
      <c r="I237" s="477"/>
      <c r="J237" s="477"/>
      <c r="K237" s="470"/>
      <c r="L237" s="477"/>
      <c r="M237" s="88">
        <v>3128000</v>
      </c>
      <c r="N237" s="88"/>
      <c r="O237" s="340" t="s">
        <v>10</v>
      </c>
      <c r="P237" s="340" t="s">
        <v>9</v>
      </c>
      <c r="Q237" s="66" t="str">
        <f>IF(AND('331-CT'!$E$7=TH!H237,OR(O237="331",P237="331")),"x","")</f>
        <v/>
      </c>
      <c r="R237" s="66" t="str">
        <f>IF(AND($B237&gt;='111'!$N$11,$B237&lt;='111'!$O$11,OR($O237=$R$7,$P237=$R$7)),"x","")</f>
        <v/>
      </c>
      <c r="S237" s="66" t="str">
        <f>IF(AND($O237=$R$7,$B237&lt;'111'!$N$11),"x","")</f>
        <v/>
      </c>
      <c r="T237" s="66" t="str">
        <f>IF(AND($P237=$R$7,$B237&lt;'111'!$N$11),"x","")</f>
        <v/>
      </c>
      <c r="U237" s="66" t="str">
        <f>IF(AND($B237&gt;='112'!$M$9,$B237&lt;='112'!$N$9,OR($O237='112'!$I$6,$P237='112'!$I$6)),"x","")</f>
        <v/>
      </c>
      <c r="V237" s="66" t="str">
        <f>IF(AND($O237='112'!$I$6,$B237&lt;'112'!$M$9),"x","")</f>
        <v/>
      </c>
      <c r="W237" s="66" t="str">
        <f>IF(AND($P237='112'!$I$6,$B237&lt;'112'!$M$9),"x","")</f>
        <v/>
      </c>
      <c r="X237" s="66" t="str">
        <f>IF(AND('131-CT'!$H$9=TH!H237,OR(O237="131",P237="131")),"x","")</f>
        <v/>
      </c>
      <c r="Y237" s="80" t="str">
        <f>IF(AND($B237&gt;='1331'!$I$9,$B237&lt;='1331'!$J$9,OR($O237=$Y$7,$P237=$Y$7)),"x","")</f>
        <v/>
      </c>
      <c r="Z237" s="80" t="str">
        <f>IF(AND($O237=$Y$7,$B237&lt;'1331'!$I$9),"x","")</f>
        <v>x</v>
      </c>
      <c r="AA237" s="80" t="str">
        <f>IF(AND($P237=$Y$7,$B237&lt;'1331'!$I$9),"x","")</f>
        <v/>
      </c>
      <c r="AB237" s="80" t="str">
        <f>IF(AND($B237&gt;='1332'!$I$9,$B237&lt;='1332'!$I$9,OR($O237=$AB$7,$P237=$AB$7)),"x","")</f>
        <v/>
      </c>
      <c r="AC237" s="80" t="str">
        <f>IF(AND($O237=$AB$7,$B237&lt;'1332'!$I$9),"x","")</f>
        <v/>
      </c>
      <c r="AD237" s="80" t="str">
        <f>IF(AND($P237=$AB$7,$B237&lt;'1332'!$I$9),"x","")</f>
        <v/>
      </c>
      <c r="AE237" s="80" t="str">
        <f>IF(AND('341-CT'!$H$9=H237,OR(LEFT(O237,3)=$AE$7,LEFT(P237,3)=$AE$7)),"x","")</f>
        <v/>
      </c>
      <c r="AF237" s="80" t="str">
        <f>IF(OR(TH!O237=TH!$AF$7,P237=TH!$AF$7),"x","")</f>
        <v/>
      </c>
      <c r="AG237" s="80"/>
      <c r="AH237" s="80" t="str">
        <f>IF(AND(B237&gt;='IN-NX'!$P$3,B237&lt;='IN-NX'!$Q$3,'IN-NX'!$D$7=D237,OR(LEFT(L237,2)="15",AND(LEFT(M237,2)&lt;&gt;"15",LEFT(M237,2)&lt;&gt;"33"))),"x","")</f>
        <v/>
      </c>
      <c r="AI237" s="80" t="str">
        <f>IF(AND(OR(LEFT(TH!O237,2)="15",LEFT(TH!P237,2)="15"),'152-CT'!$J$8=TH!F237),"x","")</f>
        <v/>
      </c>
      <c r="AJ237" s="80" t="str">
        <f>IF(AND(OR(LEFT(TH!O237,2)="15",LEFT(TH!P237,2)="15"),'THE KHO'!$E$7=TH!F237),"x","")</f>
        <v/>
      </c>
      <c r="AK237" s="80" t="str">
        <f>IF(AND(O237="1521",MONTH(C237)='BK NL'!$M$11),"x","")</f>
        <v/>
      </c>
      <c r="AM237" s="374">
        <v>1</v>
      </c>
    </row>
    <row r="238" spans="1:39" s="374" customFormat="1" ht="15.75" customHeight="1">
      <c r="A238" s="362" t="str">
        <f>IF(B238&lt;&gt;"",IF(AND(B238&gt;=_TM1,B238&lt;=_TM2,OR(TH!O238="1111",TH!P238="1111")),TH!D238,""),"")</f>
        <v/>
      </c>
      <c r="B238" s="63">
        <f t="shared" si="15"/>
        <v>3</v>
      </c>
      <c r="C238" s="337">
        <v>42454</v>
      </c>
      <c r="D238" s="337" t="s">
        <v>1016</v>
      </c>
      <c r="E238" s="337">
        <v>42454</v>
      </c>
      <c r="F238" s="338" t="s">
        <v>829</v>
      </c>
      <c r="G238" s="1025"/>
      <c r="H238" s="339" t="s">
        <v>221</v>
      </c>
      <c r="I238" s="476"/>
      <c r="J238" s="476"/>
      <c r="K238" s="469"/>
      <c r="L238" s="476"/>
      <c r="M238" s="65">
        <v>42452300</v>
      </c>
      <c r="N238" s="65"/>
      <c r="O238" s="340" t="s">
        <v>135</v>
      </c>
      <c r="P238" s="340" t="s">
        <v>9</v>
      </c>
      <c r="Q238" s="66" t="str">
        <f>IF(AND('331-CT'!$E$7=TH!H238,OR(O238="331",P238="331")),"x","")</f>
        <v/>
      </c>
      <c r="R238" s="66" t="str">
        <f>IF(AND($B238&gt;='111'!$N$11,$B238&lt;='111'!$O$11,OR($O238=$R$7,$P238=$R$7)),"x","")</f>
        <v/>
      </c>
      <c r="S238" s="66" t="str">
        <f>IF(AND($O238=$R$7,$B238&lt;'111'!$N$11),"x","")</f>
        <v/>
      </c>
      <c r="T238" s="66" t="str">
        <f>IF(AND($P238=$R$7,$B238&lt;'111'!$N$11),"x","")</f>
        <v/>
      </c>
      <c r="U238" s="66" t="str">
        <f>IF(AND($B238&gt;='112'!$M$9,$B238&lt;='112'!$N$9,OR($O238='112'!$I$6,$P238='112'!$I$6)),"x","")</f>
        <v/>
      </c>
      <c r="V238" s="66" t="str">
        <f>IF(AND($O238='112'!$I$6,$B238&lt;'112'!$M$9),"x","")</f>
        <v/>
      </c>
      <c r="W238" s="66" t="str">
        <f>IF(AND($P238='112'!$I$6,$B238&lt;'112'!$M$9),"x","")</f>
        <v/>
      </c>
      <c r="X238" s="66" t="str">
        <f>IF(AND('131-CT'!$H$9=TH!H238,OR(O238="131",P238="131")),"x","")</f>
        <v/>
      </c>
      <c r="Y238" s="80" t="str">
        <f>IF(AND($B238&gt;='1331'!$I$9,$B238&lt;='1331'!$J$9,OR($O238=$Y$7,$P238=$Y$7)),"x","")</f>
        <v/>
      </c>
      <c r="Z238" s="80" t="str">
        <f>IF(AND($O238=$Y$7,$B238&lt;'1331'!$I$9),"x","")</f>
        <v/>
      </c>
      <c r="AA238" s="80" t="str">
        <f>IF(AND($P238=$Y$7,$B238&lt;'1331'!$I$9),"x","")</f>
        <v/>
      </c>
      <c r="AB238" s="80" t="str">
        <f>IF(AND($B238&gt;='1332'!$I$9,$B238&lt;='1332'!$I$9,OR($O238=$AB$7,$P238=$AB$7)),"x","")</f>
        <v/>
      </c>
      <c r="AC238" s="80" t="str">
        <f>IF(AND($O238=$AB$7,$B238&lt;'1332'!$I$9),"x","")</f>
        <v/>
      </c>
      <c r="AD238" s="80" t="str">
        <f>IF(AND($P238=$AB$7,$B238&lt;'1332'!$I$9),"x","")</f>
        <v/>
      </c>
      <c r="AE238" s="80" t="str">
        <f>IF(AND('341-CT'!$H$9=H238,OR(LEFT(O238,3)=$AE$7,LEFT(P238,3)=$AE$7)),"x","")</f>
        <v/>
      </c>
      <c r="AF238" s="80" t="str">
        <f>IF(OR(TH!O238=TH!$AF$7,P238=TH!$AF$7),"x","")</f>
        <v/>
      </c>
      <c r="AG238" s="80"/>
      <c r="AH238" s="80" t="str">
        <f>IF(AND(B238&gt;='IN-NX'!$P$3,B238&lt;='IN-NX'!$Q$3,'IN-NX'!$D$7=D238,OR(LEFT(L238,2)="15",AND(LEFT(M238,2)&lt;&gt;"15",LEFT(M238,2)&lt;&gt;"33"))),"x","")</f>
        <v/>
      </c>
      <c r="AI238" s="80" t="str">
        <f>IF(AND(OR(LEFT(TH!O238,2)="15",LEFT(TH!P238,2)="15"),'152-CT'!$J$8=TH!F238),"x","")</f>
        <v/>
      </c>
      <c r="AJ238" s="80" t="str">
        <f>IF(AND(OR(LEFT(TH!O238,2)="15",LEFT(TH!P238,2)="15"),'THE KHO'!$E$7=TH!F238),"x","")</f>
        <v/>
      </c>
      <c r="AK238" s="80" t="str">
        <f>IF(AND(O238="1521",MONTH(C238)='BK NL'!$M$11),"x","")</f>
        <v/>
      </c>
    </row>
    <row r="239" spans="1:39" s="374" customFormat="1" ht="15.75" customHeight="1">
      <c r="A239" s="362" t="str">
        <f>IF(B239&lt;&gt;"",IF(AND(B239&gt;=_TM1,B239&lt;=_TM2,OR(TH!O239="1111",TH!P239="1111")),TH!D239,""),"")</f>
        <v/>
      </c>
      <c r="B239" s="63">
        <f t="shared" si="15"/>
        <v>3</v>
      </c>
      <c r="C239" s="337">
        <v>42454</v>
      </c>
      <c r="D239" s="337" t="s">
        <v>1016</v>
      </c>
      <c r="E239" s="337">
        <v>42454</v>
      </c>
      <c r="F239" s="338" t="s">
        <v>830</v>
      </c>
      <c r="G239" s="1025"/>
      <c r="H239" s="339" t="s">
        <v>221</v>
      </c>
      <c r="I239" s="476"/>
      <c r="J239" s="476"/>
      <c r="K239" s="469"/>
      <c r="L239" s="476"/>
      <c r="M239" s="88">
        <v>4245230</v>
      </c>
      <c r="N239" s="88"/>
      <c r="O239" s="340" t="s">
        <v>10</v>
      </c>
      <c r="P239" s="340" t="s">
        <v>9</v>
      </c>
      <c r="Q239" s="66" t="str">
        <f>IF(AND('331-CT'!$E$7=TH!H239,OR(O239="331",P239="331")),"x","")</f>
        <v/>
      </c>
      <c r="R239" s="66" t="str">
        <f>IF(AND($B239&gt;='111'!$N$11,$B239&lt;='111'!$O$11,OR($O239=$R$7,$P239=$R$7)),"x","")</f>
        <v/>
      </c>
      <c r="S239" s="66" t="str">
        <f>IF(AND($O239=$R$7,$B239&lt;'111'!$N$11),"x","")</f>
        <v/>
      </c>
      <c r="T239" s="66" t="str">
        <f>IF(AND($P239=$R$7,$B239&lt;'111'!$N$11),"x","")</f>
        <v/>
      </c>
      <c r="U239" s="66" t="str">
        <f>IF(AND($B239&gt;='112'!$M$9,$B239&lt;='112'!$N$9,OR($O239='112'!$I$6,$P239='112'!$I$6)),"x","")</f>
        <v/>
      </c>
      <c r="V239" s="66" t="str">
        <f>IF(AND($O239='112'!$I$6,$B239&lt;'112'!$M$9),"x","")</f>
        <v/>
      </c>
      <c r="W239" s="66" t="str">
        <f>IF(AND($P239='112'!$I$6,$B239&lt;'112'!$M$9),"x","")</f>
        <v/>
      </c>
      <c r="X239" s="66" t="str">
        <f>IF(AND('131-CT'!$H$9=TH!H239,OR(O239="131",P239="131")),"x","")</f>
        <v/>
      </c>
      <c r="Y239" s="80" t="str">
        <f>IF(AND($B239&gt;='1331'!$I$9,$B239&lt;='1331'!$J$9,OR($O239=$Y$7,$P239=$Y$7)),"x","")</f>
        <v/>
      </c>
      <c r="Z239" s="80" t="str">
        <f>IF(AND($O239=$Y$7,$B239&lt;'1331'!$I$9),"x","")</f>
        <v>x</v>
      </c>
      <c r="AA239" s="80" t="str">
        <f>IF(AND($P239=$Y$7,$B239&lt;'1331'!$I$9),"x","")</f>
        <v/>
      </c>
      <c r="AB239" s="80" t="str">
        <f>IF(AND($B239&gt;='1332'!$I$9,$B239&lt;='1332'!$I$9,OR($O239=$AB$7,$P239=$AB$7)),"x","")</f>
        <v/>
      </c>
      <c r="AC239" s="80" t="str">
        <f>IF(AND($O239=$AB$7,$B239&lt;'1332'!$I$9),"x","")</f>
        <v/>
      </c>
      <c r="AD239" s="80" t="str">
        <f>IF(AND($P239=$AB$7,$B239&lt;'1332'!$I$9),"x","")</f>
        <v/>
      </c>
      <c r="AE239" s="80" t="str">
        <f>IF(AND('341-CT'!$H$9=H239,OR(LEFT(O239,3)=$AE$7,LEFT(P239,3)=$AE$7)),"x","")</f>
        <v/>
      </c>
      <c r="AF239" s="80" t="str">
        <f>IF(OR(TH!O239=TH!$AF$7,P239=TH!$AF$7),"x","")</f>
        <v/>
      </c>
      <c r="AG239" s="80"/>
      <c r="AH239" s="80" t="str">
        <f>IF(AND(B239&gt;='IN-NX'!$P$3,B239&lt;='IN-NX'!$Q$3,'IN-NX'!$D$7=D239,OR(LEFT(L239,2)="15",AND(LEFT(M239,2)&lt;&gt;"15",LEFT(M239,2)&lt;&gt;"33"))),"x","")</f>
        <v/>
      </c>
      <c r="AI239" s="80" t="str">
        <f>IF(AND(OR(LEFT(TH!O239,2)="15",LEFT(TH!P239,2)="15"),'152-CT'!$J$8=TH!F239),"x","")</f>
        <v/>
      </c>
      <c r="AJ239" s="80" t="str">
        <f>IF(AND(OR(LEFT(TH!O239,2)="15",LEFT(TH!P239,2)="15"),'THE KHO'!$E$7=TH!F239),"x","")</f>
        <v/>
      </c>
      <c r="AK239" s="80" t="str">
        <f>IF(AND(O239="1521",MONTH(C239)='BK NL'!$M$11),"x","")</f>
        <v/>
      </c>
    </row>
    <row r="240" spans="1:39" s="374" customFormat="1" ht="15.75" customHeight="1">
      <c r="A240" s="362" t="str">
        <f>IF(B240&lt;&gt;"",IF(AND(B240&gt;=_TM1,B240&lt;=_TM2,OR(TH!O240="1111",TH!P240="1111")),TH!D240,""),"")</f>
        <v/>
      </c>
      <c r="B240" s="63">
        <f t="shared" si="15"/>
        <v>3</v>
      </c>
      <c r="C240" s="337">
        <v>42458</v>
      </c>
      <c r="D240" s="337" t="s">
        <v>836</v>
      </c>
      <c r="E240" s="337">
        <f t="shared" ref="E240:E249" si="18">C240</f>
        <v>42458</v>
      </c>
      <c r="F240" s="338" t="s">
        <v>410</v>
      </c>
      <c r="G240" s="351" t="s">
        <v>798</v>
      </c>
      <c r="H240" s="339" t="s">
        <v>825</v>
      </c>
      <c r="I240" s="476"/>
      <c r="J240" s="476"/>
      <c r="K240" s="469"/>
      <c r="L240" s="476"/>
      <c r="M240" s="65">
        <v>50000000</v>
      </c>
      <c r="N240" s="65"/>
      <c r="O240" s="340" t="s">
        <v>31</v>
      </c>
      <c r="P240" s="340" t="s">
        <v>97</v>
      </c>
      <c r="Q240" s="66" t="str">
        <f>IF(AND('331-CT'!$E$7=TH!H240,OR(O240="331",P240="331")),"x","")</f>
        <v/>
      </c>
      <c r="R240" s="66" t="str">
        <f>IF(AND($B240&gt;='111'!$N$11,$B240&lt;='111'!$O$11,OR($O240=$R$7,$P240=$R$7)),"x","")</f>
        <v/>
      </c>
      <c r="S240" s="66" t="str">
        <f>IF(AND($O240=$R$7,$B240&lt;'111'!$N$11),"x","")</f>
        <v/>
      </c>
      <c r="T240" s="66" t="str">
        <f>IF(AND($P240=$R$7,$B240&lt;'111'!$N$11),"x","")</f>
        <v>x</v>
      </c>
      <c r="U240" s="66" t="str">
        <f>IF(AND($B240&gt;='112'!$M$9,$B240&lt;='112'!$N$9,OR($O240='112'!$I$6,$P240='112'!$I$6)),"x","")</f>
        <v/>
      </c>
      <c r="V240" s="66" t="str">
        <f>IF(AND($O240='112'!$I$6,$B240&lt;'112'!$M$9),"x","")</f>
        <v>x</v>
      </c>
      <c r="W240" s="66" t="str">
        <f>IF(AND($P240='112'!$I$6,$B240&lt;'112'!$M$9),"x","")</f>
        <v/>
      </c>
      <c r="X240" s="66" t="str">
        <f>IF(AND('131-CT'!$H$9=TH!H240,OR(O240="131",P240="131")),"x","")</f>
        <v/>
      </c>
      <c r="Y240" s="80" t="str">
        <f>IF(AND($B240&gt;='1331'!$I$9,$B240&lt;='1331'!$J$9,OR($O240=$Y$7,$P240=$Y$7)),"x","")</f>
        <v/>
      </c>
      <c r="Z240" s="80" t="str">
        <f>IF(AND($O240=$Y$7,$B240&lt;'1331'!$I$9),"x","")</f>
        <v/>
      </c>
      <c r="AA240" s="80" t="str">
        <f>IF(AND($P240=$Y$7,$B240&lt;'1331'!$I$9),"x","")</f>
        <v/>
      </c>
      <c r="AB240" s="80" t="str">
        <f>IF(AND($B240&gt;='1332'!$I$9,$B240&lt;='1332'!$I$9,OR($O240=$AB$7,$P240=$AB$7)),"x","")</f>
        <v/>
      </c>
      <c r="AC240" s="80" t="str">
        <f>IF(AND($O240=$AB$7,$B240&lt;'1332'!$I$9),"x","")</f>
        <v/>
      </c>
      <c r="AD240" s="80" t="str">
        <f>IF(AND($P240=$AB$7,$B240&lt;'1332'!$I$9),"x","")</f>
        <v/>
      </c>
      <c r="AE240" s="80" t="str">
        <f>IF(AND('341-CT'!$H$9=H240,OR(LEFT(O240,3)=$AE$7,LEFT(P240,3)=$AE$7)),"x","")</f>
        <v/>
      </c>
      <c r="AF240" s="80" t="str">
        <f>IF(OR(TH!O240=TH!$AF$7,P240=TH!$AF$7),"x","")</f>
        <v/>
      </c>
      <c r="AG240" s="80"/>
      <c r="AH240" s="80" t="str">
        <f>IF(AND(B240&gt;='IN-NX'!$P$3,B240&lt;='IN-NX'!$Q$3,'IN-NX'!$D$7=D240,OR(LEFT(L240,2)="15",AND(LEFT(M240,2)&lt;&gt;"15",LEFT(M240,2)&lt;&gt;"33"))),"x","")</f>
        <v/>
      </c>
      <c r="AI240" s="80" t="str">
        <f>IF(AND(OR(LEFT(TH!O240,2)="15",LEFT(TH!P240,2)="15"),'152-CT'!$J$8=TH!F240),"x","")</f>
        <v/>
      </c>
      <c r="AJ240" s="80" t="str">
        <f>IF(AND(OR(LEFT(TH!O240,2)="15",LEFT(TH!P240,2)="15"),'THE KHO'!$E$7=TH!F240),"x","")</f>
        <v/>
      </c>
      <c r="AK240" s="80" t="str">
        <f>IF(AND(O240="1521",MONTH(C240)='BK NL'!$M$11),"x","")</f>
        <v/>
      </c>
      <c r="AM240" s="374">
        <v>1</v>
      </c>
    </row>
    <row r="241" spans="1:39" s="374" customFormat="1" ht="15.75" customHeight="1">
      <c r="A241" s="362" t="str">
        <f>IF(B241&lt;&gt;"",IF(AND(B241&gt;=_TM1,B241&lt;=_TM2,OR(TH!O241="1111",TH!P241="1111")),TH!D241,""),"")</f>
        <v/>
      </c>
      <c r="B241" s="63">
        <f t="shared" si="15"/>
        <v>3</v>
      </c>
      <c r="C241" s="337">
        <v>42458</v>
      </c>
      <c r="D241" s="337" t="s">
        <v>8</v>
      </c>
      <c r="E241" s="337">
        <f t="shared" si="18"/>
        <v>42458</v>
      </c>
      <c r="F241" s="338" t="s">
        <v>163</v>
      </c>
      <c r="G241" s="351" t="s">
        <v>798</v>
      </c>
      <c r="H241" s="7" t="s">
        <v>165</v>
      </c>
      <c r="I241" s="476"/>
      <c r="J241" s="476"/>
      <c r="K241" s="469"/>
      <c r="L241" s="476"/>
      <c r="M241" s="65">
        <v>50000000</v>
      </c>
      <c r="N241" s="65"/>
      <c r="O241" s="340" t="s">
        <v>9</v>
      </c>
      <c r="P241" s="340" t="s">
        <v>31</v>
      </c>
      <c r="Q241" s="66" t="str">
        <f>IF(AND('331-CT'!$E$7=TH!H241,OR(O241="331",P241="331")),"x","")</f>
        <v/>
      </c>
      <c r="R241" s="66" t="str">
        <f>IF(AND($B241&gt;='111'!$N$11,$B241&lt;='111'!$O$11,OR($O241=$R$7,$P241=$R$7)),"x","")</f>
        <v/>
      </c>
      <c r="S241" s="66" t="str">
        <f>IF(AND($O241=$R$7,$B241&lt;'111'!$N$11),"x","")</f>
        <v/>
      </c>
      <c r="T241" s="66" t="str">
        <f>IF(AND($P241=$R$7,$B241&lt;'111'!$N$11),"x","")</f>
        <v/>
      </c>
      <c r="U241" s="66" t="str">
        <f>IF(AND($B241&gt;='112'!$M$9,$B241&lt;='112'!$N$9,OR($O241='112'!$I$6,$P241='112'!$I$6)),"x","")</f>
        <v/>
      </c>
      <c r="V241" s="66" t="str">
        <f>IF(AND($O241='112'!$I$6,$B241&lt;'112'!$M$9),"x","")</f>
        <v/>
      </c>
      <c r="W241" s="66" t="str">
        <f>IF(AND($P241='112'!$I$6,$B241&lt;'112'!$M$9),"x","")</f>
        <v>x</v>
      </c>
      <c r="X241" s="66" t="str">
        <f>IF(AND('131-CT'!$H$9=TH!H241,OR(O241="131",P241="131")),"x","")</f>
        <v/>
      </c>
      <c r="Y241" s="80" t="str">
        <f>IF(AND($B241&gt;='1331'!$I$9,$B241&lt;='1331'!$J$9,OR($O241=$Y$7,$P241=$Y$7)),"x","")</f>
        <v/>
      </c>
      <c r="Z241" s="80" t="str">
        <f>IF(AND($O241=$Y$7,$B241&lt;'1331'!$I$9),"x","")</f>
        <v/>
      </c>
      <c r="AA241" s="80" t="str">
        <f>IF(AND($P241=$Y$7,$B241&lt;'1331'!$I$9),"x","")</f>
        <v/>
      </c>
      <c r="AB241" s="80" t="str">
        <f>IF(AND($B241&gt;='1332'!$I$9,$B241&lt;='1332'!$I$9,OR($O241=$AB$7,$P241=$AB$7)),"x","")</f>
        <v/>
      </c>
      <c r="AC241" s="80" t="str">
        <f>IF(AND($O241=$AB$7,$B241&lt;'1332'!$I$9),"x","")</f>
        <v/>
      </c>
      <c r="AD241" s="80" t="str">
        <f>IF(AND($P241=$AB$7,$B241&lt;'1332'!$I$9),"x","")</f>
        <v/>
      </c>
      <c r="AE241" s="80" t="str">
        <f>IF(AND('341-CT'!$H$9=H241,OR(LEFT(O241,3)=$AE$7,LEFT(P241,3)=$AE$7)),"x","")</f>
        <v/>
      </c>
      <c r="AF241" s="80" t="str">
        <f>IF(OR(TH!O241=TH!$AF$7,P241=TH!$AF$7),"x","")</f>
        <v/>
      </c>
      <c r="AG241" s="80"/>
      <c r="AH241" s="80" t="str">
        <f>IF(AND(B241&gt;='IN-NX'!$P$3,B241&lt;='IN-NX'!$Q$3,'IN-NX'!$D$7=D241,OR(LEFT(L241,2)="15",AND(LEFT(M241,2)&lt;&gt;"15",LEFT(M241,2)&lt;&gt;"33"))),"x","")</f>
        <v/>
      </c>
      <c r="AI241" s="80" t="str">
        <f>IF(AND(OR(LEFT(TH!O241,2)="15",LEFT(TH!P241,2)="15"),'152-CT'!$J$8=TH!F241),"x","")</f>
        <v/>
      </c>
      <c r="AJ241" s="80" t="str">
        <f>IF(AND(OR(LEFT(TH!O241,2)="15",LEFT(TH!P241,2)="15"),'THE KHO'!$E$7=TH!F241),"x","")</f>
        <v/>
      </c>
      <c r="AK241" s="80" t="str">
        <f>IF(AND(O241="1521",MONTH(C241)='BK NL'!$M$11),"x","")</f>
        <v/>
      </c>
      <c r="AM241" s="374">
        <v>1</v>
      </c>
    </row>
    <row r="242" spans="1:39" s="374" customFormat="1" ht="15.75" customHeight="1">
      <c r="A242" s="362" t="str">
        <f>IF(B242&lt;&gt;"",IF(AND(B242&gt;=_TM1,B242&lt;=_TM2,OR(TH!O242="1111",TH!P242="1111")),TH!D242,""),"")</f>
        <v/>
      </c>
      <c r="B242" s="63">
        <f t="shared" si="15"/>
        <v>3</v>
      </c>
      <c r="C242" s="337">
        <v>42458</v>
      </c>
      <c r="D242" s="337" t="s">
        <v>8</v>
      </c>
      <c r="E242" s="337">
        <f t="shared" si="18"/>
        <v>42458</v>
      </c>
      <c r="F242" s="338" t="s">
        <v>22</v>
      </c>
      <c r="G242" s="351" t="s">
        <v>798</v>
      </c>
      <c r="H242" s="339"/>
      <c r="I242" s="476"/>
      <c r="J242" s="476"/>
      <c r="K242" s="469"/>
      <c r="L242" s="476"/>
      <c r="M242" s="65">
        <v>40000</v>
      </c>
      <c r="N242" s="65"/>
      <c r="O242" s="340" t="s">
        <v>135</v>
      </c>
      <c r="P242" s="340" t="s">
        <v>31</v>
      </c>
      <c r="Q242" s="66" t="str">
        <f>IF(AND('331-CT'!$E$7=TH!H242,OR(O242="331",P242="331")),"x","")</f>
        <v/>
      </c>
      <c r="R242" s="66" t="str">
        <f>IF(AND($B242&gt;='111'!$N$11,$B242&lt;='111'!$O$11,OR($O242=$R$7,$P242=$R$7)),"x","")</f>
        <v/>
      </c>
      <c r="S242" s="66" t="str">
        <f>IF(AND($O242=$R$7,$B242&lt;'111'!$N$11),"x","")</f>
        <v/>
      </c>
      <c r="T242" s="66" t="str">
        <f>IF(AND($P242=$R$7,$B242&lt;'111'!$N$11),"x","")</f>
        <v/>
      </c>
      <c r="U242" s="66" t="str">
        <f>IF(AND($B242&gt;='112'!$M$9,$B242&lt;='112'!$N$9,OR($O242='112'!$I$6,$P242='112'!$I$6)),"x","")</f>
        <v/>
      </c>
      <c r="V242" s="66" t="str">
        <f>IF(AND($O242='112'!$I$6,$B242&lt;'112'!$M$9),"x","")</f>
        <v/>
      </c>
      <c r="W242" s="66" t="str">
        <f>IF(AND($P242='112'!$I$6,$B242&lt;'112'!$M$9),"x","")</f>
        <v>x</v>
      </c>
      <c r="X242" s="66" t="str">
        <f>IF(AND('131-CT'!$H$9=TH!H242,OR(O242="131",P242="131")),"x","")</f>
        <v/>
      </c>
      <c r="Y242" s="80" t="str">
        <f>IF(AND($B242&gt;='1331'!$I$9,$B242&lt;='1331'!$J$9,OR($O242=$Y$7,$P242=$Y$7)),"x","")</f>
        <v/>
      </c>
      <c r="Z242" s="80" t="str">
        <f>IF(AND($O242=$Y$7,$B242&lt;'1331'!$I$9),"x","")</f>
        <v/>
      </c>
      <c r="AA242" s="80" t="str">
        <f>IF(AND($P242=$Y$7,$B242&lt;'1331'!$I$9),"x","")</f>
        <v/>
      </c>
      <c r="AB242" s="80" t="str">
        <f>IF(AND($B242&gt;='1332'!$I$9,$B242&lt;='1332'!$I$9,OR($O242=$AB$7,$P242=$AB$7)),"x","")</f>
        <v/>
      </c>
      <c r="AC242" s="80" t="str">
        <f>IF(AND($O242=$AB$7,$B242&lt;'1332'!$I$9),"x","")</f>
        <v/>
      </c>
      <c r="AD242" s="80" t="str">
        <f>IF(AND($P242=$AB$7,$B242&lt;'1332'!$I$9),"x","")</f>
        <v/>
      </c>
      <c r="AE242" s="80" t="str">
        <f>IF(AND('341-CT'!$H$9=H242,OR(LEFT(O242,3)=$AE$7,LEFT(P242,3)=$AE$7)),"x","")</f>
        <v/>
      </c>
      <c r="AF242" s="80" t="str">
        <f>IF(OR(TH!O242=TH!$AF$7,P242=TH!$AF$7),"x","")</f>
        <v/>
      </c>
      <c r="AG242" s="80"/>
      <c r="AH242" s="80" t="str">
        <f>IF(AND(B242&gt;='IN-NX'!$P$3,B242&lt;='IN-NX'!$Q$3,'IN-NX'!$D$7=D242,OR(LEFT(L242,2)="15",AND(LEFT(M242,2)&lt;&gt;"15",LEFT(M242,2)&lt;&gt;"33"))),"x","")</f>
        <v/>
      </c>
      <c r="AI242" s="80" t="str">
        <f>IF(AND(OR(LEFT(TH!O242,2)="15",LEFT(TH!P242,2)="15"),'152-CT'!$J$8=TH!F242),"x","")</f>
        <v/>
      </c>
      <c r="AJ242" s="80" t="str">
        <f>IF(AND(OR(LEFT(TH!O242,2)="15",LEFT(TH!P242,2)="15"),'THE KHO'!$E$7=TH!F242),"x","")</f>
        <v/>
      </c>
      <c r="AK242" s="80" t="str">
        <f>IF(AND(O242="1521",MONTH(C242)='BK NL'!$M$11),"x","")</f>
        <v/>
      </c>
      <c r="AM242" s="374">
        <v>1</v>
      </c>
    </row>
    <row r="243" spans="1:39" s="374" customFormat="1" ht="15.75" customHeight="1">
      <c r="A243" s="362" t="str">
        <f>IF(B243&lt;&gt;"",IF(AND(B243&gt;=_TM1,B243&lt;=_TM2,OR(TH!O243="1111",TH!P243="1111")),TH!D243,""),"")</f>
        <v/>
      </c>
      <c r="B243" s="63">
        <f t="shared" si="15"/>
        <v>3</v>
      </c>
      <c r="C243" s="337">
        <v>42458</v>
      </c>
      <c r="D243" s="337" t="s">
        <v>8</v>
      </c>
      <c r="E243" s="337">
        <f t="shared" si="18"/>
        <v>42458</v>
      </c>
      <c r="F243" s="338" t="s">
        <v>23</v>
      </c>
      <c r="G243" s="351" t="s">
        <v>798</v>
      </c>
      <c r="H243" s="339"/>
      <c r="I243" s="476"/>
      <c r="J243" s="476"/>
      <c r="K243" s="469"/>
      <c r="L243" s="476"/>
      <c r="M243" s="88">
        <v>4000</v>
      </c>
      <c r="N243" s="88"/>
      <c r="O243" s="340" t="s">
        <v>10</v>
      </c>
      <c r="P243" s="340" t="s">
        <v>31</v>
      </c>
      <c r="Q243" s="66" t="str">
        <f>IF(AND('331-CT'!$E$7=TH!H243,OR(O243="331",P243="331")),"x","")</f>
        <v/>
      </c>
      <c r="R243" s="66" t="str">
        <f>IF(AND($B243&gt;='111'!$N$11,$B243&lt;='111'!$O$11,OR($O243=$R$7,$P243=$R$7)),"x","")</f>
        <v/>
      </c>
      <c r="S243" s="66" t="str">
        <f>IF(AND($O243=$R$7,$B243&lt;'111'!$N$11),"x","")</f>
        <v/>
      </c>
      <c r="T243" s="66" t="str">
        <f>IF(AND($P243=$R$7,$B243&lt;'111'!$N$11),"x","")</f>
        <v/>
      </c>
      <c r="U243" s="66" t="str">
        <f>IF(AND($B243&gt;='112'!$M$9,$B243&lt;='112'!$N$9,OR($O243='112'!$I$6,$P243='112'!$I$6)),"x","")</f>
        <v/>
      </c>
      <c r="V243" s="66" t="str">
        <f>IF(AND($O243='112'!$I$6,$B243&lt;'112'!$M$9),"x","")</f>
        <v/>
      </c>
      <c r="W243" s="66" t="str">
        <f>IF(AND($P243='112'!$I$6,$B243&lt;'112'!$M$9),"x","")</f>
        <v>x</v>
      </c>
      <c r="X243" s="66" t="str">
        <f>IF(AND('131-CT'!$H$9=TH!H243,OR(O243="131",P243="131")),"x","")</f>
        <v/>
      </c>
      <c r="Y243" s="80" t="str">
        <f>IF(AND($B243&gt;='1331'!$I$9,$B243&lt;='1331'!$J$9,OR($O243=$Y$7,$P243=$Y$7)),"x","")</f>
        <v/>
      </c>
      <c r="Z243" s="80" t="str">
        <f>IF(AND($O243=$Y$7,$B243&lt;'1331'!$I$9),"x","")</f>
        <v>x</v>
      </c>
      <c r="AA243" s="80" t="str">
        <f>IF(AND($P243=$Y$7,$B243&lt;'1331'!$I$9),"x","")</f>
        <v/>
      </c>
      <c r="AB243" s="80" t="str">
        <f>IF(AND($B243&gt;='1332'!$I$9,$B243&lt;='1332'!$I$9,OR($O243=$AB$7,$P243=$AB$7)),"x","")</f>
        <v/>
      </c>
      <c r="AC243" s="80" t="str">
        <f>IF(AND($O243=$AB$7,$B243&lt;'1332'!$I$9),"x","")</f>
        <v/>
      </c>
      <c r="AD243" s="80" t="str">
        <f>IF(AND($P243=$AB$7,$B243&lt;'1332'!$I$9),"x","")</f>
        <v/>
      </c>
      <c r="AE243" s="80" t="str">
        <f>IF(AND('341-CT'!$H$9=H243,OR(LEFT(O243,3)=$AE$7,LEFT(P243,3)=$AE$7)),"x","")</f>
        <v/>
      </c>
      <c r="AF243" s="80" t="str">
        <f>IF(OR(TH!O243=TH!$AF$7,P243=TH!$AF$7),"x","")</f>
        <v/>
      </c>
      <c r="AG243" s="80"/>
      <c r="AH243" s="80" t="str">
        <f>IF(AND(B243&gt;='IN-NX'!$P$3,B243&lt;='IN-NX'!$Q$3,'IN-NX'!$D$7=D243,OR(LEFT(L243,2)="15",AND(LEFT(M243,2)&lt;&gt;"15",LEFT(M243,2)&lt;&gt;"33"))),"x","")</f>
        <v/>
      </c>
      <c r="AI243" s="80" t="str">
        <f>IF(AND(OR(LEFT(TH!O243,2)="15",LEFT(TH!P243,2)="15"),'152-CT'!$J$8=TH!F243),"x","")</f>
        <v/>
      </c>
      <c r="AJ243" s="80" t="str">
        <f>IF(AND(OR(LEFT(TH!O243,2)="15",LEFT(TH!P243,2)="15"),'THE KHO'!$E$7=TH!F243),"x","")</f>
        <v/>
      </c>
      <c r="AK243" s="80" t="str">
        <f>IF(AND(O243="1521",MONTH(C243)='BK NL'!$M$11),"x","")</f>
        <v/>
      </c>
      <c r="AM243" s="374">
        <v>1</v>
      </c>
    </row>
    <row r="244" spans="1:39" s="374" customFormat="1" ht="15.75" customHeight="1">
      <c r="A244" s="362" t="str">
        <f>IF(B244&lt;&gt;"",IF(AND(B244&gt;=_TM1,B244&lt;=_TM2,OR(TH!O244="1111",TH!P244="1111")),TH!D244,""),"")</f>
        <v/>
      </c>
      <c r="B244" s="63">
        <f t="shared" si="15"/>
        <v>3</v>
      </c>
      <c r="C244" s="337">
        <v>42459</v>
      </c>
      <c r="D244" s="337" t="s">
        <v>842</v>
      </c>
      <c r="E244" s="337">
        <f t="shared" si="18"/>
        <v>42459</v>
      </c>
      <c r="F244" s="338" t="s">
        <v>410</v>
      </c>
      <c r="G244" s="351" t="s">
        <v>798</v>
      </c>
      <c r="H244" s="339" t="s">
        <v>160</v>
      </c>
      <c r="I244" s="476"/>
      <c r="J244" s="476"/>
      <c r="K244" s="469"/>
      <c r="L244" s="476"/>
      <c r="M244" s="65">
        <v>45000000</v>
      </c>
      <c r="N244" s="65"/>
      <c r="O244" s="340" t="s">
        <v>31</v>
      </c>
      <c r="P244" s="340" t="s">
        <v>97</v>
      </c>
      <c r="Q244" s="66" t="str">
        <f>IF(AND('331-CT'!$E$7=TH!H244,OR(O244="331",P244="331")),"x","")</f>
        <v/>
      </c>
      <c r="R244" s="66" t="str">
        <f>IF(AND($B244&gt;='111'!$N$11,$B244&lt;='111'!$O$11,OR($O244=$R$7,$P244=$R$7)),"x","")</f>
        <v/>
      </c>
      <c r="S244" s="66" t="str">
        <f>IF(AND($O244=$R$7,$B244&lt;'111'!$N$11),"x","")</f>
        <v/>
      </c>
      <c r="T244" s="66" t="str">
        <f>IF(AND($P244=$R$7,$B244&lt;'111'!$N$11),"x","")</f>
        <v>x</v>
      </c>
      <c r="U244" s="66" t="str">
        <f>IF(AND($B244&gt;='112'!$M$9,$B244&lt;='112'!$N$9,OR($O244='112'!$I$6,$P244='112'!$I$6)),"x","")</f>
        <v/>
      </c>
      <c r="V244" s="66" t="str">
        <f>IF(AND($O244='112'!$I$6,$B244&lt;'112'!$M$9),"x","")</f>
        <v>x</v>
      </c>
      <c r="W244" s="66" t="str">
        <f>IF(AND($P244='112'!$I$6,$B244&lt;'112'!$M$9),"x","")</f>
        <v/>
      </c>
      <c r="X244" s="66" t="str">
        <f>IF(AND('131-CT'!$H$9=TH!H244,OR(O244="131",P244="131")),"x","")</f>
        <v/>
      </c>
      <c r="Y244" s="80" t="str">
        <f>IF(AND($B244&gt;='1331'!$I$9,$B244&lt;='1331'!$J$9,OR($O244=$Y$7,$P244=$Y$7)),"x","")</f>
        <v/>
      </c>
      <c r="Z244" s="80" t="str">
        <f>IF(AND($O244=$Y$7,$B244&lt;'1331'!$I$9),"x","")</f>
        <v/>
      </c>
      <c r="AA244" s="80" t="str">
        <f>IF(AND($P244=$Y$7,$B244&lt;'1331'!$I$9),"x","")</f>
        <v/>
      </c>
      <c r="AB244" s="80" t="str">
        <f>IF(AND($B244&gt;='1332'!$I$9,$B244&lt;='1332'!$I$9,OR($O244=$AB$7,$P244=$AB$7)),"x","")</f>
        <v/>
      </c>
      <c r="AC244" s="80" t="str">
        <f>IF(AND($O244=$AB$7,$B244&lt;'1332'!$I$9),"x","")</f>
        <v/>
      </c>
      <c r="AD244" s="80" t="str">
        <f>IF(AND($P244=$AB$7,$B244&lt;'1332'!$I$9),"x","")</f>
        <v/>
      </c>
      <c r="AE244" s="80" t="str">
        <f>IF(AND('341-CT'!$H$9=H244,OR(LEFT(O244,3)=$AE$7,LEFT(P244,3)=$AE$7)),"x","")</f>
        <v/>
      </c>
      <c r="AF244" s="80" t="str">
        <f>IF(OR(TH!O244=TH!$AF$7,P244=TH!$AF$7),"x","")</f>
        <v/>
      </c>
      <c r="AG244" s="80"/>
      <c r="AH244" s="80" t="str">
        <f>IF(AND(B244&gt;='IN-NX'!$P$3,B244&lt;='IN-NX'!$Q$3,'IN-NX'!$D$7=D244,OR(LEFT(L244,2)="15",AND(LEFT(M244,2)&lt;&gt;"15",LEFT(M244,2)&lt;&gt;"33"))),"x","")</f>
        <v/>
      </c>
      <c r="AI244" s="80" t="str">
        <f>IF(AND(OR(LEFT(TH!O244,2)="15",LEFT(TH!P244,2)="15"),'152-CT'!$J$8=TH!F244),"x","")</f>
        <v/>
      </c>
      <c r="AJ244" s="80" t="str">
        <f>IF(AND(OR(LEFT(TH!O244,2)="15",LEFT(TH!P244,2)="15"),'THE KHO'!$E$7=TH!F244),"x","")</f>
        <v/>
      </c>
      <c r="AK244" s="80" t="str">
        <f>IF(AND(O244="1521",MONTH(C244)='BK NL'!$M$11),"x","")</f>
        <v/>
      </c>
      <c r="AM244" s="374">
        <v>1</v>
      </c>
    </row>
    <row r="245" spans="1:39" s="374" customFormat="1" ht="15.75" customHeight="1">
      <c r="A245" s="362" t="str">
        <f>IF(B245&lt;&gt;"",IF(AND(B245&gt;=_TM1,B245&lt;=_TM2,OR(TH!O245="1111",TH!P245="1111")),TH!D245,""),"")</f>
        <v/>
      </c>
      <c r="B245" s="63">
        <f t="shared" si="15"/>
        <v>3</v>
      </c>
      <c r="C245" s="337">
        <v>42459</v>
      </c>
      <c r="D245" s="337" t="s">
        <v>8</v>
      </c>
      <c r="E245" s="337">
        <f t="shared" si="18"/>
        <v>42459</v>
      </c>
      <c r="F245" s="338" t="s">
        <v>826</v>
      </c>
      <c r="G245" s="351" t="s">
        <v>798</v>
      </c>
      <c r="H245" s="339" t="s">
        <v>221</v>
      </c>
      <c r="I245" s="476"/>
      <c r="J245" s="476"/>
      <c r="K245" s="469"/>
      <c r="L245" s="476"/>
      <c r="M245" s="65">
        <v>42488270</v>
      </c>
      <c r="N245" s="65"/>
      <c r="O245" s="340" t="s">
        <v>9</v>
      </c>
      <c r="P245" s="340" t="s">
        <v>31</v>
      </c>
      <c r="Q245" s="66" t="str">
        <f>IF(AND('331-CT'!$E$7=TH!H245,OR(O245="331",P245="331")),"x","")</f>
        <v/>
      </c>
      <c r="R245" s="66" t="str">
        <f>IF(AND($B245&gt;='111'!$N$11,$B245&lt;='111'!$O$11,OR($O245=$R$7,$P245=$R$7)),"x","")</f>
        <v/>
      </c>
      <c r="S245" s="66" t="str">
        <f>IF(AND($O245=$R$7,$B245&lt;'111'!$N$11),"x","")</f>
        <v/>
      </c>
      <c r="T245" s="66" t="str">
        <f>IF(AND($P245=$R$7,$B245&lt;'111'!$N$11),"x","")</f>
        <v/>
      </c>
      <c r="U245" s="66" t="str">
        <f>IF(AND($B245&gt;='112'!$M$9,$B245&lt;='112'!$N$9,OR($O245='112'!$I$6,$P245='112'!$I$6)),"x","")</f>
        <v/>
      </c>
      <c r="V245" s="66" t="str">
        <f>IF(AND($O245='112'!$I$6,$B245&lt;'112'!$M$9),"x","")</f>
        <v/>
      </c>
      <c r="W245" s="66" t="str">
        <f>IF(AND($P245='112'!$I$6,$B245&lt;'112'!$M$9),"x","")</f>
        <v>x</v>
      </c>
      <c r="X245" s="66" t="str">
        <f>IF(AND('131-CT'!$H$9=TH!H245,OR(O245="131",P245="131")),"x","")</f>
        <v/>
      </c>
      <c r="Y245" s="80" t="str">
        <f>IF(AND($B245&gt;='1331'!$I$9,$B245&lt;='1331'!$J$9,OR($O245=$Y$7,$P245=$Y$7)),"x","")</f>
        <v/>
      </c>
      <c r="Z245" s="80" t="str">
        <f>IF(AND($O245=$Y$7,$B245&lt;'1331'!$I$9),"x","")</f>
        <v/>
      </c>
      <c r="AA245" s="80" t="str">
        <f>IF(AND($P245=$Y$7,$B245&lt;'1331'!$I$9),"x","")</f>
        <v/>
      </c>
      <c r="AB245" s="80" t="str">
        <f>IF(AND($B245&gt;='1332'!$I$9,$B245&lt;='1332'!$I$9,OR($O245=$AB$7,$P245=$AB$7)),"x","")</f>
        <v/>
      </c>
      <c r="AC245" s="80" t="str">
        <f>IF(AND($O245=$AB$7,$B245&lt;'1332'!$I$9),"x","")</f>
        <v/>
      </c>
      <c r="AD245" s="80" t="str">
        <f>IF(AND($P245=$AB$7,$B245&lt;'1332'!$I$9),"x","")</f>
        <v/>
      </c>
      <c r="AE245" s="80" t="str">
        <f>IF(AND('341-CT'!$H$9=H245,OR(LEFT(O245,3)=$AE$7,LEFT(P245,3)=$AE$7)),"x","")</f>
        <v/>
      </c>
      <c r="AF245" s="80" t="str">
        <f>IF(OR(TH!O245=TH!$AF$7,P245=TH!$AF$7),"x","")</f>
        <v/>
      </c>
      <c r="AG245" s="80"/>
      <c r="AH245" s="80" t="str">
        <f>IF(AND(B245&gt;='IN-NX'!$P$3,B245&lt;='IN-NX'!$Q$3,'IN-NX'!$D$7=D245,OR(LEFT(L245,2)="15",AND(LEFT(M245,2)&lt;&gt;"15",LEFT(M245,2)&lt;&gt;"33"))),"x","")</f>
        <v/>
      </c>
      <c r="AI245" s="80" t="str">
        <f>IF(AND(OR(LEFT(TH!O245,2)="15",LEFT(TH!P245,2)="15"),'152-CT'!$J$8=TH!F245),"x","")</f>
        <v/>
      </c>
      <c r="AJ245" s="80" t="str">
        <f>IF(AND(OR(LEFT(TH!O245,2)="15",LEFT(TH!P245,2)="15"),'THE KHO'!$E$7=TH!F245),"x","")</f>
        <v/>
      </c>
      <c r="AK245" s="80" t="str">
        <f>IF(AND(O245="1521",MONTH(C245)='BK NL'!$M$11),"x","")</f>
        <v/>
      </c>
      <c r="AM245" s="374">
        <v>1</v>
      </c>
    </row>
    <row r="246" spans="1:39" s="374" customFormat="1" ht="15.75" customHeight="1">
      <c r="A246" s="362" t="str">
        <f>IF(B246&lt;&gt;"",IF(AND(B246&gt;=_TM1,B246&lt;=_TM2,OR(TH!O246="1111",TH!P246="1111")),TH!D246,""),"")</f>
        <v/>
      </c>
      <c r="B246" s="63">
        <f t="shared" si="15"/>
        <v>3</v>
      </c>
      <c r="C246" s="337">
        <v>42459</v>
      </c>
      <c r="D246" s="337" t="s">
        <v>8</v>
      </c>
      <c r="E246" s="337">
        <f t="shared" si="18"/>
        <v>42459</v>
      </c>
      <c r="F246" s="338" t="s">
        <v>22</v>
      </c>
      <c r="G246" s="351" t="s">
        <v>798</v>
      </c>
      <c r="H246" s="368"/>
      <c r="I246" s="477"/>
      <c r="J246" s="477"/>
      <c r="K246" s="470"/>
      <c r="L246" s="477"/>
      <c r="M246" s="65">
        <v>45000</v>
      </c>
      <c r="N246" s="65"/>
      <c r="O246" s="340" t="s">
        <v>135</v>
      </c>
      <c r="P246" s="340" t="s">
        <v>31</v>
      </c>
      <c r="Q246" s="66" t="str">
        <f>IF(AND('331-CT'!$E$7=TH!H246,OR(O246="331",P246="331")),"x","")</f>
        <v/>
      </c>
      <c r="R246" s="66" t="str">
        <f>IF(AND($B246&gt;='111'!$N$11,$B246&lt;='111'!$O$11,OR($O246=$R$7,$P246=$R$7)),"x","")</f>
        <v/>
      </c>
      <c r="S246" s="66" t="str">
        <f>IF(AND($O246=$R$7,$B246&lt;'111'!$N$11),"x","")</f>
        <v/>
      </c>
      <c r="T246" s="66" t="str">
        <f>IF(AND($P246=$R$7,$B246&lt;'111'!$N$11),"x","")</f>
        <v/>
      </c>
      <c r="U246" s="66" t="str">
        <f>IF(AND($B246&gt;='112'!$M$9,$B246&lt;='112'!$N$9,OR($O246='112'!$I$6,$P246='112'!$I$6)),"x","")</f>
        <v/>
      </c>
      <c r="V246" s="66" t="str">
        <f>IF(AND($O246='112'!$I$6,$B246&lt;'112'!$M$9),"x","")</f>
        <v/>
      </c>
      <c r="W246" s="66" t="str">
        <f>IF(AND($P246='112'!$I$6,$B246&lt;'112'!$M$9),"x","")</f>
        <v>x</v>
      </c>
      <c r="X246" s="66" t="str">
        <f>IF(AND('131-CT'!$H$9=TH!H246,OR(O246="131",P246="131")),"x","")</f>
        <v/>
      </c>
      <c r="Y246" s="80" t="str">
        <f>IF(AND($B246&gt;='1331'!$I$9,$B246&lt;='1331'!$J$9,OR($O246=$Y$7,$P246=$Y$7)),"x","")</f>
        <v/>
      </c>
      <c r="Z246" s="80" t="str">
        <f>IF(AND($O246=$Y$7,$B246&lt;'1331'!$I$9),"x","")</f>
        <v/>
      </c>
      <c r="AA246" s="80" t="str">
        <f>IF(AND($P246=$Y$7,$B246&lt;'1331'!$I$9),"x","")</f>
        <v/>
      </c>
      <c r="AB246" s="80" t="str">
        <f>IF(AND($B246&gt;='1332'!$I$9,$B246&lt;='1332'!$I$9,OR($O246=$AB$7,$P246=$AB$7)),"x","")</f>
        <v/>
      </c>
      <c r="AC246" s="80" t="str">
        <f>IF(AND($O246=$AB$7,$B246&lt;'1332'!$I$9),"x","")</f>
        <v/>
      </c>
      <c r="AD246" s="80" t="str">
        <f>IF(AND($P246=$AB$7,$B246&lt;'1332'!$I$9),"x","")</f>
        <v/>
      </c>
      <c r="AE246" s="80" t="str">
        <f>IF(AND('341-CT'!$H$9=H246,OR(LEFT(O246,3)=$AE$7,LEFT(P246,3)=$AE$7)),"x","")</f>
        <v/>
      </c>
      <c r="AF246" s="80" t="str">
        <f>IF(OR(TH!O246=TH!$AF$7,P246=TH!$AF$7),"x","")</f>
        <v/>
      </c>
      <c r="AG246" s="80"/>
      <c r="AH246" s="80" t="str">
        <f>IF(AND(B246&gt;='IN-NX'!$P$3,B246&lt;='IN-NX'!$Q$3,'IN-NX'!$D$7=D246,OR(LEFT(L246,2)="15",AND(LEFT(M246,2)&lt;&gt;"15",LEFT(M246,2)&lt;&gt;"33"))),"x","")</f>
        <v/>
      </c>
      <c r="AI246" s="80" t="str">
        <f>IF(AND(OR(LEFT(TH!O246,2)="15",LEFT(TH!P246,2)="15"),'152-CT'!$J$8=TH!F246),"x","")</f>
        <v/>
      </c>
      <c r="AJ246" s="80" t="str">
        <f>IF(AND(OR(LEFT(TH!O246,2)="15",LEFT(TH!P246,2)="15"),'THE KHO'!$E$7=TH!F246),"x","")</f>
        <v/>
      </c>
      <c r="AK246" s="80" t="str">
        <f>IF(AND(O246="1521",MONTH(C246)='BK NL'!$M$11),"x","")</f>
        <v/>
      </c>
      <c r="AM246" s="374">
        <v>2</v>
      </c>
    </row>
    <row r="247" spans="1:39" s="374" customFormat="1" ht="15.75" customHeight="1">
      <c r="A247" s="362" t="str">
        <f>IF(B247&lt;&gt;"",IF(AND(B247&gt;=_TM1,B247&lt;=_TM2,OR(TH!O247="1111",TH!P247="1111")),TH!D247,""),"")</f>
        <v/>
      </c>
      <c r="B247" s="63">
        <f t="shared" si="15"/>
        <v>3</v>
      </c>
      <c r="C247" s="337">
        <v>42459</v>
      </c>
      <c r="D247" s="337" t="s">
        <v>8</v>
      </c>
      <c r="E247" s="337">
        <f t="shared" si="18"/>
        <v>42459</v>
      </c>
      <c r="F247" s="338" t="s">
        <v>23</v>
      </c>
      <c r="G247" s="351" t="s">
        <v>798</v>
      </c>
      <c r="H247" s="339"/>
      <c r="I247" s="476"/>
      <c r="J247" s="476"/>
      <c r="K247" s="469"/>
      <c r="L247" s="476"/>
      <c r="M247" s="88">
        <v>4500</v>
      </c>
      <c r="N247" s="88"/>
      <c r="O247" s="340" t="s">
        <v>10</v>
      </c>
      <c r="P247" s="340" t="s">
        <v>31</v>
      </c>
      <c r="Q247" s="66" t="str">
        <f>IF(AND('331-CT'!$E$7=TH!H247,OR(O247="331",P247="331")),"x","")</f>
        <v/>
      </c>
      <c r="R247" s="66" t="str">
        <f>IF(AND($B247&gt;='111'!$N$11,$B247&lt;='111'!$O$11,OR($O247=$R$7,$P247=$R$7)),"x","")</f>
        <v/>
      </c>
      <c r="S247" s="66" t="str">
        <f>IF(AND($O247=$R$7,$B247&lt;'111'!$N$11),"x","")</f>
        <v/>
      </c>
      <c r="T247" s="66" t="str">
        <f>IF(AND($P247=$R$7,$B247&lt;'111'!$N$11),"x","")</f>
        <v/>
      </c>
      <c r="U247" s="66" t="str">
        <f>IF(AND($B247&gt;='112'!$M$9,$B247&lt;='112'!$N$9,OR($O247='112'!$I$6,$P247='112'!$I$6)),"x","")</f>
        <v/>
      </c>
      <c r="V247" s="66" t="str">
        <f>IF(AND($O247='112'!$I$6,$B247&lt;'112'!$M$9),"x","")</f>
        <v/>
      </c>
      <c r="W247" s="66" t="str">
        <f>IF(AND($P247='112'!$I$6,$B247&lt;'112'!$M$9),"x","")</f>
        <v>x</v>
      </c>
      <c r="X247" s="66" t="str">
        <f>IF(AND('131-CT'!$H$9=TH!H247,OR(O247="131",P247="131")),"x","")</f>
        <v/>
      </c>
      <c r="Y247" s="80" t="str">
        <f>IF(AND($B247&gt;='1331'!$I$9,$B247&lt;='1331'!$J$9,OR($O247=$Y$7,$P247=$Y$7)),"x","")</f>
        <v/>
      </c>
      <c r="Z247" s="80" t="str">
        <f>IF(AND($O247=$Y$7,$B247&lt;'1331'!$I$9),"x","")</f>
        <v>x</v>
      </c>
      <c r="AA247" s="80" t="str">
        <f>IF(AND($P247=$Y$7,$B247&lt;'1331'!$I$9),"x","")</f>
        <v/>
      </c>
      <c r="AB247" s="80" t="str">
        <f>IF(AND($B247&gt;='1332'!$I$9,$B247&lt;='1332'!$I$9,OR($O247=$AB$7,$P247=$AB$7)),"x","")</f>
        <v/>
      </c>
      <c r="AC247" s="80" t="str">
        <f>IF(AND($O247=$AB$7,$B247&lt;'1332'!$I$9),"x","")</f>
        <v/>
      </c>
      <c r="AD247" s="80" t="str">
        <f>IF(AND($P247=$AB$7,$B247&lt;'1332'!$I$9),"x","")</f>
        <v/>
      </c>
      <c r="AE247" s="80" t="str">
        <f>IF(AND('341-CT'!$H$9=H247,OR(LEFT(O247,3)=$AE$7,LEFT(P247,3)=$AE$7)),"x","")</f>
        <v/>
      </c>
      <c r="AF247" s="80" t="str">
        <f>IF(OR(TH!O247=TH!$AF$7,P247=TH!$AF$7),"x","")</f>
        <v/>
      </c>
      <c r="AG247" s="80"/>
      <c r="AH247" s="80" t="str">
        <f>IF(AND(B247&gt;='IN-NX'!$P$3,B247&lt;='IN-NX'!$Q$3,'IN-NX'!$D$7=D247,OR(LEFT(L247,2)="15",AND(LEFT(M247,2)&lt;&gt;"15",LEFT(M247,2)&lt;&gt;"33"))),"x","")</f>
        <v/>
      </c>
      <c r="AI247" s="80" t="str">
        <f>IF(AND(OR(LEFT(TH!O247,2)="15",LEFT(TH!P247,2)="15"),'152-CT'!$J$8=TH!F247),"x","")</f>
        <v/>
      </c>
      <c r="AJ247" s="80" t="str">
        <f>IF(AND(OR(LEFT(TH!O247,2)="15",LEFT(TH!P247,2)="15"),'THE KHO'!$E$7=TH!F247),"x","")</f>
        <v/>
      </c>
      <c r="AK247" s="80" t="str">
        <f>IF(AND(O247="1521",MONTH(C247)='BK NL'!$M$11),"x","")</f>
        <v/>
      </c>
      <c r="AM247" s="374">
        <v>2</v>
      </c>
    </row>
    <row r="248" spans="1:39" s="374" customFormat="1" ht="15.75" customHeight="1">
      <c r="A248" s="362" t="str">
        <f>IF(B248&lt;&gt;"",IF(AND(B248&gt;=_TM1,B248&lt;=_TM2,OR(TH!O248="1111",TH!P248="1111")),TH!D248,""),"")</f>
        <v/>
      </c>
      <c r="B248" s="63">
        <f t="shared" si="15"/>
        <v>3</v>
      </c>
      <c r="C248" s="337">
        <v>42460</v>
      </c>
      <c r="D248" s="337" t="s">
        <v>843</v>
      </c>
      <c r="E248" s="337">
        <f t="shared" si="18"/>
        <v>42460</v>
      </c>
      <c r="F248" s="338" t="s">
        <v>837</v>
      </c>
      <c r="G248" s="351" t="s">
        <v>838</v>
      </c>
      <c r="H248" s="368" t="s">
        <v>319</v>
      </c>
      <c r="I248" s="477"/>
      <c r="J248" s="477"/>
      <c r="K248" s="470"/>
      <c r="L248" s="477"/>
      <c r="M248" s="65">
        <v>415000</v>
      </c>
      <c r="N248" s="65"/>
      <c r="O248" s="340" t="s">
        <v>242</v>
      </c>
      <c r="P248" s="340" t="s">
        <v>97</v>
      </c>
      <c r="Q248" s="66" t="str">
        <f>IF(AND('331-CT'!$E$7=TH!H248,OR(O248="331",P248="331")),"x","")</f>
        <v/>
      </c>
      <c r="R248" s="66" t="str">
        <f>IF(AND($B248&gt;='111'!$N$11,$B248&lt;='111'!$O$11,OR($O248=$R$7,$P248=$R$7)),"x","")</f>
        <v/>
      </c>
      <c r="S248" s="66" t="str">
        <f>IF(AND($O248=$R$7,$B248&lt;'111'!$N$11),"x","")</f>
        <v/>
      </c>
      <c r="T248" s="66" t="str">
        <f>IF(AND($P248=$R$7,$B248&lt;'111'!$N$11),"x","")</f>
        <v>x</v>
      </c>
      <c r="U248" s="66" t="str">
        <f>IF(AND($B248&gt;='112'!$M$9,$B248&lt;='112'!$N$9,OR($O248='112'!$I$6,$P248='112'!$I$6)),"x","")</f>
        <v/>
      </c>
      <c r="V248" s="66" t="str">
        <f>IF(AND($O248='112'!$I$6,$B248&lt;'112'!$M$9),"x","")</f>
        <v/>
      </c>
      <c r="W248" s="66" t="str">
        <f>IF(AND($P248='112'!$I$6,$B248&lt;'112'!$M$9),"x","")</f>
        <v/>
      </c>
      <c r="X248" s="66" t="str">
        <f>IF(AND('131-CT'!$H$9=TH!H248,OR(O248="131",P248="131")),"x","")</f>
        <v/>
      </c>
      <c r="Y248" s="80" t="str">
        <f>IF(AND($B248&gt;='1331'!$I$9,$B248&lt;='1331'!$J$9,OR($O248=$Y$7,$P248=$Y$7)),"x","")</f>
        <v/>
      </c>
      <c r="Z248" s="80" t="str">
        <f>IF(AND($O248=$Y$7,$B248&lt;'1331'!$I$9),"x","")</f>
        <v/>
      </c>
      <c r="AA248" s="80" t="str">
        <f>IF(AND($P248=$Y$7,$B248&lt;'1331'!$I$9),"x","")</f>
        <v/>
      </c>
      <c r="AB248" s="80" t="str">
        <f>IF(AND($B248&gt;='1332'!$I$9,$B248&lt;='1332'!$I$9,OR($O248=$AB$7,$P248=$AB$7)),"x","")</f>
        <v/>
      </c>
      <c r="AC248" s="80" t="str">
        <f>IF(AND($O248=$AB$7,$B248&lt;'1332'!$I$9),"x","")</f>
        <v/>
      </c>
      <c r="AD248" s="80" t="str">
        <f>IF(AND($P248=$AB$7,$B248&lt;'1332'!$I$9),"x","")</f>
        <v/>
      </c>
      <c r="AE248" s="80" t="str">
        <f>IF(AND('341-CT'!$H$9=H248,OR(LEFT(O248,3)=$AE$7,LEFT(P248,3)=$AE$7)),"x","")</f>
        <v/>
      </c>
      <c r="AF248" s="80" t="str">
        <f>IF(OR(TH!O248=TH!$AF$7,P248=TH!$AF$7),"x","")</f>
        <v/>
      </c>
      <c r="AG248" s="80"/>
      <c r="AH248" s="80" t="str">
        <f>IF(AND(B248&gt;='IN-NX'!$P$3,B248&lt;='IN-NX'!$Q$3,'IN-NX'!$D$7=D248,OR(LEFT(L248,2)="15",AND(LEFT(M248,2)&lt;&gt;"15",LEFT(M248,2)&lt;&gt;"33"))),"x","")</f>
        <v/>
      </c>
      <c r="AI248" s="80" t="str">
        <f>IF(AND(OR(LEFT(TH!O248,2)="15",LEFT(TH!P248,2)="15"),'152-CT'!$J$8=TH!F248),"x","")</f>
        <v/>
      </c>
      <c r="AJ248" s="80" t="str">
        <f>IF(AND(OR(LEFT(TH!O248,2)="15",LEFT(TH!P248,2)="15"),'THE KHO'!$E$7=TH!F248),"x","")</f>
        <v/>
      </c>
      <c r="AK248" s="80" t="str">
        <f>IF(AND(O248="1521",MONTH(C248)='BK NL'!$M$11),"x","")</f>
        <v/>
      </c>
    </row>
    <row r="249" spans="1:39" s="374" customFormat="1" ht="15.75" customHeight="1">
      <c r="A249" s="362" t="str">
        <f>IF(B249&lt;&gt;"",IF(AND(B249&gt;=_TM1,B249&lt;=_TM2,OR(TH!O249="1111",TH!P249="1111")),TH!D249,""),"")</f>
        <v/>
      </c>
      <c r="B249" s="63">
        <f t="shared" ref="B249" si="19">IF(C249&lt;&gt;"",MONTH(C249),"")</f>
        <v>3</v>
      </c>
      <c r="C249" s="337">
        <v>42460</v>
      </c>
      <c r="D249" s="337" t="s">
        <v>890</v>
      </c>
      <c r="E249" s="337">
        <f t="shared" si="18"/>
        <v>42460</v>
      </c>
      <c r="F249" s="338" t="s">
        <v>839</v>
      </c>
      <c r="G249" s="351" t="s">
        <v>840</v>
      </c>
      <c r="H249" s="368" t="s">
        <v>841</v>
      </c>
      <c r="I249" s="477"/>
      <c r="J249" s="477"/>
      <c r="K249" s="470"/>
      <c r="L249" s="477"/>
      <c r="M249" s="65">
        <v>2850000</v>
      </c>
      <c r="N249" s="65"/>
      <c r="O249" s="340" t="s">
        <v>242</v>
      </c>
      <c r="P249" s="340" t="s">
        <v>97</v>
      </c>
      <c r="Q249" s="66" t="str">
        <f>IF(AND('331-CT'!$E$7=TH!H249,OR(O249="331",P249="331")),"x","")</f>
        <v/>
      </c>
      <c r="R249" s="66" t="str">
        <f>IF(AND($B249&gt;='111'!$N$11,$B249&lt;='111'!$O$11,OR($O249=$R$7,$P249=$R$7)),"x","")</f>
        <v/>
      </c>
      <c r="S249" s="66" t="str">
        <f>IF(AND($O249=$R$7,$B249&lt;'111'!$N$11),"x","")</f>
        <v/>
      </c>
      <c r="T249" s="66" t="str">
        <f>IF(AND($P249=$R$7,$B249&lt;'111'!$N$11),"x","")</f>
        <v>x</v>
      </c>
      <c r="U249" s="66" t="str">
        <f>IF(AND($B249&gt;='112'!$M$9,$B249&lt;='112'!$N$9,OR($O249='112'!$I$6,$P249='112'!$I$6)),"x","")</f>
        <v/>
      </c>
      <c r="V249" s="66" t="str">
        <f>IF(AND($O249='112'!$I$6,$B249&lt;'112'!$M$9),"x","")</f>
        <v/>
      </c>
      <c r="W249" s="66" t="str">
        <f>IF(AND($P249='112'!$I$6,$B249&lt;'112'!$M$9),"x","")</f>
        <v/>
      </c>
      <c r="X249" s="66" t="str">
        <f>IF(AND('131-CT'!$H$9=TH!H249,OR(O249="131",P249="131")),"x","")</f>
        <v/>
      </c>
      <c r="Y249" s="80" t="str">
        <f>IF(AND($B249&gt;='1331'!$I$9,$B249&lt;='1331'!$J$9,OR($O249=$Y$7,$P249=$Y$7)),"x","")</f>
        <v/>
      </c>
      <c r="Z249" s="80" t="str">
        <f>IF(AND($O249=$Y$7,$B249&lt;'1331'!$I$9),"x","")</f>
        <v/>
      </c>
      <c r="AA249" s="80" t="str">
        <f>IF(AND($P249=$Y$7,$B249&lt;'1331'!$I$9),"x","")</f>
        <v/>
      </c>
      <c r="AB249" s="80" t="str">
        <f>IF(AND($B249&gt;='1332'!$I$9,$B249&lt;='1332'!$I$9,OR($O249=$AB$7,$P249=$AB$7)),"x","")</f>
        <v/>
      </c>
      <c r="AC249" s="80" t="str">
        <f>IF(AND($O249=$AB$7,$B249&lt;'1332'!$I$9),"x","")</f>
        <v/>
      </c>
      <c r="AD249" s="80" t="str">
        <f>IF(AND($P249=$AB$7,$B249&lt;'1332'!$I$9),"x","")</f>
        <v/>
      </c>
      <c r="AE249" s="80" t="str">
        <f>IF(AND('341-CT'!$H$9=H249,OR(LEFT(O249,3)=$AE$7,LEFT(P249,3)=$AE$7)),"x","")</f>
        <v/>
      </c>
      <c r="AF249" s="80" t="str">
        <f>IF(OR(TH!O249=TH!$AF$7,P249=TH!$AF$7),"x","")</f>
        <v/>
      </c>
      <c r="AG249" s="80"/>
      <c r="AH249" s="80" t="str">
        <f>IF(AND(B249&gt;='IN-NX'!$P$3,B249&lt;='IN-NX'!$Q$3,'IN-NX'!$D$7=D249,OR(LEFT(L249,2)="15",AND(LEFT(M249,2)&lt;&gt;"15",LEFT(M249,2)&lt;&gt;"33"))),"x","")</f>
        <v/>
      </c>
      <c r="AI249" s="80" t="str">
        <f>IF(AND(OR(LEFT(TH!O249,2)="15",LEFT(TH!P249,2)="15"),'152-CT'!$J$8=TH!F249),"x","")</f>
        <v/>
      </c>
      <c r="AJ249" s="80" t="str">
        <f>IF(AND(OR(LEFT(TH!O249,2)="15",LEFT(TH!P249,2)="15"),'THE KHO'!$E$7=TH!F249),"x","")</f>
        <v/>
      </c>
      <c r="AK249" s="80" t="str">
        <f>IF(AND(O249="1521",MONTH(C249)='BK NL'!$M$11),"x","")</f>
        <v/>
      </c>
    </row>
    <row r="250" spans="1:39" ht="15.75" customHeight="1">
      <c r="A250" s="362" t="str">
        <f>IF(B250&lt;&gt;"",IF(AND(B250&gt;=_TM1,B250&lt;=_TM2,OR(TH!O250="1111",TH!P250="1111")),TH!D250,""),"")</f>
        <v/>
      </c>
      <c r="B250" s="63">
        <f t="shared" ref="B250:B251" si="20">IF(C250&lt;&gt;"",MONTH(C250),"")</f>
        <v>3</v>
      </c>
      <c r="C250" s="337">
        <v>42460</v>
      </c>
      <c r="D250" s="337" t="s">
        <v>891</v>
      </c>
      <c r="E250" s="337">
        <v>42450</v>
      </c>
      <c r="F250" s="338" t="s">
        <v>845</v>
      </c>
      <c r="G250" s="351" t="s">
        <v>847</v>
      </c>
      <c r="H250" s="339" t="s">
        <v>87</v>
      </c>
      <c r="I250" s="476"/>
      <c r="J250" s="476"/>
      <c r="K250" s="469"/>
      <c r="L250" s="476"/>
      <c r="M250" s="65">
        <v>11063000</v>
      </c>
      <c r="N250" s="65"/>
      <c r="O250" s="340" t="s">
        <v>135</v>
      </c>
      <c r="P250" s="340" t="s">
        <v>97</v>
      </c>
      <c r="Q250" s="66" t="str">
        <f>IF(AND('331-CT'!$E$7=TH!H250,OR(O250="331",P250="331")),"x","")</f>
        <v/>
      </c>
      <c r="R250" s="66" t="str">
        <f>IF(AND($B250&gt;='111'!$N$11,$B250&lt;='111'!$O$11,OR($O250=$R$7,$P250=$R$7)),"x","")</f>
        <v/>
      </c>
      <c r="S250" s="66" t="str">
        <f>IF(AND($O250=$R$7,$B250&lt;'111'!$N$11),"x","")</f>
        <v/>
      </c>
      <c r="T250" s="66" t="str">
        <f>IF(AND($P250=$R$7,$B250&lt;'111'!$N$11),"x","")</f>
        <v>x</v>
      </c>
      <c r="U250" s="66" t="str">
        <f>IF(AND($B250&gt;='112'!$M$9,$B250&lt;='112'!$N$9,OR($O250='112'!$I$6,$P250='112'!$I$6)),"x","")</f>
        <v/>
      </c>
      <c r="V250" s="66" t="str">
        <f>IF(AND($O250='112'!$I$6,$B250&lt;'112'!$M$9),"x","")</f>
        <v/>
      </c>
      <c r="W250" s="66" t="str">
        <f>IF(AND($P250='112'!$I$6,$B250&lt;'112'!$M$9),"x","")</f>
        <v/>
      </c>
      <c r="X250" s="66" t="str">
        <f>IF(AND('131-CT'!$H$9=TH!H250,OR(O250="131",P250="131")),"x","")</f>
        <v/>
      </c>
      <c r="Y250" s="80" t="str">
        <f>IF(AND($B250&gt;='1331'!$I$9,$B250&lt;='1331'!$J$9,OR($O250=$Y$7,$P250=$Y$7)),"x","")</f>
        <v/>
      </c>
      <c r="Z250" s="80" t="str">
        <f>IF(AND($O250=$Y$7,$B250&lt;'1331'!$I$9),"x","")</f>
        <v/>
      </c>
      <c r="AA250" s="80" t="str">
        <f>IF(AND($P250=$Y$7,$B250&lt;'1331'!$I$9),"x","")</f>
        <v/>
      </c>
      <c r="AB250" s="80" t="str">
        <f>IF(AND($B250&gt;='1332'!$I$9,$B250&lt;='1332'!$I$9,OR($O250=$AB$7,$P250=$AB$7)),"x","")</f>
        <v/>
      </c>
      <c r="AC250" s="80" t="str">
        <f>IF(AND($O250=$AB$7,$B250&lt;'1332'!$I$9),"x","")</f>
        <v/>
      </c>
      <c r="AD250" s="80" t="str">
        <f>IF(AND($P250=$AB$7,$B250&lt;'1332'!$I$9),"x","")</f>
        <v/>
      </c>
      <c r="AE250" s="80" t="str">
        <f>IF(AND('341-CT'!$H$9=H250,OR(LEFT(O250,3)=$AE$7,LEFT(P250,3)=$AE$7)),"x","")</f>
        <v/>
      </c>
      <c r="AF250" s="80" t="str">
        <f>IF(OR(TH!O250=TH!$AF$7,P250=TH!$AF$7),"x","")</f>
        <v/>
      </c>
      <c r="AG250" s="80"/>
      <c r="AH250" s="80" t="str">
        <f>IF(AND(B250&gt;='IN-NX'!$P$3,B250&lt;='IN-NX'!$Q$3,'IN-NX'!$D$7=D250,OR(LEFT(L250,2)="15",AND(LEFT(M250,2)&lt;&gt;"15",LEFT(M250,2)&lt;&gt;"33"))),"x","")</f>
        <v/>
      </c>
      <c r="AI250" s="80" t="str">
        <f>IF(AND(OR(LEFT(TH!O250,2)="15",LEFT(TH!P250,2)="15"),'152-CT'!$J$8=TH!F250),"x","")</f>
        <v/>
      </c>
      <c r="AJ250" s="80" t="str">
        <f>IF(AND(OR(LEFT(TH!O250,2)="15",LEFT(TH!P250,2)="15"),'THE KHO'!$E$7=TH!F250),"x","")</f>
        <v/>
      </c>
      <c r="AK250" s="80" t="str">
        <f>IF(AND(O250="1521",MONTH(C250)='BK NL'!$M$11),"x","")</f>
        <v/>
      </c>
      <c r="AM250" s="352">
        <v>1</v>
      </c>
    </row>
    <row r="251" spans="1:39" ht="15.75" customHeight="1">
      <c r="A251" s="362" t="str">
        <f>IF(B251&lt;&gt;"",IF(AND(B251&gt;=_TM1,B251&lt;=_TM2,OR(TH!O251="1111",TH!P251="1111")),TH!D251,""),"")</f>
        <v/>
      </c>
      <c r="B251" s="63">
        <f t="shared" si="20"/>
        <v>3</v>
      </c>
      <c r="C251" s="337">
        <v>42460</v>
      </c>
      <c r="D251" s="337" t="s">
        <v>891</v>
      </c>
      <c r="E251" s="337">
        <v>42450</v>
      </c>
      <c r="F251" s="338" t="s">
        <v>846</v>
      </c>
      <c r="G251" s="351" t="s">
        <v>847</v>
      </c>
      <c r="H251" s="339" t="s">
        <v>87</v>
      </c>
      <c r="I251" s="476"/>
      <c r="J251" s="476"/>
      <c r="K251" s="469"/>
      <c r="L251" s="476"/>
      <c r="M251" s="88">
        <v>553150</v>
      </c>
      <c r="N251" s="88"/>
      <c r="O251" s="1024" t="s">
        <v>10</v>
      </c>
      <c r="P251" s="340" t="s">
        <v>97</v>
      </c>
      <c r="Q251" s="66" t="str">
        <f>IF(AND('331-CT'!$E$7=TH!H251,OR(O251="331",P251="331")),"x","")</f>
        <v/>
      </c>
      <c r="R251" s="66" t="str">
        <f>IF(AND($B251&gt;='111'!$N$11,$B251&lt;='111'!$O$11,OR($O251=$R$7,$P251=$R$7)),"x","")</f>
        <v/>
      </c>
      <c r="S251" s="66" t="str">
        <f>IF(AND($O251=$R$7,$B251&lt;'111'!$N$11),"x","")</f>
        <v/>
      </c>
      <c r="T251" s="66" t="str">
        <f>IF(AND($P251=$R$7,$B251&lt;'111'!$N$11),"x","")</f>
        <v>x</v>
      </c>
      <c r="U251" s="66" t="str">
        <f>IF(AND($B251&gt;='112'!$M$9,$B251&lt;='112'!$N$9,OR($O251='112'!$I$6,$P251='112'!$I$6)),"x","")</f>
        <v/>
      </c>
      <c r="V251" s="66" t="str">
        <f>IF(AND($O251='112'!$I$6,$B251&lt;'112'!$M$9),"x","")</f>
        <v/>
      </c>
      <c r="W251" s="66" t="str">
        <f>IF(AND($P251='112'!$I$6,$B251&lt;'112'!$M$9),"x","")</f>
        <v/>
      </c>
      <c r="X251" s="66" t="str">
        <f>IF(AND('131-CT'!$H$9=TH!H251,OR(O251="131",P251="131")),"x","")</f>
        <v/>
      </c>
      <c r="Y251" s="80" t="str">
        <f>IF(AND($B251&gt;='1331'!$I$9,$B251&lt;='1331'!$J$9,OR($O251=$Y$7,$P251=$Y$7)),"x","")</f>
        <v/>
      </c>
      <c r="Z251" s="80" t="str">
        <f>IF(AND($O251=$Y$7,$B251&lt;'1331'!$I$9),"x","")</f>
        <v>x</v>
      </c>
      <c r="AA251" s="80" t="str">
        <f>IF(AND($P251=$Y$7,$B251&lt;'1331'!$I$9),"x","")</f>
        <v/>
      </c>
      <c r="AB251" s="80" t="str">
        <f>IF(AND($B251&gt;='1332'!$I$9,$B251&lt;='1332'!$I$9,OR($O251=$AB$7,$P251=$AB$7)),"x","")</f>
        <v/>
      </c>
      <c r="AC251" s="80" t="str">
        <f>IF(AND($O251=$AB$7,$B251&lt;'1332'!$I$9),"x","")</f>
        <v/>
      </c>
      <c r="AD251" s="80" t="str">
        <f>IF(AND($P251=$AB$7,$B251&lt;'1332'!$I$9),"x","")</f>
        <v/>
      </c>
      <c r="AE251" s="80" t="str">
        <f>IF(AND('341-CT'!$H$9=H251,OR(LEFT(O251,3)=$AE$7,LEFT(P251,3)=$AE$7)),"x","")</f>
        <v/>
      </c>
      <c r="AF251" s="80" t="str">
        <f>IF(OR(TH!O251=TH!$AF$7,P251=TH!$AF$7),"x","")</f>
        <v/>
      </c>
      <c r="AG251" s="80"/>
      <c r="AH251" s="80" t="str">
        <f>IF(AND(B251&gt;='IN-NX'!$P$3,B251&lt;='IN-NX'!$Q$3,'IN-NX'!$D$7=D251,OR(LEFT(L251,2)="15",AND(LEFT(M251,2)&lt;&gt;"15",LEFT(M251,2)&lt;&gt;"33"))),"x","")</f>
        <v/>
      </c>
      <c r="AI251" s="80" t="str">
        <f>IF(AND(OR(LEFT(TH!O251,2)="15",LEFT(TH!P251,2)="15"),'152-CT'!$J$8=TH!F251),"x","")</f>
        <v/>
      </c>
      <c r="AJ251" s="80" t="str">
        <f>IF(AND(OR(LEFT(TH!O251,2)="15",LEFT(TH!P251,2)="15"),'THE KHO'!$E$7=TH!F251),"x","")</f>
        <v/>
      </c>
      <c r="AK251" s="80" t="str">
        <f>IF(AND(O251="1521",MONTH(C251)='BK NL'!$M$11),"x","")</f>
        <v/>
      </c>
      <c r="AM251" s="352">
        <v>1</v>
      </c>
    </row>
    <row r="252" spans="1:39" ht="15.75" customHeight="1">
      <c r="A252" s="362" t="str">
        <f>IF(B252&lt;&gt;"",IF(AND(B252&gt;=_TM1,B252&lt;=_TM2,OR(TH!O252="1111",TH!P252="1111")),TH!D252,""),"")</f>
        <v>C01</v>
      </c>
      <c r="B252" s="63">
        <f t="shared" ref="B252:B283" si="21">IF(C252&lt;&gt;"",MONTH(C252),"")</f>
        <v>4</v>
      </c>
      <c r="C252" s="337">
        <v>42462</v>
      </c>
      <c r="D252" s="337" t="s">
        <v>42</v>
      </c>
      <c r="E252" s="337">
        <v>42358</v>
      </c>
      <c r="F252" s="338" t="s">
        <v>856</v>
      </c>
      <c r="G252" s="351" t="s">
        <v>872</v>
      </c>
      <c r="H252" s="339" t="s">
        <v>858</v>
      </c>
      <c r="I252" s="476"/>
      <c r="J252" s="476"/>
      <c r="K252" s="469"/>
      <c r="L252" s="476"/>
      <c r="M252" s="65">
        <v>10087000</v>
      </c>
      <c r="N252" s="65"/>
      <c r="O252" s="340" t="s">
        <v>242</v>
      </c>
      <c r="P252" s="340" t="s">
        <v>97</v>
      </c>
      <c r="Q252" s="66" t="str">
        <f>IF(AND('331-CT'!$E$7=TH!H252,OR(O252="331",P252="331")),"x","")</f>
        <v/>
      </c>
      <c r="R252" s="66" t="str">
        <f>IF(AND($B252&gt;='111'!$N$11,$B252&lt;='111'!$O$11,OR($O252=$R$7,$P252=$R$7)),"x","")</f>
        <v/>
      </c>
      <c r="S252" s="66" t="str">
        <f>IF(AND($O252=$R$7,$B252&lt;'111'!$N$11),"x","")</f>
        <v/>
      </c>
      <c r="T252" s="66" t="str">
        <f>IF(AND($P252=$R$7,$B252&lt;'111'!$N$11),"x","")</f>
        <v>x</v>
      </c>
      <c r="U252" s="66" t="str">
        <f>IF(AND($B252&gt;='112'!$M$9,$B252&lt;='112'!$N$9,OR($O252='112'!$I$6,$P252='112'!$I$6)),"x","")</f>
        <v/>
      </c>
      <c r="V252" s="66" t="str">
        <f>IF(AND($O252='112'!$I$6,$B252&lt;'112'!$M$9),"x","")</f>
        <v/>
      </c>
      <c r="W252" s="66" t="str">
        <f>IF(AND($P252='112'!$I$6,$B252&lt;'112'!$M$9),"x","")</f>
        <v/>
      </c>
      <c r="X252" s="66" t="str">
        <f>IF(AND('131-CT'!$H$9=TH!H252,OR(O252="131",P252="131")),"x","")</f>
        <v/>
      </c>
      <c r="Y252" s="80" t="str">
        <f>IF(AND($B252&gt;='1331'!$I$9,$B252&lt;='1331'!$J$9,OR($O252=$Y$7,$P252=$Y$7)),"x","")</f>
        <v/>
      </c>
      <c r="Z252" s="80" t="str">
        <f>IF(AND($O252=$Y$7,$B252&lt;'1331'!$I$9),"x","")</f>
        <v/>
      </c>
      <c r="AA252" s="80" t="str">
        <f>IF(AND($P252=$Y$7,$B252&lt;'1331'!$I$9),"x","")</f>
        <v/>
      </c>
      <c r="AB252" s="80" t="str">
        <f>IF(AND($B252&gt;='1332'!$I$9,$B252&lt;='1332'!$I$9,OR($O252=$AB$7,$P252=$AB$7)),"x","")</f>
        <v/>
      </c>
      <c r="AC252" s="80" t="str">
        <f>IF(AND($O252=$AB$7,$B252&lt;'1332'!$I$9),"x","")</f>
        <v/>
      </c>
      <c r="AD252" s="80" t="str">
        <f>IF(AND($P252=$AB$7,$B252&lt;'1332'!$I$9),"x","")</f>
        <v/>
      </c>
      <c r="AE252" s="80" t="str">
        <f>IF(AND('341-CT'!$H$9=H252,OR(LEFT(O252,3)=$AE$7,LEFT(P252,3)=$AE$7)),"x","")</f>
        <v/>
      </c>
      <c r="AF252" s="80" t="str">
        <f>IF(OR(TH!O252=TH!$AF$7,P252=TH!$AF$7),"x","")</f>
        <v/>
      </c>
      <c r="AG252" s="80"/>
      <c r="AH252" s="80" t="str">
        <f>IF(AND(B252&gt;='IN-NX'!$P$3,B252&lt;='IN-NX'!$Q$3,'IN-NX'!$D$7=D252,OR(LEFT(L252,2)="15",AND(LEFT(M252,2)&lt;&gt;"15",LEFT(M252,2)&lt;&gt;"33"))),"x","")</f>
        <v/>
      </c>
      <c r="AI252" s="80" t="str">
        <f>IF(AND(OR(LEFT(TH!O252,2)="15",LEFT(TH!P252,2)="15"),'152-CT'!$J$8=TH!F252),"x","")</f>
        <v/>
      </c>
      <c r="AJ252" s="80" t="str">
        <f>IF(AND(OR(LEFT(TH!O252,2)="15",LEFT(TH!P252,2)="15"),'THE KHO'!$E$7=TH!F252),"x","")</f>
        <v/>
      </c>
      <c r="AK252" s="80" t="str">
        <f>IF(AND(O252="1521",MONTH(C252)='BK NL'!$M$11),"x","")</f>
        <v/>
      </c>
      <c r="AM252" s="352">
        <v>2</v>
      </c>
    </row>
    <row r="253" spans="1:39" ht="15.75" customHeight="1">
      <c r="A253" s="362" t="str">
        <f>IF(B253&lt;&gt;"",IF(AND(B253&gt;=_TM1,B253&lt;=_TM2,OR(TH!O253="1111",TH!P253="1111")),TH!D253,""),"")</f>
        <v>C01</v>
      </c>
      <c r="B253" s="63">
        <f t="shared" si="21"/>
        <v>4</v>
      </c>
      <c r="C253" s="337">
        <v>42462</v>
      </c>
      <c r="D253" s="337" t="s">
        <v>42</v>
      </c>
      <c r="E253" s="337">
        <v>42358</v>
      </c>
      <c r="F253" s="338" t="s">
        <v>857</v>
      </c>
      <c r="G253" s="351" t="s">
        <v>872</v>
      </c>
      <c r="H253" s="339" t="s">
        <v>858</v>
      </c>
      <c r="I253" s="476"/>
      <c r="J253" s="476"/>
      <c r="K253" s="469"/>
      <c r="L253" s="476"/>
      <c r="M253" s="79">
        <v>1008700</v>
      </c>
      <c r="N253" s="79"/>
      <c r="O253" s="340" t="s">
        <v>981</v>
      </c>
      <c r="P253" s="340" t="s">
        <v>97</v>
      </c>
      <c r="Q253" s="66" t="str">
        <f>IF(AND('331-CT'!$E$7=TH!H253,OR(O253="331",P253="331")),"x","")</f>
        <v/>
      </c>
      <c r="R253" s="66" t="str">
        <f>IF(AND($B253&gt;='111'!$N$11,$B253&lt;='111'!$O$11,OR($O253=$R$7,$P253=$R$7)),"x","")</f>
        <v/>
      </c>
      <c r="S253" s="66" t="str">
        <f>IF(AND($O253=$R$7,$B253&lt;'111'!$N$11),"x","")</f>
        <v/>
      </c>
      <c r="T253" s="66" t="str">
        <f>IF(AND($P253=$R$7,$B253&lt;'111'!$N$11),"x","")</f>
        <v>x</v>
      </c>
      <c r="U253" s="66" t="str">
        <f>IF(AND($B253&gt;='112'!$M$9,$B253&lt;='112'!$N$9,OR($O253='112'!$I$6,$P253='112'!$I$6)),"x","")</f>
        <v/>
      </c>
      <c r="V253" s="66" t="str">
        <f>IF(AND($O253='112'!$I$6,$B253&lt;'112'!$M$9),"x","")</f>
        <v/>
      </c>
      <c r="W253" s="66" t="str">
        <f>IF(AND($P253='112'!$I$6,$B253&lt;'112'!$M$9),"x","")</f>
        <v/>
      </c>
      <c r="X253" s="66" t="str">
        <f>IF(AND('131-CT'!$H$9=TH!H253,OR(O253="131",P253="131")),"x","")</f>
        <v/>
      </c>
      <c r="Y253" s="80" t="str">
        <f>IF(AND($B253&gt;='1331'!$I$9,$B253&lt;='1331'!$J$9,OR($O253=$Y$7,$P253=$Y$7)),"x","")</f>
        <v/>
      </c>
      <c r="Z253" s="80" t="str">
        <f>IF(AND($O253=$Y$7,$B253&lt;'1331'!$I$9),"x","")</f>
        <v/>
      </c>
      <c r="AA253" s="80" t="str">
        <f>IF(AND($P253=$Y$7,$B253&lt;'1331'!$I$9),"x","")</f>
        <v/>
      </c>
      <c r="AB253" s="80" t="str">
        <f>IF(AND($B253&gt;='1332'!$I$9,$B253&lt;='1332'!$I$9,OR($O253=$AB$7,$P253=$AB$7)),"x","")</f>
        <v/>
      </c>
      <c r="AC253" s="80" t="str">
        <f>IF(AND($O253=$AB$7,$B253&lt;'1332'!$I$9),"x","")</f>
        <v>x</v>
      </c>
      <c r="AD253" s="80" t="str">
        <f>IF(AND($P253=$AB$7,$B253&lt;'1332'!$I$9),"x","")</f>
        <v/>
      </c>
      <c r="AE253" s="80" t="str">
        <f>IF(AND('341-CT'!$H$9=H253,OR(LEFT(O253,3)=$AE$7,LEFT(P253,3)=$AE$7)),"x","")</f>
        <v/>
      </c>
      <c r="AF253" s="80" t="str">
        <f>IF(OR(TH!O253=TH!$AF$7,P253=TH!$AF$7),"x","")</f>
        <v/>
      </c>
      <c r="AG253" s="80"/>
      <c r="AH253" s="80" t="str">
        <f>IF(AND(B253&gt;='IN-NX'!$P$3,B253&lt;='IN-NX'!$Q$3,'IN-NX'!$D$7=D253,OR(LEFT(L253,2)="15",AND(LEFT(M253,2)&lt;&gt;"15",LEFT(M253,2)&lt;&gt;"33"))),"x","")</f>
        <v/>
      </c>
      <c r="AI253" s="80" t="str">
        <f>IF(AND(OR(LEFT(TH!O253,2)="15",LEFT(TH!P253,2)="15"),'152-CT'!$J$8=TH!F253),"x","")</f>
        <v/>
      </c>
      <c r="AJ253" s="80" t="str">
        <f>IF(AND(OR(LEFT(TH!O253,2)="15",LEFT(TH!P253,2)="15"),'THE KHO'!$E$7=TH!F253),"x","")</f>
        <v/>
      </c>
      <c r="AK253" s="80" t="str">
        <f>IF(AND(O253="1521",MONTH(C253)='BK NL'!$M$11),"x","")</f>
        <v/>
      </c>
      <c r="AM253" s="352">
        <v>2</v>
      </c>
    </row>
    <row r="254" spans="1:39" ht="15.75" customHeight="1">
      <c r="A254" s="362" t="str">
        <f>IF(B254&lt;&gt;"",IF(AND(B254&gt;=_TM1,B254&lt;=_TM2,OR(TH!O254="1111",TH!P254="1111")),TH!D254,""),"")</f>
        <v>C02</v>
      </c>
      <c r="B254" s="63">
        <f t="shared" si="21"/>
        <v>4</v>
      </c>
      <c r="C254" s="337">
        <v>42462</v>
      </c>
      <c r="D254" s="337" t="s">
        <v>53</v>
      </c>
      <c r="E254" s="337">
        <v>42361</v>
      </c>
      <c r="F254" s="338" t="s">
        <v>948</v>
      </c>
      <c r="G254" s="351" t="s">
        <v>950</v>
      </c>
      <c r="H254" s="339" t="s">
        <v>951</v>
      </c>
      <c r="I254" s="476"/>
      <c r="J254" s="476"/>
      <c r="K254" s="469"/>
      <c r="L254" s="476"/>
      <c r="M254" s="65">
        <v>16730000</v>
      </c>
      <c r="N254" s="65"/>
      <c r="O254" s="340" t="s">
        <v>242</v>
      </c>
      <c r="P254" s="340" t="s">
        <v>97</v>
      </c>
      <c r="Q254" s="66" t="str">
        <f>IF(AND('331-CT'!$E$7=TH!H254,OR(O254="331",P254="331")),"x","")</f>
        <v/>
      </c>
      <c r="R254" s="66" t="str">
        <f>IF(AND($B254&gt;='111'!$N$11,$B254&lt;='111'!$O$11,OR($O254=$R$7,$P254=$R$7)),"x","")</f>
        <v/>
      </c>
      <c r="S254" s="66" t="str">
        <f>IF(AND($O254=$R$7,$B254&lt;'111'!$N$11),"x","")</f>
        <v/>
      </c>
      <c r="T254" s="66" t="str">
        <f>IF(AND($P254=$R$7,$B254&lt;'111'!$N$11),"x","")</f>
        <v>x</v>
      </c>
      <c r="U254" s="66" t="str">
        <f>IF(AND($B254&gt;='112'!$M$9,$B254&lt;='112'!$N$9,OR($O254='112'!$I$6,$P254='112'!$I$6)),"x","")</f>
        <v/>
      </c>
      <c r="V254" s="66" t="str">
        <f>IF(AND($O254='112'!$I$6,$B254&lt;'112'!$M$9),"x","")</f>
        <v/>
      </c>
      <c r="W254" s="66" t="str">
        <f>IF(AND($P254='112'!$I$6,$B254&lt;'112'!$M$9),"x","")</f>
        <v/>
      </c>
      <c r="X254" s="66" t="str">
        <f>IF(AND('131-CT'!$H$9=TH!H254,OR(O254="131",P254="131")),"x","")</f>
        <v/>
      </c>
      <c r="Y254" s="80" t="str">
        <f>IF(AND($B254&gt;='1331'!$I$9,$B254&lt;='1331'!$J$9,OR($O254=$Y$7,$P254=$Y$7)),"x","")</f>
        <v/>
      </c>
      <c r="Z254" s="80" t="str">
        <f>IF(AND($O254=$Y$7,$B254&lt;'1331'!$I$9),"x","")</f>
        <v/>
      </c>
      <c r="AA254" s="80" t="str">
        <f>IF(AND($P254=$Y$7,$B254&lt;'1331'!$I$9),"x","")</f>
        <v/>
      </c>
      <c r="AB254" s="80" t="str">
        <f>IF(AND($B254&gt;='1332'!$I$9,$B254&lt;='1332'!$I$9,OR($O254=$AB$7,$P254=$AB$7)),"x","")</f>
        <v/>
      </c>
      <c r="AC254" s="80" t="str">
        <f>IF(AND($O254=$AB$7,$B254&lt;'1332'!$I$9),"x","")</f>
        <v/>
      </c>
      <c r="AD254" s="80" t="str">
        <f>IF(AND($P254=$AB$7,$B254&lt;'1332'!$I$9),"x","")</f>
        <v/>
      </c>
      <c r="AE254" s="80" t="str">
        <f>IF(AND('341-CT'!$H$9=H254,OR(LEFT(O254,3)=$AE$7,LEFT(P254,3)=$AE$7)),"x","")</f>
        <v/>
      </c>
      <c r="AF254" s="80" t="str">
        <f>IF(OR(TH!O254=TH!$AF$7,P254=TH!$AF$7),"x","")</f>
        <v/>
      </c>
      <c r="AG254" s="80"/>
      <c r="AH254" s="80" t="str">
        <f>IF(AND(B254&gt;='IN-NX'!$P$3,B254&lt;='IN-NX'!$Q$3,'IN-NX'!$D$7=D254,OR(LEFT(L254,2)="15",AND(LEFT(M254,2)&lt;&gt;"15",LEFT(M254,2)&lt;&gt;"33"))),"x","")</f>
        <v/>
      </c>
      <c r="AI254" s="80" t="str">
        <f>IF(AND(OR(LEFT(TH!O254,2)="15",LEFT(TH!P254,2)="15"),'152-CT'!$J$8=TH!F254),"x","")</f>
        <v/>
      </c>
      <c r="AJ254" s="80" t="str">
        <f>IF(AND(OR(LEFT(TH!O254,2)="15",LEFT(TH!P254,2)="15"),'THE KHO'!$E$7=TH!F254),"x","")</f>
        <v/>
      </c>
      <c r="AK254" s="80" t="str">
        <f>IF(AND(O254="1521",MONTH(C254)='BK NL'!$M$11),"x","")</f>
        <v/>
      </c>
      <c r="AM254" s="352">
        <v>2</v>
      </c>
    </row>
    <row r="255" spans="1:39" ht="15.75" customHeight="1">
      <c r="A255" s="362" t="str">
        <f>IF(B255&lt;&gt;"",IF(AND(B255&gt;=_TM1,B255&lt;=_TM2,OR(TH!O255="1111",TH!P255="1111")),TH!D255,""),"")</f>
        <v>C02</v>
      </c>
      <c r="B255" s="63">
        <f t="shared" si="21"/>
        <v>4</v>
      </c>
      <c r="C255" s="337">
        <v>42462</v>
      </c>
      <c r="D255" s="337" t="s">
        <v>53</v>
      </c>
      <c r="E255" s="337">
        <v>42361</v>
      </c>
      <c r="F255" s="338" t="s">
        <v>949</v>
      </c>
      <c r="G255" s="351" t="s">
        <v>950</v>
      </c>
      <c r="H255" s="339" t="s">
        <v>951</v>
      </c>
      <c r="I255" s="476"/>
      <c r="J255" s="476"/>
      <c r="K255" s="469"/>
      <c r="L255" s="476"/>
      <c r="M255" s="79">
        <v>1673000</v>
      </c>
      <c r="N255" s="79"/>
      <c r="O255" s="340" t="s">
        <v>981</v>
      </c>
      <c r="P255" s="340" t="s">
        <v>97</v>
      </c>
      <c r="Q255" s="66" t="str">
        <f>IF(AND('331-CT'!$E$7=TH!H255,OR(O255="331",P255="331")),"x","")</f>
        <v/>
      </c>
      <c r="R255" s="66" t="str">
        <f>IF(AND($B255&gt;='111'!$N$11,$B255&lt;='111'!$O$11,OR($O255=$R$7,$P255=$R$7)),"x","")</f>
        <v/>
      </c>
      <c r="S255" s="66" t="str">
        <f>IF(AND($O255=$R$7,$B255&lt;'111'!$N$11),"x","")</f>
        <v/>
      </c>
      <c r="T255" s="66" t="str">
        <f>IF(AND($P255=$R$7,$B255&lt;'111'!$N$11),"x","")</f>
        <v>x</v>
      </c>
      <c r="U255" s="66" t="str">
        <f>IF(AND($B255&gt;='112'!$M$9,$B255&lt;='112'!$N$9,OR($O255='112'!$I$6,$P255='112'!$I$6)),"x","")</f>
        <v/>
      </c>
      <c r="V255" s="66" t="str">
        <f>IF(AND($O255='112'!$I$6,$B255&lt;'112'!$M$9),"x","")</f>
        <v/>
      </c>
      <c r="W255" s="66" t="str">
        <f>IF(AND($P255='112'!$I$6,$B255&lt;'112'!$M$9),"x","")</f>
        <v/>
      </c>
      <c r="X255" s="66" t="str">
        <f>IF(AND('131-CT'!$H$9=TH!H255,OR(O255="131",P255="131")),"x","")</f>
        <v/>
      </c>
      <c r="Y255" s="80" t="str">
        <f>IF(AND($B255&gt;='1331'!$I$9,$B255&lt;='1331'!$J$9,OR($O255=$Y$7,$P255=$Y$7)),"x","")</f>
        <v/>
      </c>
      <c r="Z255" s="80" t="str">
        <f>IF(AND($O255=$Y$7,$B255&lt;'1331'!$I$9),"x","")</f>
        <v/>
      </c>
      <c r="AA255" s="80" t="str">
        <f>IF(AND($P255=$Y$7,$B255&lt;'1331'!$I$9),"x","")</f>
        <v/>
      </c>
      <c r="AB255" s="80" t="str">
        <f>IF(AND($B255&gt;='1332'!$I$9,$B255&lt;='1332'!$I$9,OR($O255=$AB$7,$P255=$AB$7)),"x","")</f>
        <v/>
      </c>
      <c r="AC255" s="80" t="str">
        <f>IF(AND($O255=$AB$7,$B255&lt;'1332'!$I$9),"x","")</f>
        <v>x</v>
      </c>
      <c r="AD255" s="80" t="str">
        <f>IF(AND($P255=$AB$7,$B255&lt;'1332'!$I$9),"x","")</f>
        <v/>
      </c>
      <c r="AE255" s="80" t="str">
        <f>IF(AND('341-CT'!$H$9=H255,OR(LEFT(O255,3)=$AE$7,LEFT(P255,3)=$AE$7)),"x","")</f>
        <v/>
      </c>
      <c r="AF255" s="80" t="str">
        <f>IF(OR(TH!O255=TH!$AF$7,P255=TH!$AF$7),"x","")</f>
        <v/>
      </c>
      <c r="AG255" s="80"/>
      <c r="AH255" s="80" t="str">
        <f>IF(AND(B255&gt;='IN-NX'!$P$3,B255&lt;='IN-NX'!$Q$3,'IN-NX'!$D$7=D255,OR(LEFT(L255,2)="15",AND(LEFT(M255,2)&lt;&gt;"15",LEFT(M255,2)&lt;&gt;"33"))),"x","")</f>
        <v/>
      </c>
      <c r="AI255" s="80" t="str">
        <f>IF(AND(OR(LEFT(TH!O255,2)="15",LEFT(TH!P255,2)="15"),'152-CT'!$J$8=TH!F255),"x","")</f>
        <v/>
      </c>
      <c r="AJ255" s="80" t="str">
        <f>IF(AND(OR(LEFT(TH!O255,2)="15",LEFT(TH!P255,2)="15"),'THE KHO'!$E$7=TH!F255),"x","")</f>
        <v/>
      </c>
      <c r="AK255" s="80" t="str">
        <f>IF(AND(O255="1521",MONTH(C255)='BK NL'!$M$11),"x","")</f>
        <v/>
      </c>
      <c r="AM255" s="352">
        <v>2</v>
      </c>
    </row>
    <row r="256" spans="1:39" ht="15.75" customHeight="1">
      <c r="A256" s="362" t="str">
        <f>IF(B256&lt;&gt;"",IF(AND(B256&gt;=_TM1,B256&lt;=_TM2,OR(TH!O256="1111",TH!P256="1111")),TH!D256,""),"")</f>
        <v>C03</v>
      </c>
      <c r="B256" s="63">
        <f t="shared" si="21"/>
        <v>4</v>
      </c>
      <c r="C256" s="337">
        <v>42462</v>
      </c>
      <c r="D256" s="337" t="s">
        <v>54</v>
      </c>
      <c r="E256" s="337">
        <v>42363</v>
      </c>
      <c r="F256" s="338" t="s">
        <v>952</v>
      </c>
      <c r="G256" s="351" t="s">
        <v>954</v>
      </c>
      <c r="H256" s="339" t="s">
        <v>951</v>
      </c>
      <c r="I256" s="476"/>
      <c r="J256" s="476"/>
      <c r="K256" s="469"/>
      <c r="L256" s="476"/>
      <c r="M256" s="65">
        <v>18000000</v>
      </c>
      <c r="N256" s="65"/>
      <c r="O256" s="340" t="s">
        <v>242</v>
      </c>
      <c r="P256" s="340" t="s">
        <v>97</v>
      </c>
      <c r="Q256" s="66" t="str">
        <f>IF(AND('331-CT'!$E$7=TH!H256,OR(O256="331",P256="331")),"x","")</f>
        <v/>
      </c>
      <c r="R256" s="66" t="str">
        <f>IF(AND($B256&gt;='111'!$N$11,$B256&lt;='111'!$O$11,OR($O256=$R$7,$P256=$R$7)),"x","")</f>
        <v/>
      </c>
      <c r="S256" s="66" t="str">
        <f>IF(AND($O256=$R$7,$B256&lt;'111'!$N$11),"x","")</f>
        <v/>
      </c>
      <c r="T256" s="66" t="str">
        <f>IF(AND($P256=$R$7,$B256&lt;'111'!$N$11),"x","")</f>
        <v>x</v>
      </c>
      <c r="U256" s="66" t="str">
        <f>IF(AND($B256&gt;='112'!$M$9,$B256&lt;='112'!$N$9,OR($O256='112'!$I$6,$P256='112'!$I$6)),"x","")</f>
        <v/>
      </c>
      <c r="V256" s="66" t="str">
        <f>IF(AND($O256='112'!$I$6,$B256&lt;'112'!$M$9),"x","")</f>
        <v/>
      </c>
      <c r="W256" s="66" t="str">
        <f>IF(AND($P256='112'!$I$6,$B256&lt;'112'!$M$9),"x","")</f>
        <v/>
      </c>
      <c r="X256" s="66" t="str">
        <f>IF(AND('131-CT'!$H$9=TH!H256,OR(O256="131",P256="131")),"x","")</f>
        <v/>
      </c>
      <c r="Y256" s="80" t="str">
        <f>IF(AND($B256&gt;='1331'!$I$9,$B256&lt;='1331'!$J$9,OR($O256=$Y$7,$P256=$Y$7)),"x","")</f>
        <v/>
      </c>
      <c r="Z256" s="80" t="str">
        <f>IF(AND($O256=$Y$7,$B256&lt;'1331'!$I$9),"x","")</f>
        <v/>
      </c>
      <c r="AA256" s="80" t="str">
        <f>IF(AND($P256=$Y$7,$B256&lt;'1331'!$I$9),"x","")</f>
        <v/>
      </c>
      <c r="AB256" s="80" t="str">
        <f>IF(AND($B256&gt;='1332'!$I$9,$B256&lt;='1332'!$I$9,OR($O256=$AB$7,$P256=$AB$7)),"x","")</f>
        <v/>
      </c>
      <c r="AC256" s="80" t="str">
        <f>IF(AND($O256=$AB$7,$B256&lt;'1332'!$I$9),"x","")</f>
        <v/>
      </c>
      <c r="AD256" s="80" t="str">
        <f>IF(AND($P256=$AB$7,$B256&lt;'1332'!$I$9),"x","")</f>
        <v/>
      </c>
      <c r="AE256" s="80" t="str">
        <f>IF(AND('341-CT'!$H$9=H256,OR(LEFT(O256,3)=$AE$7,LEFT(P256,3)=$AE$7)),"x","")</f>
        <v/>
      </c>
      <c r="AF256" s="80" t="str">
        <f>IF(OR(TH!O256=TH!$AF$7,P256=TH!$AF$7),"x","")</f>
        <v/>
      </c>
      <c r="AG256" s="80"/>
      <c r="AH256" s="80" t="str">
        <f>IF(AND(B256&gt;='IN-NX'!$P$3,B256&lt;='IN-NX'!$Q$3,'IN-NX'!$D$7=D256,OR(LEFT(L256,2)="15",AND(LEFT(M256,2)&lt;&gt;"15",LEFT(M256,2)&lt;&gt;"33"))),"x","")</f>
        <v/>
      </c>
      <c r="AI256" s="80" t="str">
        <f>IF(AND(OR(LEFT(TH!O256,2)="15",LEFT(TH!P256,2)="15"),'152-CT'!$J$8=TH!F256),"x","")</f>
        <v/>
      </c>
      <c r="AJ256" s="80" t="str">
        <f>IF(AND(OR(LEFT(TH!O256,2)="15",LEFT(TH!P256,2)="15"),'THE KHO'!$E$7=TH!F256),"x","")</f>
        <v/>
      </c>
      <c r="AK256" s="80" t="str">
        <f>IF(AND(O256="1521",MONTH(C256)='BK NL'!$M$11),"x","")</f>
        <v/>
      </c>
      <c r="AM256" s="352">
        <v>2</v>
      </c>
    </row>
    <row r="257" spans="1:39" ht="15.75" customHeight="1">
      <c r="A257" s="362" t="str">
        <f>IF(B257&lt;&gt;"",IF(AND(B257&gt;=_TM1,B257&lt;=_TM2,OR(TH!O257="1111",TH!P257="1111")),TH!D257,""),"")</f>
        <v>C03</v>
      </c>
      <c r="B257" s="63">
        <f t="shared" si="21"/>
        <v>4</v>
      </c>
      <c r="C257" s="337">
        <v>42462</v>
      </c>
      <c r="D257" s="337" t="s">
        <v>54</v>
      </c>
      <c r="E257" s="337">
        <v>42363</v>
      </c>
      <c r="F257" s="338" t="s">
        <v>953</v>
      </c>
      <c r="G257" s="351" t="s">
        <v>954</v>
      </c>
      <c r="H257" s="339" t="s">
        <v>951</v>
      </c>
      <c r="I257" s="476"/>
      <c r="J257" s="476"/>
      <c r="K257" s="469"/>
      <c r="L257" s="476"/>
      <c r="M257" s="79">
        <v>1800000</v>
      </c>
      <c r="N257" s="79"/>
      <c r="O257" s="340" t="s">
        <v>981</v>
      </c>
      <c r="P257" s="340" t="s">
        <v>97</v>
      </c>
      <c r="Q257" s="66" t="str">
        <f>IF(AND('331-CT'!$E$7=TH!H257,OR(O257="331",P257="331")),"x","")</f>
        <v/>
      </c>
      <c r="R257" s="66" t="str">
        <f>IF(AND($B257&gt;='111'!$N$11,$B257&lt;='111'!$O$11,OR($O257=$R$7,$P257=$R$7)),"x","")</f>
        <v/>
      </c>
      <c r="S257" s="66" t="str">
        <f>IF(AND($O257=$R$7,$B257&lt;'111'!$N$11),"x","")</f>
        <v/>
      </c>
      <c r="T257" s="66" t="str">
        <f>IF(AND($P257=$R$7,$B257&lt;'111'!$N$11),"x","")</f>
        <v>x</v>
      </c>
      <c r="U257" s="66" t="str">
        <f>IF(AND($B257&gt;='112'!$M$9,$B257&lt;='112'!$N$9,OR($O257='112'!$I$6,$P257='112'!$I$6)),"x","")</f>
        <v/>
      </c>
      <c r="V257" s="66" t="str">
        <f>IF(AND($O257='112'!$I$6,$B257&lt;'112'!$M$9),"x","")</f>
        <v/>
      </c>
      <c r="W257" s="66" t="str">
        <f>IF(AND($P257='112'!$I$6,$B257&lt;'112'!$M$9),"x","")</f>
        <v/>
      </c>
      <c r="X257" s="66" t="str">
        <f>IF(AND('131-CT'!$H$9=TH!H257,OR(O257="131",P257="131")),"x","")</f>
        <v/>
      </c>
      <c r="Y257" s="80" t="str">
        <f>IF(AND($B257&gt;='1331'!$I$9,$B257&lt;='1331'!$J$9,OR($O257=$Y$7,$P257=$Y$7)),"x","")</f>
        <v/>
      </c>
      <c r="Z257" s="80" t="str">
        <f>IF(AND($O257=$Y$7,$B257&lt;'1331'!$I$9),"x","")</f>
        <v/>
      </c>
      <c r="AA257" s="80" t="str">
        <f>IF(AND($P257=$Y$7,$B257&lt;'1331'!$I$9),"x","")</f>
        <v/>
      </c>
      <c r="AB257" s="80" t="str">
        <f>IF(AND($B257&gt;='1332'!$I$9,$B257&lt;='1332'!$I$9,OR($O257=$AB$7,$P257=$AB$7)),"x","")</f>
        <v/>
      </c>
      <c r="AC257" s="80" t="str">
        <f>IF(AND($O257=$AB$7,$B257&lt;'1332'!$I$9),"x","")</f>
        <v>x</v>
      </c>
      <c r="AD257" s="80" t="str">
        <f>IF(AND($P257=$AB$7,$B257&lt;'1332'!$I$9),"x","")</f>
        <v/>
      </c>
      <c r="AE257" s="80" t="str">
        <f>IF(AND('341-CT'!$H$9=H257,OR(LEFT(O257,3)=$AE$7,LEFT(P257,3)=$AE$7)),"x","")</f>
        <v/>
      </c>
      <c r="AF257" s="80" t="str">
        <f>IF(OR(TH!O257=TH!$AF$7,P257=TH!$AF$7),"x","")</f>
        <v/>
      </c>
      <c r="AG257" s="80"/>
      <c r="AH257" s="80" t="str">
        <f>IF(AND(B257&gt;='IN-NX'!$P$3,B257&lt;='IN-NX'!$Q$3,'IN-NX'!$D$7=D257,OR(LEFT(L257,2)="15",AND(LEFT(M257,2)&lt;&gt;"15",LEFT(M257,2)&lt;&gt;"33"))),"x","")</f>
        <v/>
      </c>
      <c r="AI257" s="80" t="str">
        <f>IF(AND(OR(LEFT(TH!O257,2)="15",LEFT(TH!P257,2)="15"),'152-CT'!$J$8=TH!F257),"x","")</f>
        <v/>
      </c>
      <c r="AJ257" s="80" t="str">
        <f>IF(AND(OR(LEFT(TH!O257,2)="15",LEFT(TH!P257,2)="15"),'THE KHO'!$E$7=TH!F257),"x","")</f>
        <v/>
      </c>
      <c r="AK257" s="80" t="str">
        <f>IF(AND(O257="1521",MONTH(C257)='BK NL'!$M$11),"x","")</f>
        <v/>
      </c>
      <c r="AM257" s="352">
        <v>2</v>
      </c>
    </row>
    <row r="258" spans="1:39" ht="15.75" customHeight="1">
      <c r="A258" s="362" t="str">
        <f>IF(B258&lt;&gt;"",IF(AND(B258&gt;=_TM1,B258&lt;=_TM2,OR(TH!O258="1111",TH!P258="1111")),TH!D258,""),"")</f>
        <v>C04</v>
      </c>
      <c r="B258" s="63">
        <f t="shared" si="21"/>
        <v>4</v>
      </c>
      <c r="C258" s="337">
        <v>42462</v>
      </c>
      <c r="D258" s="337" t="s">
        <v>41</v>
      </c>
      <c r="E258" s="337">
        <v>42377</v>
      </c>
      <c r="F258" s="338" t="s">
        <v>859</v>
      </c>
      <c r="G258" s="351" t="s">
        <v>871</v>
      </c>
      <c r="H258" s="368" t="s">
        <v>861</v>
      </c>
      <c r="I258" s="477"/>
      <c r="J258" s="477"/>
      <c r="K258" s="470"/>
      <c r="L258" s="477"/>
      <c r="M258" s="65">
        <v>17792215</v>
      </c>
      <c r="N258" s="65"/>
      <c r="O258" s="340" t="s">
        <v>242</v>
      </c>
      <c r="P258" s="340" t="s">
        <v>97</v>
      </c>
      <c r="Q258" s="66" t="str">
        <f>IF(AND('331-CT'!$E$7=TH!H258,OR(O258="331",P258="331")),"x","")</f>
        <v/>
      </c>
      <c r="R258" s="66" t="str">
        <f>IF(AND($B258&gt;='111'!$N$11,$B258&lt;='111'!$O$11,OR($O258=$R$7,$P258=$R$7)),"x","")</f>
        <v/>
      </c>
      <c r="S258" s="66" t="str">
        <f>IF(AND($O258=$R$7,$B258&lt;'111'!$N$11),"x","")</f>
        <v/>
      </c>
      <c r="T258" s="66" t="str">
        <f>IF(AND($P258=$R$7,$B258&lt;'111'!$N$11),"x","")</f>
        <v>x</v>
      </c>
      <c r="U258" s="66" t="str">
        <f>IF(AND($B258&gt;='112'!$M$9,$B258&lt;='112'!$N$9,OR($O258='112'!$I$6,$P258='112'!$I$6)),"x","")</f>
        <v/>
      </c>
      <c r="V258" s="66" t="str">
        <f>IF(AND($O258='112'!$I$6,$B258&lt;'112'!$M$9),"x","")</f>
        <v/>
      </c>
      <c r="W258" s="66" t="str">
        <f>IF(AND($P258='112'!$I$6,$B258&lt;'112'!$M$9),"x","")</f>
        <v/>
      </c>
      <c r="X258" s="66" t="str">
        <f>IF(AND('131-CT'!$H$9=TH!H258,OR(O258="131",P258="131")),"x","")</f>
        <v/>
      </c>
      <c r="Y258" s="80" t="str">
        <f>IF(AND($B258&gt;='1331'!$I$9,$B258&lt;='1331'!$J$9,OR($O258=$Y$7,$P258=$Y$7)),"x","")</f>
        <v/>
      </c>
      <c r="Z258" s="80" t="str">
        <f>IF(AND($O258=$Y$7,$B258&lt;'1331'!$I$9),"x","")</f>
        <v/>
      </c>
      <c r="AA258" s="80" t="str">
        <f>IF(AND($P258=$Y$7,$B258&lt;'1331'!$I$9),"x","")</f>
        <v/>
      </c>
      <c r="AB258" s="80" t="str">
        <f>IF(AND($B258&gt;='1332'!$I$9,$B258&lt;='1332'!$I$9,OR($O258=$AB$7,$P258=$AB$7)),"x","")</f>
        <v/>
      </c>
      <c r="AC258" s="80" t="str">
        <f>IF(AND($O258=$AB$7,$B258&lt;'1332'!$I$9),"x","")</f>
        <v/>
      </c>
      <c r="AD258" s="80" t="str">
        <f>IF(AND($P258=$AB$7,$B258&lt;'1332'!$I$9),"x","")</f>
        <v/>
      </c>
      <c r="AE258" s="80" t="str">
        <f>IF(AND('341-CT'!$H$9=H258,OR(LEFT(O258,3)=$AE$7,LEFT(P258,3)=$AE$7)),"x","")</f>
        <v/>
      </c>
      <c r="AF258" s="80" t="str">
        <f>IF(OR(TH!O258=TH!$AF$7,P258=TH!$AF$7),"x","")</f>
        <v/>
      </c>
      <c r="AG258" s="80"/>
      <c r="AH258" s="80" t="str">
        <f>IF(AND(B258&gt;='IN-NX'!$P$3,B258&lt;='IN-NX'!$Q$3,'IN-NX'!$D$7=D258,OR(LEFT(L258,2)="15",AND(LEFT(M258,2)&lt;&gt;"15",LEFT(M258,2)&lt;&gt;"33"))),"x","")</f>
        <v/>
      </c>
      <c r="AI258" s="80" t="str">
        <f>IF(AND(OR(LEFT(TH!O258,2)="15",LEFT(TH!P258,2)="15"),'152-CT'!$J$8=TH!F258),"x","")</f>
        <v/>
      </c>
      <c r="AJ258" s="80" t="str">
        <f>IF(AND(OR(LEFT(TH!O258,2)="15",LEFT(TH!P258,2)="15"),'THE KHO'!$E$7=TH!F258),"x","")</f>
        <v/>
      </c>
      <c r="AK258" s="80" t="str">
        <f>IF(AND(O258="1521",MONTH(C258)='BK NL'!$M$11),"x","")</f>
        <v/>
      </c>
      <c r="AM258" s="352">
        <v>2</v>
      </c>
    </row>
    <row r="259" spans="1:39" ht="15.75" customHeight="1">
      <c r="A259" s="362" t="str">
        <f>IF(B259&lt;&gt;"",IF(AND(B259&gt;=_TM1,B259&lt;=_TM2,OR(TH!O259="1111",TH!P259="1111")),TH!D259,""),"")</f>
        <v>C04</v>
      </c>
      <c r="B259" s="63">
        <f t="shared" si="21"/>
        <v>4</v>
      </c>
      <c r="C259" s="337">
        <v>42462</v>
      </c>
      <c r="D259" s="337" t="s">
        <v>41</v>
      </c>
      <c r="E259" s="337">
        <v>42377</v>
      </c>
      <c r="F259" s="338" t="s">
        <v>860</v>
      </c>
      <c r="G259" s="351" t="s">
        <v>871</v>
      </c>
      <c r="H259" s="368" t="s">
        <v>861</v>
      </c>
      <c r="I259" s="477"/>
      <c r="J259" s="477"/>
      <c r="K259" s="470"/>
      <c r="L259" s="477"/>
      <c r="M259" s="79">
        <v>1779222</v>
      </c>
      <c r="N259" s="79"/>
      <c r="O259" s="340" t="s">
        <v>981</v>
      </c>
      <c r="P259" s="340" t="s">
        <v>97</v>
      </c>
      <c r="Q259" s="66" t="str">
        <f>IF(AND('331-CT'!$E$7=TH!H259,OR(O259="331",P259="331")),"x","")</f>
        <v/>
      </c>
      <c r="R259" s="66" t="str">
        <f>IF(AND($B259&gt;='111'!$N$11,$B259&lt;='111'!$O$11,OR($O259=$R$7,$P259=$R$7)),"x","")</f>
        <v/>
      </c>
      <c r="S259" s="66" t="str">
        <f>IF(AND($O259=$R$7,$B259&lt;'111'!$N$11),"x","")</f>
        <v/>
      </c>
      <c r="T259" s="66" t="str">
        <f>IF(AND($P259=$R$7,$B259&lt;'111'!$N$11),"x","")</f>
        <v>x</v>
      </c>
      <c r="U259" s="66" t="str">
        <f>IF(AND($B259&gt;='112'!$M$9,$B259&lt;='112'!$N$9,OR($O259='112'!$I$6,$P259='112'!$I$6)),"x","")</f>
        <v/>
      </c>
      <c r="V259" s="66" t="str">
        <f>IF(AND($O259='112'!$I$6,$B259&lt;'112'!$M$9),"x","")</f>
        <v/>
      </c>
      <c r="W259" s="66" t="str">
        <f>IF(AND($P259='112'!$I$6,$B259&lt;'112'!$M$9),"x","")</f>
        <v/>
      </c>
      <c r="X259" s="66" t="str">
        <f>IF(AND('131-CT'!$H$9=TH!H259,OR(O259="131",P259="131")),"x","")</f>
        <v/>
      </c>
      <c r="Y259" s="80" t="str">
        <f>IF(AND($B259&gt;='1331'!$I$9,$B259&lt;='1331'!$J$9,OR($O259=$Y$7,$P259=$Y$7)),"x","")</f>
        <v/>
      </c>
      <c r="Z259" s="80" t="str">
        <f>IF(AND($O259=$Y$7,$B259&lt;'1331'!$I$9),"x","")</f>
        <v/>
      </c>
      <c r="AA259" s="80" t="str">
        <f>IF(AND($P259=$Y$7,$B259&lt;'1331'!$I$9),"x","")</f>
        <v/>
      </c>
      <c r="AB259" s="80" t="str">
        <f>IF(AND($B259&gt;='1332'!$I$9,$B259&lt;='1332'!$I$9,OR($O259=$AB$7,$P259=$AB$7)),"x","")</f>
        <v/>
      </c>
      <c r="AC259" s="80" t="str">
        <f>IF(AND($O259=$AB$7,$B259&lt;'1332'!$I$9),"x","")</f>
        <v>x</v>
      </c>
      <c r="AD259" s="80" t="str">
        <f>IF(AND($P259=$AB$7,$B259&lt;'1332'!$I$9),"x","")</f>
        <v/>
      </c>
      <c r="AE259" s="80" t="str">
        <f>IF(AND('341-CT'!$H$9=H259,OR(LEFT(O259,3)=$AE$7,LEFT(P259,3)=$AE$7)),"x","")</f>
        <v/>
      </c>
      <c r="AF259" s="80" t="str">
        <f>IF(OR(TH!O259=TH!$AF$7,P259=TH!$AF$7),"x","")</f>
        <v/>
      </c>
      <c r="AG259" s="80"/>
      <c r="AH259" s="80" t="str">
        <f>IF(AND(B259&gt;='IN-NX'!$P$3,B259&lt;='IN-NX'!$Q$3,'IN-NX'!$D$7=D259,OR(LEFT(L259,2)="15",AND(LEFT(M259,2)&lt;&gt;"15",LEFT(M259,2)&lt;&gt;"33"))),"x","")</f>
        <v/>
      </c>
      <c r="AI259" s="80" t="str">
        <f>IF(AND(OR(LEFT(TH!O259,2)="15",LEFT(TH!P259,2)="15"),'152-CT'!$J$8=TH!F259),"x","")</f>
        <v/>
      </c>
      <c r="AJ259" s="80" t="str">
        <f>IF(AND(OR(LEFT(TH!O259,2)="15",LEFT(TH!P259,2)="15"),'THE KHO'!$E$7=TH!F259),"x","")</f>
        <v/>
      </c>
      <c r="AK259" s="80" t="str">
        <f>IF(AND(O259="1521",MONTH(C259)='BK NL'!$M$11),"x","")</f>
        <v/>
      </c>
      <c r="AM259" s="352">
        <v>2</v>
      </c>
    </row>
    <row r="260" spans="1:39" ht="15.75" customHeight="1">
      <c r="A260" s="362" t="str">
        <f>IF(B260&lt;&gt;"",IF(AND(B260&gt;=_TM1,B260&lt;=_TM2,OR(TH!O260="1111",TH!P260="1111")),TH!D260,""),"")</f>
        <v>C05</v>
      </c>
      <c r="B260" s="63">
        <f t="shared" si="21"/>
        <v>4</v>
      </c>
      <c r="C260" s="337">
        <v>42462</v>
      </c>
      <c r="D260" s="337" t="s">
        <v>40</v>
      </c>
      <c r="E260" s="337">
        <v>42378</v>
      </c>
      <c r="F260" s="338" t="s">
        <v>862</v>
      </c>
      <c r="G260" s="351" t="s">
        <v>870</v>
      </c>
      <c r="H260" s="368" t="s">
        <v>861</v>
      </c>
      <c r="I260" s="477"/>
      <c r="J260" s="477"/>
      <c r="K260" s="470"/>
      <c r="L260" s="477"/>
      <c r="M260" s="65">
        <v>17347890</v>
      </c>
      <c r="N260" s="65"/>
      <c r="O260" s="340" t="s">
        <v>242</v>
      </c>
      <c r="P260" s="340" t="s">
        <v>97</v>
      </c>
      <c r="Q260" s="66" t="str">
        <f>IF(AND('331-CT'!$E$7=TH!H260,OR(O260="331",P260="331")),"x","")</f>
        <v/>
      </c>
      <c r="R260" s="66" t="str">
        <f>IF(AND($B260&gt;='111'!$N$11,$B260&lt;='111'!$O$11,OR($O260=$R$7,$P260=$R$7)),"x","")</f>
        <v/>
      </c>
      <c r="S260" s="66" t="str">
        <f>IF(AND($O260=$R$7,$B260&lt;'111'!$N$11),"x","")</f>
        <v/>
      </c>
      <c r="T260" s="66" t="str">
        <f>IF(AND($P260=$R$7,$B260&lt;'111'!$N$11),"x","")</f>
        <v>x</v>
      </c>
      <c r="U260" s="66" t="str">
        <f>IF(AND($B260&gt;='112'!$M$9,$B260&lt;='112'!$N$9,OR($O260='112'!$I$6,$P260='112'!$I$6)),"x","")</f>
        <v/>
      </c>
      <c r="V260" s="66" t="str">
        <f>IF(AND($O260='112'!$I$6,$B260&lt;'112'!$M$9),"x","")</f>
        <v/>
      </c>
      <c r="W260" s="66" t="str">
        <f>IF(AND($P260='112'!$I$6,$B260&lt;'112'!$M$9),"x","")</f>
        <v/>
      </c>
      <c r="X260" s="66" t="str">
        <f>IF(AND('131-CT'!$H$9=TH!H260,OR(O260="131",P260="131")),"x","")</f>
        <v/>
      </c>
      <c r="Y260" s="80" t="str">
        <f>IF(AND($B260&gt;='1331'!$I$9,$B260&lt;='1331'!$J$9,OR($O260=$Y$7,$P260=$Y$7)),"x","")</f>
        <v/>
      </c>
      <c r="Z260" s="80" t="str">
        <f>IF(AND($O260=$Y$7,$B260&lt;'1331'!$I$9),"x","")</f>
        <v/>
      </c>
      <c r="AA260" s="80" t="str">
        <f>IF(AND($P260=$Y$7,$B260&lt;'1331'!$I$9),"x","")</f>
        <v/>
      </c>
      <c r="AB260" s="80" t="str">
        <f>IF(AND($B260&gt;='1332'!$I$9,$B260&lt;='1332'!$I$9,OR($O260=$AB$7,$P260=$AB$7)),"x","")</f>
        <v/>
      </c>
      <c r="AC260" s="80" t="str">
        <f>IF(AND($O260=$AB$7,$B260&lt;'1332'!$I$9),"x","")</f>
        <v/>
      </c>
      <c r="AD260" s="80" t="str">
        <f>IF(AND($P260=$AB$7,$B260&lt;'1332'!$I$9),"x","")</f>
        <v/>
      </c>
      <c r="AE260" s="80" t="str">
        <f>IF(AND('341-CT'!$H$9=H260,OR(LEFT(O260,3)=$AE$7,LEFT(P260,3)=$AE$7)),"x","")</f>
        <v/>
      </c>
      <c r="AF260" s="80" t="str">
        <f>IF(OR(TH!O260=TH!$AF$7,P260=TH!$AF$7),"x","")</f>
        <v/>
      </c>
      <c r="AG260" s="80"/>
      <c r="AH260" s="80" t="str">
        <f>IF(AND(B260&gt;='IN-NX'!$P$3,B260&lt;='IN-NX'!$Q$3,'IN-NX'!$D$7=D260,OR(LEFT(L260,2)="15",AND(LEFT(M260,2)&lt;&gt;"15",LEFT(M260,2)&lt;&gt;"33"))),"x","")</f>
        <v/>
      </c>
      <c r="AI260" s="80" t="str">
        <f>IF(AND(OR(LEFT(TH!O260,2)="15",LEFT(TH!P260,2)="15"),'152-CT'!$J$8=TH!F260),"x","")</f>
        <v/>
      </c>
      <c r="AJ260" s="80" t="str">
        <f>IF(AND(OR(LEFT(TH!O260,2)="15",LEFT(TH!P260,2)="15"),'THE KHO'!$E$7=TH!F260),"x","")</f>
        <v/>
      </c>
      <c r="AK260" s="80" t="str">
        <f>IF(AND(O260="1521",MONTH(C260)='BK NL'!$M$11),"x","")</f>
        <v/>
      </c>
      <c r="AM260" s="352">
        <v>2</v>
      </c>
    </row>
    <row r="261" spans="1:39" ht="15.75" customHeight="1">
      <c r="A261" s="362" t="str">
        <f>IF(B261&lt;&gt;"",IF(AND(B261&gt;=_TM1,B261&lt;=_TM2,OR(TH!O261="1111",TH!P261="1111")),TH!D261,""),"")</f>
        <v>C05</v>
      </c>
      <c r="B261" s="63">
        <f t="shared" si="21"/>
        <v>4</v>
      </c>
      <c r="C261" s="337">
        <v>42462</v>
      </c>
      <c r="D261" s="337" t="s">
        <v>40</v>
      </c>
      <c r="E261" s="337">
        <v>42378</v>
      </c>
      <c r="F261" s="338" t="s">
        <v>863</v>
      </c>
      <c r="G261" s="351" t="s">
        <v>870</v>
      </c>
      <c r="H261" s="368" t="s">
        <v>861</v>
      </c>
      <c r="I261" s="476"/>
      <c r="J261" s="476"/>
      <c r="K261" s="469"/>
      <c r="L261" s="476"/>
      <c r="M261" s="79">
        <v>1734789</v>
      </c>
      <c r="N261" s="79"/>
      <c r="O261" s="340" t="s">
        <v>981</v>
      </c>
      <c r="P261" s="340" t="s">
        <v>97</v>
      </c>
      <c r="Q261" s="66" t="str">
        <f>IF(AND('331-CT'!$E$7=TH!H261,OR(O261="331",P261="331")),"x","")</f>
        <v/>
      </c>
      <c r="R261" s="66" t="str">
        <f>IF(AND($B261&gt;='111'!$N$11,$B261&lt;='111'!$O$11,OR($O261=$R$7,$P261=$R$7)),"x","")</f>
        <v/>
      </c>
      <c r="S261" s="66" t="str">
        <f>IF(AND($O261=$R$7,$B261&lt;'111'!$N$11),"x","")</f>
        <v/>
      </c>
      <c r="T261" s="66" t="str">
        <f>IF(AND($P261=$R$7,$B261&lt;'111'!$N$11),"x","")</f>
        <v>x</v>
      </c>
      <c r="U261" s="66" t="str">
        <f>IF(AND($B261&gt;='112'!$M$9,$B261&lt;='112'!$N$9,OR($O261='112'!$I$6,$P261='112'!$I$6)),"x","")</f>
        <v/>
      </c>
      <c r="V261" s="66" t="str">
        <f>IF(AND($O261='112'!$I$6,$B261&lt;'112'!$M$9),"x","")</f>
        <v/>
      </c>
      <c r="W261" s="66" t="str">
        <f>IF(AND($P261='112'!$I$6,$B261&lt;'112'!$M$9),"x","")</f>
        <v/>
      </c>
      <c r="X261" s="66" t="str">
        <f>IF(AND('131-CT'!$H$9=TH!H261,OR(O261="131",P261="131")),"x","")</f>
        <v/>
      </c>
      <c r="Y261" s="80" t="str">
        <f>IF(AND($B261&gt;='1331'!$I$9,$B261&lt;='1331'!$J$9,OR($O261=$Y$7,$P261=$Y$7)),"x","")</f>
        <v/>
      </c>
      <c r="Z261" s="80" t="str">
        <f>IF(AND($O261=$Y$7,$B261&lt;'1331'!$I$9),"x","")</f>
        <v/>
      </c>
      <c r="AA261" s="80" t="str">
        <f>IF(AND($P261=$Y$7,$B261&lt;'1331'!$I$9),"x","")</f>
        <v/>
      </c>
      <c r="AB261" s="80" t="str">
        <f>IF(AND($B261&gt;='1332'!$I$9,$B261&lt;='1332'!$I$9,OR($O261=$AB$7,$P261=$AB$7)),"x","")</f>
        <v/>
      </c>
      <c r="AC261" s="80" t="str">
        <f>IF(AND($O261=$AB$7,$B261&lt;'1332'!$I$9),"x","")</f>
        <v>x</v>
      </c>
      <c r="AD261" s="80" t="str">
        <f>IF(AND($P261=$AB$7,$B261&lt;'1332'!$I$9),"x","")</f>
        <v/>
      </c>
      <c r="AE261" s="80" t="str">
        <f>IF(AND('341-CT'!$H$9=H261,OR(LEFT(O261,3)=$AE$7,LEFT(P261,3)=$AE$7)),"x","")</f>
        <v/>
      </c>
      <c r="AF261" s="80" t="str">
        <f>IF(OR(TH!O261=TH!$AF$7,P261=TH!$AF$7),"x","")</f>
        <v/>
      </c>
      <c r="AG261" s="80"/>
      <c r="AH261" s="80" t="str">
        <f>IF(AND(B261&gt;='IN-NX'!$P$3,B261&lt;='IN-NX'!$Q$3,'IN-NX'!$D$7=D261,OR(LEFT(L261,2)="15",AND(LEFT(M261,2)&lt;&gt;"15",LEFT(M261,2)&lt;&gt;"33"))),"x","")</f>
        <v/>
      </c>
      <c r="AI261" s="80" t="str">
        <f>IF(AND(OR(LEFT(TH!O261,2)="15",LEFT(TH!P261,2)="15"),'152-CT'!$J$8=TH!F261),"x","")</f>
        <v/>
      </c>
      <c r="AJ261" s="80" t="str">
        <f>IF(AND(OR(LEFT(TH!O261,2)="15",LEFT(TH!P261,2)="15"),'THE KHO'!$E$7=TH!F261),"x","")</f>
        <v/>
      </c>
      <c r="AK261" s="80" t="str">
        <f>IF(AND(O261="1521",MONTH(C261)='BK NL'!$M$11),"x","")</f>
        <v/>
      </c>
      <c r="AM261" s="352">
        <v>2</v>
      </c>
    </row>
    <row r="262" spans="1:39" ht="15.75" customHeight="1">
      <c r="A262" s="362" t="str">
        <f>IF(B262&lt;&gt;"",IF(AND(B262&gt;=_TM1,B262&lt;=_TM2,OR(TH!O262="1111",TH!P262="1111")),TH!D262,""),"")</f>
        <v>C06</v>
      </c>
      <c r="B262" s="63">
        <f t="shared" si="21"/>
        <v>4</v>
      </c>
      <c r="C262" s="337">
        <v>42462</v>
      </c>
      <c r="D262" s="337" t="s">
        <v>63</v>
      </c>
      <c r="E262" s="337">
        <v>42379</v>
      </c>
      <c r="F262" s="338" t="s">
        <v>859</v>
      </c>
      <c r="G262" s="351" t="s">
        <v>865</v>
      </c>
      <c r="H262" s="339" t="s">
        <v>864</v>
      </c>
      <c r="I262" s="476"/>
      <c r="J262" s="476"/>
      <c r="K262" s="469"/>
      <c r="L262" s="476"/>
      <c r="M262" s="65">
        <v>17840000</v>
      </c>
      <c r="N262" s="65"/>
      <c r="O262" s="340" t="s">
        <v>242</v>
      </c>
      <c r="P262" s="340" t="s">
        <v>97</v>
      </c>
      <c r="Q262" s="66" t="str">
        <f>IF(AND('331-CT'!$E$7=TH!H262,OR(O262="331",P262="331")),"x","")</f>
        <v/>
      </c>
      <c r="R262" s="66" t="str">
        <f>IF(AND($B262&gt;='111'!$N$11,$B262&lt;='111'!$O$11,OR($O262=$R$7,$P262=$R$7)),"x","")</f>
        <v/>
      </c>
      <c r="S262" s="66" t="str">
        <f>IF(AND($O262=$R$7,$B262&lt;'111'!$N$11),"x","")</f>
        <v/>
      </c>
      <c r="T262" s="66" t="str">
        <f>IF(AND($P262=$R$7,$B262&lt;'111'!$N$11),"x","")</f>
        <v>x</v>
      </c>
      <c r="U262" s="66" t="str">
        <f>IF(AND($B262&gt;='112'!$M$9,$B262&lt;='112'!$N$9,OR($O262='112'!$I$6,$P262='112'!$I$6)),"x","")</f>
        <v/>
      </c>
      <c r="V262" s="66" t="str">
        <f>IF(AND($O262='112'!$I$6,$B262&lt;'112'!$M$9),"x","")</f>
        <v/>
      </c>
      <c r="W262" s="66" t="str">
        <f>IF(AND($P262='112'!$I$6,$B262&lt;'112'!$M$9),"x","")</f>
        <v/>
      </c>
      <c r="X262" s="66" t="str">
        <f>IF(AND('131-CT'!$H$9=TH!H262,OR(O262="131",P262="131")),"x","")</f>
        <v/>
      </c>
      <c r="Y262" s="80" t="str">
        <f>IF(AND($B262&gt;='1331'!$I$9,$B262&lt;='1331'!$J$9,OR($O262=$Y$7,$P262=$Y$7)),"x","")</f>
        <v/>
      </c>
      <c r="Z262" s="80" t="str">
        <f>IF(AND($O262=$Y$7,$B262&lt;'1331'!$I$9),"x","")</f>
        <v/>
      </c>
      <c r="AA262" s="80" t="str">
        <f>IF(AND($P262=$Y$7,$B262&lt;'1331'!$I$9),"x","")</f>
        <v/>
      </c>
      <c r="AB262" s="80" t="str">
        <f>IF(AND($B262&gt;='1332'!$I$9,$B262&lt;='1332'!$I$9,OR($O262=$AB$7,$P262=$AB$7)),"x","")</f>
        <v/>
      </c>
      <c r="AC262" s="80" t="str">
        <f>IF(AND($O262=$AB$7,$B262&lt;'1332'!$I$9),"x","")</f>
        <v/>
      </c>
      <c r="AD262" s="80" t="str">
        <f>IF(AND($P262=$AB$7,$B262&lt;'1332'!$I$9),"x","")</f>
        <v/>
      </c>
      <c r="AE262" s="80" t="str">
        <f>IF(AND('341-CT'!$H$9=H262,OR(LEFT(O262,3)=$AE$7,LEFT(P262,3)=$AE$7)),"x","")</f>
        <v/>
      </c>
      <c r="AF262" s="80" t="str">
        <f>IF(OR(TH!O262=TH!$AF$7,P262=TH!$AF$7),"x","")</f>
        <v/>
      </c>
      <c r="AG262" s="80"/>
      <c r="AH262" s="80" t="str">
        <f>IF(AND(B262&gt;='IN-NX'!$P$3,B262&lt;='IN-NX'!$Q$3,'IN-NX'!$D$7=D262,OR(LEFT(L262,2)="15",AND(LEFT(M262,2)&lt;&gt;"15",LEFT(M262,2)&lt;&gt;"33"))),"x","")</f>
        <v/>
      </c>
      <c r="AI262" s="80" t="str">
        <f>IF(AND(OR(LEFT(TH!O262,2)="15",LEFT(TH!P262,2)="15"),'152-CT'!$J$8=TH!F262),"x","")</f>
        <v/>
      </c>
      <c r="AJ262" s="80" t="str">
        <f>IF(AND(OR(LEFT(TH!O262,2)="15",LEFT(TH!P262,2)="15"),'THE KHO'!$E$7=TH!F262),"x","")</f>
        <v/>
      </c>
      <c r="AK262" s="80" t="str">
        <f>IF(AND(O262="1521",MONTH(C262)='BK NL'!$M$11),"x","")</f>
        <v/>
      </c>
      <c r="AM262" s="352">
        <v>2</v>
      </c>
    </row>
    <row r="263" spans="1:39" ht="15.75" customHeight="1">
      <c r="A263" s="362" t="str">
        <f>IF(B263&lt;&gt;"",IF(AND(B263&gt;=_TM1,B263&lt;=_TM2,OR(TH!O263="1111",TH!P263="1111")),TH!D263,""),"")</f>
        <v>C06</v>
      </c>
      <c r="B263" s="63">
        <f t="shared" si="21"/>
        <v>4</v>
      </c>
      <c r="C263" s="337">
        <v>42462</v>
      </c>
      <c r="D263" s="337" t="s">
        <v>63</v>
      </c>
      <c r="E263" s="337">
        <v>42379</v>
      </c>
      <c r="F263" s="338" t="s">
        <v>860</v>
      </c>
      <c r="G263" s="351" t="s">
        <v>865</v>
      </c>
      <c r="H263" s="339" t="s">
        <v>864</v>
      </c>
      <c r="I263" s="477"/>
      <c r="J263" s="477"/>
      <c r="K263" s="470"/>
      <c r="L263" s="477"/>
      <c r="M263" s="79">
        <v>1784000</v>
      </c>
      <c r="N263" s="79"/>
      <c r="O263" s="340" t="s">
        <v>981</v>
      </c>
      <c r="P263" s="340" t="s">
        <v>97</v>
      </c>
      <c r="Q263" s="66" t="str">
        <f>IF(AND('331-CT'!$E$7=TH!H263,OR(O263="331",P263="331")),"x","")</f>
        <v/>
      </c>
      <c r="R263" s="66" t="str">
        <f>IF(AND($B263&gt;='111'!$N$11,$B263&lt;='111'!$O$11,OR($O263=$R$7,$P263=$R$7)),"x","")</f>
        <v/>
      </c>
      <c r="S263" s="66" t="str">
        <f>IF(AND($O263=$R$7,$B263&lt;'111'!$N$11),"x","")</f>
        <v/>
      </c>
      <c r="T263" s="66" t="str">
        <f>IF(AND($P263=$R$7,$B263&lt;'111'!$N$11),"x","")</f>
        <v>x</v>
      </c>
      <c r="U263" s="66" t="str">
        <f>IF(AND($B263&gt;='112'!$M$9,$B263&lt;='112'!$N$9,OR($O263='112'!$I$6,$P263='112'!$I$6)),"x","")</f>
        <v/>
      </c>
      <c r="V263" s="66" t="str">
        <f>IF(AND($O263='112'!$I$6,$B263&lt;'112'!$M$9),"x","")</f>
        <v/>
      </c>
      <c r="W263" s="66" t="str">
        <f>IF(AND($P263='112'!$I$6,$B263&lt;'112'!$M$9),"x","")</f>
        <v/>
      </c>
      <c r="X263" s="66" t="str">
        <f>IF(AND('131-CT'!$H$9=TH!H263,OR(O263="131",P263="131")),"x","")</f>
        <v/>
      </c>
      <c r="Y263" s="80" t="str">
        <f>IF(AND($B263&gt;='1331'!$I$9,$B263&lt;='1331'!$J$9,OR($O263=$Y$7,$P263=$Y$7)),"x","")</f>
        <v/>
      </c>
      <c r="Z263" s="80" t="str">
        <f>IF(AND($O263=$Y$7,$B263&lt;'1331'!$I$9),"x","")</f>
        <v/>
      </c>
      <c r="AA263" s="80" t="str">
        <f>IF(AND($P263=$Y$7,$B263&lt;'1331'!$I$9),"x","")</f>
        <v/>
      </c>
      <c r="AB263" s="80" t="str">
        <f>IF(AND($B263&gt;='1332'!$I$9,$B263&lt;='1332'!$I$9,OR($O263=$AB$7,$P263=$AB$7)),"x","")</f>
        <v/>
      </c>
      <c r="AC263" s="80" t="str">
        <f>IF(AND($O263=$AB$7,$B263&lt;'1332'!$I$9),"x","")</f>
        <v>x</v>
      </c>
      <c r="AD263" s="80" t="str">
        <f>IF(AND($P263=$AB$7,$B263&lt;'1332'!$I$9),"x","")</f>
        <v/>
      </c>
      <c r="AE263" s="80" t="str">
        <f>IF(AND('341-CT'!$H$9=H263,OR(LEFT(O263,3)=$AE$7,LEFT(P263,3)=$AE$7)),"x","")</f>
        <v/>
      </c>
      <c r="AF263" s="80" t="str">
        <f>IF(OR(TH!O263=TH!$AF$7,P263=TH!$AF$7),"x","")</f>
        <v/>
      </c>
      <c r="AG263" s="80"/>
      <c r="AH263" s="80" t="str">
        <f>IF(AND(B263&gt;='IN-NX'!$P$3,B263&lt;='IN-NX'!$Q$3,'IN-NX'!$D$7=D263,OR(LEFT(L263,2)="15",AND(LEFT(M263,2)&lt;&gt;"15",LEFT(M263,2)&lt;&gt;"33"))),"x","")</f>
        <v/>
      </c>
      <c r="AI263" s="80" t="str">
        <f>IF(AND(OR(LEFT(TH!O263,2)="15",LEFT(TH!P263,2)="15"),'152-CT'!$J$8=TH!F263),"x","")</f>
        <v/>
      </c>
      <c r="AJ263" s="80" t="str">
        <f>IF(AND(OR(LEFT(TH!O263,2)="15",LEFT(TH!P263,2)="15"),'THE KHO'!$E$7=TH!F263),"x","")</f>
        <v/>
      </c>
      <c r="AK263" s="80" t="str">
        <f>IF(AND(O263="1521",MONTH(C263)='BK NL'!$M$11),"x","")</f>
        <v/>
      </c>
      <c r="AM263" s="352">
        <v>2</v>
      </c>
    </row>
    <row r="264" spans="1:39" ht="15.75" customHeight="1">
      <c r="A264" s="362" t="str">
        <f>IF(B264&lt;&gt;"",IF(AND(B264&gt;=_TM1,B264&lt;=_TM2,OR(TH!O264="1111",TH!P264="1111")),TH!D264,""),"")</f>
        <v>C07</v>
      </c>
      <c r="B264" s="63">
        <f t="shared" si="21"/>
        <v>4</v>
      </c>
      <c r="C264" s="337">
        <v>42462</v>
      </c>
      <c r="D264" s="337" t="s">
        <v>64</v>
      </c>
      <c r="E264" s="337">
        <v>42388</v>
      </c>
      <c r="F264" s="338" t="s">
        <v>866</v>
      </c>
      <c r="G264" s="351" t="s">
        <v>868</v>
      </c>
      <c r="H264" s="368" t="s">
        <v>869</v>
      </c>
      <c r="I264" s="477"/>
      <c r="J264" s="477"/>
      <c r="K264" s="470"/>
      <c r="L264" s="477"/>
      <c r="M264" s="65">
        <v>16263636</v>
      </c>
      <c r="N264" s="65"/>
      <c r="O264" s="340" t="s">
        <v>242</v>
      </c>
      <c r="P264" s="340" t="s">
        <v>97</v>
      </c>
      <c r="Q264" s="66" t="str">
        <f>IF(AND('331-CT'!$E$7=TH!H264,OR(O264="331",P264="331")),"x","")</f>
        <v/>
      </c>
      <c r="R264" s="66" t="str">
        <f>IF(AND($B264&gt;='111'!$N$11,$B264&lt;='111'!$O$11,OR($O264=$R$7,$P264=$R$7)),"x","")</f>
        <v/>
      </c>
      <c r="S264" s="66" t="str">
        <f>IF(AND($O264=$R$7,$B264&lt;'111'!$N$11),"x","")</f>
        <v/>
      </c>
      <c r="T264" s="66" t="str">
        <f>IF(AND($P264=$R$7,$B264&lt;'111'!$N$11),"x","")</f>
        <v>x</v>
      </c>
      <c r="U264" s="66" t="str">
        <f>IF(AND($B264&gt;='112'!$M$9,$B264&lt;='112'!$N$9,OR($O264='112'!$I$6,$P264='112'!$I$6)),"x","")</f>
        <v/>
      </c>
      <c r="V264" s="66" t="str">
        <f>IF(AND($O264='112'!$I$6,$B264&lt;'112'!$M$9),"x","")</f>
        <v/>
      </c>
      <c r="W264" s="66" t="str">
        <f>IF(AND($P264='112'!$I$6,$B264&lt;'112'!$M$9),"x","")</f>
        <v/>
      </c>
      <c r="X264" s="66" t="str">
        <f>IF(AND('131-CT'!$H$9=TH!H264,OR(O264="131",P264="131")),"x","")</f>
        <v/>
      </c>
      <c r="Y264" s="80" t="str">
        <f>IF(AND($B264&gt;='1331'!$I$9,$B264&lt;='1331'!$J$9,OR($O264=$Y$7,$P264=$Y$7)),"x","")</f>
        <v/>
      </c>
      <c r="Z264" s="80" t="str">
        <f>IF(AND($O264=$Y$7,$B264&lt;'1331'!$I$9),"x","")</f>
        <v/>
      </c>
      <c r="AA264" s="80" t="str">
        <f>IF(AND($P264=$Y$7,$B264&lt;'1331'!$I$9),"x","")</f>
        <v/>
      </c>
      <c r="AB264" s="80" t="str">
        <f>IF(AND($B264&gt;='1332'!$I$9,$B264&lt;='1332'!$I$9,OR($O264=$AB$7,$P264=$AB$7)),"x","")</f>
        <v/>
      </c>
      <c r="AC264" s="80" t="str">
        <f>IF(AND($O264=$AB$7,$B264&lt;'1332'!$I$9),"x","")</f>
        <v/>
      </c>
      <c r="AD264" s="80" t="str">
        <f>IF(AND($P264=$AB$7,$B264&lt;'1332'!$I$9),"x","")</f>
        <v/>
      </c>
      <c r="AE264" s="80" t="str">
        <f>IF(AND('341-CT'!$H$9=H264,OR(LEFT(O264,3)=$AE$7,LEFT(P264,3)=$AE$7)),"x","")</f>
        <v/>
      </c>
      <c r="AF264" s="80" t="str">
        <f>IF(OR(TH!O264=TH!$AF$7,P264=TH!$AF$7),"x","")</f>
        <v/>
      </c>
      <c r="AG264" s="80"/>
      <c r="AH264" s="80" t="str">
        <f>IF(AND(B264&gt;='IN-NX'!$P$3,B264&lt;='IN-NX'!$Q$3,'IN-NX'!$D$7=D264,OR(LEFT(L264,2)="15",AND(LEFT(M264,2)&lt;&gt;"15",LEFT(M264,2)&lt;&gt;"33"))),"x","")</f>
        <v/>
      </c>
      <c r="AI264" s="80" t="str">
        <f>IF(AND(OR(LEFT(TH!O264,2)="15",LEFT(TH!P264,2)="15"),'152-CT'!$J$8=TH!F264),"x","")</f>
        <v/>
      </c>
      <c r="AJ264" s="80" t="str">
        <f>IF(AND(OR(LEFT(TH!O264,2)="15",LEFT(TH!P264,2)="15"),'THE KHO'!$E$7=TH!F264),"x","")</f>
        <v/>
      </c>
      <c r="AK264" s="80" t="str">
        <f>IF(AND(O264="1521",MONTH(C264)='BK NL'!$M$11),"x","")</f>
        <v/>
      </c>
      <c r="AL264" s="352" t="s">
        <v>26</v>
      </c>
      <c r="AM264" s="352">
        <v>2</v>
      </c>
    </row>
    <row r="265" spans="1:39" ht="15.75" customHeight="1">
      <c r="A265" s="362" t="str">
        <f>IF(B265&lt;&gt;"",IF(AND(B265&gt;=_TM1,B265&lt;=_TM2,OR(TH!O265="1111",TH!P265="1111")),TH!D265,""),"")</f>
        <v>C07</v>
      </c>
      <c r="B265" s="63">
        <f t="shared" si="21"/>
        <v>4</v>
      </c>
      <c r="C265" s="337">
        <v>42462</v>
      </c>
      <c r="D265" s="337" t="s">
        <v>64</v>
      </c>
      <c r="E265" s="337">
        <v>42388</v>
      </c>
      <c r="F265" s="338" t="s">
        <v>867</v>
      </c>
      <c r="G265" s="351" t="s">
        <v>868</v>
      </c>
      <c r="H265" s="368" t="s">
        <v>869</v>
      </c>
      <c r="I265" s="477"/>
      <c r="J265" s="477"/>
      <c r="K265" s="470"/>
      <c r="L265" s="477"/>
      <c r="M265" s="79">
        <v>1626364</v>
      </c>
      <c r="N265" s="79"/>
      <c r="O265" s="340" t="s">
        <v>981</v>
      </c>
      <c r="P265" s="340" t="s">
        <v>97</v>
      </c>
      <c r="Q265" s="66" t="str">
        <f>IF(AND('331-CT'!$E$7=TH!H265,OR(O265="331",P265="331")),"x","")</f>
        <v/>
      </c>
      <c r="R265" s="66" t="str">
        <f>IF(AND($B265&gt;='111'!$N$11,$B265&lt;='111'!$O$11,OR($O265=$R$7,$P265=$R$7)),"x","")</f>
        <v/>
      </c>
      <c r="S265" s="66" t="str">
        <f>IF(AND($O265=$R$7,$B265&lt;'111'!$N$11),"x","")</f>
        <v/>
      </c>
      <c r="T265" s="66" t="str">
        <f>IF(AND($P265=$R$7,$B265&lt;'111'!$N$11),"x","")</f>
        <v>x</v>
      </c>
      <c r="U265" s="66" t="str">
        <f>IF(AND($B265&gt;='112'!$M$9,$B265&lt;='112'!$N$9,OR($O265='112'!$I$6,$P265='112'!$I$6)),"x","")</f>
        <v/>
      </c>
      <c r="V265" s="66" t="str">
        <f>IF(AND($O265='112'!$I$6,$B265&lt;'112'!$M$9),"x","")</f>
        <v/>
      </c>
      <c r="W265" s="66" t="str">
        <f>IF(AND($P265='112'!$I$6,$B265&lt;'112'!$M$9),"x","")</f>
        <v/>
      </c>
      <c r="X265" s="66" t="str">
        <f>IF(AND('131-CT'!$H$9=TH!H265,OR(O265="131",P265="131")),"x","")</f>
        <v/>
      </c>
      <c r="Y265" s="80" t="str">
        <f>IF(AND($B265&gt;='1331'!$I$9,$B265&lt;='1331'!$J$9,OR($O265=$Y$7,$P265=$Y$7)),"x","")</f>
        <v/>
      </c>
      <c r="Z265" s="80" t="str">
        <f>IF(AND($O265=$Y$7,$B265&lt;'1331'!$I$9),"x","")</f>
        <v/>
      </c>
      <c r="AA265" s="80" t="str">
        <f>IF(AND($P265=$Y$7,$B265&lt;'1331'!$I$9),"x","")</f>
        <v/>
      </c>
      <c r="AB265" s="80" t="str">
        <f>IF(AND($B265&gt;='1332'!$I$9,$B265&lt;='1332'!$I$9,OR($O265=$AB$7,$P265=$AB$7)),"x","")</f>
        <v/>
      </c>
      <c r="AC265" s="80" t="str">
        <f>IF(AND($O265=$AB$7,$B265&lt;'1332'!$I$9),"x","")</f>
        <v>x</v>
      </c>
      <c r="AD265" s="80" t="str">
        <f>IF(AND($P265=$AB$7,$B265&lt;'1332'!$I$9),"x","")</f>
        <v/>
      </c>
      <c r="AE265" s="80" t="str">
        <f>IF(AND('341-CT'!$H$9=H265,OR(LEFT(O265,3)=$AE$7,LEFT(P265,3)=$AE$7)),"x","")</f>
        <v/>
      </c>
      <c r="AF265" s="80" t="str">
        <f>IF(OR(TH!O265=TH!$AF$7,P265=TH!$AF$7),"x","")</f>
        <v/>
      </c>
      <c r="AG265" s="80"/>
      <c r="AH265" s="80" t="str">
        <f>IF(AND(B265&gt;='IN-NX'!$P$3,B265&lt;='IN-NX'!$Q$3,'IN-NX'!$D$7=D265,OR(LEFT(L265,2)="15",AND(LEFT(M265,2)&lt;&gt;"15",LEFT(M265,2)&lt;&gt;"33"))),"x","")</f>
        <v/>
      </c>
      <c r="AI265" s="80" t="str">
        <f>IF(AND(OR(LEFT(TH!O265,2)="15",LEFT(TH!P265,2)="15"),'152-CT'!$J$8=TH!F265),"x","")</f>
        <v/>
      </c>
      <c r="AJ265" s="80" t="str">
        <f>IF(AND(OR(LEFT(TH!O265,2)="15",LEFT(TH!P265,2)="15"),'THE KHO'!$E$7=TH!F265),"x","")</f>
        <v/>
      </c>
      <c r="AK265" s="80" t="str">
        <f>IF(AND(O265="1521",MONTH(C265)='BK NL'!$M$11),"x","")</f>
        <v/>
      </c>
      <c r="AM265" s="352">
        <v>2</v>
      </c>
    </row>
    <row r="266" spans="1:39" ht="15.75" customHeight="1">
      <c r="A266" s="362" t="str">
        <f>IF(B266&lt;&gt;"",IF(AND(B266&gt;=_TM1,B266&lt;=_TM2,OR(TH!O266="1111",TH!P266="1111")),TH!D266,""),"")</f>
        <v>C08</v>
      </c>
      <c r="B266" s="63">
        <f t="shared" si="21"/>
        <v>4</v>
      </c>
      <c r="C266" s="337">
        <v>42462</v>
      </c>
      <c r="D266" s="337" t="s">
        <v>65</v>
      </c>
      <c r="E266" s="337">
        <f t="shared" ref="E266:E279" si="22">C266</f>
        <v>42462</v>
      </c>
      <c r="F266" s="338" t="s">
        <v>399</v>
      </c>
      <c r="G266" s="351" t="s">
        <v>844</v>
      </c>
      <c r="H266" s="368" t="s">
        <v>319</v>
      </c>
      <c r="I266" s="477"/>
      <c r="J266" s="477"/>
      <c r="K266" s="470"/>
      <c r="L266" s="477"/>
      <c r="M266" s="65">
        <v>1935000</v>
      </c>
      <c r="N266" s="65"/>
      <c r="O266" s="340" t="s">
        <v>242</v>
      </c>
      <c r="P266" s="340" t="s">
        <v>97</v>
      </c>
      <c r="Q266" s="66" t="str">
        <f>IF(AND('331-CT'!$E$7=TH!H266,OR(O266="331",P266="331")),"x","")</f>
        <v/>
      </c>
      <c r="R266" s="66" t="str">
        <f>IF(AND($B266&gt;='111'!$N$11,$B266&lt;='111'!$O$11,OR($O266=$R$7,$P266=$R$7)),"x","")</f>
        <v/>
      </c>
      <c r="S266" s="66" t="str">
        <f>IF(AND($O266=$R$7,$B266&lt;'111'!$N$11),"x","")</f>
        <v/>
      </c>
      <c r="T266" s="66" t="str">
        <f>IF(AND($P266=$R$7,$B266&lt;'111'!$N$11),"x","")</f>
        <v>x</v>
      </c>
      <c r="U266" s="66" t="str">
        <f>IF(AND($B266&gt;='112'!$M$9,$B266&lt;='112'!$N$9,OR($O266='112'!$I$6,$P266='112'!$I$6)),"x","")</f>
        <v/>
      </c>
      <c r="V266" s="66" t="str">
        <f>IF(AND($O266='112'!$I$6,$B266&lt;'112'!$M$9),"x","")</f>
        <v/>
      </c>
      <c r="W266" s="66" t="str">
        <f>IF(AND($P266='112'!$I$6,$B266&lt;'112'!$M$9),"x","")</f>
        <v/>
      </c>
      <c r="X266" s="66" t="str">
        <f>IF(AND('131-CT'!$H$9=TH!H266,OR(O266="131",P266="131")),"x","")</f>
        <v/>
      </c>
      <c r="Y266" s="80" t="str">
        <f>IF(AND($B266&gt;='1331'!$I$9,$B266&lt;='1331'!$J$9,OR($O266=$Y$7,$P266=$Y$7)),"x","")</f>
        <v/>
      </c>
      <c r="Z266" s="80" t="str">
        <f>IF(AND($O266=$Y$7,$B266&lt;'1331'!$I$9),"x","")</f>
        <v/>
      </c>
      <c r="AA266" s="80" t="str">
        <f>IF(AND($P266=$Y$7,$B266&lt;'1331'!$I$9),"x","")</f>
        <v/>
      </c>
      <c r="AB266" s="80" t="str">
        <f>IF(AND($B266&gt;='1332'!$I$9,$B266&lt;='1332'!$I$9,OR($O266=$AB$7,$P266=$AB$7)),"x","")</f>
        <v/>
      </c>
      <c r="AC266" s="80" t="str">
        <f>IF(AND($O266=$AB$7,$B266&lt;'1332'!$I$9),"x","")</f>
        <v/>
      </c>
      <c r="AD266" s="80" t="str">
        <f>IF(AND($P266=$AB$7,$B266&lt;'1332'!$I$9),"x","")</f>
        <v/>
      </c>
      <c r="AE266" s="80" t="str">
        <f>IF(AND('341-CT'!$H$9=H266,OR(LEFT(O266,3)=$AE$7,LEFT(P266,3)=$AE$7)),"x","")</f>
        <v/>
      </c>
      <c r="AF266" s="80" t="str">
        <f>IF(OR(TH!O266=TH!$AF$7,P266=TH!$AF$7),"x","")</f>
        <v/>
      </c>
      <c r="AG266" s="80"/>
      <c r="AH266" s="80" t="str">
        <f>IF(AND(B266&gt;='IN-NX'!$P$3,B266&lt;='IN-NX'!$Q$3,'IN-NX'!$D$7=D266,OR(LEFT(L266,2)="15",AND(LEFT(M266,2)&lt;&gt;"15",LEFT(M266,2)&lt;&gt;"33"))),"x","")</f>
        <v/>
      </c>
      <c r="AI266" s="80" t="str">
        <f>IF(AND(OR(LEFT(TH!O266,2)="15",LEFT(TH!P266,2)="15"),'152-CT'!$J$8=TH!F266),"x","")</f>
        <v/>
      </c>
      <c r="AJ266" s="80" t="str">
        <f>IF(AND(OR(LEFT(TH!O266,2)="15",LEFT(TH!P266,2)="15"),'THE KHO'!$E$7=TH!F266),"x","")</f>
        <v/>
      </c>
      <c r="AK266" s="80" t="str">
        <f>IF(AND(O266="1521",MONTH(C266)='BK NL'!$M$11),"x","")</f>
        <v/>
      </c>
    </row>
    <row r="267" spans="1:39" ht="15.75" customHeight="1">
      <c r="A267" s="362" t="str">
        <f>IF(B267&lt;&gt;"",IF(AND(B267&gt;=_TM1,B267&lt;=_TM2,OR(TH!O267="1111",TH!P267="1111")),TH!D267,""),"")</f>
        <v>C09</v>
      </c>
      <c r="B267" s="63">
        <f t="shared" si="21"/>
        <v>4</v>
      </c>
      <c r="C267" s="337">
        <v>42462</v>
      </c>
      <c r="D267" s="337" t="s">
        <v>70</v>
      </c>
      <c r="E267" s="337">
        <f t="shared" si="22"/>
        <v>42462</v>
      </c>
      <c r="F267" s="338" t="s">
        <v>852</v>
      </c>
      <c r="G267" s="351"/>
      <c r="H267" s="339" t="s">
        <v>182</v>
      </c>
      <c r="I267" s="476"/>
      <c r="J267" s="476"/>
      <c r="K267" s="469"/>
      <c r="L267" s="476"/>
      <c r="M267" s="65">
        <f>(30000*37+30000*13+40000*23)/1.1</f>
        <v>2200000</v>
      </c>
      <c r="N267" s="65"/>
      <c r="O267" s="340" t="s">
        <v>135</v>
      </c>
      <c r="P267" s="340" t="s">
        <v>97</v>
      </c>
      <c r="Q267" s="66" t="str">
        <f>IF(AND('331-CT'!$E$7=TH!H267,OR(O267="331",P267="331")),"x","")</f>
        <v/>
      </c>
      <c r="R267" s="66" t="str">
        <f>IF(AND($B267&gt;='111'!$N$11,$B267&lt;='111'!$O$11,OR($O267=$R$7,$P267=$R$7)),"x","")</f>
        <v/>
      </c>
      <c r="S267" s="66" t="str">
        <f>IF(AND($O267=$R$7,$B267&lt;'111'!$N$11),"x","")</f>
        <v/>
      </c>
      <c r="T267" s="66" t="str">
        <f>IF(AND($P267=$R$7,$B267&lt;'111'!$N$11),"x","")</f>
        <v>x</v>
      </c>
      <c r="U267" s="66" t="str">
        <f>IF(AND($B267&gt;='112'!$M$9,$B267&lt;='112'!$N$9,OR($O267='112'!$I$6,$P267='112'!$I$6)),"x","")</f>
        <v/>
      </c>
      <c r="V267" s="66" t="str">
        <f>IF(AND($O267='112'!$I$6,$B267&lt;'112'!$M$9),"x","")</f>
        <v/>
      </c>
      <c r="W267" s="66" t="str">
        <f>IF(AND($P267='112'!$I$6,$B267&lt;'112'!$M$9),"x","")</f>
        <v/>
      </c>
      <c r="X267" s="66" t="str">
        <f>IF(AND('131-CT'!$H$9=TH!H267,OR(O267="131",P267="131")),"x","")</f>
        <v/>
      </c>
      <c r="Y267" s="80" t="str">
        <f>IF(AND($B267&gt;='1331'!$I$9,$B267&lt;='1331'!$J$9,OR($O267=$Y$7,$P267=$Y$7)),"x","")</f>
        <v/>
      </c>
      <c r="Z267" s="80" t="str">
        <f>IF(AND($O267=$Y$7,$B267&lt;'1331'!$I$9),"x","")</f>
        <v/>
      </c>
      <c r="AA267" s="80" t="str">
        <f>IF(AND($P267=$Y$7,$B267&lt;'1331'!$I$9),"x","")</f>
        <v/>
      </c>
      <c r="AB267" s="80" t="str">
        <f>IF(AND($B267&gt;='1332'!$I$9,$B267&lt;='1332'!$I$9,OR($O267=$AB$7,$P267=$AB$7)),"x","")</f>
        <v/>
      </c>
      <c r="AC267" s="80" t="str">
        <f>IF(AND($O267=$AB$7,$B267&lt;'1332'!$I$9),"x","")</f>
        <v/>
      </c>
      <c r="AD267" s="80" t="str">
        <f>IF(AND($P267=$AB$7,$B267&lt;'1332'!$I$9),"x","")</f>
        <v/>
      </c>
      <c r="AE267" s="80" t="str">
        <f>IF(AND('341-CT'!$H$9=H267,OR(LEFT(O267,3)=$AE$7,LEFT(P267,3)=$AE$7)),"x","")</f>
        <v/>
      </c>
      <c r="AF267" s="80" t="str">
        <f>IF(OR(TH!O267=TH!$AF$7,P267=TH!$AF$7),"x","")</f>
        <v/>
      </c>
      <c r="AG267" s="80"/>
      <c r="AH267" s="80" t="str">
        <f>IF(AND(B267&gt;='IN-NX'!$P$3,B267&lt;='IN-NX'!$Q$3,'IN-NX'!$D$7=D267,OR(LEFT(L267,2)="15",AND(LEFT(M267,2)&lt;&gt;"15",LEFT(M267,2)&lt;&gt;"33"))),"x","")</f>
        <v/>
      </c>
      <c r="AI267" s="80" t="str">
        <f>IF(AND(OR(LEFT(TH!O267,2)="15",LEFT(TH!P267,2)="15"),'152-CT'!$J$8=TH!F267),"x","")</f>
        <v/>
      </c>
      <c r="AJ267" s="80" t="str">
        <f>IF(AND(OR(LEFT(TH!O267,2)="15",LEFT(TH!P267,2)="15"),'THE KHO'!$E$7=TH!F267),"x","")</f>
        <v/>
      </c>
      <c r="AK267" s="80" t="str">
        <f>IF(AND(O267="1521",MONTH(C267)='BK NL'!$M$11),"x","")</f>
        <v/>
      </c>
      <c r="AM267" s="352">
        <v>1</v>
      </c>
    </row>
    <row r="268" spans="1:39" ht="15.75" customHeight="1">
      <c r="A268" s="362" t="str">
        <f>IF(B268&lt;&gt;"",IF(AND(B268&gt;=_TM1,B268&lt;=_TM2,OR(TH!O268="1111",TH!P268="1111")),TH!D268,""),"")</f>
        <v>C09</v>
      </c>
      <c r="B268" s="63">
        <f t="shared" si="21"/>
        <v>4</v>
      </c>
      <c r="C268" s="337">
        <v>42462</v>
      </c>
      <c r="D268" s="337" t="s">
        <v>70</v>
      </c>
      <c r="E268" s="337">
        <f t="shared" si="22"/>
        <v>42462</v>
      </c>
      <c r="F268" s="338" t="s">
        <v>853</v>
      </c>
      <c r="G268" s="351"/>
      <c r="H268" s="339" t="s">
        <v>182</v>
      </c>
      <c r="I268" s="476"/>
      <c r="J268" s="476"/>
      <c r="K268" s="469"/>
      <c r="L268" s="476"/>
      <c r="M268" s="88">
        <v>220000</v>
      </c>
      <c r="N268" s="88"/>
      <c r="O268" s="340" t="s">
        <v>10</v>
      </c>
      <c r="P268" s="340" t="s">
        <v>97</v>
      </c>
      <c r="Q268" s="66" t="str">
        <f>IF(AND('331-CT'!$E$7=TH!H268,OR(O268="331",P268="331")),"x","")</f>
        <v/>
      </c>
      <c r="R268" s="66" t="str">
        <f>IF(AND($B268&gt;='111'!$N$11,$B268&lt;='111'!$O$11,OR($O268=$R$7,$P268=$R$7)),"x","")</f>
        <v/>
      </c>
      <c r="S268" s="66" t="str">
        <f>IF(AND($O268=$R$7,$B268&lt;'111'!$N$11),"x","")</f>
        <v/>
      </c>
      <c r="T268" s="66" t="str">
        <f>IF(AND($P268=$R$7,$B268&lt;'111'!$N$11),"x","")</f>
        <v>x</v>
      </c>
      <c r="U268" s="66" t="str">
        <f>IF(AND($B268&gt;='112'!$M$9,$B268&lt;='112'!$N$9,OR($O268='112'!$I$6,$P268='112'!$I$6)),"x","")</f>
        <v/>
      </c>
      <c r="V268" s="66" t="str">
        <f>IF(AND($O268='112'!$I$6,$B268&lt;'112'!$M$9),"x","")</f>
        <v/>
      </c>
      <c r="W268" s="66" t="str">
        <f>IF(AND($P268='112'!$I$6,$B268&lt;'112'!$M$9),"x","")</f>
        <v/>
      </c>
      <c r="X268" s="66" t="str">
        <f>IF(AND('131-CT'!$H$9=TH!H268,OR(O268="131",P268="131")),"x","")</f>
        <v/>
      </c>
      <c r="Y268" s="80" t="str">
        <f>IF(AND($B268&gt;='1331'!$I$9,$B268&lt;='1331'!$J$9,OR($O268=$Y$7,$P268=$Y$7)),"x","")</f>
        <v/>
      </c>
      <c r="Z268" s="80" t="str">
        <f>IF(AND($O268=$Y$7,$B268&lt;'1331'!$I$9),"x","")</f>
        <v>x</v>
      </c>
      <c r="AA268" s="80" t="str">
        <f>IF(AND($P268=$Y$7,$B268&lt;'1331'!$I$9),"x","")</f>
        <v/>
      </c>
      <c r="AB268" s="80" t="str">
        <f>IF(AND($B268&gt;='1332'!$I$9,$B268&lt;='1332'!$I$9,OR($O268=$AB$7,$P268=$AB$7)),"x","")</f>
        <v/>
      </c>
      <c r="AC268" s="80" t="str">
        <f>IF(AND($O268=$AB$7,$B268&lt;'1332'!$I$9),"x","")</f>
        <v/>
      </c>
      <c r="AD268" s="80" t="str">
        <f>IF(AND($P268=$AB$7,$B268&lt;'1332'!$I$9),"x","")</f>
        <v/>
      </c>
      <c r="AE268" s="80" t="str">
        <f>IF(AND('341-CT'!$H$9=H268,OR(LEFT(O268,3)=$AE$7,LEFT(P268,3)=$AE$7)),"x","")</f>
        <v/>
      </c>
      <c r="AF268" s="80" t="str">
        <f>IF(OR(TH!O268=TH!$AF$7,P268=TH!$AF$7),"x","")</f>
        <v/>
      </c>
      <c r="AG268" s="80"/>
      <c r="AH268" s="80" t="str">
        <f>IF(AND(B268&gt;='IN-NX'!$P$3,B268&lt;='IN-NX'!$Q$3,'IN-NX'!$D$7=D268,OR(LEFT(L268,2)="15",AND(LEFT(M268,2)&lt;&gt;"15",LEFT(M268,2)&lt;&gt;"33"))),"x","")</f>
        <v/>
      </c>
      <c r="AI268" s="80" t="str">
        <f>IF(AND(OR(LEFT(TH!O268,2)="15",LEFT(TH!P268,2)="15"),'152-CT'!$J$8=TH!F268),"x","")</f>
        <v/>
      </c>
      <c r="AJ268" s="80" t="str">
        <f>IF(AND(OR(LEFT(TH!O268,2)="15",LEFT(TH!P268,2)="15"),'THE KHO'!$E$7=TH!F268),"x","")</f>
        <v/>
      </c>
      <c r="AK268" s="80" t="str">
        <f>IF(AND(O268="1521",MONTH(C268)='BK NL'!$M$11),"x","")</f>
        <v/>
      </c>
      <c r="AM268" s="352">
        <v>1</v>
      </c>
    </row>
    <row r="269" spans="1:39" ht="15.75" customHeight="1">
      <c r="A269" s="362" t="str">
        <f>IF(B269&lt;&gt;"",IF(AND(B269&gt;=_TM1,B269&lt;=_TM2,OR(TH!O269="1111",TH!P269="1111")),TH!D269,""),"")</f>
        <v>C10</v>
      </c>
      <c r="B269" s="63">
        <f t="shared" si="21"/>
        <v>4</v>
      </c>
      <c r="C269" s="337">
        <v>42467</v>
      </c>
      <c r="D269" s="337" t="s">
        <v>71</v>
      </c>
      <c r="E269" s="337">
        <f t="shared" si="22"/>
        <v>42467</v>
      </c>
      <c r="F269" s="338" t="s">
        <v>399</v>
      </c>
      <c r="G269" s="351" t="s">
        <v>848</v>
      </c>
      <c r="H269" s="368" t="s">
        <v>319</v>
      </c>
      <c r="I269" s="477"/>
      <c r="J269" s="477"/>
      <c r="K269" s="470"/>
      <c r="L269" s="477"/>
      <c r="M269" s="65">
        <v>1287000</v>
      </c>
      <c r="N269" s="65"/>
      <c r="O269" s="340" t="s">
        <v>242</v>
      </c>
      <c r="P269" s="340" t="s">
        <v>97</v>
      </c>
      <c r="Q269" s="66" t="str">
        <f>IF(AND('331-CT'!$E$7=TH!H269,OR(O269="331",P269="331")),"x","")</f>
        <v/>
      </c>
      <c r="R269" s="66" t="str">
        <f>IF(AND($B269&gt;='111'!$N$11,$B269&lt;='111'!$O$11,OR($O269=$R$7,$P269=$R$7)),"x","")</f>
        <v/>
      </c>
      <c r="S269" s="66" t="str">
        <f>IF(AND($O269=$R$7,$B269&lt;'111'!$N$11),"x","")</f>
        <v/>
      </c>
      <c r="T269" s="66" t="str">
        <f>IF(AND($P269=$R$7,$B269&lt;'111'!$N$11),"x","")</f>
        <v>x</v>
      </c>
      <c r="U269" s="66" t="str">
        <f>IF(AND($B269&gt;='112'!$M$9,$B269&lt;='112'!$N$9,OR($O269='112'!$I$6,$P269='112'!$I$6)),"x","")</f>
        <v/>
      </c>
      <c r="V269" s="66" t="str">
        <f>IF(AND($O269='112'!$I$6,$B269&lt;'112'!$M$9),"x","")</f>
        <v/>
      </c>
      <c r="W269" s="66" t="str">
        <f>IF(AND($P269='112'!$I$6,$B269&lt;'112'!$M$9),"x","")</f>
        <v/>
      </c>
      <c r="X269" s="66" t="str">
        <f>IF(AND('131-CT'!$H$9=TH!H269,OR(O269="131",P269="131")),"x","")</f>
        <v/>
      </c>
      <c r="Y269" s="80" t="str">
        <f>IF(AND($B269&gt;='1331'!$I$9,$B269&lt;='1331'!$J$9,OR($O269=$Y$7,$P269=$Y$7)),"x","")</f>
        <v/>
      </c>
      <c r="Z269" s="80" t="str">
        <f>IF(AND($O269=$Y$7,$B269&lt;'1331'!$I$9),"x","")</f>
        <v/>
      </c>
      <c r="AA269" s="80" t="str">
        <f>IF(AND($P269=$Y$7,$B269&lt;'1331'!$I$9),"x","")</f>
        <v/>
      </c>
      <c r="AB269" s="80" t="str">
        <f>IF(AND($B269&gt;='1332'!$I$9,$B269&lt;='1332'!$I$9,OR($O269=$AB$7,$P269=$AB$7)),"x","")</f>
        <v/>
      </c>
      <c r="AC269" s="80" t="str">
        <f>IF(AND($O269=$AB$7,$B269&lt;'1332'!$I$9),"x","")</f>
        <v/>
      </c>
      <c r="AD269" s="80" t="str">
        <f>IF(AND($P269=$AB$7,$B269&lt;'1332'!$I$9),"x","")</f>
        <v/>
      </c>
      <c r="AE269" s="80" t="str">
        <f>IF(AND('341-CT'!$H$9=H269,OR(LEFT(O269,3)=$AE$7,LEFT(P269,3)=$AE$7)),"x","")</f>
        <v/>
      </c>
      <c r="AF269" s="80" t="str">
        <f>IF(OR(TH!O269=TH!$AF$7,P269=TH!$AF$7),"x","")</f>
        <v/>
      </c>
      <c r="AG269" s="80"/>
      <c r="AH269" s="80" t="str">
        <f>IF(AND(B269&gt;='IN-NX'!$P$3,B269&lt;='IN-NX'!$Q$3,'IN-NX'!$D$7=D269,OR(LEFT(L269,2)="15",AND(LEFT(M269,2)&lt;&gt;"15",LEFT(M269,2)&lt;&gt;"33"))),"x","")</f>
        <v/>
      </c>
      <c r="AI269" s="80" t="str">
        <f>IF(AND(OR(LEFT(TH!O269,2)="15",LEFT(TH!P269,2)="15"),'152-CT'!$J$8=TH!F269),"x","")</f>
        <v/>
      </c>
      <c r="AJ269" s="80" t="str">
        <f>IF(AND(OR(LEFT(TH!O269,2)="15",LEFT(TH!P269,2)="15"),'THE KHO'!$E$7=TH!F269),"x","")</f>
        <v/>
      </c>
      <c r="AK269" s="80" t="str">
        <f>IF(AND(O269="1521",MONTH(C269)='BK NL'!$M$11),"x","")</f>
        <v/>
      </c>
    </row>
    <row r="270" spans="1:39" ht="15.75" customHeight="1">
      <c r="A270" s="362" t="str">
        <f>IF(B270&lt;&gt;"",IF(AND(B270&gt;=_TM1,B270&lt;=_TM2,OR(TH!O270="1111",TH!P270="1111")),TH!D270,""),"")</f>
        <v>C11</v>
      </c>
      <c r="B270" s="63">
        <f t="shared" si="21"/>
        <v>4</v>
      </c>
      <c r="C270" s="337">
        <v>42470</v>
      </c>
      <c r="D270" s="337" t="s">
        <v>72</v>
      </c>
      <c r="E270" s="337">
        <f t="shared" si="22"/>
        <v>42470</v>
      </c>
      <c r="F270" s="338" t="s">
        <v>849</v>
      </c>
      <c r="G270" s="351" t="s">
        <v>851</v>
      </c>
      <c r="H270" s="339" t="s">
        <v>315</v>
      </c>
      <c r="I270" s="477"/>
      <c r="J270" s="477"/>
      <c r="K270" s="470"/>
      <c r="L270" s="477"/>
      <c r="M270" s="65">
        <v>6818182</v>
      </c>
      <c r="N270" s="65"/>
      <c r="O270" s="340" t="s">
        <v>135</v>
      </c>
      <c r="P270" s="340" t="s">
        <v>97</v>
      </c>
      <c r="Q270" s="66" t="str">
        <f>IF(AND('331-CT'!$E$7=TH!H270,OR(O270="331",P270="331")),"x","")</f>
        <v/>
      </c>
      <c r="R270" s="66" t="str">
        <f>IF(AND($B270&gt;='111'!$N$11,$B270&lt;='111'!$O$11,OR($O270=$R$7,$P270=$R$7)),"x","")</f>
        <v/>
      </c>
      <c r="S270" s="66" t="str">
        <f>IF(AND($O270=$R$7,$B270&lt;'111'!$N$11),"x","")</f>
        <v/>
      </c>
      <c r="T270" s="66" t="str">
        <f>IF(AND($P270=$R$7,$B270&lt;'111'!$N$11),"x","")</f>
        <v>x</v>
      </c>
      <c r="U270" s="66" t="str">
        <f>IF(AND($B270&gt;='112'!$M$9,$B270&lt;='112'!$N$9,OR($O270='112'!$I$6,$P270='112'!$I$6)),"x","")</f>
        <v/>
      </c>
      <c r="V270" s="66" t="str">
        <f>IF(AND($O270='112'!$I$6,$B270&lt;'112'!$M$9),"x","")</f>
        <v/>
      </c>
      <c r="W270" s="66" t="str">
        <f>IF(AND($P270='112'!$I$6,$B270&lt;'112'!$M$9),"x","")</f>
        <v/>
      </c>
      <c r="X270" s="66" t="str">
        <f>IF(AND('131-CT'!$H$9=TH!H270,OR(O270="131",P270="131")),"x","")</f>
        <v/>
      </c>
      <c r="Y270" s="80" t="str">
        <f>IF(AND($B270&gt;='1331'!$I$9,$B270&lt;='1331'!$J$9,OR($O270=$Y$7,$P270=$Y$7)),"x","")</f>
        <v/>
      </c>
      <c r="Z270" s="80" t="str">
        <f>IF(AND($O270=$Y$7,$B270&lt;'1331'!$I$9),"x","")</f>
        <v/>
      </c>
      <c r="AA270" s="80" t="str">
        <f>IF(AND($P270=$Y$7,$B270&lt;'1331'!$I$9),"x","")</f>
        <v/>
      </c>
      <c r="AB270" s="80" t="str">
        <f>IF(AND($B270&gt;='1332'!$I$9,$B270&lt;='1332'!$I$9,OR($O270=$AB$7,$P270=$AB$7)),"x","")</f>
        <v/>
      </c>
      <c r="AC270" s="80" t="str">
        <f>IF(AND($O270=$AB$7,$B270&lt;'1332'!$I$9),"x","")</f>
        <v/>
      </c>
      <c r="AD270" s="80" t="str">
        <f>IF(AND($P270=$AB$7,$B270&lt;'1332'!$I$9),"x","")</f>
        <v/>
      </c>
      <c r="AE270" s="80" t="str">
        <f>IF(AND('341-CT'!$H$9=H270,OR(LEFT(O270,3)=$AE$7,LEFT(P270,3)=$AE$7)),"x","")</f>
        <v/>
      </c>
      <c r="AF270" s="80" t="str">
        <f>IF(OR(TH!O270=TH!$AF$7,P270=TH!$AF$7),"x","")</f>
        <v/>
      </c>
      <c r="AG270" s="80"/>
      <c r="AH270" s="80" t="str">
        <f>IF(AND(B270&gt;='IN-NX'!$P$3,B270&lt;='IN-NX'!$Q$3,'IN-NX'!$D$7=D270,OR(LEFT(L270,2)="15",AND(LEFT(M270,2)&lt;&gt;"15",LEFT(M270,2)&lt;&gt;"33"))),"x","")</f>
        <v/>
      </c>
      <c r="AI270" s="80" t="str">
        <f>IF(AND(OR(LEFT(TH!O270,2)="15",LEFT(TH!P270,2)="15"),'152-CT'!$J$8=TH!F270),"x","")</f>
        <v/>
      </c>
      <c r="AJ270" s="80" t="str">
        <f>IF(AND(OR(LEFT(TH!O270,2)="15",LEFT(TH!P270,2)="15"),'THE KHO'!$E$7=TH!F270),"x","")</f>
        <v/>
      </c>
      <c r="AK270" s="80" t="str">
        <f>IF(AND(O270="1521",MONTH(C270)='BK NL'!$M$11),"x","")</f>
        <v/>
      </c>
      <c r="AM270" s="352">
        <v>1</v>
      </c>
    </row>
    <row r="271" spans="1:39" ht="15.75" customHeight="1">
      <c r="A271" s="362" t="str">
        <f>IF(B271&lt;&gt;"",IF(AND(B271&gt;=_TM1,B271&lt;=_TM2,OR(TH!O271="1111",TH!P271="1111")),TH!D271,""),"")</f>
        <v>C11</v>
      </c>
      <c r="B271" s="63">
        <f t="shared" si="21"/>
        <v>4</v>
      </c>
      <c r="C271" s="337">
        <v>42470</v>
      </c>
      <c r="D271" s="337" t="s">
        <v>72</v>
      </c>
      <c r="E271" s="337">
        <f t="shared" si="22"/>
        <v>42470</v>
      </c>
      <c r="F271" s="338" t="s">
        <v>850</v>
      </c>
      <c r="G271" s="351" t="s">
        <v>851</v>
      </c>
      <c r="H271" s="339" t="s">
        <v>315</v>
      </c>
      <c r="I271" s="477"/>
      <c r="J271" s="477"/>
      <c r="K271" s="470"/>
      <c r="L271" s="477"/>
      <c r="M271" s="88">
        <v>681818</v>
      </c>
      <c r="N271" s="88"/>
      <c r="O271" s="340" t="s">
        <v>10</v>
      </c>
      <c r="P271" s="340" t="s">
        <v>97</v>
      </c>
      <c r="Q271" s="66" t="str">
        <f>IF(AND('331-CT'!$E$7=TH!H271,OR(O271="331",P271="331")),"x","")</f>
        <v/>
      </c>
      <c r="R271" s="66" t="str">
        <f>IF(AND($B271&gt;='111'!$N$11,$B271&lt;='111'!$O$11,OR($O271=$R$7,$P271=$R$7)),"x","")</f>
        <v/>
      </c>
      <c r="S271" s="66" t="str">
        <f>IF(AND($O271=$R$7,$B271&lt;'111'!$N$11),"x","")</f>
        <v/>
      </c>
      <c r="T271" s="66" t="str">
        <f>IF(AND($P271=$R$7,$B271&lt;'111'!$N$11),"x","")</f>
        <v>x</v>
      </c>
      <c r="U271" s="66" t="str">
        <f>IF(AND($B271&gt;='112'!$M$9,$B271&lt;='112'!$N$9,OR($O271='112'!$I$6,$P271='112'!$I$6)),"x","")</f>
        <v/>
      </c>
      <c r="V271" s="66" t="str">
        <f>IF(AND($O271='112'!$I$6,$B271&lt;'112'!$M$9),"x","")</f>
        <v/>
      </c>
      <c r="W271" s="66" t="str">
        <f>IF(AND($P271='112'!$I$6,$B271&lt;'112'!$M$9),"x","")</f>
        <v/>
      </c>
      <c r="X271" s="66" t="str">
        <f>IF(AND('131-CT'!$H$9=TH!H271,OR(O271="131",P271="131")),"x","")</f>
        <v/>
      </c>
      <c r="Y271" s="80" t="str">
        <f>IF(AND($B271&gt;='1331'!$I$9,$B271&lt;='1331'!$J$9,OR($O271=$Y$7,$P271=$Y$7)),"x","")</f>
        <v/>
      </c>
      <c r="Z271" s="80" t="str">
        <f>IF(AND($O271=$Y$7,$B271&lt;'1331'!$I$9),"x","")</f>
        <v>x</v>
      </c>
      <c r="AA271" s="80" t="str">
        <f>IF(AND($P271=$Y$7,$B271&lt;'1331'!$I$9),"x","")</f>
        <v/>
      </c>
      <c r="AB271" s="80" t="str">
        <f>IF(AND($B271&gt;='1332'!$I$9,$B271&lt;='1332'!$I$9,OR($O271=$AB$7,$P271=$AB$7)),"x","")</f>
        <v/>
      </c>
      <c r="AC271" s="80" t="str">
        <f>IF(AND($O271=$AB$7,$B271&lt;'1332'!$I$9),"x","")</f>
        <v/>
      </c>
      <c r="AD271" s="80" t="str">
        <f>IF(AND($P271=$AB$7,$B271&lt;'1332'!$I$9),"x","")</f>
        <v/>
      </c>
      <c r="AE271" s="80" t="str">
        <f>IF(AND('341-CT'!$H$9=H271,OR(LEFT(O271,3)=$AE$7,LEFT(P271,3)=$AE$7)),"x","")</f>
        <v/>
      </c>
      <c r="AF271" s="80" t="str">
        <f>IF(OR(TH!O271=TH!$AF$7,P271=TH!$AF$7),"x","")</f>
        <v/>
      </c>
      <c r="AG271" s="80"/>
      <c r="AH271" s="80" t="str">
        <f>IF(AND(B271&gt;='IN-NX'!$P$3,B271&lt;='IN-NX'!$Q$3,'IN-NX'!$D$7=D271,OR(LEFT(L271,2)="15",AND(LEFT(M271,2)&lt;&gt;"15",LEFT(M271,2)&lt;&gt;"33"))),"x","")</f>
        <v/>
      </c>
      <c r="AI271" s="80" t="str">
        <f>IF(AND(OR(LEFT(TH!O271,2)="15",LEFT(TH!P271,2)="15"),'152-CT'!$J$8=TH!F271),"x","")</f>
        <v/>
      </c>
      <c r="AJ271" s="80" t="str">
        <f>IF(AND(OR(LEFT(TH!O271,2)="15",LEFT(TH!P271,2)="15"),'THE KHO'!$E$7=TH!F271),"x","")</f>
        <v/>
      </c>
      <c r="AK271" s="80" t="str">
        <f>IF(AND(O271="1521",MONTH(C271)='BK NL'!$M$11),"x","")</f>
        <v/>
      </c>
      <c r="AM271" s="352">
        <v>1</v>
      </c>
    </row>
    <row r="272" spans="1:39" ht="15.75" customHeight="1">
      <c r="A272" s="362" t="str">
        <f>IF(B272&lt;&gt;"",IF(AND(B272&gt;=_TM1,B272&lt;=_TM2,OR(TH!O272="1111",TH!P272="1111")),TH!D272,""),"")</f>
        <v>C12</v>
      </c>
      <c r="B272" s="63">
        <f t="shared" si="21"/>
        <v>4</v>
      </c>
      <c r="C272" s="337">
        <v>42471</v>
      </c>
      <c r="D272" s="337" t="s">
        <v>73</v>
      </c>
      <c r="E272" s="337">
        <f t="shared" si="22"/>
        <v>42471</v>
      </c>
      <c r="F272" s="338" t="s">
        <v>875</v>
      </c>
      <c r="G272" s="351" t="s">
        <v>877</v>
      </c>
      <c r="H272" s="369" t="s">
        <v>878</v>
      </c>
      <c r="I272" s="479"/>
      <c r="J272" s="479"/>
      <c r="K272" s="472"/>
      <c r="L272" s="479"/>
      <c r="M272" s="65">
        <v>200000</v>
      </c>
      <c r="N272" s="65"/>
      <c r="O272" s="340" t="s">
        <v>135</v>
      </c>
      <c r="P272" s="340" t="s">
        <v>97</v>
      </c>
      <c r="Q272" s="66" t="str">
        <f>IF(AND('331-CT'!$E$7=TH!H272,OR(O272="331",P272="331")),"x","")</f>
        <v/>
      </c>
      <c r="R272" s="66" t="str">
        <f>IF(AND($B272&gt;='111'!$N$11,$B272&lt;='111'!$O$11,OR($O272=$R$7,$P272=$R$7)),"x","")</f>
        <v/>
      </c>
      <c r="S272" s="66" t="str">
        <f>IF(AND($O272=$R$7,$B272&lt;'111'!$N$11),"x","")</f>
        <v/>
      </c>
      <c r="T272" s="66" t="str">
        <f>IF(AND($P272=$R$7,$B272&lt;'111'!$N$11),"x","")</f>
        <v>x</v>
      </c>
      <c r="U272" s="66" t="str">
        <f>IF(AND($B272&gt;='112'!$M$9,$B272&lt;='112'!$N$9,OR($O272='112'!$I$6,$P272='112'!$I$6)),"x","")</f>
        <v/>
      </c>
      <c r="V272" s="66" t="str">
        <f>IF(AND($O272='112'!$I$6,$B272&lt;'112'!$M$9),"x","")</f>
        <v/>
      </c>
      <c r="W272" s="66" t="str">
        <f>IF(AND($P272='112'!$I$6,$B272&lt;'112'!$M$9),"x","")</f>
        <v/>
      </c>
      <c r="X272" s="66" t="str">
        <f>IF(AND('131-CT'!$H$9=TH!H272,OR(O272="131",P272="131")),"x","")</f>
        <v/>
      </c>
      <c r="Y272" s="80" t="str">
        <f>IF(AND($B272&gt;='1331'!$I$9,$B272&lt;='1331'!$J$9,OR($O272=$Y$7,$P272=$Y$7)),"x","")</f>
        <v/>
      </c>
      <c r="Z272" s="80" t="str">
        <f>IF(AND($O272=$Y$7,$B272&lt;'1331'!$I$9),"x","")</f>
        <v/>
      </c>
      <c r="AA272" s="80" t="str">
        <f>IF(AND($P272=$Y$7,$B272&lt;'1331'!$I$9),"x","")</f>
        <v/>
      </c>
      <c r="AB272" s="80" t="str">
        <f>IF(AND($B272&gt;='1332'!$I$9,$B272&lt;='1332'!$I$9,OR($O272=$AB$7,$P272=$AB$7)),"x","")</f>
        <v/>
      </c>
      <c r="AC272" s="80" t="str">
        <f>IF(AND($O272=$AB$7,$B272&lt;'1332'!$I$9),"x","")</f>
        <v/>
      </c>
      <c r="AD272" s="80" t="str">
        <f>IF(AND($P272=$AB$7,$B272&lt;'1332'!$I$9),"x","")</f>
        <v/>
      </c>
      <c r="AE272" s="80" t="str">
        <f>IF(AND('341-CT'!$H$9=H272,OR(LEFT(O272,3)=$AE$7,LEFT(P272,3)=$AE$7)),"x","")</f>
        <v/>
      </c>
      <c r="AF272" s="80" t="str">
        <f>IF(OR(TH!O272=TH!$AF$7,P272=TH!$AF$7),"x","")</f>
        <v/>
      </c>
      <c r="AG272" s="80"/>
      <c r="AH272" s="80" t="str">
        <f>IF(AND(B272&gt;='IN-NX'!$P$3,B272&lt;='IN-NX'!$Q$3,'IN-NX'!$D$7=D272,OR(LEFT(L272,2)="15",AND(LEFT(M272,2)&lt;&gt;"15",LEFT(M272,2)&lt;&gt;"33"))),"x","")</f>
        <v/>
      </c>
      <c r="AI272" s="80" t="str">
        <f>IF(AND(OR(LEFT(TH!O272,2)="15",LEFT(TH!P272,2)="15"),'152-CT'!$J$8=TH!F272),"x","")</f>
        <v/>
      </c>
      <c r="AJ272" s="80" t="str">
        <f>IF(AND(OR(LEFT(TH!O272,2)="15",LEFT(TH!P272,2)="15"),'THE KHO'!$E$7=TH!F272),"x","")</f>
        <v/>
      </c>
      <c r="AK272" s="80" t="str">
        <f>IF(AND(O272="1521",MONTH(C272)='BK NL'!$M$11),"x","")</f>
        <v/>
      </c>
      <c r="AM272" s="352">
        <v>1</v>
      </c>
    </row>
    <row r="273" spans="1:39" ht="15.75" customHeight="1">
      <c r="A273" s="362" t="str">
        <f>IF(B273&lt;&gt;"",IF(AND(B273&gt;=_TM1,B273&lt;=_TM2,OR(TH!O273="1111",TH!P273="1111")),TH!D273,""),"")</f>
        <v>C12</v>
      </c>
      <c r="B273" s="63">
        <f t="shared" si="21"/>
        <v>4</v>
      </c>
      <c r="C273" s="337">
        <v>42471</v>
      </c>
      <c r="D273" s="337" t="s">
        <v>73</v>
      </c>
      <c r="E273" s="337">
        <f t="shared" si="22"/>
        <v>42471</v>
      </c>
      <c r="F273" s="338" t="s">
        <v>876</v>
      </c>
      <c r="G273" s="351" t="s">
        <v>877</v>
      </c>
      <c r="H273" s="369" t="s">
        <v>878</v>
      </c>
      <c r="I273" s="476"/>
      <c r="J273" s="476"/>
      <c r="K273" s="469"/>
      <c r="L273" s="476"/>
      <c r="M273" s="88">
        <v>20000</v>
      </c>
      <c r="N273" s="88"/>
      <c r="O273" s="340" t="s">
        <v>10</v>
      </c>
      <c r="P273" s="340" t="s">
        <v>97</v>
      </c>
      <c r="Q273" s="66" t="str">
        <f>IF(AND('331-CT'!$E$7=TH!H273,OR(O273="331",P273="331")),"x","")</f>
        <v/>
      </c>
      <c r="R273" s="66" t="str">
        <f>IF(AND($B273&gt;='111'!$N$11,$B273&lt;='111'!$O$11,OR($O273=$R$7,$P273=$R$7)),"x","")</f>
        <v/>
      </c>
      <c r="S273" s="66" t="str">
        <f>IF(AND($O273=$R$7,$B273&lt;'111'!$N$11),"x","")</f>
        <v/>
      </c>
      <c r="T273" s="66" t="str">
        <f>IF(AND($P273=$R$7,$B273&lt;'111'!$N$11),"x","")</f>
        <v>x</v>
      </c>
      <c r="U273" s="66" t="str">
        <f>IF(AND($B273&gt;='112'!$M$9,$B273&lt;='112'!$N$9,OR($O273='112'!$I$6,$P273='112'!$I$6)),"x","")</f>
        <v/>
      </c>
      <c r="V273" s="66" t="str">
        <f>IF(AND($O273='112'!$I$6,$B273&lt;'112'!$M$9),"x","")</f>
        <v/>
      </c>
      <c r="W273" s="66" t="str">
        <f>IF(AND($P273='112'!$I$6,$B273&lt;'112'!$M$9),"x","")</f>
        <v/>
      </c>
      <c r="X273" s="66" t="str">
        <f>IF(AND('131-CT'!$H$9=TH!H273,OR(O273="131",P273="131")),"x","")</f>
        <v/>
      </c>
      <c r="Y273" s="80" t="str">
        <f>IF(AND($B273&gt;='1331'!$I$9,$B273&lt;='1331'!$J$9,OR($O273=$Y$7,$P273=$Y$7)),"x","")</f>
        <v/>
      </c>
      <c r="Z273" s="80" t="str">
        <f>IF(AND($O273=$Y$7,$B273&lt;'1331'!$I$9),"x","")</f>
        <v>x</v>
      </c>
      <c r="AA273" s="80" t="str">
        <f>IF(AND($P273=$Y$7,$B273&lt;'1331'!$I$9),"x","")</f>
        <v/>
      </c>
      <c r="AB273" s="80" t="str">
        <f>IF(AND($B273&gt;='1332'!$I$9,$B273&lt;='1332'!$I$9,OR($O273=$AB$7,$P273=$AB$7)),"x","")</f>
        <v/>
      </c>
      <c r="AC273" s="80" t="str">
        <f>IF(AND($O273=$AB$7,$B273&lt;'1332'!$I$9),"x","")</f>
        <v/>
      </c>
      <c r="AD273" s="80" t="str">
        <f>IF(AND($P273=$AB$7,$B273&lt;'1332'!$I$9),"x","")</f>
        <v/>
      </c>
      <c r="AE273" s="80" t="str">
        <f>IF(AND('341-CT'!$H$9=H273,OR(LEFT(O273,3)=$AE$7,LEFT(P273,3)=$AE$7)),"x","")</f>
        <v/>
      </c>
      <c r="AF273" s="80" t="str">
        <f>IF(OR(TH!O273=TH!$AF$7,P273=TH!$AF$7),"x","")</f>
        <v/>
      </c>
      <c r="AG273" s="80"/>
      <c r="AH273" s="80" t="str">
        <f>IF(AND(B273&gt;='IN-NX'!$P$3,B273&lt;='IN-NX'!$Q$3,'IN-NX'!$D$7=D273,OR(LEFT(L273,2)="15",AND(LEFT(M273,2)&lt;&gt;"15",LEFT(M273,2)&lt;&gt;"33"))),"x","")</f>
        <v/>
      </c>
      <c r="AI273" s="80" t="str">
        <f>IF(AND(OR(LEFT(TH!O273,2)="15",LEFT(TH!P273,2)="15"),'152-CT'!$J$8=TH!F273),"x","")</f>
        <v/>
      </c>
      <c r="AJ273" s="80" t="str">
        <f>IF(AND(OR(LEFT(TH!O273,2)="15",LEFT(TH!P273,2)="15"),'THE KHO'!$E$7=TH!F273),"x","")</f>
        <v/>
      </c>
      <c r="AK273" s="80" t="str">
        <f>IF(AND(O273="1521",MONTH(C273)='BK NL'!$M$11),"x","")</f>
        <v/>
      </c>
      <c r="AM273" s="352">
        <v>1</v>
      </c>
    </row>
    <row r="274" spans="1:39" ht="15.75" customHeight="1">
      <c r="A274" s="362" t="str">
        <f>IF(B274&lt;&gt;"",IF(AND(B274&gt;=_TM1,B274&lt;=_TM2,OR(TH!O274="1111",TH!P274="1111")),TH!D274,""),"")</f>
        <v>C13</v>
      </c>
      <c r="B274" s="63">
        <f t="shared" si="21"/>
        <v>4</v>
      </c>
      <c r="C274" s="337">
        <v>42472</v>
      </c>
      <c r="D274" s="337" t="s">
        <v>74</v>
      </c>
      <c r="E274" s="337">
        <f t="shared" si="22"/>
        <v>42472</v>
      </c>
      <c r="F274" s="338" t="s">
        <v>399</v>
      </c>
      <c r="G274" s="351" t="s">
        <v>882</v>
      </c>
      <c r="H274" s="368" t="s">
        <v>319</v>
      </c>
      <c r="I274" s="477"/>
      <c r="J274" s="477"/>
      <c r="K274" s="470"/>
      <c r="L274" s="477"/>
      <c r="M274" s="65">
        <v>1388000</v>
      </c>
      <c r="N274" s="65"/>
      <c r="O274" s="340" t="s">
        <v>242</v>
      </c>
      <c r="P274" s="340" t="s">
        <v>97</v>
      </c>
      <c r="Q274" s="66" t="str">
        <f>IF(AND('331-CT'!$E$7=TH!H274,OR(O274="331",P274="331")),"x","")</f>
        <v/>
      </c>
      <c r="R274" s="66" t="str">
        <f>IF(AND($B274&gt;='111'!$N$11,$B274&lt;='111'!$O$11,OR($O274=$R$7,$P274=$R$7)),"x","")</f>
        <v/>
      </c>
      <c r="S274" s="66" t="str">
        <f>IF(AND($O274=$R$7,$B274&lt;'111'!$N$11),"x","")</f>
        <v/>
      </c>
      <c r="T274" s="66" t="str">
        <f>IF(AND($P274=$R$7,$B274&lt;'111'!$N$11),"x","")</f>
        <v>x</v>
      </c>
      <c r="U274" s="66" t="str">
        <f>IF(AND($B274&gt;='112'!$M$9,$B274&lt;='112'!$N$9,OR($O274='112'!$I$6,$P274='112'!$I$6)),"x","")</f>
        <v/>
      </c>
      <c r="V274" s="66" t="str">
        <f>IF(AND($O274='112'!$I$6,$B274&lt;'112'!$M$9),"x","")</f>
        <v/>
      </c>
      <c r="W274" s="66" t="str">
        <f>IF(AND($P274='112'!$I$6,$B274&lt;'112'!$M$9),"x","")</f>
        <v/>
      </c>
      <c r="X274" s="66" t="str">
        <f>IF(AND('131-CT'!$H$9=TH!H274,OR(O274="131",P274="131")),"x","")</f>
        <v/>
      </c>
      <c r="Y274" s="80" t="str">
        <f>IF(AND($B274&gt;='1331'!$I$9,$B274&lt;='1331'!$J$9,OR($O274=$Y$7,$P274=$Y$7)),"x","")</f>
        <v/>
      </c>
      <c r="Z274" s="80" t="str">
        <f>IF(AND($O274=$Y$7,$B274&lt;'1331'!$I$9),"x","")</f>
        <v/>
      </c>
      <c r="AA274" s="80" t="str">
        <f>IF(AND($P274=$Y$7,$B274&lt;'1331'!$I$9),"x","")</f>
        <v/>
      </c>
      <c r="AB274" s="80" t="str">
        <f>IF(AND($B274&gt;='1332'!$I$9,$B274&lt;='1332'!$I$9,OR($O274=$AB$7,$P274=$AB$7)),"x","")</f>
        <v/>
      </c>
      <c r="AC274" s="80" t="str">
        <f>IF(AND($O274=$AB$7,$B274&lt;'1332'!$I$9),"x","")</f>
        <v/>
      </c>
      <c r="AD274" s="80" t="str">
        <f>IF(AND($P274=$AB$7,$B274&lt;'1332'!$I$9),"x","")</f>
        <v/>
      </c>
      <c r="AE274" s="80" t="str">
        <f>IF(AND('341-CT'!$H$9=H274,OR(LEFT(O274,3)=$AE$7,LEFT(P274,3)=$AE$7)),"x","")</f>
        <v/>
      </c>
      <c r="AF274" s="80" t="str">
        <f>IF(OR(TH!O274=TH!$AF$7,P274=TH!$AF$7),"x","")</f>
        <v/>
      </c>
      <c r="AG274" s="80"/>
      <c r="AH274" s="80" t="str">
        <f>IF(AND(B274&gt;='IN-NX'!$P$3,B274&lt;='IN-NX'!$Q$3,'IN-NX'!$D$7=D274,OR(LEFT(L274,2)="15",AND(LEFT(M274,2)&lt;&gt;"15",LEFT(M274,2)&lt;&gt;"33"))),"x","")</f>
        <v/>
      </c>
      <c r="AI274" s="80" t="str">
        <f>IF(AND(OR(LEFT(TH!O274,2)="15",LEFT(TH!P274,2)="15"),'152-CT'!$J$8=TH!F274),"x","")</f>
        <v/>
      </c>
      <c r="AJ274" s="80" t="str">
        <f>IF(AND(OR(LEFT(TH!O274,2)="15",LEFT(TH!P274,2)="15"),'THE KHO'!$E$7=TH!F274),"x","")</f>
        <v/>
      </c>
      <c r="AK274" s="80" t="str">
        <f>IF(AND(O274="1521",MONTH(C274)='BK NL'!$M$11),"x","")</f>
        <v/>
      </c>
      <c r="AM274" s="352">
        <v>1</v>
      </c>
    </row>
    <row r="275" spans="1:39" ht="15.75" customHeight="1">
      <c r="A275" s="362" t="str">
        <f>IF(B275&lt;&gt;"",IF(AND(B275&gt;=_TM1,B275&lt;=_TM2,OR(TH!O275="1111",TH!P275="1111")),TH!D275,""),"")</f>
        <v/>
      </c>
      <c r="B275" s="63">
        <f t="shared" si="21"/>
        <v>4</v>
      </c>
      <c r="C275" s="337">
        <v>42472</v>
      </c>
      <c r="D275" s="337" t="s">
        <v>784</v>
      </c>
      <c r="E275" s="337">
        <f t="shared" si="22"/>
        <v>42472</v>
      </c>
      <c r="F275" s="338" t="s">
        <v>886</v>
      </c>
      <c r="G275" s="351" t="s">
        <v>889</v>
      </c>
      <c r="H275" s="338" t="s">
        <v>758</v>
      </c>
      <c r="I275" s="476">
        <v>3000</v>
      </c>
      <c r="J275" s="476">
        <v>800</v>
      </c>
      <c r="K275" s="469"/>
      <c r="L275" s="476"/>
      <c r="M275" s="65">
        <f>ROUND(I275*J275,0)</f>
        <v>2400000</v>
      </c>
      <c r="N275" s="65"/>
      <c r="O275" s="340" t="s">
        <v>462</v>
      </c>
      <c r="P275" s="340" t="s">
        <v>9</v>
      </c>
      <c r="Q275" s="66" t="str">
        <f>IF(AND('331-CT'!$E$7=TH!H275,OR(O275="331",P275="331")),"x","")</f>
        <v/>
      </c>
      <c r="R275" s="66" t="str">
        <f>IF(AND($B275&gt;='111'!$N$11,$B275&lt;='111'!$O$11,OR($O275=$R$7,$P275=$R$7)),"x","")</f>
        <v/>
      </c>
      <c r="S275" s="66" t="str">
        <f>IF(AND($O275=$R$7,$B275&lt;'111'!$N$11),"x","")</f>
        <v/>
      </c>
      <c r="T275" s="66" t="str">
        <f>IF(AND($P275=$R$7,$B275&lt;'111'!$N$11),"x","")</f>
        <v/>
      </c>
      <c r="U275" s="66" t="str">
        <f>IF(AND($B275&gt;='112'!$M$9,$B275&lt;='112'!$N$9,OR($O275='112'!$I$6,$P275='112'!$I$6)),"x","")</f>
        <v/>
      </c>
      <c r="V275" s="66" t="str">
        <f>IF(AND($O275='112'!$I$6,$B275&lt;'112'!$M$9),"x","")</f>
        <v/>
      </c>
      <c r="W275" s="66" t="str">
        <f>IF(AND($P275='112'!$I$6,$B275&lt;'112'!$M$9),"x","")</f>
        <v/>
      </c>
      <c r="X275" s="66" t="str">
        <f>IF(AND('131-CT'!$H$9=TH!H275,OR(O275="131",P275="131")),"x","")</f>
        <v/>
      </c>
      <c r="Y275" s="80" t="str">
        <f>IF(AND($B275&gt;='1331'!$I$9,$B275&lt;='1331'!$J$9,OR($O275=$Y$7,$P275=$Y$7)),"x","")</f>
        <v/>
      </c>
      <c r="Z275" s="80" t="str">
        <f>IF(AND($O275=$Y$7,$B275&lt;'1331'!$I$9),"x","")</f>
        <v/>
      </c>
      <c r="AA275" s="80" t="str">
        <f>IF(AND($P275=$Y$7,$B275&lt;'1331'!$I$9),"x","")</f>
        <v/>
      </c>
      <c r="AB275" s="80" t="str">
        <f>IF(AND($B275&gt;='1332'!$I$9,$B275&lt;='1332'!$I$9,OR($O275=$AB$7,$P275=$AB$7)),"x","")</f>
        <v/>
      </c>
      <c r="AC275" s="80" t="str">
        <f>IF(AND($O275=$AB$7,$B275&lt;'1332'!$I$9),"x","")</f>
        <v/>
      </c>
      <c r="AD275" s="80" t="str">
        <f>IF(AND($P275=$AB$7,$B275&lt;'1332'!$I$9),"x","")</f>
        <v/>
      </c>
      <c r="AE275" s="80" t="str">
        <f>IF(AND('341-CT'!$H$9=H275,OR(LEFT(O275,3)=$AE$7,LEFT(P275,3)=$AE$7)),"x","")</f>
        <v/>
      </c>
      <c r="AF275" s="80" t="str">
        <f>IF(OR(TH!O275=TH!$AF$7,P275=TH!$AF$7),"x","")</f>
        <v/>
      </c>
      <c r="AG275" s="80"/>
      <c r="AH275" s="80" t="str">
        <f>IF(AND(B275&gt;='IN-NX'!$P$3,B275&lt;='IN-NX'!$Q$3,'IN-NX'!$D$7=D275,OR(LEFT(L275,2)="15",AND(LEFT(M275,2)&lt;&gt;"15",LEFT(M275,2)&lt;&gt;"33"))),"x","")</f>
        <v>x</v>
      </c>
      <c r="AI275" s="80" t="str">
        <f>IF(AND(OR(LEFT(TH!O275,2)="15",LEFT(TH!P275,2)="15"),'152-CT'!$J$8=TH!F275),"x","")</f>
        <v/>
      </c>
      <c r="AJ275" s="80" t="str">
        <f>IF(AND(OR(LEFT(TH!O275,2)="15",LEFT(TH!P275,2)="15"),'THE KHO'!$E$7=TH!F275),"x","")</f>
        <v/>
      </c>
      <c r="AK275" s="80" t="str">
        <f>IF(AND(O275="1521",MONTH(C275)='BK NL'!$M$11),"x","")</f>
        <v/>
      </c>
      <c r="AM275" s="352">
        <v>1</v>
      </c>
    </row>
    <row r="276" spans="1:39" ht="15.75" customHeight="1">
      <c r="A276" s="362" t="str">
        <f>IF(B276&lt;&gt;"",IF(AND(B276&gt;=_TM1,B276&lt;=_TM2,OR(TH!O276="1111",TH!P276="1111")),TH!D276,""),"")</f>
        <v/>
      </c>
      <c r="B276" s="63">
        <f t="shared" si="21"/>
        <v>4</v>
      </c>
      <c r="C276" s="337">
        <v>42472</v>
      </c>
      <c r="D276" s="337" t="s">
        <v>784</v>
      </c>
      <c r="E276" s="337">
        <f t="shared" si="22"/>
        <v>42472</v>
      </c>
      <c r="F276" s="338" t="s">
        <v>887</v>
      </c>
      <c r="G276" s="351" t="s">
        <v>889</v>
      </c>
      <c r="H276" s="338" t="s">
        <v>758</v>
      </c>
      <c r="I276" s="476">
        <v>2000</v>
      </c>
      <c r="J276" s="476">
        <v>900</v>
      </c>
      <c r="K276" s="469"/>
      <c r="L276" s="476"/>
      <c r="M276" s="65">
        <f>ROUND(I276*J276,0)</f>
        <v>1800000</v>
      </c>
      <c r="N276" s="65"/>
      <c r="O276" s="340" t="s">
        <v>462</v>
      </c>
      <c r="P276" s="340" t="s">
        <v>9</v>
      </c>
      <c r="Q276" s="66" t="str">
        <f>IF(AND('331-CT'!$E$7=TH!H276,OR(O276="331",P276="331")),"x","")</f>
        <v/>
      </c>
      <c r="R276" s="66" t="str">
        <f>IF(AND($B276&gt;='111'!$N$11,$B276&lt;='111'!$O$11,OR($O276=$R$7,$P276=$R$7)),"x","")</f>
        <v/>
      </c>
      <c r="S276" s="66" t="str">
        <f>IF(AND($O276=$R$7,$B276&lt;'111'!$N$11),"x","")</f>
        <v/>
      </c>
      <c r="T276" s="66" t="str">
        <f>IF(AND($P276=$R$7,$B276&lt;'111'!$N$11),"x","")</f>
        <v/>
      </c>
      <c r="U276" s="66" t="str">
        <f>IF(AND($B276&gt;='112'!$M$9,$B276&lt;='112'!$N$9,OR($O276='112'!$I$6,$P276='112'!$I$6)),"x","")</f>
        <v/>
      </c>
      <c r="V276" s="66" t="str">
        <f>IF(AND($O276='112'!$I$6,$B276&lt;'112'!$M$9),"x","")</f>
        <v/>
      </c>
      <c r="W276" s="66" t="str">
        <f>IF(AND($P276='112'!$I$6,$B276&lt;'112'!$M$9),"x","")</f>
        <v/>
      </c>
      <c r="X276" s="66" t="str">
        <f>IF(AND('131-CT'!$H$9=TH!H276,OR(O276="131",P276="131")),"x","")</f>
        <v/>
      </c>
      <c r="Y276" s="80" t="str">
        <f>IF(AND($B276&gt;='1331'!$I$9,$B276&lt;='1331'!$J$9,OR($O276=$Y$7,$P276=$Y$7)),"x","")</f>
        <v/>
      </c>
      <c r="Z276" s="80" t="str">
        <f>IF(AND($O276=$Y$7,$B276&lt;'1331'!$I$9),"x","")</f>
        <v/>
      </c>
      <c r="AA276" s="80" t="str">
        <f>IF(AND($P276=$Y$7,$B276&lt;'1331'!$I$9),"x","")</f>
        <v/>
      </c>
      <c r="AB276" s="80" t="str">
        <f>IF(AND($B276&gt;='1332'!$I$9,$B276&lt;='1332'!$I$9,OR($O276=$AB$7,$P276=$AB$7)),"x","")</f>
        <v/>
      </c>
      <c r="AC276" s="80" t="str">
        <f>IF(AND($O276=$AB$7,$B276&lt;'1332'!$I$9),"x","")</f>
        <v/>
      </c>
      <c r="AD276" s="80" t="str">
        <f>IF(AND($P276=$AB$7,$B276&lt;'1332'!$I$9),"x","")</f>
        <v/>
      </c>
      <c r="AE276" s="80" t="str">
        <f>IF(AND('341-CT'!$H$9=H276,OR(LEFT(O276,3)=$AE$7,LEFT(P276,3)=$AE$7)),"x","")</f>
        <v/>
      </c>
      <c r="AF276" s="80" t="str">
        <f>IF(OR(TH!O276=TH!$AF$7,P276=TH!$AF$7),"x","")</f>
        <v/>
      </c>
      <c r="AG276" s="80"/>
      <c r="AH276" s="80" t="str">
        <f>IF(AND(B276&gt;='IN-NX'!$P$3,B276&lt;='IN-NX'!$Q$3,'IN-NX'!$D$7=D276,OR(LEFT(L276,2)="15",AND(LEFT(M276,2)&lt;&gt;"15",LEFT(M276,2)&lt;&gt;"33"))),"x","")</f>
        <v>x</v>
      </c>
      <c r="AI276" s="80" t="str">
        <f>IF(AND(OR(LEFT(TH!O276,2)="15",LEFT(TH!P276,2)="15"),'152-CT'!$J$8=TH!F276),"x","")</f>
        <v/>
      </c>
      <c r="AJ276" s="80" t="str">
        <f>IF(AND(OR(LEFT(TH!O276,2)="15",LEFT(TH!P276,2)="15"),'THE KHO'!$E$7=TH!F276),"x","")</f>
        <v/>
      </c>
      <c r="AK276" s="80" t="str">
        <f>IF(AND(O276="1521",MONTH(C276)='BK NL'!$M$11),"x","")</f>
        <v/>
      </c>
    </row>
    <row r="277" spans="1:39" ht="15.75" customHeight="1">
      <c r="A277" s="362" t="str">
        <f>IF(B277&lt;&gt;"",IF(AND(B277&gt;=_TM1,B277&lt;=_TM2,OR(TH!O277="1111",TH!P277="1111")),TH!D277,""),"")</f>
        <v/>
      </c>
      <c r="B277" s="63">
        <f t="shared" si="21"/>
        <v>4</v>
      </c>
      <c r="C277" s="337">
        <v>42472</v>
      </c>
      <c r="D277" s="337" t="s">
        <v>784</v>
      </c>
      <c r="E277" s="337">
        <f t="shared" si="22"/>
        <v>42472</v>
      </c>
      <c r="F277" s="338" t="s">
        <v>888</v>
      </c>
      <c r="G277" s="351" t="s">
        <v>889</v>
      </c>
      <c r="H277" s="338" t="s">
        <v>758</v>
      </c>
      <c r="I277" s="479"/>
      <c r="J277" s="479"/>
      <c r="K277" s="472"/>
      <c r="L277" s="479"/>
      <c r="M277" s="88">
        <v>420000</v>
      </c>
      <c r="N277" s="88"/>
      <c r="O277" s="340" t="s">
        <v>10</v>
      </c>
      <c r="P277" s="340" t="s">
        <v>9</v>
      </c>
      <c r="Q277" s="66" t="str">
        <f>IF(AND('331-CT'!$E$7=TH!H277,OR(O277="331",P277="331")),"x","")</f>
        <v/>
      </c>
      <c r="R277" s="66" t="str">
        <f>IF(AND($B277&gt;='111'!$N$11,$B277&lt;='111'!$O$11,OR($O277=$R$7,$P277=$R$7)),"x","")</f>
        <v/>
      </c>
      <c r="S277" s="66" t="str">
        <f>IF(AND($O277=$R$7,$B277&lt;'111'!$N$11),"x","")</f>
        <v/>
      </c>
      <c r="T277" s="66" t="str">
        <f>IF(AND($P277=$R$7,$B277&lt;'111'!$N$11),"x","")</f>
        <v/>
      </c>
      <c r="U277" s="66" t="str">
        <f>IF(AND($B277&gt;='112'!$M$9,$B277&lt;='112'!$N$9,OR($O277='112'!$I$6,$P277='112'!$I$6)),"x","")</f>
        <v/>
      </c>
      <c r="V277" s="66" t="str">
        <f>IF(AND($O277='112'!$I$6,$B277&lt;'112'!$M$9),"x","")</f>
        <v/>
      </c>
      <c r="W277" s="66" t="str">
        <f>IF(AND($P277='112'!$I$6,$B277&lt;'112'!$M$9),"x","")</f>
        <v/>
      </c>
      <c r="X277" s="66" t="str">
        <f>IF(AND('131-CT'!$H$9=TH!H277,OR(O277="131",P277="131")),"x","")</f>
        <v/>
      </c>
      <c r="Y277" s="80" t="str">
        <f>IF(AND($B277&gt;='1331'!$I$9,$B277&lt;='1331'!$J$9,OR($O277=$Y$7,$P277=$Y$7)),"x","")</f>
        <v/>
      </c>
      <c r="Z277" s="80" t="str">
        <f>IF(AND($O277=$Y$7,$B277&lt;'1331'!$I$9),"x","")</f>
        <v>x</v>
      </c>
      <c r="AA277" s="80" t="str">
        <f>IF(AND($P277=$Y$7,$B277&lt;'1331'!$I$9),"x","")</f>
        <v/>
      </c>
      <c r="AB277" s="80" t="str">
        <f>IF(AND($B277&gt;='1332'!$I$9,$B277&lt;='1332'!$I$9,OR($O277=$AB$7,$P277=$AB$7)),"x","")</f>
        <v/>
      </c>
      <c r="AC277" s="80" t="str">
        <f>IF(AND($O277=$AB$7,$B277&lt;'1332'!$I$9),"x","")</f>
        <v/>
      </c>
      <c r="AD277" s="80" t="str">
        <f>IF(AND($P277=$AB$7,$B277&lt;'1332'!$I$9),"x","")</f>
        <v/>
      </c>
      <c r="AE277" s="80" t="str">
        <f>IF(AND('341-CT'!$H$9=H277,OR(LEFT(O277,3)=$AE$7,LEFT(P277,3)=$AE$7)),"x","")</f>
        <v/>
      </c>
      <c r="AF277" s="80" t="str">
        <f>IF(OR(TH!O277=TH!$AF$7,P277=TH!$AF$7),"x","")</f>
        <v/>
      </c>
      <c r="AG277" s="80"/>
      <c r="AH277" s="80" t="str">
        <f>IF(AND(B277&gt;='IN-NX'!$P$3,B277&lt;='IN-NX'!$Q$3,'IN-NX'!$D$7=D277,OR(LEFT(L277,2)="15",AND(LEFT(M277,2)&lt;&gt;"15",LEFT(M277,2)&lt;&gt;"33"))),"x","")</f>
        <v>x</v>
      </c>
      <c r="AI277" s="80" t="str">
        <f>IF(AND(OR(LEFT(TH!O277,2)="15",LEFT(TH!P277,2)="15"),'152-CT'!$J$8=TH!F277),"x","")</f>
        <v/>
      </c>
      <c r="AJ277" s="80" t="str">
        <f>IF(AND(OR(LEFT(TH!O277,2)="15",LEFT(TH!P277,2)="15"),'THE KHO'!$E$7=TH!F277),"x","")</f>
        <v/>
      </c>
      <c r="AK277" s="80" t="str">
        <f>IF(AND(O277="1521",MONTH(C277)='BK NL'!$M$11),"x","")</f>
        <v/>
      </c>
      <c r="AM277" s="352">
        <v>1</v>
      </c>
    </row>
    <row r="278" spans="1:39" ht="15.75" customHeight="1">
      <c r="A278" s="362" t="str">
        <f>IF(B278&lt;&gt;"",IF(AND(B278&gt;=_TM1,B278&lt;=_TM2,OR(TH!O278="1111",TH!P278="1111")),TH!D278,""),"")</f>
        <v>C14</v>
      </c>
      <c r="B278" s="63">
        <f t="shared" si="21"/>
        <v>4</v>
      </c>
      <c r="C278" s="337">
        <v>42474</v>
      </c>
      <c r="D278" s="337" t="s">
        <v>75</v>
      </c>
      <c r="E278" s="337">
        <f t="shared" si="22"/>
        <v>42474</v>
      </c>
      <c r="F278" s="338" t="s">
        <v>879</v>
      </c>
      <c r="G278" s="351" t="s">
        <v>880</v>
      </c>
      <c r="H278" s="339" t="s">
        <v>881</v>
      </c>
      <c r="I278" s="476"/>
      <c r="J278" s="476"/>
      <c r="K278" s="469"/>
      <c r="L278" s="476"/>
      <c r="M278" s="65">
        <v>50000</v>
      </c>
      <c r="N278" s="65"/>
      <c r="O278" s="340" t="s">
        <v>135</v>
      </c>
      <c r="P278" s="340" t="s">
        <v>97</v>
      </c>
      <c r="Q278" s="66" t="str">
        <f>IF(AND('331-CT'!$E$7=TH!H278,OR(O278="331",P278="331")),"x","")</f>
        <v/>
      </c>
      <c r="R278" s="66" t="str">
        <f>IF(AND($B278&gt;='111'!$N$11,$B278&lt;='111'!$O$11,OR($O278=$R$7,$P278=$R$7)),"x","")</f>
        <v/>
      </c>
      <c r="S278" s="66" t="str">
        <f>IF(AND($O278=$R$7,$B278&lt;'111'!$N$11),"x","")</f>
        <v/>
      </c>
      <c r="T278" s="66" t="str">
        <f>IF(AND($P278=$R$7,$B278&lt;'111'!$N$11),"x","")</f>
        <v>x</v>
      </c>
      <c r="U278" s="66" t="str">
        <f>IF(AND($B278&gt;='112'!$M$9,$B278&lt;='112'!$N$9,OR($O278='112'!$I$6,$P278='112'!$I$6)),"x","")</f>
        <v/>
      </c>
      <c r="V278" s="66" t="str">
        <f>IF(AND($O278='112'!$I$6,$B278&lt;'112'!$M$9),"x","")</f>
        <v/>
      </c>
      <c r="W278" s="66" t="str">
        <f>IF(AND($P278='112'!$I$6,$B278&lt;'112'!$M$9),"x","")</f>
        <v/>
      </c>
      <c r="X278" s="66" t="str">
        <f>IF(AND('131-CT'!$H$9=TH!H278,OR(O278="131",P278="131")),"x","")</f>
        <v/>
      </c>
      <c r="Y278" s="80" t="str">
        <f>IF(AND($B278&gt;='1331'!$I$9,$B278&lt;='1331'!$J$9,OR($O278=$Y$7,$P278=$Y$7)),"x","")</f>
        <v/>
      </c>
      <c r="Z278" s="80" t="str">
        <f>IF(AND($O278=$Y$7,$B278&lt;'1331'!$I$9),"x","")</f>
        <v/>
      </c>
      <c r="AA278" s="80" t="str">
        <f>IF(AND($P278=$Y$7,$B278&lt;'1331'!$I$9),"x","")</f>
        <v/>
      </c>
      <c r="AB278" s="80" t="str">
        <f>IF(AND($B278&gt;='1332'!$I$9,$B278&lt;='1332'!$I$9,OR($O278=$AB$7,$P278=$AB$7)),"x","")</f>
        <v/>
      </c>
      <c r="AC278" s="80" t="str">
        <f>IF(AND($O278=$AB$7,$B278&lt;'1332'!$I$9),"x","")</f>
        <v/>
      </c>
      <c r="AD278" s="80" t="str">
        <f>IF(AND($P278=$AB$7,$B278&lt;'1332'!$I$9),"x","")</f>
        <v/>
      </c>
      <c r="AE278" s="80" t="str">
        <f>IF(AND('341-CT'!$H$9=H278,OR(LEFT(O278,3)=$AE$7,LEFT(P278,3)=$AE$7)),"x","")</f>
        <v/>
      </c>
      <c r="AF278" s="80" t="str">
        <f>IF(OR(TH!O278=TH!$AF$7,P278=TH!$AF$7),"x","")</f>
        <v/>
      </c>
      <c r="AG278" s="80"/>
      <c r="AH278" s="80" t="str">
        <f>IF(AND(B278&gt;='IN-NX'!$P$3,B278&lt;='IN-NX'!$Q$3,'IN-NX'!$D$7=D278,OR(LEFT(L278,2)="15",AND(LEFT(M278,2)&lt;&gt;"15",LEFT(M278,2)&lt;&gt;"33"))),"x","")</f>
        <v/>
      </c>
      <c r="AI278" s="80" t="str">
        <f>IF(AND(OR(LEFT(TH!O278,2)="15",LEFT(TH!P278,2)="15"),'152-CT'!$J$8=TH!F278),"x","")</f>
        <v/>
      </c>
      <c r="AJ278" s="80" t="str">
        <f>IF(AND(OR(LEFT(TH!O278,2)="15",LEFT(TH!P278,2)="15"),'THE KHO'!$E$7=TH!F278),"x","")</f>
        <v/>
      </c>
      <c r="AK278" s="80" t="str">
        <f>IF(AND(O278="1521",MONTH(C278)='BK NL'!$M$11),"x","")</f>
        <v/>
      </c>
      <c r="AM278" s="352">
        <v>1</v>
      </c>
    </row>
    <row r="279" spans="1:39" ht="15.75" customHeight="1">
      <c r="A279" s="362" t="str">
        <f>IF(B279&lt;&gt;"",IF(AND(B279&gt;=_TM1,B279&lt;=_TM2,OR(TH!O279="1111",TH!P279="1111")),TH!D279,""),"")</f>
        <v>C15</v>
      </c>
      <c r="B279" s="63">
        <f t="shared" si="21"/>
        <v>4</v>
      </c>
      <c r="C279" s="337">
        <v>42474</v>
      </c>
      <c r="D279" s="337" t="s">
        <v>76</v>
      </c>
      <c r="E279" s="337">
        <f t="shared" si="22"/>
        <v>42474</v>
      </c>
      <c r="F279" s="338" t="s">
        <v>883</v>
      </c>
      <c r="G279" s="351" t="s">
        <v>884</v>
      </c>
      <c r="H279" s="369" t="s">
        <v>885</v>
      </c>
      <c r="I279" s="479"/>
      <c r="J279" s="479"/>
      <c r="K279" s="472"/>
      <c r="L279" s="479"/>
      <c r="M279" s="65">
        <v>2220000</v>
      </c>
      <c r="N279" s="65"/>
      <c r="O279" s="340" t="s">
        <v>242</v>
      </c>
      <c r="P279" s="340" t="s">
        <v>97</v>
      </c>
      <c r="Q279" s="66" t="str">
        <f>IF(AND('331-CT'!$E$7=TH!H279,OR(O279="331",P279="331")),"x","")</f>
        <v/>
      </c>
      <c r="R279" s="66" t="str">
        <f>IF(AND($B279&gt;='111'!$N$11,$B279&lt;='111'!$O$11,OR($O279=$R$7,$P279=$R$7)),"x","")</f>
        <v/>
      </c>
      <c r="S279" s="66" t="str">
        <f>IF(AND($O279=$R$7,$B279&lt;'111'!$N$11),"x","")</f>
        <v/>
      </c>
      <c r="T279" s="66" t="str">
        <f>IF(AND($P279=$R$7,$B279&lt;'111'!$N$11),"x","")</f>
        <v>x</v>
      </c>
      <c r="U279" s="66" t="str">
        <f>IF(AND($B279&gt;='112'!$M$9,$B279&lt;='112'!$N$9,OR($O279='112'!$I$6,$P279='112'!$I$6)),"x","")</f>
        <v/>
      </c>
      <c r="V279" s="66" t="str">
        <f>IF(AND($O279='112'!$I$6,$B279&lt;'112'!$M$9),"x","")</f>
        <v/>
      </c>
      <c r="W279" s="66" t="str">
        <f>IF(AND($P279='112'!$I$6,$B279&lt;'112'!$M$9),"x","")</f>
        <v/>
      </c>
      <c r="X279" s="66" t="str">
        <f>IF(AND('131-CT'!$H$9=TH!H279,OR(O279="131",P279="131")),"x","")</f>
        <v/>
      </c>
      <c r="Y279" s="80" t="str">
        <f>IF(AND($B279&gt;='1331'!$I$9,$B279&lt;='1331'!$J$9,OR($O279=$Y$7,$P279=$Y$7)),"x","")</f>
        <v/>
      </c>
      <c r="Z279" s="80" t="str">
        <f>IF(AND($O279=$Y$7,$B279&lt;'1331'!$I$9),"x","")</f>
        <v/>
      </c>
      <c r="AA279" s="80" t="str">
        <f>IF(AND($P279=$Y$7,$B279&lt;'1331'!$I$9),"x","")</f>
        <v/>
      </c>
      <c r="AB279" s="80" t="str">
        <f>IF(AND($B279&gt;='1332'!$I$9,$B279&lt;='1332'!$I$9,OR($O279=$AB$7,$P279=$AB$7)),"x","")</f>
        <v/>
      </c>
      <c r="AC279" s="80" t="str">
        <f>IF(AND($O279=$AB$7,$B279&lt;'1332'!$I$9),"x","")</f>
        <v/>
      </c>
      <c r="AD279" s="80" t="str">
        <f>IF(AND($P279=$AB$7,$B279&lt;'1332'!$I$9),"x","")</f>
        <v/>
      </c>
      <c r="AE279" s="80" t="str">
        <f>IF(AND('341-CT'!$H$9=H279,OR(LEFT(O279,3)=$AE$7,LEFT(P279,3)=$AE$7)),"x","")</f>
        <v/>
      </c>
      <c r="AF279" s="80" t="str">
        <f>IF(OR(TH!O279=TH!$AF$7,P279=TH!$AF$7),"x","")</f>
        <v/>
      </c>
      <c r="AG279" s="80"/>
      <c r="AH279" s="80" t="str">
        <f>IF(AND(B279&gt;='IN-NX'!$P$3,B279&lt;='IN-NX'!$Q$3,'IN-NX'!$D$7=D279,OR(LEFT(L279,2)="15",AND(LEFT(M279,2)&lt;&gt;"15",LEFT(M279,2)&lt;&gt;"33"))),"x","")</f>
        <v/>
      </c>
      <c r="AI279" s="80" t="str">
        <f>IF(AND(OR(LEFT(TH!O279,2)="15",LEFT(TH!P279,2)="15"),'152-CT'!$J$8=TH!F279),"x","")</f>
        <v/>
      </c>
      <c r="AJ279" s="80" t="str">
        <f>IF(AND(OR(LEFT(TH!O279,2)="15",LEFT(TH!P279,2)="15"),'THE KHO'!$E$7=TH!F279),"x","")</f>
        <v/>
      </c>
      <c r="AK279" s="80" t="str">
        <f>IF(AND(O279="1521",MONTH(C279)='BK NL'!$M$11),"x","")</f>
        <v/>
      </c>
      <c r="AM279" s="352">
        <v>1</v>
      </c>
    </row>
    <row r="280" spans="1:39" s="1007" customFormat="1" ht="15.75" customHeight="1">
      <c r="A280" s="362" t="str">
        <f>IF(B280&lt;&gt;"",IF(AND(B280&gt;=_TM1,B280&lt;=_TM2,OR(TH!O280="1111",TH!P280="1111")),TH!D280,""),"")</f>
        <v>C16</v>
      </c>
      <c r="B280" s="63">
        <f t="shared" si="21"/>
        <v>4</v>
      </c>
      <c r="C280" s="337">
        <f t="shared" ref="C280:C309" si="23">E280</f>
        <v>42480</v>
      </c>
      <c r="D280" s="337" t="s">
        <v>77</v>
      </c>
      <c r="E280" s="337">
        <v>42480</v>
      </c>
      <c r="F280" s="338" t="s">
        <v>899</v>
      </c>
      <c r="G280" s="351" t="s">
        <v>893</v>
      </c>
      <c r="H280" s="339" t="s">
        <v>161</v>
      </c>
      <c r="I280" s="477"/>
      <c r="J280" s="477"/>
      <c r="K280" s="470"/>
      <c r="L280" s="477"/>
      <c r="M280" s="65">
        <f>65000+210000+130634+219164</f>
        <v>624798</v>
      </c>
      <c r="N280" s="65"/>
      <c r="O280" s="340" t="s">
        <v>135</v>
      </c>
      <c r="P280" s="340" t="s">
        <v>97</v>
      </c>
      <c r="Q280" s="66" t="str">
        <f>IF(AND('331-CT'!$E$7=TH!H280,OR(O280="331",P280="331")),"x","")</f>
        <v/>
      </c>
      <c r="R280" s="66" t="str">
        <f>IF(AND($B280&gt;='111'!$N$11,$B280&lt;='111'!$O$11,OR($O280=$R$7,$P280=$R$7)),"x","")</f>
        <v/>
      </c>
      <c r="S280" s="66" t="str">
        <f>IF(AND($O280=$R$7,$B280&lt;'111'!$N$11),"x","")</f>
        <v/>
      </c>
      <c r="T280" s="66" t="str">
        <f>IF(AND($P280=$R$7,$B280&lt;'111'!$N$11),"x","")</f>
        <v>x</v>
      </c>
      <c r="U280" s="66" t="str">
        <f>IF(AND($B280&gt;='112'!$M$9,$B280&lt;='112'!$N$9,OR($O280='112'!$I$6,$P280='112'!$I$6)),"x","")</f>
        <v/>
      </c>
      <c r="V280" s="66" t="str">
        <f>IF(AND($O280='112'!$I$6,$B280&lt;'112'!$M$9),"x","")</f>
        <v/>
      </c>
      <c r="W280" s="66" t="str">
        <f>IF(AND($P280='112'!$I$6,$B280&lt;'112'!$M$9),"x","")</f>
        <v/>
      </c>
      <c r="X280" s="66" t="str">
        <f>IF(AND('131-CT'!$H$9=TH!H280,OR(O280="131",P280="131")),"x","")</f>
        <v/>
      </c>
      <c r="Y280" s="80" t="str">
        <f>IF(AND($B280&gt;='1331'!$I$9,$B280&lt;='1331'!$J$9,OR($O280=$Y$7,$P280=$Y$7)),"x","")</f>
        <v/>
      </c>
      <c r="Z280" s="80" t="str">
        <f>IF(AND($O280=$Y$7,$B280&lt;'1331'!$I$9),"x","")</f>
        <v/>
      </c>
      <c r="AA280" s="80" t="str">
        <f>IF(AND($P280=$Y$7,$B280&lt;'1331'!$I$9),"x","")</f>
        <v/>
      </c>
      <c r="AB280" s="80" t="str">
        <f>IF(AND($B280&gt;='1332'!$I$9,$B280&lt;='1332'!$I$9,OR($O280=$AB$7,$P280=$AB$7)),"x","")</f>
        <v/>
      </c>
      <c r="AC280" s="80" t="str">
        <f>IF(AND($O280=$AB$7,$B280&lt;'1332'!$I$9),"x","")</f>
        <v/>
      </c>
      <c r="AD280" s="80" t="str">
        <f>IF(AND($P280=$AB$7,$B280&lt;'1332'!$I$9),"x","")</f>
        <v/>
      </c>
      <c r="AE280" s="80" t="str">
        <f>IF(AND('341-CT'!$H$9=H280,OR(LEFT(O280,3)=$AE$7,LEFT(P280,3)=$AE$7)),"x","")</f>
        <v/>
      </c>
      <c r="AF280" s="80" t="str">
        <f>IF(OR(TH!O280=TH!$AF$7,P280=TH!$AF$7),"x","")</f>
        <v/>
      </c>
      <c r="AG280" s="80"/>
      <c r="AH280" s="80" t="str">
        <f>IF(AND(B280&gt;='IN-NX'!$P$3,B280&lt;='IN-NX'!$Q$3,'IN-NX'!$D$7=D280,OR(LEFT(L280,2)="15",AND(LEFT(M280,2)&lt;&gt;"15",LEFT(M280,2)&lt;&gt;"33"))),"x","")</f>
        <v/>
      </c>
      <c r="AI280" s="80" t="str">
        <f>IF(AND(OR(LEFT(TH!O280,2)="15",LEFT(TH!P280,2)="15"),'152-CT'!$J$8=TH!F280),"x","")</f>
        <v/>
      </c>
      <c r="AJ280" s="80" t="str">
        <f>IF(AND(OR(LEFT(TH!O280,2)="15",LEFT(TH!P280,2)="15"),'THE KHO'!$E$7=TH!F280),"x","")</f>
        <v/>
      </c>
      <c r="AK280" s="80" t="str">
        <f>IF(AND(O280="1521",MONTH(C280)='BK NL'!$M$11),"x","")</f>
        <v/>
      </c>
      <c r="AL280" s="352"/>
      <c r="AM280" s="352"/>
    </row>
    <row r="281" spans="1:39" s="1007" customFormat="1" ht="15.75" customHeight="1">
      <c r="A281" s="362" t="str">
        <f>IF(B281&lt;&gt;"",IF(AND(B281&gt;=_TM1,B281&lt;=_TM2,OR(TH!O281="1111",TH!P281="1111")),TH!D281,""),"")</f>
        <v>C16</v>
      </c>
      <c r="B281" s="63">
        <f t="shared" si="21"/>
        <v>4</v>
      </c>
      <c r="C281" s="337">
        <f t="shared" si="23"/>
        <v>42480</v>
      </c>
      <c r="D281" s="337" t="s">
        <v>77</v>
      </c>
      <c r="E281" s="337">
        <v>42480</v>
      </c>
      <c r="F281" s="338" t="s">
        <v>900</v>
      </c>
      <c r="G281" s="351" t="s">
        <v>893</v>
      </c>
      <c r="H281" s="339" t="s">
        <v>161</v>
      </c>
      <c r="I281" s="476"/>
      <c r="J281" s="476"/>
      <c r="K281" s="469"/>
      <c r="L281" s="476"/>
      <c r="M281" s="88">
        <f>6500+21000+13063+21916</f>
        <v>62479</v>
      </c>
      <c r="N281" s="88"/>
      <c r="O281" s="340" t="s">
        <v>10</v>
      </c>
      <c r="P281" s="340" t="s">
        <v>97</v>
      </c>
      <c r="Q281" s="66" t="str">
        <f>IF(AND('331-CT'!$E$7=TH!H281,OR(O281="331",P281="331")),"x","")</f>
        <v/>
      </c>
      <c r="R281" s="66" t="str">
        <f>IF(AND($B281&gt;='111'!$N$11,$B281&lt;='111'!$O$11,OR($O281=$R$7,$P281=$R$7)),"x","")</f>
        <v/>
      </c>
      <c r="S281" s="66" t="str">
        <f>IF(AND($O281=$R$7,$B281&lt;'111'!$N$11),"x","")</f>
        <v/>
      </c>
      <c r="T281" s="66" t="str">
        <f>IF(AND($P281=$R$7,$B281&lt;'111'!$N$11),"x","")</f>
        <v>x</v>
      </c>
      <c r="U281" s="66" t="str">
        <f>IF(AND($B281&gt;='112'!$M$9,$B281&lt;='112'!$N$9,OR($O281='112'!$I$6,$P281='112'!$I$6)),"x","")</f>
        <v/>
      </c>
      <c r="V281" s="66" t="str">
        <f>IF(AND($O281='112'!$I$6,$B281&lt;'112'!$M$9),"x","")</f>
        <v/>
      </c>
      <c r="W281" s="66" t="str">
        <f>IF(AND($P281='112'!$I$6,$B281&lt;'112'!$M$9),"x","")</f>
        <v/>
      </c>
      <c r="X281" s="66" t="str">
        <f>IF(AND('131-CT'!$H$9=TH!H281,OR(O281="131",P281="131")),"x","")</f>
        <v/>
      </c>
      <c r="Y281" s="80" t="str">
        <f>IF(AND($B281&gt;='1331'!$I$9,$B281&lt;='1331'!$J$9,OR($O281=$Y$7,$P281=$Y$7)),"x","")</f>
        <v/>
      </c>
      <c r="Z281" s="80" t="str">
        <f>IF(AND($O281=$Y$7,$B281&lt;'1331'!$I$9),"x","")</f>
        <v>x</v>
      </c>
      <c r="AA281" s="80" t="str">
        <f>IF(AND($P281=$Y$7,$B281&lt;'1331'!$I$9),"x","")</f>
        <v/>
      </c>
      <c r="AB281" s="80" t="str">
        <f>IF(AND($B281&gt;='1332'!$I$9,$B281&lt;='1332'!$I$9,OR($O281=$AB$7,$P281=$AB$7)),"x","")</f>
        <v/>
      </c>
      <c r="AC281" s="80" t="str">
        <f>IF(AND($O281=$AB$7,$B281&lt;'1332'!$I$9),"x","")</f>
        <v/>
      </c>
      <c r="AD281" s="80" t="str">
        <f>IF(AND($P281=$AB$7,$B281&lt;'1332'!$I$9),"x","")</f>
        <v/>
      </c>
      <c r="AE281" s="80" t="str">
        <f>IF(AND('341-CT'!$H$9=H281,OR(LEFT(O281,3)=$AE$7,LEFT(P281,3)=$AE$7)),"x","")</f>
        <v/>
      </c>
      <c r="AF281" s="80" t="str">
        <f>IF(OR(TH!O281=TH!$AF$7,P281=TH!$AF$7),"x","")</f>
        <v/>
      </c>
      <c r="AG281" s="80"/>
      <c r="AH281" s="80" t="str">
        <f>IF(AND(B281&gt;='IN-NX'!$P$3,B281&lt;='IN-NX'!$Q$3,'IN-NX'!$D$7=D281,OR(LEFT(L281,2)="15",AND(LEFT(M281,2)&lt;&gt;"15",LEFT(M281,2)&lt;&gt;"33"))),"x","")</f>
        <v/>
      </c>
      <c r="AI281" s="80" t="str">
        <f>IF(AND(OR(LEFT(TH!O281,2)="15",LEFT(TH!P281,2)="15"),'152-CT'!$J$8=TH!F281),"x","")</f>
        <v/>
      </c>
      <c r="AJ281" s="80" t="str">
        <f>IF(AND(OR(LEFT(TH!O281,2)="15",LEFT(TH!P281,2)="15"),'THE KHO'!$E$7=TH!F281),"x","")</f>
        <v/>
      </c>
      <c r="AK281" s="80" t="str">
        <f>IF(AND(O281="1521",MONTH(C281)='BK NL'!$M$11),"x","")</f>
        <v/>
      </c>
      <c r="AL281" s="352"/>
      <c r="AM281" s="352"/>
    </row>
    <row r="282" spans="1:39" ht="15.75" customHeight="1">
      <c r="A282" s="362" t="str">
        <f>IF(B282&lt;&gt;"",IF(AND(B282&gt;=_TM1,B282&lt;=_TM2,OR(TH!O282="1111",TH!P282="1111")),TH!D282,""),"")</f>
        <v>C17</v>
      </c>
      <c r="B282" s="63">
        <f t="shared" si="21"/>
        <v>4</v>
      </c>
      <c r="C282" s="337">
        <f t="shared" si="23"/>
        <v>42480</v>
      </c>
      <c r="D282" s="337" t="s">
        <v>78</v>
      </c>
      <c r="E282" s="337">
        <v>42480</v>
      </c>
      <c r="F282" s="338" t="s">
        <v>800</v>
      </c>
      <c r="G282" s="351" t="s">
        <v>894</v>
      </c>
      <c r="H282" s="7" t="s">
        <v>49</v>
      </c>
      <c r="I282" s="476"/>
      <c r="J282" s="476"/>
      <c r="K282" s="469"/>
      <c r="L282" s="476"/>
      <c r="M282" s="65">
        <v>6523636</v>
      </c>
      <c r="N282" s="65"/>
      <c r="O282" s="340" t="s">
        <v>135</v>
      </c>
      <c r="P282" s="340" t="s">
        <v>97</v>
      </c>
      <c r="Q282" s="66" t="str">
        <f>IF(AND('331-CT'!$E$7=TH!H282,OR(O282="331",P282="331")),"x","")</f>
        <v/>
      </c>
      <c r="R282" s="66" t="str">
        <f>IF(AND($B282&gt;='111'!$N$11,$B282&lt;='111'!$O$11,OR($O282=$R$7,$P282=$R$7)),"x","")</f>
        <v/>
      </c>
      <c r="S282" s="66" t="str">
        <f>IF(AND($O282=$R$7,$B282&lt;'111'!$N$11),"x","")</f>
        <v/>
      </c>
      <c r="T282" s="66" t="str">
        <f>IF(AND($P282=$R$7,$B282&lt;'111'!$N$11),"x","")</f>
        <v>x</v>
      </c>
      <c r="U282" s="66" t="str">
        <f>IF(AND($B282&gt;='112'!$M$9,$B282&lt;='112'!$N$9,OR($O282='112'!$I$6,$P282='112'!$I$6)),"x","")</f>
        <v/>
      </c>
      <c r="V282" s="66" t="str">
        <f>IF(AND($O282='112'!$I$6,$B282&lt;'112'!$M$9),"x","")</f>
        <v/>
      </c>
      <c r="W282" s="66" t="str">
        <f>IF(AND($P282='112'!$I$6,$B282&lt;'112'!$M$9),"x","")</f>
        <v/>
      </c>
      <c r="X282" s="66" t="str">
        <f>IF(AND('131-CT'!$H$9=TH!H282,OR(O282="131",P282="131")),"x","")</f>
        <v/>
      </c>
      <c r="Y282" s="80" t="str">
        <f>IF(AND($B282&gt;='1331'!$I$9,$B282&lt;='1331'!$J$9,OR($O282=$Y$7,$P282=$Y$7)),"x","")</f>
        <v/>
      </c>
      <c r="Z282" s="80" t="str">
        <f>IF(AND($O282=$Y$7,$B282&lt;'1331'!$I$9),"x","")</f>
        <v/>
      </c>
      <c r="AA282" s="80" t="str">
        <f>IF(AND($P282=$Y$7,$B282&lt;'1331'!$I$9),"x","")</f>
        <v/>
      </c>
      <c r="AB282" s="80" t="str">
        <f>IF(AND($B282&gt;='1332'!$I$9,$B282&lt;='1332'!$I$9,OR($O282=$AB$7,$P282=$AB$7)),"x","")</f>
        <v/>
      </c>
      <c r="AC282" s="80" t="str">
        <f>IF(AND($O282=$AB$7,$B282&lt;'1332'!$I$9),"x","")</f>
        <v/>
      </c>
      <c r="AD282" s="80" t="str">
        <f>IF(AND($P282=$AB$7,$B282&lt;'1332'!$I$9),"x","")</f>
        <v/>
      </c>
      <c r="AE282" s="80" t="str">
        <f>IF(AND('341-CT'!$H$9=H282,OR(LEFT(O282,3)=$AE$7,LEFT(P282,3)=$AE$7)),"x","")</f>
        <v/>
      </c>
      <c r="AF282" s="80" t="str">
        <f>IF(OR(TH!O282=TH!$AF$7,P282=TH!$AF$7),"x","")</f>
        <v/>
      </c>
      <c r="AG282" s="80"/>
      <c r="AH282" s="80" t="str">
        <f>IF(AND(B282&gt;='IN-NX'!$P$3,B282&lt;='IN-NX'!$Q$3,'IN-NX'!$D$7=D282,OR(LEFT(L282,2)="15",AND(LEFT(M282,2)&lt;&gt;"15",LEFT(M282,2)&lt;&gt;"33"))),"x","")</f>
        <v/>
      </c>
      <c r="AI282" s="80" t="str">
        <f>IF(AND(OR(LEFT(TH!O282,2)="15",LEFT(TH!P282,2)="15"),'152-CT'!$J$8=TH!F282),"x","")</f>
        <v/>
      </c>
      <c r="AJ282" s="80" t="str">
        <f>IF(AND(OR(LEFT(TH!O282,2)="15",LEFT(TH!P282,2)="15"),'THE KHO'!$E$7=TH!F282),"x","")</f>
        <v/>
      </c>
      <c r="AK282" s="80" t="str">
        <f>IF(AND(O282="1521",MONTH(C282)='BK NL'!$M$11),"x","")</f>
        <v/>
      </c>
      <c r="AL282" s="1007"/>
      <c r="AM282" s="1007">
        <v>1</v>
      </c>
    </row>
    <row r="283" spans="1:39" ht="15.75" customHeight="1">
      <c r="A283" s="362" t="str">
        <f>IF(B283&lt;&gt;"",IF(AND(B283&gt;=_TM1,B283&lt;=_TM2,OR(TH!O283="1111",TH!P283="1111")),TH!D283,""),"")</f>
        <v>C17</v>
      </c>
      <c r="B283" s="63">
        <f t="shared" si="21"/>
        <v>4</v>
      </c>
      <c r="C283" s="337">
        <f t="shared" si="23"/>
        <v>42480</v>
      </c>
      <c r="D283" s="337" t="s">
        <v>78</v>
      </c>
      <c r="E283" s="337">
        <v>42480</v>
      </c>
      <c r="F283" s="338" t="s">
        <v>802</v>
      </c>
      <c r="G283" s="351" t="s">
        <v>894</v>
      </c>
      <c r="H283" s="7" t="s">
        <v>49</v>
      </c>
      <c r="I283" s="476"/>
      <c r="J283" s="476"/>
      <c r="K283" s="469"/>
      <c r="L283" s="476"/>
      <c r="M283" s="88">
        <v>652364</v>
      </c>
      <c r="N283" s="88"/>
      <c r="O283" s="340" t="s">
        <v>10</v>
      </c>
      <c r="P283" s="340" t="s">
        <v>97</v>
      </c>
      <c r="Q283" s="66" t="str">
        <f>IF(AND('331-CT'!$E$7=TH!H283,OR(O283="331",P283="331")),"x","")</f>
        <v/>
      </c>
      <c r="R283" s="66" t="str">
        <f>IF(AND($B283&gt;='111'!$N$11,$B283&lt;='111'!$O$11,OR($O283=$R$7,$P283=$R$7)),"x","")</f>
        <v/>
      </c>
      <c r="S283" s="66" t="str">
        <f>IF(AND($O283=$R$7,$B283&lt;'111'!$N$11),"x","")</f>
        <v/>
      </c>
      <c r="T283" s="66" t="str">
        <f>IF(AND($P283=$R$7,$B283&lt;'111'!$N$11),"x","")</f>
        <v>x</v>
      </c>
      <c r="U283" s="66" t="str">
        <f>IF(AND($B283&gt;='112'!$M$9,$B283&lt;='112'!$N$9,OR($O283='112'!$I$6,$P283='112'!$I$6)),"x","")</f>
        <v/>
      </c>
      <c r="V283" s="66" t="str">
        <f>IF(AND($O283='112'!$I$6,$B283&lt;'112'!$M$9),"x","")</f>
        <v/>
      </c>
      <c r="W283" s="66" t="str">
        <f>IF(AND($P283='112'!$I$6,$B283&lt;'112'!$M$9),"x","")</f>
        <v/>
      </c>
      <c r="X283" s="66" t="str">
        <f>IF(AND('131-CT'!$H$9=TH!H283,OR(O283="131",P283="131")),"x","")</f>
        <v/>
      </c>
      <c r="Y283" s="80" t="str">
        <f>IF(AND($B283&gt;='1331'!$I$9,$B283&lt;='1331'!$J$9,OR($O283=$Y$7,$P283=$Y$7)),"x","")</f>
        <v/>
      </c>
      <c r="Z283" s="80" t="str">
        <f>IF(AND($O283=$Y$7,$B283&lt;'1331'!$I$9),"x","")</f>
        <v>x</v>
      </c>
      <c r="AA283" s="80" t="str">
        <f>IF(AND($P283=$Y$7,$B283&lt;'1331'!$I$9),"x","")</f>
        <v/>
      </c>
      <c r="AB283" s="80" t="str">
        <f>IF(AND($B283&gt;='1332'!$I$9,$B283&lt;='1332'!$I$9,OR($O283=$AB$7,$P283=$AB$7)),"x","")</f>
        <v/>
      </c>
      <c r="AC283" s="80" t="str">
        <f>IF(AND($O283=$AB$7,$B283&lt;'1332'!$I$9),"x","")</f>
        <v/>
      </c>
      <c r="AD283" s="80" t="str">
        <f>IF(AND($P283=$AB$7,$B283&lt;'1332'!$I$9),"x","")</f>
        <v/>
      </c>
      <c r="AE283" s="80" t="str">
        <f>IF(AND('341-CT'!$H$9=H283,OR(LEFT(O283,3)=$AE$7,LEFT(P283,3)=$AE$7)),"x","")</f>
        <v/>
      </c>
      <c r="AF283" s="80" t="str">
        <f>IF(OR(TH!O283=TH!$AF$7,P283=TH!$AF$7),"x","")</f>
        <v/>
      </c>
      <c r="AG283" s="80"/>
      <c r="AH283" s="80" t="str">
        <f>IF(AND(B283&gt;='IN-NX'!$P$3,B283&lt;='IN-NX'!$Q$3,'IN-NX'!$D$7=D283,OR(LEFT(L283,2)="15",AND(LEFT(M283,2)&lt;&gt;"15",LEFT(M283,2)&lt;&gt;"33"))),"x","")</f>
        <v/>
      </c>
      <c r="AI283" s="80" t="str">
        <f>IF(AND(OR(LEFT(TH!O283,2)="15",LEFT(TH!P283,2)="15"),'152-CT'!$J$8=TH!F283),"x","")</f>
        <v/>
      </c>
      <c r="AJ283" s="80" t="str">
        <f>IF(AND(OR(LEFT(TH!O283,2)="15",LEFT(TH!P283,2)="15"),'THE KHO'!$E$7=TH!F283),"x","")</f>
        <v/>
      </c>
      <c r="AK283" s="80" t="str">
        <f>IF(AND(O283="1521",MONTH(C283)='BK NL'!$M$11),"x","")</f>
        <v/>
      </c>
      <c r="AL283" s="1007"/>
      <c r="AM283" s="1007">
        <v>1</v>
      </c>
    </row>
    <row r="284" spans="1:39" ht="15.75" customHeight="1">
      <c r="A284" s="362" t="str">
        <f>IF(B284&lt;&gt;"",IF(AND(B284&gt;=_TM1,B284&lt;=_TM2,OR(TH!O284="1111",TH!P284="1111")),TH!D284,""),"")</f>
        <v>C18</v>
      </c>
      <c r="B284" s="63">
        <f t="shared" ref="B284:B315" si="24">IF(C284&lt;&gt;"",MONTH(C284),"")</f>
        <v>4</v>
      </c>
      <c r="C284" s="337">
        <f t="shared" si="23"/>
        <v>42481</v>
      </c>
      <c r="D284" s="337" t="s">
        <v>79</v>
      </c>
      <c r="E284" s="337">
        <v>42481</v>
      </c>
      <c r="F284" s="338" t="s">
        <v>437</v>
      </c>
      <c r="G284" s="1022" t="s">
        <v>798</v>
      </c>
      <c r="H284" s="339" t="s">
        <v>429</v>
      </c>
      <c r="I284" s="476"/>
      <c r="J284" s="476"/>
      <c r="K284" s="469"/>
      <c r="L284" s="476"/>
      <c r="M284" s="65">
        <v>40000000</v>
      </c>
      <c r="N284" s="65"/>
      <c r="O284" s="340" t="s">
        <v>24</v>
      </c>
      <c r="P284" s="340" t="s">
        <v>97</v>
      </c>
      <c r="Q284" s="66" t="str">
        <f>IF(AND('331-CT'!$E$7=TH!H284,OR(O284="331",P284="331")),"x","")</f>
        <v/>
      </c>
      <c r="R284" s="66" t="str">
        <f>IF(AND($B284&gt;='111'!$N$11,$B284&lt;='111'!$O$11,OR($O284=$R$7,$P284=$R$7)),"x","")</f>
        <v/>
      </c>
      <c r="S284" s="66" t="str">
        <f>IF(AND($O284=$R$7,$B284&lt;'111'!$N$11),"x","")</f>
        <v/>
      </c>
      <c r="T284" s="66" t="str">
        <f>IF(AND($P284=$R$7,$B284&lt;'111'!$N$11),"x","")</f>
        <v>x</v>
      </c>
      <c r="U284" s="66" t="str">
        <f>IF(AND($B284&gt;='112'!$M$9,$B284&lt;='112'!$N$9,OR($O284='112'!$I$6,$P284='112'!$I$6)),"x","")</f>
        <v/>
      </c>
      <c r="V284" s="66" t="str">
        <f>IF(AND($O284='112'!$I$6,$B284&lt;'112'!$M$9),"x","")</f>
        <v/>
      </c>
      <c r="W284" s="66" t="str">
        <f>IF(AND($P284='112'!$I$6,$B284&lt;'112'!$M$9),"x","")</f>
        <v/>
      </c>
      <c r="X284" s="66" t="str">
        <f>IF(AND('131-CT'!$H$9=TH!H284,OR(O284="131",P284="131")),"x","")</f>
        <v/>
      </c>
      <c r="Y284" s="80" t="str">
        <f>IF(AND($B284&gt;='1331'!$I$9,$B284&lt;='1331'!$J$9,OR($O284=$Y$7,$P284=$Y$7)),"x","")</f>
        <v/>
      </c>
      <c r="Z284" s="80" t="str">
        <f>IF(AND($O284=$Y$7,$B284&lt;'1331'!$I$9),"x","")</f>
        <v/>
      </c>
      <c r="AA284" s="80" t="str">
        <f>IF(AND($P284=$Y$7,$B284&lt;'1331'!$I$9),"x","")</f>
        <v/>
      </c>
      <c r="AB284" s="80" t="str">
        <f>IF(AND($B284&gt;='1332'!$I$9,$B284&lt;='1332'!$I$9,OR($O284=$AB$7,$P284=$AB$7)),"x","")</f>
        <v/>
      </c>
      <c r="AC284" s="80" t="str">
        <f>IF(AND($O284=$AB$7,$B284&lt;'1332'!$I$9),"x","")</f>
        <v/>
      </c>
      <c r="AD284" s="80" t="str">
        <f>IF(AND($P284=$AB$7,$B284&lt;'1332'!$I$9),"x","")</f>
        <v/>
      </c>
      <c r="AE284" s="80" t="str">
        <f>IF(AND('341-CT'!$H$9=H284,OR(LEFT(O284,3)=$AE$7,LEFT(P284,3)=$AE$7)),"x","")</f>
        <v/>
      </c>
      <c r="AF284" s="80" t="str">
        <f>IF(OR(TH!O284=TH!$AF$7,P284=TH!$AF$7),"x","")</f>
        <v>x</v>
      </c>
      <c r="AG284" s="80"/>
      <c r="AH284" s="80" t="str">
        <f>IF(AND(B284&gt;='IN-NX'!$P$3,B284&lt;='IN-NX'!$Q$3,'IN-NX'!$D$7=D284,OR(LEFT(L284,2)="15",AND(LEFT(M284,2)&lt;&gt;"15",LEFT(M284,2)&lt;&gt;"33"))),"x","")</f>
        <v/>
      </c>
      <c r="AI284" s="80" t="str">
        <f>IF(AND(OR(LEFT(TH!O284,2)="15",LEFT(TH!P284,2)="15"),'152-CT'!$J$8=TH!F284),"x","")</f>
        <v/>
      </c>
      <c r="AJ284" s="80" t="str">
        <f>IF(AND(OR(LEFT(TH!O284,2)="15",LEFT(TH!P284,2)="15"),'THE KHO'!$E$7=TH!F284),"x","")</f>
        <v/>
      </c>
      <c r="AK284" s="80" t="str">
        <f>IF(AND(O284="1521",MONTH(C284)='BK NL'!$M$11),"x","")</f>
        <v/>
      </c>
      <c r="AM284" s="1007">
        <v>1</v>
      </c>
    </row>
    <row r="285" spans="1:39" ht="15.75" customHeight="1">
      <c r="A285" s="362" t="str">
        <f>IF(B285&lt;&gt;"",IF(AND(B285&gt;=_TM1,B285&lt;=_TM2,OR(TH!O285="1111",TH!P285="1111")),TH!D285,""),"")</f>
        <v>C19</v>
      </c>
      <c r="B285" s="63">
        <f t="shared" si="24"/>
        <v>4</v>
      </c>
      <c r="C285" s="337">
        <f t="shared" si="23"/>
        <v>42481</v>
      </c>
      <c r="D285" s="337" t="s">
        <v>80</v>
      </c>
      <c r="E285" s="337">
        <v>42481</v>
      </c>
      <c r="F285" s="338" t="s">
        <v>410</v>
      </c>
      <c r="G285" s="1022" t="s">
        <v>798</v>
      </c>
      <c r="H285" s="339" t="s">
        <v>160</v>
      </c>
      <c r="I285" s="476"/>
      <c r="J285" s="476"/>
      <c r="K285" s="469"/>
      <c r="L285" s="476"/>
      <c r="M285" s="65">
        <v>130000000</v>
      </c>
      <c r="N285" s="65"/>
      <c r="O285" s="340" t="s">
        <v>31</v>
      </c>
      <c r="P285" s="340" t="s">
        <v>97</v>
      </c>
      <c r="Q285" s="66" t="str">
        <f>IF(AND('331-CT'!$E$7=TH!H285,OR(O285="331",P285="331")),"x","")</f>
        <v/>
      </c>
      <c r="R285" s="66" t="str">
        <f>IF(AND($B285&gt;='111'!$N$11,$B285&lt;='111'!$O$11,OR($O285=$R$7,$P285=$R$7)),"x","")</f>
        <v/>
      </c>
      <c r="S285" s="66" t="str">
        <f>IF(AND($O285=$R$7,$B285&lt;'111'!$N$11),"x","")</f>
        <v/>
      </c>
      <c r="T285" s="66" t="str">
        <f>IF(AND($P285=$R$7,$B285&lt;'111'!$N$11),"x","")</f>
        <v>x</v>
      </c>
      <c r="U285" s="66" t="str">
        <f>IF(AND($B285&gt;='112'!$M$9,$B285&lt;='112'!$N$9,OR($O285='112'!$I$6,$P285='112'!$I$6)),"x","")</f>
        <v/>
      </c>
      <c r="V285" s="66" t="str">
        <f>IF(AND($O285='112'!$I$6,$B285&lt;'112'!$M$9),"x","")</f>
        <v>x</v>
      </c>
      <c r="W285" s="66" t="str">
        <f>IF(AND($P285='112'!$I$6,$B285&lt;'112'!$M$9),"x","")</f>
        <v/>
      </c>
      <c r="X285" s="66" t="str">
        <f>IF(AND('131-CT'!$H$9=TH!H285,OR(O285="131",P285="131")),"x","")</f>
        <v/>
      </c>
      <c r="Y285" s="80" t="str">
        <f>IF(AND($B285&gt;='1331'!$I$9,$B285&lt;='1331'!$J$9,OR($O285=$Y$7,$P285=$Y$7)),"x","")</f>
        <v/>
      </c>
      <c r="Z285" s="80" t="str">
        <f>IF(AND($O285=$Y$7,$B285&lt;'1331'!$I$9),"x","")</f>
        <v/>
      </c>
      <c r="AA285" s="80" t="str">
        <f>IF(AND($P285=$Y$7,$B285&lt;'1331'!$I$9),"x","")</f>
        <v/>
      </c>
      <c r="AB285" s="80" t="str">
        <f>IF(AND($B285&gt;='1332'!$I$9,$B285&lt;='1332'!$I$9,OR($O285=$AB$7,$P285=$AB$7)),"x","")</f>
        <v/>
      </c>
      <c r="AC285" s="80" t="str">
        <f>IF(AND($O285=$AB$7,$B285&lt;'1332'!$I$9),"x","")</f>
        <v/>
      </c>
      <c r="AD285" s="80" t="str">
        <f>IF(AND($P285=$AB$7,$B285&lt;'1332'!$I$9),"x","")</f>
        <v/>
      </c>
      <c r="AE285" s="80" t="str">
        <f>IF(AND('341-CT'!$H$9=H285,OR(LEFT(O285,3)=$AE$7,LEFT(P285,3)=$AE$7)),"x","")</f>
        <v/>
      </c>
      <c r="AF285" s="80" t="str">
        <f>IF(OR(TH!O285=TH!$AF$7,P285=TH!$AF$7),"x","")</f>
        <v/>
      </c>
      <c r="AG285" s="80"/>
      <c r="AH285" s="80" t="str">
        <f>IF(AND(B285&gt;='IN-NX'!$P$3,B285&lt;='IN-NX'!$Q$3,'IN-NX'!$D$7=D285,OR(LEFT(L285,2)="15",AND(LEFT(M285,2)&lt;&gt;"15",LEFT(M285,2)&lt;&gt;"33"))),"x","")</f>
        <v/>
      </c>
      <c r="AI285" s="80" t="str">
        <f>IF(AND(OR(LEFT(TH!O285,2)="15",LEFT(TH!P285,2)="15"),'152-CT'!$J$8=TH!F285),"x","")</f>
        <v/>
      </c>
      <c r="AJ285" s="80" t="str">
        <f>IF(AND(OR(LEFT(TH!O285,2)="15",LEFT(TH!P285,2)="15"),'THE KHO'!$E$7=TH!F285),"x","")</f>
        <v/>
      </c>
      <c r="AK285" s="80" t="str">
        <f>IF(AND(O285="1521",MONTH(C285)='BK NL'!$M$11),"x","")</f>
        <v/>
      </c>
      <c r="AM285" s="1007">
        <v>1</v>
      </c>
    </row>
    <row r="286" spans="1:39" ht="15.75" customHeight="1">
      <c r="A286" s="362" t="str">
        <f>IF(B286&lt;&gt;"",IF(AND(B286&gt;=_TM1,B286&lt;=_TM2,OR(TH!O286="1111",TH!P286="1111")),TH!D286,""),"")</f>
        <v>C19</v>
      </c>
      <c r="B286" s="63">
        <f t="shared" si="24"/>
        <v>4</v>
      </c>
      <c r="C286" s="337">
        <f t="shared" si="23"/>
        <v>42481</v>
      </c>
      <c r="D286" s="337" t="s">
        <v>80</v>
      </c>
      <c r="E286" s="337">
        <v>42481</v>
      </c>
      <c r="F286" s="338" t="s">
        <v>410</v>
      </c>
      <c r="G286" s="1022" t="s">
        <v>798</v>
      </c>
      <c r="H286" s="339" t="s">
        <v>160</v>
      </c>
      <c r="I286" s="476"/>
      <c r="J286" s="476"/>
      <c r="K286" s="469"/>
      <c r="L286" s="476"/>
      <c r="M286" s="65">
        <v>60000000</v>
      </c>
      <c r="N286" s="65"/>
      <c r="O286" s="340" t="s">
        <v>31</v>
      </c>
      <c r="P286" s="340" t="s">
        <v>97</v>
      </c>
      <c r="Q286" s="66" t="str">
        <f>IF(AND('331-CT'!$E$7=TH!H286,OR(O286="331",P286="331")),"x","")</f>
        <v/>
      </c>
      <c r="R286" s="66" t="str">
        <f>IF(AND($B286&gt;='111'!$N$11,$B286&lt;='111'!$O$11,OR($O286=$R$7,$P286=$R$7)),"x","")</f>
        <v/>
      </c>
      <c r="S286" s="66" t="str">
        <f>IF(AND($O286=$R$7,$B286&lt;'111'!$N$11),"x","")</f>
        <v/>
      </c>
      <c r="T286" s="66" t="str">
        <f>IF(AND($P286=$R$7,$B286&lt;'111'!$N$11),"x","")</f>
        <v>x</v>
      </c>
      <c r="U286" s="66" t="str">
        <f>IF(AND($B286&gt;='112'!$M$9,$B286&lt;='112'!$N$9,OR($O286='112'!$I$6,$P286='112'!$I$6)),"x","")</f>
        <v/>
      </c>
      <c r="V286" s="66" t="str">
        <f>IF(AND($O286='112'!$I$6,$B286&lt;'112'!$M$9),"x","")</f>
        <v>x</v>
      </c>
      <c r="W286" s="66" t="str">
        <f>IF(AND($P286='112'!$I$6,$B286&lt;'112'!$M$9),"x","")</f>
        <v/>
      </c>
      <c r="X286" s="66" t="str">
        <f>IF(AND('131-CT'!$H$9=TH!H286,OR(O286="131",P286="131")),"x","")</f>
        <v/>
      </c>
      <c r="Y286" s="80" t="str">
        <f>IF(AND($B286&gt;='1331'!$I$9,$B286&lt;='1331'!$J$9,OR($O286=$Y$7,$P286=$Y$7)),"x","")</f>
        <v/>
      </c>
      <c r="Z286" s="80" t="str">
        <f>IF(AND($O286=$Y$7,$B286&lt;'1331'!$I$9),"x","")</f>
        <v/>
      </c>
      <c r="AA286" s="80" t="str">
        <f>IF(AND($P286=$Y$7,$B286&lt;'1331'!$I$9),"x","")</f>
        <v/>
      </c>
      <c r="AB286" s="80" t="str">
        <f>IF(AND($B286&gt;='1332'!$I$9,$B286&lt;='1332'!$I$9,OR($O286=$AB$7,$P286=$AB$7)),"x","")</f>
        <v/>
      </c>
      <c r="AC286" s="80" t="str">
        <f>IF(AND($O286=$AB$7,$B286&lt;'1332'!$I$9),"x","")</f>
        <v/>
      </c>
      <c r="AD286" s="80" t="str">
        <f>IF(AND($P286=$AB$7,$B286&lt;'1332'!$I$9),"x","")</f>
        <v/>
      </c>
      <c r="AE286" s="80" t="str">
        <f>IF(AND('341-CT'!$H$9=H286,OR(LEFT(O286,3)=$AE$7,LEFT(P286,3)=$AE$7)),"x","")</f>
        <v/>
      </c>
      <c r="AF286" s="80" t="str">
        <f>IF(OR(TH!O286=TH!$AF$7,P286=TH!$AF$7),"x","")</f>
        <v/>
      </c>
      <c r="AG286" s="80"/>
      <c r="AH286" s="80" t="str">
        <f>IF(AND(B286&gt;='IN-NX'!$P$3,B286&lt;='IN-NX'!$Q$3,'IN-NX'!$D$7=D286,OR(LEFT(L286,2)="15",AND(LEFT(M286,2)&lt;&gt;"15",LEFT(M286,2)&lt;&gt;"33"))),"x","")</f>
        <v/>
      </c>
      <c r="AI286" s="80" t="str">
        <f>IF(AND(OR(LEFT(TH!O286,2)="15",LEFT(TH!P286,2)="15"),'152-CT'!$J$8=TH!F286),"x","")</f>
        <v/>
      </c>
      <c r="AJ286" s="80" t="str">
        <f>IF(AND(OR(LEFT(TH!O286,2)="15",LEFT(TH!P286,2)="15"),'THE KHO'!$E$7=TH!F286),"x","")</f>
        <v/>
      </c>
      <c r="AK286" s="80" t="str">
        <f>IF(AND(O286="1521",MONTH(C286)='BK NL'!$M$11),"x","")</f>
        <v/>
      </c>
    </row>
    <row r="287" spans="1:39" ht="15.75" customHeight="1">
      <c r="A287" s="362" t="str">
        <f>IF(B287&lt;&gt;"",IF(AND(B287&gt;=_TM1,B287&lt;=_TM2,OR(TH!O287="1111",TH!P287="1111")),TH!D287,""),"")</f>
        <v/>
      </c>
      <c r="B287" s="63">
        <f t="shared" si="24"/>
        <v>4</v>
      </c>
      <c r="C287" s="337">
        <f t="shared" si="23"/>
        <v>42481</v>
      </c>
      <c r="D287" s="337" t="s">
        <v>12</v>
      </c>
      <c r="E287" s="337">
        <v>42481</v>
      </c>
      <c r="F287" s="338" t="s">
        <v>788</v>
      </c>
      <c r="G287" s="1022" t="s">
        <v>798</v>
      </c>
      <c r="H287" s="339" t="s">
        <v>429</v>
      </c>
      <c r="I287" s="476"/>
      <c r="J287" s="476"/>
      <c r="K287" s="469"/>
      <c r="L287" s="476"/>
      <c r="M287" s="65">
        <v>40000000</v>
      </c>
      <c r="N287" s="65"/>
      <c r="O287" s="340" t="s">
        <v>31</v>
      </c>
      <c r="P287" s="340" t="s">
        <v>24</v>
      </c>
      <c r="Q287" s="66" t="str">
        <f>IF(AND('331-CT'!$E$7=TH!H287,OR(O287="331",P287="331")),"x","")</f>
        <v/>
      </c>
      <c r="R287" s="66" t="str">
        <f>IF(AND($B287&gt;='111'!$N$11,$B287&lt;='111'!$O$11,OR($O287=$R$7,$P287=$R$7)),"x","")</f>
        <v/>
      </c>
      <c r="S287" s="66" t="str">
        <f>IF(AND($O287=$R$7,$B287&lt;'111'!$N$11),"x","")</f>
        <v/>
      </c>
      <c r="T287" s="66" t="str">
        <f>IF(AND($P287=$R$7,$B287&lt;'111'!$N$11),"x","")</f>
        <v/>
      </c>
      <c r="U287" s="66" t="str">
        <f>IF(AND($B287&gt;='112'!$M$9,$B287&lt;='112'!$N$9,OR($O287='112'!$I$6,$P287='112'!$I$6)),"x","")</f>
        <v/>
      </c>
      <c r="V287" s="66" t="str">
        <f>IF(AND($O287='112'!$I$6,$B287&lt;'112'!$M$9),"x","")</f>
        <v>x</v>
      </c>
      <c r="W287" s="66" t="str">
        <f>IF(AND($P287='112'!$I$6,$B287&lt;'112'!$M$9),"x","")</f>
        <v/>
      </c>
      <c r="X287" s="66" t="str">
        <f>IF(AND('131-CT'!$H$9=TH!H287,OR(O287="131",P287="131")),"x","")</f>
        <v/>
      </c>
      <c r="Y287" s="80" t="str">
        <f>IF(AND($B287&gt;='1331'!$I$9,$B287&lt;='1331'!$J$9,OR($O287=$Y$7,$P287=$Y$7)),"x","")</f>
        <v/>
      </c>
      <c r="Z287" s="80" t="str">
        <f>IF(AND($O287=$Y$7,$B287&lt;'1331'!$I$9),"x","")</f>
        <v/>
      </c>
      <c r="AA287" s="80" t="str">
        <f>IF(AND($P287=$Y$7,$B287&lt;'1331'!$I$9),"x","")</f>
        <v/>
      </c>
      <c r="AB287" s="80" t="str">
        <f>IF(AND($B287&gt;='1332'!$I$9,$B287&lt;='1332'!$I$9,OR($O287=$AB$7,$P287=$AB$7)),"x","")</f>
        <v/>
      </c>
      <c r="AC287" s="80" t="str">
        <f>IF(AND($O287=$AB$7,$B287&lt;'1332'!$I$9),"x","")</f>
        <v/>
      </c>
      <c r="AD287" s="80" t="str">
        <f>IF(AND($P287=$AB$7,$B287&lt;'1332'!$I$9),"x","")</f>
        <v/>
      </c>
      <c r="AE287" s="80" t="str">
        <f>IF(AND('341-CT'!$H$9=H287,OR(LEFT(O287,3)=$AE$7,LEFT(P287,3)=$AE$7)),"x","")</f>
        <v/>
      </c>
      <c r="AF287" s="80" t="str">
        <f>IF(OR(TH!O287=TH!$AF$7,P287=TH!$AF$7),"x","")</f>
        <v>x</v>
      </c>
      <c r="AG287" s="80"/>
      <c r="AH287" s="80" t="str">
        <f>IF(AND(B287&gt;='IN-NX'!$P$3,B287&lt;='IN-NX'!$Q$3,'IN-NX'!$D$7=D287,OR(LEFT(L287,2)="15",AND(LEFT(M287,2)&lt;&gt;"15",LEFT(M287,2)&lt;&gt;"33"))),"x","")</f>
        <v/>
      </c>
      <c r="AI287" s="80" t="str">
        <f>IF(AND(OR(LEFT(TH!O287,2)="15",LEFT(TH!P287,2)="15"),'152-CT'!$J$8=TH!F287),"x","")</f>
        <v/>
      </c>
      <c r="AJ287" s="80" t="str">
        <f>IF(AND(OR(LEFT(TH!O287,2)="15",LEFT(TH!P287,2)="15"),'THE KHO'!$E$7=TH!F287),"x","")</f>
        <v/>
      </c>
      <c r="AK287" s="80" t="str">
        <f>IF(AND(O287="1521",MONTH(C287)='BK NL'!$M$11),"x","")</f>
        <v/>
      </c>
    </row>
    <row r="288" spans="1:39" ht="15.75" customHeight="1">
      <c r="A288" s="362" t="str">
        <f>IF(B288&lt;&gt;"",IF(AND(B288&gt;=_TM1,B288&lt;=_TM2,OR(TH!O288="1111",TH!P288="1111")),TH!D288,""),"")</f>
        <v/>
      </c>
      <c r="B288" s="63">
        <f t="shared" si="24"/>
        <v>4</v>
      </c>
      <c r="C288" s="337">
        <f t="shared" si="23"/>
        <v>42481</v>
      </c>
      <c r="D288" s="337" t="s">
        <v>8</v>
      </c>
      <c r="E288" s="337">
        <v>42481</v>
      </c>
      <c r="F288" s="338" t="s">
        <v>405</v>
      </c>
      <c r="G288" s="1022" t="s">
        <v>798</v>
      </c>
      <c r="H288" s="339" t="s">
        <v>166</v>
      </c>
      <c r="I288" s="476"/>
      <c r="J288" s="476"/>
      <c r="K288" s="469"/>
      <c r="L288" s="476"/>
      <c r="M288" s="65">
        <v>8187032</v>
      </c>
      <c r="N288" s="65"/>
      <c r="O288" s="340" t="s">
        <v>133</v>
      </c>
      <c r="P288" s="340" t="s">
        <v>31</v>
      </c>
      <c r="Q288" s="66" t="str">
        <f>IF(AND('331-CT'!$E$7=TH!H288,OR(O288="331",P288="331")),"x","")</f>
        <v/>
      </c>
      <c r="R288" s="66" t="str">
        <f>IF(AND($B288&gt;='111'!$N$11,$B288&lt;='111'!$O$11,OR($O288=$R$7,$P288=$R$7)),"x","")</f>
        <v/>
      </c>
      <c r="S288" s="66" t="str">
        <f>IF(AND($O288=$R$7,$B288&lt;'111'!$N$11),"x","")</f>
        <v/>
      </c>
      <c r="T288" s="66" t="str">
        <f>IF(AND($P288=$R$7,$B288&lt;'111'!$N$11),"x","")</f>
        <v/>
      </c>
      <c r="U288" s="66" t="str">
        <f>IF(AND($B288&gt;='112'!$M$9,$B288&lt;='112'!$N$9,OR($O288='112'!$I$6,$P288='112'!$I$6)),"x","")</f>
        <v/>
      </c>
      <c r="V288" s="66" t="str">
        <f>IF(AND($O288='112'!$I$6,$B288&lt;'112'!$M$9),"x","")</f>
        <v/>
      </c>
      <c r="W288" s="66" t="str">
        <f>IF(AND($P288='112'!$I$6,$B288&lt;'112'!$M$9),"x","")</f>
        <v>x</v>
      </c>
      <c r="X288" s="66" t="str">
        <f>IF(AND('131-CT'!$H$9=TH!H288,OR(O288="131",P288="131")),"x","")</f>
        <v/>
      </c>
      <c r="Y288" s="80" t="str">
        <f>IF(AND($B288&gt;='1331'!$I$9,$B288&lt;='1331'!$J$9,OR($O288=$Y$7,$P288=$Y$7)),"x","")</f>
        <v/>
      </c>
      <c r="Z288" s="80" t="str">
        <f>IF(AND($O288=$Y$7,$B288&lt;'1331'!$I$9),"x","")</f>
        <v/>
      </c>
      <c r="AA288" s="80" t="str">
        <f>IF(AND($P288=$Y$7,$B288&lt;'1331'!$I$9),"x","")</f>
        <v/>
      </c>
      <c r="AB288" s="80" t="str">
        <f>IF(AND($B288&gt;='1332'!$I$9,$B288&lt;='1332'!$I$9,OR($O288=$AB$7,$P288=$AB$7)),"x","")</f>
        <v/>
      </c>
      <c r="AC288" s="80" t="str">
        <f>IF(AND($O288=$AB$7,$B288&lt;'1332'!$I$9),"x","")</f>
        <v/>
      </c>
      <c r="AD288" s="80" t="str">
        <f>IF(AND($P288=$AB$7,$B288&lt;'1332'!$I$9),"x","")</f>
        <v/>
      </c>
      <c r="AE288" s="80" t="str">
        <f>IF(AND('341-CT'!$H$9=H288,OR(LEFT(O288,3)=$AE$7,LEFT(P288,3)=$AE$7)),"x","")</f>
        <v/>
      </c>
      <c r="AF288" s="80" t="str">
        <f>IF(OR(TH!O288=TH!$AF$7,P288=TH!$AF$7),"x","")</f>
        <v/>
      </c>
      <c r="AG288" s="80"/>
      <c r="AH288" s="80" t="str">
        <f>IF(AND(B288&gt;='IN-NX'!$P$3,B288&lt;='IN-NX'!$Q$3,'IN-NX'!$D$7=D288,OR(LEFT(L288,2)="15",AND(LEFT(M288,2)&lt;&gt;"15",LEFT(M288,2)&lt;&gt;"33"))),"x","")</f>
        <v/>
      </c>
      <c r="AI288" s="80" t="str">
        <f>IF(AND(OR(LEFT(TH!O288,2)="15",LEFT(TH!P288,2)="15"),'152-CT'!$J$8=TH!F288),"x","")</f>
        <v/>
      </c>
      <c r="AJ288" s="80" t="str">
        <f>IF(AND(OR(LEFT(TH!O288,2)="15",LEFT(TH!P288,2)="15"),'THE KHO'!$E$7=TH!F288),"x","")</f>
        <v/>
      </c>
      <c r="AK288" s="80" t="str">
        <f>IF(AND(O288="1521",MONTH(C288)='BK NL'!$M$11),"x","")</f>
        <v/>
      </c>
    </row>
    <row r="289" spans="1:39" ht="15.75" customHeight="1">
      <c r="A289" s="362" t="str">
        <f>IF(B289&lt;&gt;"",IF(AND(B289&gt;=_TM1,B289&lt;=_TM2,OR(TH!O289="1111",TH!P289="1111")),TH!D289,""),"")</f>
        <v/>
      </c>
      <c r="B289" s="63">
        <f t="shared" si="24"/>
        <v>4</v>
      </c>
      <c r="C289" s="337">
        <f t="shared" si="23"/>
        <v>42481</v>
      </c>
      <c r="D289" s="337" t="s">
        <v>8</v>
      </c>
      <c r="E289" s="337">
        <v>42481</v>
      </c>
      <c r="F289" s="338" t="s">
        <v>405</v>
      </c>
      <c r="G289" s="1022" t="s">
        <v>798</v>
      </c>
      <c r="H289" s="339" t="s">
        <v>167</v>
      </c>
      <c r="I289" s="474"/>
      <c r="J289" s="474"/>
      <c r="K289" s="467"/>
      <c r="L289" s="474"/>
      <c r="M289" s="65">
        <v>16374064</v>
      </c>
      <c r="N289" s="65"/>
      <c r="O289" s="340" t="s">
        <v>133</v>
      </c>
      <c r="P289" s="340" t="s">
        <v>31</v>
      </c>
      <c r="Q289" s="66" t="str">
        <f>IF(AND('331-CT'!$E$7=TH!H289,OR(O289="331",P289="331")),"x","")</f>
        <v/>
      </c>
      <c r="R289" s="66" t="str">
        <f>IF(AND($B289&gt;='111'!$N$11,$B289&lt;='111'!$O$11,OR($O289=$R$7,$P289=$R$7)),"x","")</f>
        <v/>
      </c>
      <c r="S289" s="66" t="str">
        <f>IF(AND($O289=$R$7,$B289&lt;'111'!$N$11),"x","")</f>
        <v/>
      </c>
      <c r="T289" s="66" t="str">
        <f>IF(AND($P289=$R$7,$B289&lt;'111'!$N$11),"x","")</f>
        <v/>
      </c>
      <c r="U289" s="66" t="str">
        <f>IF(AND($B289&gt;='112'!$M$9,$B289&lt;='112'!$N$9,OR($O289='112'!$I$6,$P289='112'!$I$6)),"x","")</f>
        <v/>
      </c>
      <c r="V289" s="66" t="str">
        <f>IF(AND($O289='112'!$I$6,$B289&lt;'112'!$M$9),"x","")</f>
        <v/>
      </c>
      <c r="W289" s="66" t="str">
        <f>IF(AND($P289='112'!$I$6,$B289&lt;'112'!$M$9),"x","")</f>
        <v>x</v>
      </c>
      <c r="X289" s="66" t="str">
        <f>IF(AND('131-CT'!$H$9=TH!H289,OR(O289="131",P289="131")),"x","")</f>
        <v/>
      </c>
      <c r="Y289" s="80" t="str">
        <f>IF(AND($B289&gt;='1331'!$I$9,$B289&lt;='1331'!$J$9,OR($O289=$Y$7,$P289=$Y$7)),"x","")</f>
        <v/>
      </c>
      <c r="Z289" s="80" t="str">
        <f>IF(AND($O289=$Y$7,$B289&lt;'1331'!$I$9),"x","")</f>
        <v/>
      </c>
      <c r="AA289" s="80" t="str">
        <f>IF(AND($P289=$Y$7,$B289&lt;'1331'!$I$9),"x","")</f>
        <v/>
      </c>
      <c r="AB289" s="80" t="str">
        <f>IF(AND($B289&gt;='1332'!$I$9,$B289&lt;='1332'!$I$9,OR($O289=$AB$7,$P289=$AB$7)),"x","")</f>
        <v/>
      </c>
      <c r="AC289" s="80" t="str">
        <f>IF(AND($O289=$AB$7,$B289&lt;'1332'!$I$9),"x","")</f>
        <v/>
      </c>
      <c r="AD289" s="80" t="str">
        <f>IF(AND($P289=$AB$7,$B289&lt;'1332'!$I$9),"x","")</f>
        <v/>
      </c>
      <c r="AE289" s="80" t="str">
        <f>IF(AND('341-CT'!$H$9=H289,OR(LEFT(O289,3)=$AE$7,LEFT(P289,3)=$AE$7)),"x","")</f>
        <v/>
      </c>
      <c r="AF289" s="80" t="str">
        <f>IF(OR(TH!O289=TH!$AF$7,P289=TH!$AF$7),"x","")</f>
        <v/>
      </c>
      <c r="AG289" s="80"/>
      <c r="AH289" s="80" t="str">
        <f>IF(AND(B289&gt;='IN-NX'!$P$3,B289&lt;='IN-NX'!$Q$3,'IN-NX'!$D$7=D289,OR(LEFT(L289,2)="15",AND(LEFT(M289,2)&lt;&gt;"15",LEFT(M289,2)&lt;&gt;"33"))),"x","")</f>
        <v/>
      </c>
      <c r="AI289" s="80" t="str">
        <f>IF(AND(OR(LEFT(TH!O289,2)="15",LEFT(TH!P289,2)="15"),'152-CT'!$J$8=TH!F289),"x","")</f>
        <v/>
      </c>
      <c r="AJ289" s="80" t="str">
        <f>IF(AND(OR(LEFT(TH!O289,2)="15",LEFT(TH!P289,2)="15"),'THE KHO'!$E$7=TH!F289),"x","")</f>
        <v/>
      </c>
      <c r="AK289" s="80" t="str">
        <f>IF(AND(O289="1521",MONTH(C289)='BK NL'!$M$11),"x","")</f>
        <v/>
      </c>
    </row>
    <row r="290" spans="1:39" ht="15.75" customHeight="1">
      <c r="A290" s="362" t="str">
        <f>IF(B290&lt;&gt;"",IF(AND(B290&gt;=_TM1,B290&lt;=_TM2,OR(TH!O290="1111",TH!P290="1111")),TH!D290,""),"")</f>
        <v/>
      </c>
      <c r="B290" s="63">
        <f t="shared" si="24"/>
        <v>4</v>
      </c>
      <c r="C290" s="337">
        <f t="shared" si="23"/>
        <v>42481</v>
      </c>
      <c r="D290" s="337" t="s">
        <v>8</v>
      </c>
      <c r="E290" s="337">
        <v>42481</v>
      </c>
      <c r="F290" s="338" t="s">
        <v>405</v>
      </c>
      <c r="G290" s="1022" t="s">
        <v>798</v>
      </c>
      <c r="H290" s="1026" t="s">
        <v>169</v>
      </c>
      <c r="I290" s="476"/>
      <c r="J290" s="476"/>
      <c r="K290" s="469"/>
      <c r="L290" s="476"/>
      <c r="M290" s="65">
        <v>13099251</v>
      </c>
      <c r="N290" s="65"/>
      <c r="O290" s="340" t="s">
        <v>133</v>
      </c>
      <c r="P290" s="340" t="s">
        <v>31</v>
      </c>
      <c r="Q290" s="66" t="str">
        <f>IF(AND('331-CT'!$E$7=TH!H290,OR(O290="331",P290="331")),"x","")</f>
        <v/>
      </c>
      <c r="R290" s="66" t="str">
        <f>IF(AND($B290&gt;='111'!$N$11,$B290&lt;='111'!$O$11,OR($O290=$R$7,$P290=$R$7)),"x","")</f>
        <v/>
      </c>
      <c r="S290" s="66" t="str">
        <f>IF(AND($O290=$R$7,$B290&lt;'111'!$N$11),"x","")</f>
        <v/>
      </c>
      <c r="T290" s="66" t="str">
        <f>IF(AND($P290=$R$7,$B290&lt;'111'!$N$11),"x","")</f>
        <v/>
      </c>
      <c r="U290" s="66" t="str">
        <f>IF(AND($B290&gt;='112'!$M$9,$B290&lt;='112'!$N$9,OR($O290='112'!$I$6,$P290='112'!$I$6)),"x","")</f>
        <v/>
      </c>
      <c r="V290" s="66" t="str">
        <f>IF(AND($O290='112'!$I$6,$B290&lt;'112'!$M$9),"x","")</f>
        <v/>
      </c>
      <c r="W290" s="66" t="str">
        <f>IF(AND($P290='112'!$I$6,$B290&lt;'112'!$M$9),"x","")</f>
        <v>x</v>
      </c>
      <c r="X290" s="66" t="str">
        <f>IF(AND('131-CT'!$H$9=TH!H290,OR(O290="131",P290="131")),"x","")</f>
        <v/>
      </c>
      <c r="Y290" s="80" t="str">
        <f>IF(AND($B290&gt;='1331'!$I$9,$B290&lt;='1331'!$J$9,OR($O290=$Y$7,$P290=$Y$7)),"x","")</f>
        <v/>
      </c>
      <c r="Z290" s="80" t="str">
        <f>IF(AND($O290=$Y$7,$B290&lt;'1331'!$I$9),"x","")</f>
        <v/>
      </c>
      <c r="AA290" s="80" t="str">
        <f>IF(AND($P290=$Y$7,$B290&lt;'1331'!$I$9),"x","")</f>
        <v/>
      </c>
      <c r="AB290" s="80" t="str">
        <f>IF(AND($B290&gt;='1332'!$I$9,$B290&lt;='1332'!$I$9,OR($O290=$AB$7,$P290=$AB$7)),"x","")</f>
        <v/>
      </c>
      <c r="AC290" s="80" t="str">
        <f>IF(AND($O290=$AB$7,$B290&lt;'1332'!$I$9),"x","")</f>
        <v/>
      </c>
      <c r="AD290" s="80" t="str">
        <f>IF(AND($P290=$AB$7,$B290&lt;'1332'!$I$9),"x","")</f>
        <v/>
      </c>
      <c r="AE290" s="80" t="str">
        <f>IF(AND('341-CT'!$H$9=H290,OR(LEFT(O290,3)=$AE$7,LEFT(P290,3)=$AE$7)),"x","")</f>
        <v/>
      </c>
      <c r="AF290" s="80" t="str">
        <f>IF(OR(TH!O290=TH!$AF$7,P290=TH!$AF$7),"x","")</f>
        <v/>
      </c>
      <c r="AG290" s="80"/>
      <c r="AH290" s="80" t="str">
        <f>IF(AND(B290&gt;='IN-NX'!$P$3,B290&lt;='IN-NX'!$Q$3,'IN-NX'!$D$7=D290,OR(LEFT(L290,2)="15",AND(LEFT(M290,2)&lt;&gt;"15",LEFT(M290,2)&lt;&gt;"33"))),"x","")</f>
        <v/>
      </c>
      <c r="AI290" s="80" t="str">
        <f>IF(AND(OR(LEFT(TH!O290,2)="15",LEFT(TH!P290,2)="15"),'152-CT'!$J$8=TH!F290),"x","")</f>
        <v/>
      </c>
      <c r="AJ290" s="80" t="str">
        <f>IF(AND(OR(LEFT(TH!O290,2)="15",LEFT(TH!P290,2)="15"),'THE KHO'!$E$7=TH!F290),"x","")</f>
        <v/>
      </c>
      <c r="AK290" s="80" t="str">
        <f>IF(AND(O290="1521",MONTH(C290)='BK NL'!$M$11),"x","")</f>
        <v/>
      </c>
    </row>
    <row r="291" spans="1:39" ht="15.75" customHeight="1">
      <c r="A291" s="362" t="str">
        <f>IF(B291&lt;&gt;"",IF(AND(B291&gt;=_TM1,B291&lt;=_TM2,OR(TH!O291="1111",TH!P291="1111")),TH!D291,""),"")</f>
        <v/>
      </c>
      <c r="B291" s="77">
        <f t="shared" si="24"/>
        <v>4</v>
      </c>
      <c r="C291" s="337">
        <f t="shared" si="23"/>
        <v>42481</v>
      </c>
      <c r="D291" s="337" t="s">
        <v>8</v>
      </c>
      <c r="E291" s="337">
        <v>42481</v>
      </c>
      <c r="F291" s="338" t="s">
        <v>405</v>
      </c>
      <c r="G291" s="1022" t="s">
        <v>798</v>
      </c>
      <c r="H291" s="339" t="s">
        <v>168</v>
      </c>
      <c r="I291" s="479"/>
      <c r="J291" s="479"/>
      <c r="K291" s="472"/>
      <c r="L291" s="479"/>
      <c r="M291" s="65">
        <v>12280547</v>
      </c>
      <c r="N291" s="65"/>
      <c r="O291" s="340" t="s">
        <v>133</v>
      </c>
      <c r="P291" s="340" t="s">
        <v>31</v>
      </c>
      <c r="Q291" s="66" t="str">
        <f>IF(AND('331-CT'!$E$7=TH!H291,OR(O291="331",P291="331")),"x","")</f>
        <v/>
      </c>
      <c r="R291" s="66" t="str">
        <f>IF(AND($B291&gt;='111'!$N$11,$B291&lt;='111'!$O$11,OR($O291=$R$7,$P291=$R$7)),"x","")</f>
        <v/>
      </c>
      <c r="S291" s="66" t="str">
        <f>IF(AND($O291=$R$7,$B291&lt;'111'!$N$11),"x","")</f>
        <v/>
      </c>
      <c r="T291" s="66" t="str">
        <f>IF(AND($P291=$R$7,$B291&lt;'111'!$N$11),"x","")</f>
        <v/>
      </c>
      <c r="U291" s="66" t="str">
        <f>IF(AND($B291&gt;='112'!$M$9,$B291&lt;='112'!$N$9,OR($O291='112'!$I$6,$P291='112'!$I$6)),"x","")</f>
        <v/>
      </c>
      <c r="V291" s="66" t="str">
        <f>IF(AND($O291='112'!$I$6,$B291&lt;'112'!$M$9),"x","")</f>
        <v/>
      </c>
      <c r="W291" s="66" t="str">
        <f>IF(AND($P291='112'!$I$6,$B291&lt;'112'!$M$9),"x","")</f>
        <v>x</v>
      </c>
      <c r="X291" s="66" t="str">
        <f>IF(AND('131-CT'!$H$9=TH!H291,OR(O291="131",P291="131")),"x","")</f>
        <v/>
      </c>
      <c r="Y291" s="80" t="str">
        <f>IF(AND($B291&gt;='1331'!$I$9,$B291&lt;='1331'!$J$9,OR($O291=$Y$7,$P291=$Y$7)),"x","")</f>
        <v/>
      </c>
      <c r="Z291" s="80" t="str">
        <f>IF(AND($O291=$Y$7,$B291&lt;'1331'!$I$9),"x","")</f>
        <v/>
      </c>
      <c r="AA291" s="80" t="str">
        <f>IF(AND($P291=$Y$7,$B291&lt;'1331'!$I$9),"x","")</f>
        <v/>
      </c>
      <c r="AB291" s="80" t="str">
        <f>IF(AND($B291&gt;='1332'!$I$9,$B291&lt;='1332'!$I$9,OR($O291=$AB$7,$P291=$AB$7)),"x","")</f>
        <v/>
      </c>
      <c r="AC291" s="80" t="str">
        <f>IF(AND($O291=$AB$7,$B291&lt;'1332'!$I$9),"x","")</f>
        <v/>
      </c>
      <c r="AD291" s="80" t="str">
        <f>IF(AND($P291=$AB$7,$B291&lt;'1332'!$I$9),"x","")</f>
        <v/>
      </c>
      <c r="AE291" s="80" t="str">
        <f>IF(AND('341-CT'!$H$9=H291,OR(LEFT(O291,3)=$AE$7,LEFT(P291,3)=$AE$7)),"x","")</f>
        <v/>
      </c>
      <c r="AF291" s="80" t="str">
        <f>IF(OR(TH!O291=TH!$AF$7,P291=TH!$AF$7),"x","")</f>
        <v/>
      </c>
      <c r="AG291" s="80"/>
      <c r="AH291" s="80" t="str">
        <f>IF(AND(B291&gt;='IN-NX'!$P$3,B291&lt;='IN-NX'!$Q$3,'IN-NX'!$D$7=D291,OR(LEFT(L291,2)="15",AND(LEFT(M291,2)&lt;&gt;"15",LEFT(M291,2)&lt;&gt;"33"))),"x","")</f>
        <v/>
      </c>
      <c r="AI291" s="80" t="str">
        <f>IF(AND(OR(LEFT(TH!O291,2)="15",LEFT(TH!P291,2)="15"),'152-CT'!$J$8=TH!F291),"x","")</f>
        <v/>
      </c>
      <c r="AJ291" s="80" t="str">
        <f>IF(AND(OR(LEFT(TH!O291,2)="15",LEFT(TH!P291,2)="15"),'THE KHO'!$E$7=TH!F291),"x","")</f>
        <v/>
      </c>
      <c r="AK291" s="80" t="str">
        <f>IF(AND(O291="1521",MONTH(C291)='BK NL'!$M$11),"x","")</f>
        <v/>
      </c>
    </row>
    <row r="292" spans="1:39" ht="15.75" customHeight="1">
      <c r="A292" s="362" t="str">
        <f>IF(B292&lt;&gt;"",IF(AND(B292&gt;=_TM1,B292&lt;=_TM2,OR(TH!O292="1111",TH!P292="1111")),TH!D292,""),"")</f>
        <v/>
      </c>
      <c r="B292" s="63">
        <f t="shared" si="24"/>
        <v>4</v>
      </c>
      <c r="C292" s="337">
        <f t="shared" si="23"/>
        <v>42481</v>
      </c>
      <c r="D292" s="337" t="s">
        <v>8</v>
      </c>
      <c r="E292" s="337">
        <v>42481</v>
      </c>
      <c r="F292" s="338" t="s">
        <v>405</v>
      </c>
      <c r="G292" s="1022" t="s">
        <v>798</v>
      </c>
      <c r="H292" s="339" t="s">
        <v>170</v>
      </c>
      <c r="I292" s="476"/>
      <c r="J292" s="476"/>
      <c r="K292" s="469"/>
      <c r="L292" s="476"/>
      <c r="M292" s="65">
        <v>8187032</v>
      </c>
      <c r="N292" s="65"/>
      <c r="O292" s="340" t="s">
        <v>133</v>
      </c>
      <c r="P292" s="340" t="s">
        <v>31</v>
      </c>
      <c r="Q292" s="66" t="str">
        <f>IF(AND('331-CT'!$E$7=TH!H292,OR(O292="331",P292="331")),"x","")</f>
        <v/>
      </c>
      <c r="R292" s="66" t="str">
        <f>IF(AND($B292&gt;='111'!$N$11,$B292&lt;='111'!$O$11,OR($O292=$R$7,$P292=$R$7)),"x","")</f>
        <v/>
      </c>
      <c r="S292" s="66" t="str">
        <f>IF(AND($O292=$R$7,$B292&lt;'111'!$N$11),"x","")</f>
        <v/>
      </c>
      <c r="T292" s="66" t="str">
        <f>IF(AND($P292=$R$7,$B292&lt;'111'!$N$11),"x","")</f>
        <v/>
      </c>
      <c r="U292" s="66" t="str">
        <f>IF(AND($B292&gt;='112'!$M$9,$B292&lt;='112'!$N$9,OR($O292='112'!$I$6,$P292='112'!$I$6)),"x","")</f>
        <v/>
      </c>
      <c r="V292" s="66" t="str">
        <f>IF(AND($O292='112'!$I$6,$B292&lt;'112'!$M$9),"x","")</f>
        <v/>
      </c>
      <c r="W292" s="66" t="str">
        <f>IF(AND($P292='112'!$I$6,$B292&lt;'112'!$M$9),"x","")</f>
        <v>x</v>
      </c>
      <c r="X292" s="66" t="str">
        <f>IF(AND('131-CT'!$H$9=TH!H292,OR(O292="131",P292="131")),"x","")</f>
        <v/>
      </c>
      <c r="Y292" s="80" t="str">
        <f>IF(AND($B292&gt;='1331'!$I$9,$B292&lt;='1331'!$J$9,OR($O292=$Y$7,$P292=$Y$7)),"x","")</f>
        <v/>
      </c>
      <c r="Z292" s="80" t="str">
        <f>IF(AND($O292=$Y$7,$B292&lt;'1331'!$I$9),"x","")</f>
        <v/>
      </c>
      <c r="AA292" s="80" t="str">
        <f>IF(AND($P292=$Y$7,$B292&lt;'1331'!$I$9),"x","")</f>
        <v/>
      </c>
      <c r="AB292" s="80" t="str">
        <f>IF(AND($B292&gt;='1332'!$I$9,$B292&lt;='1332'!$I$9,OR($O292=$AB$7,$P292=$AB$7)),"x","")</f>
        <v/>
      </c>
      <c r="AC292" s="80" t="str">
        <f>IF(AND($O292=$AB$7,$B292&lt;'1332'!$I$9),"x","")</f>
        <v/>
      </c>
      <c r="AD292" s="80" t="str">
        <f>IF(AND($P292=$AB$7,$B292&lt;'1332'!$I$9),"x","")</f>
        <v/>
      </c>
      <c r="AE292" s="80" t="str">
        <f>IF(AND('341-CT'!$H$9=H292,OR(LEFT(O292,3)=$AE$7,LEFT(P292,3)=$AE$7)),"x","")</f>
        <v/>
      </c>
      <c r="AF292" s="80" t="str">
        <f>IF(OR(TH!O292=TH!$AF$7,P292=TH!$AF$7),"x","")</f>
        <v/>
      </c>
      <c r="AG292" s="80"/>
      <c r="AH292" s="80" t="str">
        <f>IF(AND(B292&gt;='IN-NX'!$P$3,B292&lt;='IN-NX'!$Q$3,'IN-NX'!$D$7=D292,OR(LEFT(L292,2)="15",AND(LEFT(M292,2)&lt;&gt;"15",LEFT(M292,2)&lt;&gt;"33"))),"x","")</f>
        <v/>
      </c>
      <c r="AI292" s="80" t="str">
        <f>IF(AND(OR(LEFT(TH!O292,2)="15",LEFT(TH!P292,2)="15"),'152-CT'!$J$8=TH!F292),"x","")</f>
        <v/>
      </c>
      <c r="AJ292" s="80" t="str">
        <f>IF(AND(OR(LEFT(TH!O292,2)="15",LEFT(TH!P292,2)="15"),'THE KHO'!$E$7=TH!F292),"x","")</f>
        <v/>
      </c>
      <c r="AK292" s="80" t="str">
        <f>IF(AND(O292="1521",MONTH(C292)='BK NL'!$M$11),"x","")</f>
        <v/>
      </c>
    </row>
    <row r="293" spans="1:39" ht="15.75" customHeight="1">
      <c r="A293" s="362" t="str">
        <f>IF(B293&lt;&gt;"",IF(AND(B293&gt;=_TM1,B293&lt;=_TM2,OR(TH!O293="1111",TH!P293="1111")),TH!D293,""),"")</f>
        <v/>
      </c>
      <c r="B293" s="63">
        <f t="shared" si="24"/>
        <v>4</v>
      </c>
      <c r="C293" s="337">
        <f t="shared" si="23"/>
        <v>42481</v>
      </c>
      <c r="D293" s="337" t="s">
        <v>8</v>
      </c>
      <c r="E293" s="337">
        <v>42481</v>
      </c>
      <c r="F293" s="338" t="s">
        <v>405</v>
      </c>
      <c r="G293" s="1022" t="s">
        <v>798</v>
      </c>
      <c r="H293" s="339" t="s">
        <v>171</v>
      </c>
      <c r="I293" s="476"/>
      <c r="J293" s="476"/>
      <c r="K293" s="469"/>
      <c r="L293" s="476"/>
      <c r="M293" s="65">
        <v>12280547</v>
      </c>
      <c r="N293" s="65"/>
      <c r="O293" s="340" t="s">
        <v>133</v>
      </c>
      <c r="P293" s="340" t="s">
        <v>31</v>
      </c>
      <c r="Q293" s="66" t="str">
        <f>IF(AND('331-CT'!$E$7=TH!H293,OR(O293="331",P293="331")),"x","")</f>
        <v/>
      </c>
      <c r="R293" s="66" t="str">
        <f>IF(AND($B293&gt;='111'!$N$11,$B293&lt;='111'!$O$11,OR($O293=$R$7,$P293=$R$7)),"x","")</f>
        <v/>
      </c>
      <c r="S293" s="66" t="str">
        <f>IF(AND($O293=$R$7,$B293&lt;'111'!$N$11),"x","")</f>
        <v/>
      </c>
      <c r="T293" s="66" t="str">
        <f>IF(AND($P293=$R$7,$B293&lt;'111'!$N$11),"x","")</f>
        <v/>
      </c>
      <c r="U293" s="66" t="str">
        <f>IF(AND($B293&gt;='112'!$M$9,$B293&lt;='112'!$N$9,OR($O293='112'!$I$6,$P293='112'!$I$6)),"x","")</f>
        <v/>
      </c>
      <c r="V293" s="66" t="str">
        <f>IF(AND($O293='112'!$I$6,$B293&lt;'112'!$M$9),"x","")</f>
        <v/>
      </c>
      <c r="W293" s="66" t="str">
        <f>IF(AND($P293='112'!$I$6,$B293&lt;'112'!$M$9),"x","")</f>
        <v>x</v>
      </c>
      <c r="X293" s="66" t="str">
        <f>IF(AND('131-CT'!$H$9=TH!H293,OR(O293="131",P293="131")),"x","")</f>
        <v/>
      </c>
      <c r="Y293" s="80" t="str">
        <f>IF(AND($B293&gt;='1331'!$I$9,$B293&lt;='1331'!$J$9,OR($O293=$Y$7,$P293=$Y$7)),"x","")</f>
        <v/>
      </c>
      <c r="Z293" s="80" t="str">
        <f>IF(AND($O293=$Y$7,$B293&lt;'1331'!$I$9),"x","")</f>
        <v/>
      </c>
      <c r="AA293" s="80" t="str">
        <f>IF(AND($P293=$Y$7,$B293&lt;'1331'!$I$9),"x","")</f>
        <v/>
      </c>
      <c r="AB293" s="80" t="str">
        <f>IF(AND($B293&gt;='1332'!$I$9,$B293&lt;='1332'!$I$9,OR($O293=$AB$7,$P293=$AB$7)),"x","")</f>
        <v/>
      </c>
      <c r="AC293" s="80" t="str">
        <f>IF(AND($O293=$AB$7,$B293&lt;'1332'!$I$9),"x","")</f>
        <v/>
      </c>
      <c r="AD293" s="80" t="str">
        <f>IF(AND($P293=$AB$7,$B293&lt;'1332'!$I$9),"x","")</f>
        <v/>
      </c>
      <c r="AE293" s="80" t="str">
        <f>IF(AND('341-CT'!$H$9=H293,OR(LEFT(O293,3)=$AE$7,LEFT(P293,3)=$AE$7)),"x","")</f>
        <v/>
      </c>
      <c r="AF293" s="80" t="str">
        <f>IF(OR(TH!O293=TH!$AF$7,P293=TH!$AF$7),"x","")</f>
        <v/>
      </c>
      <c r="AG293" s="80"/>
      <c r="AH293" s="80" t="str">
        <f>IF(AND(B293&gt;='IN-NX'!$P$3,B293&lt;='IN-NX'!$Q$3,'IN-NX'!$D$7=D293,OR(LEFT(L293,2)="15",AND(LEFT(M293,2)&lt;&gt;"15",LEFT(M293,2)&lt;&gt;"33"))),"x","")</f>
        <v/>
      </c>
      <c r="AI293" s="80" t="str">
        <f>IF(AND(OR(LEFT(TH!O293,2)="15",LEFT(TH!P293,2)="15"),'152-CT'!$J$8=TH!F293),"x","")</f>
        <v/>
      </c>
      <c r="AJ293" s="80" t="str">
        <f>IF(AND(OR(LEFT(TH!O293,2)="15",LEFT(TH!P293,2)="15"),'THE KHO'!$E$7=TH!F293),"x","")</f>
        <v/>
      </c>
      <c r="AK293" s="80" t="str">
        <f>IF(AND(O293="1521",MONTH(C293)='BK NL'!$M$11),"x","")</f>
        <v/>
      </c>
    </row>
    <row r="294" spans="1:39" ht="15.75" customHeight="1">
      <c r="A294" s="362" t="str">
        <f>IF(B294&lt;&gt;"",IF(AND(B294&gt;=_TM1,B294&lt;=_TM2,OR(TH!O294="1111",TH!P294="1111")),TH!D294,""),"")</f>
        <v/>
      </c>
      <c r="B294" s="63">
        <f t="shared" si="24"/>
        <v>4</v>
      </c>
      <c r="C294" s="337">
        <f t="shared" si="23"/>
        <v>42481</v>
      </c>
      <c r="D294" s="337" t="s">
        <v>8</v>
      </c>
      <c r="E294" s="337">
        <v>42481</v>
      </c>
      <c r="F294" s="338" t="s">
        <v>405</v>
      </c>
      <c r="G294" s="1022" t="s">
        <v>798</v>
      </c>
      <c r="H294" s="339" t="s">
        <v>172</v>
      </c>
      <c r="I294" s="479"/>
      <c r="J294" s="479"/>
      <c r="K294" s="472"/>
      <c r="L294" s="479"/>
      <c r="M294" s="65">
        <v>16374064</v>
      </c>
      <c r="N294" s="65"/>
      <c r="O294" s="340" t="s">
        <v>133</v>
      </c>
      <c r="P294" s="340" t="s">
        <v>31</v>
      </c>
      <c r="Q294" s="66" t="str">
        <f>IF(AND('331-CT'!$E$7=TH!H294,OR(O294="331",P294="331")),"x","")</f>
        <v/>
      </c>
      <c r="R294" s="66" t="str">
        <f>IF(AND($B294&gt;='111'!$N$11,$B294&lt;='111'!$O$11,OR($O294=$R$7,$P294=$R$7)),"x","")</f>
        <v/>
      </c>
      <c r="S294" s="66" t="str">
        <f>IF(AND($O294=$R$7,$B294&lt;'111'!$N$11),"x","")</f>
        <v/>
      </c>
      <c r="T294" s="66" t="str">
        <f>IF(AND($P294=$R$7,$B294&lt;'111'!$N$11),"x","")</f>
        <v/>
      </c>
      <c r="U294" s="66" t="str">
        <f>IF(AND($B294&gt;='112'!$M$9,$B294&lt;='112'!$N$9,OR($O294='112'!$I$6,$P294='112'!$I$6)),"x","")</f>
        <v/>
      </c>
      <c r="V294" s="66" t="str">
        <f>IF(AND($O294='112'!$I$6,$B294&lt;'112'!$M$9),"x","")</f>
        <v/>
      </c>
      <c r="W294" s="66" t="str">
        <f>IF(AND($P294='112'!$I$6,$B294&lt;'112'!$M$9),"x","")</f>
        <v>x</v>
      </c>
      <c r="X294" s="66" t="str">
        <f>IF(AND('131-CT'!$H$9=TH!H294,OR(O294="131",P294="131")),"x","")</f>
        <v/>
      </c>
      <c r="Y294" s="80" t="str">
        <f>IF(AND($B294&gt;='1331'!$I$9,$B294&lt;='1331'!$J$9,OR($O294=$Y$7,$P294=$Y$7)),"x","")</f>
        <v/>
      </c>
      <c r="Z294" s="80" t="str">
        <f>IF(AND($O294=$Y$7,$B294&lt;'1331'!$I$9),"x","")</f>
        <v/>
      </c>
      <c r="AA294" s="80" t="str">
        <f>IF(AND($P294=$Y$7,$B294&lt;'1331'!$I$9),"x","")</f>
        <v/>
      </c>
      <c r="AB294" s="80" t="str">
        <f>IF(AND($B294&gt;='1332'!$I$9,$B294&lt;='1332'!$I$9,OR($O294=$AB$7,$P294=$AB$7)),"x","")</f>
        <v/>
      </c>
      <c r="AC294" s="80" t="str">
        <f>IF(AND($O294=$AB$7,$B294&lt;'1332'!$I$9),"x","")</f>
        <v/>
      </c>
      <c r="AD294" s="80" t="str">
        <f>IF(AND($P294=$AB$7,$B294&lt;'1332'!$I$9),"x","")</f>
        <v/>
      </c>
      <c r="AE294" s="80" t="str">
        <f>IF(AND('341-CT'!$H$9=H294,OR(LEFT(O294,3)=$AE$7,LEFT(P294,3)=$AE$7)),"x","")</f>
        <v/>
      </c>
      <c r="AF294" s="80" t="str">
        <f>IF(OR(TH!O294=TH!$AF$7,P294=TH!$AF$7),"x","")</f>
        <v/>
      </c>
      <c r="AG294" s="80"/>
      <c r="AH294" s="80" t="str">
        <f>IF(AND(B294&gt;='IN-NX'!$P$3,B294&lt;='IN-NX'!$Q$3,'IN-NX'!$D$7=D294,OR(LEFT(L294,2)="15",AND(LEFT(M294,2)&lt;&gt;"15",LEFT(M294,2)&lt;&gt;"33"))),"x","")</f>
        <v/>
      </c>
      <c r="AI294" s="80" t="str">
        <f>IF(AND(OR(LEFT(TH!O294,2)="15",LEFT(TH!P294,2)="15"),'152-CT'!$J$8=TH!F294),"x","")</f>
        <v/>
      </c>
      <c r="AJ294" s="80" t="str">
        <f>IF(AND(OR(LEFT(TH!O294,2)="15",LEFT(TH!P294,2)="15"),'THE KHO'!$E$7=TH!F294),"x","")</f>
        <v/>
      </c>
      <c r="AK294" s="80" t="str">
        <f>IF(AND(O294="1521",MONTH(C294)='BK NL'!$M$11),"x","")</f>
        <v/>
      </c>
    </row>
    <row r="295" spans="1:39" ht="15.75" customHeight="1">
      <c r="A295" s="362" t="str">
        <f>IF(B295&lt;&gt;"",IF(AND(B295&gt;=_TM1,B295&lt;=_TM2,OR(TH!O295="1111",TH!P295="1111")),TH!D295,""),"")</f>
        <v/>
      </c>
      <c r="B295" s="63">
        <f t="shared" si="24"/>
        <v>4</v>
      </c>
      <c r="C295" s="337">
        <f t="shared" si="23"/>
        <v>42481</v>
      </c>
      <c r="D295" s="337" t="s">
        <v>8</v>
      </c>
      <c r="E295" s="337">
        <v>42481</v>
      </c>
      <c r="F295" s="338" t="s">
        <v>405</v>
      </c>
      <c r="G295" s="1022" t="s">
        <v>798</v>
      </c>
      <c r="H295" s="339" t="s">
        <v>173</v>
      </c>
      <c r="I295" s="479"/>
      <c r="J295" s="479"/>
      <c r="K295" s="472"/>
      <c r="L295" s="479"/>
      <c r="M295" s="65">
        <v>11461845</v>
      </c>
      <c r="N295" s="65"/>
      <c r="O295" s="340" t="s">
        <v>133</v>
      </c>
      <c r="P295" s="340" t="s">
        <v>31</v>
      </c>
      <c r="Q295" s="66" t="str">
        <f>IF(AND('331-CT'!$E$7=TH!H295,OR(O295="331",P295="331")),"x","")</f>
        <v/>
      </c>
      <c r="R295" s="66" t="str">
        <f>IF(AND($B295&gt;='111'!$N$11,$B295&lt;='111'!$O$11,OR($O295=$R$7,$P295=$R$7)),"x","")</f>
        <v/>
      </c>
      <c r="S295" s="66" t="str">
        <f>IF(AND($O295=$R$7,$B295&lt;'111'!$N$11),"x","")</f>
        <v/>
      </c>
      <c r="T295" s="66" t="str">
        <f>IF(AND($P295=$R$7,$B295&lt;'111'!$N$11),"x","")</f>
        <v/>
      </c>
      <c r="U295" s="66" t="str">
        <f>IF(AND($B295&gt;='112'!$M$9,$B295&lt;='112'!$N$9,OR($O295='112'!$I$6,$P295='112'!$I$6)),"x","")</f>
        <v/>
      </c>
      <c r="V295" s="66" t="str">
        <f>IF(AND($O295='112'!$I$6,$B295&lt;'112'!$M$9),"x","")</f>
        <v/>
      </c>
      <c r="W295" s="66" t="str">
        <f>IF(AND($P295='112'!$I$6,$B295&lt;'112'!$M$9),"x","")</f>
        <v>x</v>
      </c>
      <c r="X295" s="66" t="str">
        <f>IF(AND('131-CT'!$H$9=TH!H295,OR(O295="131",P295="131")),"x","")</f>
        <v/>
      </c>
      <c r="Y295" s="80" t="str">
        <f>IF(AND($B295&gt;='1331'!$I$9,$B295&lt;='1331'!$J$9,OR($O295=$Y$7,$P295=$Y$7)),"x","")</f>
        <v/>
      </c>
      <c r="Z295" s="80" t="str">
        <f>IF(AND($O295=$Y$7,$B295&lt;'1331'!$I$9),"x","")</f>
        <v/>
      </c>
      <c r="AA295" s="80" t="str">
        <f>IF(AND($P295=$Y$7,$B295&lt;'1331'!$I$9),"x","")</f>
        <v/>
      </c>
      <c r="AB295" s="80" t="str">
        <f>IF(AND($B295&gt;='1332'!$I$9,$B295&lt;='1332'!$I$9,OR($O295=$AB$7,$P295=$AB$7)),"x","")</f>
        <v/>
      </c>
      <c r="AC295" s="80" t="str">
        <f>IF(AND($O295=$AB$7,$B295&lt;'1332'!$I$9),"x","")</f>
        <v/>
      </c>
      <c r="AD295" s="80" t="str">
        <f>IF(AND($P295=$AB$7,$B295&lt;'1332'!$I$9),"x","")</f>
        <v/>
      </c>
      <c r="AE295" s="80" t="str">
        <f>IF(AND('341-CT'!$H$9=H295,OR(LEFT(O295,3)=$AE$7,LEFT(P295,3)=$AE$7)),"x","")</f>
        <v/>
      </c>
      <c r="AF295" s="80" t="str">
        <f>IF(OR(TH!O295=TH!$AF$7,P295=TH!$AF$7),"x","")</f>
        <v/>
      </c>
      <c r="AG295" s="80"/>
      <c r="AH295" s="80" t="str">
        <f>IF(AND(B295&gt;='IN-NX'!$P$3,B295&lt;='IN-NX'!$Q$3,'IN-NX'!$D$7=D295,OR(LEFT(L295,2)="15",AND(LEFT(M295,2)&lt;&gt;"15",LEFT(M295,2)&lt;&gt;"33"))),"x","")</f>
        <v/>
      </c>
      <c r="AI295" s="80" t="str">
        <f>IF(AND(OR(LEFT(TH!O295,2)="15",LEFT(TH!P295,2)="15"),'152-CT'!$J$8=TH!F295),"x","")</f>
        <v/>
      </c>
      <c r="AJ295" s="80" t="str">
        <f>IF(AND(OR(LEFT(TH!O295,2)="15",LEFT(TH!P295,2)="15"),'THE KHO'!$E$7=TH!F295),"x","")</f>
        <v/>
      </c>
      <c r="AK295" s="80" t="str">
        <f>IF(AND(O295="1521",MONTH(C295)='BK NL'!$M$11),"x","")</f>
        <v/>
      </c>
    </row>
    <row r="296" spans="1:39" ht="15.75" customHeight="1">
      <c r="A296" s="362" t="str">
        <f>IF(B296&lt;&gt;"",IF(AND(B296&gt;=_TM1,B296&lt;=_TM2,OR(TH!O296="1111",TH!P296="1111")),TH!D296,""),"")</f>
        <v/>
      </c>
      <c r="B296" s="63">
        <f t="shared" si="24"/>
        <v>4</v>
      </c>
      <c r="C296" s="337">
        <f t="shared" si="23"/>
        <v>42481</v>
      </c>
      <c r="D296" s="337" t="s">
        <v>8</v>
      </c>
      <c r="E296" s="337">
        <v>42481</v>
      </c>
      <c r="F296" s="338" t="s">
        <v>405</v>
      </c>
      <c r="G296" s="1022" t="s">
        <v>798</v>
      </c>
      <c r="H296" s="368" t="s">
        <v>174</v>
      </c>
      <c r="I296" s="479"/>
      <c r="J296" s="479"/>
      <c r="K296" s="472"/>
      <c r="L296" s="479"/>
      <c r="M296" s="65">
        <v>12280547</v>
      </c>
      <c r="N296" s="65"/>
      <c r="O296" s="340" t="s">
        <v>133</v>
      </c>
      <c r="P296" s="340" t="s">
        <v>31</v>
      </c>
      <c r="Q296" s="66" t="str">
        <f>IF(AND('331-CT'!$E$7=TH!H296,OR(O296="331",P296="331")),"x","")</f>
        <v/>
      </c>
      <c r="R296" s="66" t="str">
        <f>IF(AND($B296&gt;='111'!$N$11,$B296&lt;='111'!$O$11,OR($O296=$R$7,$P296=$R$7)),"x","")</f>
        <v/>
      </c>
      <c r="S296" s="66" t="str">
        <f>IF(AND($O296=$R$7,$B296&lt;'111'!$N$11),"x","")</f>
        <v/>
      </c>
      <c r="T296" s="66" t="str">
        <f>IF(AND($P296=$R$7,$B296&lt;'111'!$N$11),"x","")</f>
        <v/>
      </c>
      <c r="U296" s="66" t="str">
        <f>IF(AND($B296&gt;='112'!$M$9,$B296&lt;='112'!$N$9,OR($O296='112'!$I$6,$P296='112'!$I$6)),"x","")</f>
        <v/>
      </c>
      <c r="V296" s="66" t="str">
        <f>IF(AND($O296='112'!$I$6,$B296&lt;'112'!$M$9),"x","")</f>
        <v/>
      </c>
      <c r="W296" s="66" t="str">
        <f>IF(AND($P296='112'!$I$6,$B296&lt;'112'!$M$9),"x","")</f>
        <v>x</v>
      </c>
      <c r="X296" s="66" t="str">
        <f>IF(AND('131-CT'!$H$9=TH!H296,OR(O296="131",P296="131")),"x","")</f>
        <v/>
      </c>
      <c r="Y296" s="80" t="str">
        <f>IF(AND($B296&gt;='1331'!$I$9,$B296&lt;='1331'!$J$9,OR($O296=$Y$7,$P296=$Y$7)),"x","")</f>
        <v/>
      </c>
      <c r="Z296" s="80" t="str">
        <f>IF(AND($O296=$Y$7,$B296&lt;'1331'!$I$9),"x","")</f>
        <v/>
      </c>
      <c r="AA296" s="80" t="str">
        <f>IF(AND($P296=$Y$7,$B296&lt;'1331'!$I$9),"x","")</f>
        <v/>
      </c>
      <c r="AB296" s="80" t="str">
        <f>IF(AND($B296&gt;='1332'!$I$9,$B296&lt;='1332'!$I$9,OR($O296=$AB$7,$P296=$AB$7)),"x","")</f>
        <v/>
      </c>
      <c r="AC296" s="80" t="str">
        <f>IF(AND($O296=$AB$7,$B296&lt;'1332'!$I$9),"x","")</f>
        <v/>
      </c>
      <c r="AD296" s="80" t="str">
        <f>IF(AND($P296=$AB$7,$B296&lt;'1332'!$I$9),"x","")</f>
        <v/>
      </c>
      <c r="AE296" s="80" t="str">
        <f>IF(AND('341-CT'!$H$9=H296,OR(LEFT(O296,3)=$AE$7,LEFT(P296,3)=$AE$7)),"x","")</f>
        <v/>
      </c>
      <c r="AF296" s="80" t="str">
        <f>IF(OR(TH!O296=TH!$AF$7,P296=TH!$AF$7),"x","")</f>
        <v/>
      </c>
      <c r="AG296" s="80"/>
      <c r="AH296" s="80" t="str">
        <f>IF(AND(B296&gt;='IN-NX'!$P$3,B296&lt;='IN-NX'!$Q$3,'IN-NX'!$D$7=D296,OR(LEFT(L296,2)="15",AND(LEFT(M296,2)&lt;&gt;"15",LEFT(M296,2)&lt;&gt;"33"))),"x","")</f>
        <v/>
      </c>
      <c r="AI296" s="80" t="str">
        <f>IF(AND(OR(LEFT(TH!O296,2)="15",LEFT(TH!P296,2)="15"),'152-CT'!$J$8=TH!F296),"x","")</f>
        <v/>
      </c>
      <c r="AJ296" s="80" t="str">
        <f>IF(AND(OR(LEFT(TH!O296,2)="15",LEFT(TH!P296,2)="15"),'THE KHO'!$E$7=TH!F296),"x","")</f>
        <v/>
      </c>
      <c r="AK296" s="80" t="str">
        <f>IF(AND(O296="1521",MONTH(C296)='BK NL'!$M$11),"x","")</f>
        <v/>
      </c>
    </row>
    <row r="297" spans="1:39" ht="15.75" customHeight="1">
      <c r="A297" s="362" t="str">
        <f>IF(B297&lt;&gt;"",IF(AND(B297&gt;=_TM1,B297&lt;=_TM2,OR(TH!O297="1111",TH!P297="1111")),TH!D297,""),"")</f>
        <v/>
      </c>
      <c r="B297" s="63">
        <f t="shared" si="24"/>
        <v>4</v>
      </c>
      <c r="C297" s="337">
        <f t="shared" si="23"/>
        <v>42481</v>
      </c>
      <c r="D297" s="337" t="s">
        <v>8</v>
      </c>
      <c r="E297" s="337">
        <v>42481</v>
      </c>
      <c r="F297" s="338" t="s">
        <v>405</v>
      </c>
      <c r="G297" s="1022" t="s">
        <v>798</v>
      </c>
      <c r="H297" s="339" t="s">
        <v>176</v>
      </c>
      <c r="I297" s="479"/>
      <c r="J297" s="479"/>
      <c r="K297" s="472"/>
      <c r="L297" s="479"/>
      <c r="M297" s="65">
        <v>12280547</v>
      </c>
      <c r="N297" s="65"/>
      <c r="O297" s="340" t="s">
        <v>133</v>
      </c>
      <c r="P297" s="340" t="s">
        <v>31</v>
      </c>
      <c r="Q297" s="66" t="str">
        <f>IF(AND('331-CT'!$E$7=TH!H297,OR(O297="331",P297="331")),"x","")</f>
        <v/>
      </c>
      <c r="R297" s="66" t="str">
        <f>IF(AND($B297&gt;='111'!$N$11,$B297&lt;='111'!$O$11,OR($O297=$R$7,$P297=$R$7)),"x","")</f>
        <v/>
      </c>
      <c r="S297" s="66" t="str">
        <f>IF(AND($O297=$R$7,$B297&lt;'111'!$N$11),"x","")</f>
        <v/>
      </c>
      <c r="T297" s="66" t="str">
        <f>IF(AND($P297=$R$7,$B297&lt;'111'!$N$11),"x","")</f>
        <v/>
      </c>
      <c r="U297" s="66" t="str">
        <f>IF(AND($B297&gt;='112'!$M$9,$B297&lt;='112'!$N$9,OR($O297='112'!$I$6,$P297='112'!$I$6)),"x","")</f>
        <v/>
      </c>
      <c r="V297" s="66" t="str">
        <f>IF(AND($O297='112'!$I$6,$B297&lt;'112'!$M$9),"x","")</f>
        <v/>
      </c>
      <c r="W297" s="66" t="str">
        <f>IF(AND($P297='112'!$I$6,$B297&lt;'112'!$M$9),"x","")</f>
        <v>x</v>
      </c>
      <c r="X297" s="66" t="str">
        <f>IF(AND('131-CT'!$H$9=TH!H297,OR(O297="131",P297="131")),"x","")</f>
        <v/>
      </c>
      <c r="Y297" s="80" t="str">
        <f>IF(AND($B297&gt;='1331'!$I$9,$B297&lt;='1331'!$J$9,OR($O297=$Y$7,$P297=$Y$7)),"x","")</f>
        <v/>
      </c>
      <c r="Z297" s="80" t="str">
        <f>IF(AND($O297=$Y$7,$B297&lt;'1331'!$I$9),"x","")</f>
        <v/>
      </c>
      <c r="AA297" s="80" t="str">
        <f>IF(AND($P297=$Y$7,$B297&lt;'1331'!$I$9),"x","")</f>
        <v/>
      </c>
      <c r="AB297" s="80" t="str">
        <f>IF(AND($B297&gt;='1332'!$I$9,$B297&lt;='1332'!$I$9,OR($O297=$AB$7,$P297=$AB$7)),"x","")</f>
        <v/>
      </c>
      <c r="AC297" s="80" t="str">
        <f>IF(AND($O297=$AB$7,$B297&lt;'1332'!$I$9),"x","")</f>
        <v/>
      </c>
      <c r="AD297" s="80" t="str">
        <f>IF(AND($P297=$AB$7,$B297&lt;'1332'!$I$9),"x","")</f>
        <v/>
      </c>
      <c r="AE297" s="80" t="str">
        <f>IF(AND('341-CT'!$H$9=H297,OR(LEFT(O297,3)=$AE$7,LEFT(P297,3)=$AE$7)),"x","")</f>
        <v/>
      </c>
      <c r="AF297" s="80" t="str">
        <f>IF(OR(TH!O297=TH!$AF$7,P297=TH!$AF$7),"x","")</f>
        <v/>
      </c>
      <c r="AG297" s="80"/>
      <c r="AH297" s="80" t="str">
        <f>IF(AND(B297&gt;='IN-NX'!$P$3,B297&lt;='IN-NX'!$Q$3,'IN-NX'!$D$7=D297,OR(LEFT(L297,2)="15",AND(LEFT(M297,2)&lt;&gt;"15",LEFT(M297,2)&lt;&gt;"33"))),"x","")</f>
        <v/>
      </c>
      <c r="AI297" s="80" t="str">
        <f>IF(AND(OR(LEFT(TH!O297,2)="15",LEFT(TH!P297,2)="15"),'152-CT'!$J$8=TH!F297),"x","")</f>
        <v/>
      </c>
      <c r="AJ297" s="80" t="str">
        <f>IF(AND(OR(LEFT(TH!O297,2)="15",LEFT(TH!P297,2)="15"),'THE KHO'!$E$7=TH!F297),"x","")</f>
        <v/>
      </c>
      <c r="AK297" s="80" t="str">
        <f>IF(AND(O297="1521",MONTH(C297)='BK NL'!$M$11),"x","")</f>
        <v/>
      </c>
    </row>
    <row r="298" spans="1:39" s="373" customFormat="1" ht="15.75" customHeight="1">
      <c r="A298" s="362" t="str">
        <f>IF(B298&lt;&gt;"",IF(AND(B298&gt;=_TM1,B298&lt;=_TM2,OR(TH!O298="1111",TH!P298="1111")),TH!D298,""),"")</f>
        <v/>
      </c>
      <c r="B298" s="63">
        <f t="shared" si="24"/>
        <v>4</v>
      </c>
      <c r="C298" s="337">
        <f t="shared" si="23"/>
        <v>42481</v>
      </c>
      <c r="D298" s="337" t="s">
        <v>8</v>
      </c>
      <c r="E298" s="337">
        <v>42481</v>
      </c>
      <c r="F298" s="338" t="s">
        <v>405</v>
      </c>
      <c r="G298" s="1022" t="s">
        <v>798</v>
      </c>
      <c r="H298" s="368" t="s">
        <v>179</v>
      </c>
      <c r="I298" s="479"/>
      <c r="J298" s="479"/>
      <c r="K298" s="472"/>
      <c r="L298" s="479"/>
      <c r="M298" s="65">
        <v>12280547</v>
      </c>
      <c r="N298" s="65"/>
      <c r="O298" s="340" t="s">
        <v>133</v>
      </c>
      <c r="P298" s="340" t="s">
        <v>31</v>
      </c>
      <c r="Q298" s="66" t="str">
        <f>IF(AND('331-CT'!$E$7=TH!H298,OR(O298="331",P298="331")),"x","")</f>
        <v/>
      </c>
      <c r="R298" s="66" t="str">
        <f>IF(AND($B298&gt;='111'!$N$11,$B298&lt;='111'!$O$11,OR($O298=$R$7,$P298=$R$7)),"x","")</f>
        <v/>
      </c>
      <c r="S298" s="66" t="str">
        <f>IF(AND($O298=$R$7,$B298&lt;'111'!$N$11),"x","")</f>
        <v/>
      </c>
      <c r="T298" s="66" t="str">
        <f>IF(AND($P298=$R$7,$B298&lt;'111'!$N$11),"x","")</f>
        <v/>
      </c>
      <c r="U298" s="66" t="str">
        <f>IF(AND($B298&gt;='112'!$M$9,$B298&lt;='112'!$N$9,OR($O298='112'!$I$6,$P298='112'!$I$6)),"x","")</f>
        <v/>
      </c>
      <c r="V298" s="66" t="str">
        <f>IF(AND($O298='112'!$I$6,$B298&lt;'112'!$M$9),"x","")</f>
        <v/>
      </c>
      <c r="W298" s="66" t="str">
        <f>IF(AND($P298='112'!$I$6,$B298&lt;'112'!$M$9),"x","")</f>
        <v>x</v>
      </c>
      <c r="X298" s="66" t="str">
        <f>IF(AND('131-CT'!$H$9=TH!H298,OR(O298="131",P298="131")),"x","")</f>
        <v/>
      </c>
      <c r="Y298" s="80" t="str">
        <f>IF(AND($B298&gt;='1331'!$I$9,$B298&lt;='1331'!$J$9,OR($O298=$Y$7,$P298=$Y$7)),"x","")</f>
        <v/>
      </c>
      <c r="Z298" s="80" t="str">
        <f>IF(AND($O298=$Y$7,$B298&lt;'1331'!$I$9),"x","")</f>
        <v/>
      </c>
      <c r="AA298" s="80" t="str">
        <f>IF(AND($P298=$Y$7,$B298&lt;'1331'!$I$9),"x","")</f>
        <v/>
      </c>
      <c r="AB298" s="80" t="str">
        <f>IF(AND($B298&gt;='1332'!$I$9,$B298&lt;='1332'!$I$9,OR($O298=$AB$7,$P298=$AB$7)),"x","")</f>
        <v/>
      </c>
      <c r="AC298" s="80" t="str">
        <f>IF(AND($O298=$AB$7,$B298&lt;'1332'!$I$9),"x","")</f>
        <v/>
      </c>
      <c r="AD298" s="80" t="str">
        <f>IF(AND($P298=$AB$7,$B298&lt;'1332'!$I$9),"x","")</f>
        <v/>
      </c>
      <c r="AE298" s="80" t="str">
        <f>IF(AND('341-CT'!$H$9=H298,OR(LEFT(O298,3)=$AE$7,LEFT(P298,3)=$AE$7)),"x","")</f>
        <v/>
      </c>
      <c r="AF298" s="80" t="str">
        <f>IF(OR(TH!O298=TH!$AF$7,P298=TH!$AF$7),"x","")</f>
        <v/>
      </c>
      <c r="AG298" s="80"/>
      <c r="AH298" s="80" t="str">
        <f>IF(AND(B298&gt;='IN-NX'!$P$3,B298&lt;='IN-NX'!$Q$3,'IN-NX'!$D$7=D298,OR(LEFT(L298,2)="15",AND(LEFT(M298,2)&lt;&gt;"15",LEFT(M298,2)&lt;&gt;"33"))),"x","")</f>
        <v/>
      </c>
      <c r="AI298" s="80" t="str">
        <f>IF(AND(OR(LEFT(TH!O298,2)="15",LEFT(TH!P298,2)="15"),'152-CT'!$J$8=TH!F298),"x","")</f>
        <v/>
      </c>
      <c r="AJ298" s="80" t="str">
        <f>IF(AND(OR(LEFT(TH!O298,2)="15",LEFT(TH!P298,2)="15"),'THE KHO'!$E$7=TH!F298),"x","")</f>
        <v/>
      </c>
      <c r="AK298" s="80" t="str">
        <f>IF(AND(O298="1521",MONTH(C298)='BK NL'!$M$11),"x","")</f>
        <v/>
      </c>
      <c r="AL298" s="370"/>
      <c r="AM298" s="352"/>
    </row>
    <row r="299" spans="1:39" s="373" customFormat="1" ht="15.75" customHeight="1">
      <c r="A299" s="362" t="str">
        <f>IF(B299&lt;&gt;"",IF(AND(B299&gt;=_TM1,B299&lt;=_TM2,OR(TH!O299="1111",TH!P299="1111")),TH!D299,""),"")</f>
        <v/>
      </c>
      <c r="B299" s="63">
        <f t="shared" si="24"/>
        <v>4</v>
      </c>
      <c r="C299" s="337">
        <f t="shared" si="23"/>
        <v>42481</v>
      </c>
      <c r="D299" s="337" t="s">
        <v>8</v>
      </c>
      <c r="E299" s="337">
        <v>42481</v>
      </c>
      <c r="F299" s="338" t="s">
        <v>405</v>
      </c>
      <c r="G299" s="1022" t="s">
        <v>798</v>
      </c>
      <c r="H299" s="339" t="s">
        <v>180</v>
      </c>
      <c r="I299" s="479"/>
      <c r="J299" s="479"/>
      <c r="K299" s="472"/>
      <c r="L299" s="479"/>
      <c r="M299" s="65">
        <v>8187032</v>
      </c>
      <c r="N299" s="65"/>
      <c r="O299" s="340" t="s">
        <v>133</v>
      </c>
      <c r="P299" s="340" t="s">
        <v>31</v>
      </c>
      <c r="Q299" s="66" t="str">
        <f>IF(AND('331-CT'!$E$7=TH!H299,OR(O299="331",P299="331")),"x","")</f>
        <v/>
      </c>
      <c r="R299" s="66" t="str">
        <f>IF(AND($B299&gt;='111'!$N$11,$B299&lt;='111'!$O$11,OR($O299=$R$7,$P299=$R$7)),"x","")</f>
        <v/>
      </c>
      <c r="S299" s="66" t="str">
        <f>IF(AND($O299=$R$7,$B299&lt;'111'!$N$11),"x","")</f>
        <v/>
      </c>
      <c r="T299" s="66" t="str">
        <f>IF(AND($P299=$R$7,$B299&lt;'111'!$N$11),"x","")</f>
        <v/>
      </c>
      <c r="U299" s="66" t="str">
        <f>IF(AND($B299&gt;='112'!$M$9,$B299&lt;='112'!$N$9,OR($O299='112'!$I$6,$P299='112'!$I$6)),"x","")</f>
        <v/>
      </c>
      <c r="V299" s="66" t="str">
        <f>IF(AND($O299='112'!$I$6,$B299&lt;'112'!$M$9),"x","")</f>
        <v/>
      </c>
      <c r="W299" s="66" t="str">
        <f>IF(AND($P299='112'!$I$6,$B299&lt;'112'!$M$9),"x","")</f>
        <v>x</v>
      </c>
      <c r="X299" s="66" t="str">
        <f>IF(AND('131-CT'!$H$9=TH!H299,OR(O299="131",P299="131")),"x","")</f>
        <v/>
      </c>
      <c r="Y299" s="80" t="str">
        <f>IF(AND($B299&gt;='1331'!$I$9,$B299&lt;='1331'!$J$9,OR($O299=$Y$7,$P299=$Y$7)),"x","")</f>
        <v/>
      </c>
      <c r="Z299" s="80" t="str">
        <f>IF(AND($O299=$Y$7,$B299&lt;'1331'!$I$9),"x","")</f>
        <v/>
      </c>
      <c r="AA299" s="80" t="str">
        <f>IF(AND($P299=$Y$7,$B299&lt;'1331'!$I$9),"x","")</f>
        <v/>
      </c>
      <c r="AB299" s="80" t="str">
        <f>IF(AND($B299&gt;='1332'!$I$9,$B299&lt;='1332'!$I$9,OR($O299=$AB$7,$P299=$AB$7)),"x","")</f>
        <v/>
      </c>
      <c r="AC299" s="80" t="str">
        <f>IF(AND($O299=$AB$7,$B299&lt;'1332'!$I$9),"x","")</f>
        <v/>
      </c>
      <c r="AD299" s="80" t="str">
        <f>IF(AND($P299=$AB$7,$B299&lt;'1332'!$I$9),"x","")</f>
        <v/>
      </c>
      <c r="AE299" s="80" t="str">
        <f>IF(AND('341-CT'!$H$9=H299,OR(LEFT(O299,3)=$AE$7,LEFT(P299,3)=$AE$7)),"x","")</f>
        <v/>
      </c>
      <c r="AF299" s="80" t="str">
        <f>IF(OR(TH!O299=TH!$AF$7,P299=TH!$AF$7),"x","")</f>
        <v/>
      </c>
      <c r="AG299" s="80"/>
      <c r="AH299" s="80" t="str">
        <f>IF(AND(B299&gt;='IN-NX'!$P$3,B299&lt;='IN-NX'!$Q$3,'IN-NX'!$D$7=D299,OR(LEFT(L299,2)="15",AND(LEFT(M299,2)&lt;&gt;"15",LEFT(M299,2)&lt;&gt;"33"))),"x","")</f>
        <v/>
      </c>
      <c r="AI299" s="80" t="str">
        <f>IF(AND(OR(LEFT(TH!O299,2)="15",LEFT(TH!P299,2)="15"),'152-CT'!$J$8=TH!F299),"x","")</f>
        <v/>
      </c>
      <c r="AJ299" s="80" t="str">
        <f>IF(AND(OR(LEFT(TH!O299,2)="15",LEFT(TH!P299,2)="15"),'THE KHO'!$E$7=TH!F299),"x","")</f>
        <v/>
      </c>
      <c r="AK299" s="80" t="str">
        <f>IF(AND(O299="1521",MONTH(C299)='BK NL'!$M$11),"x","")</f>
        <v/>
      </c>
      <c r="AL299" s="352"/>
      <c r="AM299" s="352"/>
    </row>
    <row r="300" spans="1:39" ht="15.75" customHeight="1">
      <c r="A300" s="362" t="str">
        <f>IF(B300&lt;&gt;"",IF(AND(B300&gt;=_TM1,B300&lt;=_TM2,OR(TH!O300="1111",TH!P300="1111")),TH!D300,""),"")</f>
        <v/>
      </c>
      <c r="B300" s="63">
        <f t="shared" si="24"/>
        <v>4</v>
      </c>
      <c r="C300" s="337">
        <f t="shared" si="23"/>
        <v>42481</v>
      </c>
      <c r="D300" s="337" t="s">
        <v>8</v>
      </c>
      <c r="E300" s="337">
        <v>42481</v>
      </c>
      <c r="F300" s="338" t="s">
        <v>405</v>
      </c>
      <c r="G300" s="1022" t="s">
        <v>798</v>
      </c>
      <c r="H300" s="339" t="s">
        <v>184</v>
      </c>
      <c r="I300" s="479"/>
      <c r="J300" s="479"/>
      <c r="K300" s="472"/>
      <c r="L300" s="479"/>
      <c r="M300" s="65">
        <v>8187032</v>
      </c>
      <c r="N300" s="65"/>
      <c r="O300" s="340" t="s">
        <v>133</v>
      </c>
      <c r="P300" s="340" t="s">
        <v>31</v>
      </c>
      <c r="Q300" s="66" t="str">
        <f>IF(AND('331-CT'!$E$7=TH!H300,OR(O300="331",P300="331")),"x","")</f>
        <v/>
      </c>
      <c r="R300" s="66" t="str">
        <f>IF(AND($B300&gt;='111'!$N$11,$B300&lt;='111'!$O$11,OR($O300=$R$7,$P300=$R$7)),"x","")</f>
        <v/>
      </c>
      <c r="S300" s="66" t="str">
        <f>IF(AND($O300=$R$7,$B300&lt;'111'!$N$11),"x","")</f>
        <v/>
      </c>
      <c r="T300" s="66" t="str">
        <f>IF(AND($P300=$R$7,$B300&lt;'111'!$N$11),"x","")</f>
        <v/>
      </c>
      <c r="U300" s="66" t="str">
        <f>IF(AND($B300&gt;='112'!$M$9,$B300&lt;='112'!$N$9,OR($O300='112'!$I$6,$P300='112'!$I$6)),"x","")</f>
        <v/>
      </c>
      <c r="V300" s="66" t="str">
        <f>IF(AND($O300='112'!$I$6,$B300&lt;'112'!$M$9),"x","")</f>
        <v/>
      </c>
      <c r="W300" s="66" t="str">
        <f>IF(AND($P300='112'!$I$6,$B300&lt;'112'!$M$9),"x","")</f>
        <v>x</v>
      </c>
      <c r="X300" s="66" t="str">
        <f>IF(AND('131-CT'!$H$9=TH!H300,OR(O300="131",P300="131")),"x","")</f>
        <v/>
      </c>
      <c r="Y300" s="80" t="str">
        <f>IF(AND($B300&gt;='1331'!$I$9,$B300&lt;='1331'!$J$9,OR($O300=$Y$7,$P300=$Y$7)),"x","")</f>
        <v/>
      </c>
      <c r="Z300" s="80" t="str">
        <f>IF(AND($O300=$Y$7,$B300&lt;'1331'!$I$9),"x","")</f>
        <v/>
      </c>
      <c r="AA300" s="80" t="str">
        <f>IF(AND($P300=$Y$7,$B300&lt;'1331'!$I$9),"x","")</f>
        <v/>
      </c>
      <c r="AB300" s="80" t="str">
        <f>IF(AND($B300&gt;='1332'!$I$9,$B300&lt;='1332'!$I$9,OR($O300=$AB$7,$P300=$AB$7)),"x","")</f>
        <v/>
      </c>
      <c r="AC300" s="80" t="str">
        <f>IF(AND($O300=$AB$7,$B300&lt;'1332'!$I$9),"x","")</f>
        <v/>
      </c>
      <c r="AD300" s="80" t="str">
        <f>IF(AND($P300=$AB$7,$B300&lt;'1332'!$I$9),"x","")</f>
        <v/>
      </c>
      <c r="AE300" s="80" t="str">
        <f>IF(AND('341-CT'!$H$9=H300,OR(LEFT(O300,3)=$AE$7,LEFT(P300,3)=$AE$7)),"x","")</f>
        <v/>
      </c>
      <c r="AF300" s="80" t="str">
        <f>IF(OR(TH!O300=TH!$AF$7,P300=TH!$AF$7),"x","")</f>
        <v/>
      </c>
      <c r="AG300" s="80"/>
      <c r="AH300" s="80" t="str">
        <f>IF(AND(B300&gt;='IN-NX'!$P$3,B300&lt;='IN-NX'!$Q$3,'IN-NX'!$D$7=D300,OR(LEFT(L300,2)="15",AND(LEFT(M300,2)&lt;&gt;"15",LEFT(M300,2)&lt;&gt;"33"))),"x","")</f>
        <v/>
      </c>
      <c r="AI300" s="80" t="str">
        <f>IF(AND(OR(LEFT(TH!O300,2)="15",LEFT(TH!P300,2)="15"),'152-CT'!$J$8=TH!F300),"x","")</f>
        <v/>
      </c>
      <c r="AJ300" s="80" t="str">
        <f>IF(AND(OR(LEFT(TH!O300,2)="15",LEFT(TH!P300,2)="15"),'THE KHO'!$E$7=TH!F300),"x","")</f>
        <v/>
      </c>
      <c r="AK300" s="80" t="str">
        <f>IF(AND(O300="1521",MONTH(C300)='BK NL'!$M$11),"x","")</f>
        <v/>
      </c>
      <c r="AM300" s="373"/>
    </row>
    <row r="301" spans="1:39" ht="15.75" customHeight="1">
      <c r="A301" s="362" t="str">
        <f>IF(B301&lt;&gt;"",IF(AND(B301&gt;=_TM1,B301&lt;=_TM2,OR(TH!O301="1111",TH!P301="1111")),TH!D301,""),"")</f>
        <v/>
      </c>
      <c r="B301" s="63">
        <f t="shared" si="24"/>
        <v>4</v>
      </c>
      <c r="C301" s="337">
        <f t="shared" si="23"/>
        <v>42481</v>
      </c>
      <c r="D301" s="337" t="s">
        <v>8</v>
      </c>
      <c r="E301" s="337">
        <v>42481</v>
      </c>
      <c r="F301" s="338" t="s">
        <v>405</v>
      </c>
      <c r="G301" s="1022" t="s">
        <v>798</v>
      </c>
      <c r="H301" s="339" t="s">
        <v>325</v>
      </c>
      <c r="I301" s="479"/>
      <c r="J301" s="479"/>
      <c r="K301" s="472"/>
      <c r="L301" s="479"/>
      <c r="M301" s="65">
        <v>6772111</v>
      </c>
      <c r="N301" s="65"/>
      <c r="O301" s="340" t="s">
        <v>133</v>
      </c>
      <c r="P301" s="340" t="s">
        <v>31</v>
      </c>
      <c r="Q301" s="66" t="str">
        <f>IF(AND('331-CT'!$E$7=TH!H301,OR(O301="331",P301="331")),"x","")</f>
        <v/>
      </c>
      <c r="R301" s="66" t="str">
        <f>IF(AND($B301&gt;='111'!$N$11,$B301&lt;='111'!$O$11,OR($O301=$R$7,$P301=$R$7)),"x","")</f>
        <v/>
      </c>
      <c r="S301" s="66" t="str">
        <f>IF(AND($O301=$R$7,$B301&lt;'111'!$N$11),"x","")</f>
        <v/>
      </c>
      <c r="T301" s="66" t="str">
        <f>IF(AND($P301=$R$7,$B301&lt;'111'!$N$11),"x","")</f>
        <v/>
      </c>
      <c r="U301" s="66" t="str">
        <f>IF(AND($B301&gt;='112'!$M$9,$B301&lt;='112'!$N$9,OR($O301='112'!$I$6,$P301='112'!$I$6)),"x","")</f>
        <v/>
      </c>
      <c r="V301" s="66" t="str">
        <f>IF(AND($O301='112'!$I$6,$B301&lt;'112'!$M$9),"x","")</f>
        <v/>
      </c>
      <c r="W301" s="66" t="str">
        <f>IF(AND($P301='112'!$I$6,$B301&lt;'112'!$M$9),"x","")</f>
        <v>x</v>
      </c>
      <c r="X301" s="66" t="str">
        <f>IF(AND('131-CT'!$H$9=TH!H301,OR(O301="131",P301="131")),"x","")</f>
        <v/>
      </c>
      <c r="Y301" s="80" t="str">
        <f>IF(AND($B301&gt;='1331'!$I$9,$B301&lt;='1331'!$J$9,OR($O301=$Y$7,$P301=$Y$7)),"x","")</f>
        <v/>
      </c>
      <c r="Z301" s="80" t="str">
        <f>IF(AND($O301=$Y$7,$B301&lt;'1331'!$I$9),"x","")</f>
        <v/>
      </c>
      <c r="AA301" s="80" t="str">
        <f>IF(AND($P301=$Y$7,$B301&lt;'1331'!$I$9),"x","")</f>
        <v/>
      </c>
      <c r="AB301" s="80" t="str">
        <f>IF(AND($B301&gt;='1332'!$I$9,$B301&lt;='1332'!$I$9,OR($O301=$AB$7,$P301=$AB$7)),"x","")</f>
        <v/>
      </c>
      <c r="AC301" s="80" t="str">
        <f>IF(AND($O301=$AB$7,$B301&lt;'1332'!$I$9),"x","")</f>
        <v/>
      </c>
      <c r="AD301" s="80" t="str">
        <f>IF(AND($P301=$AB$7,$B301&lt;'1332'!$I$9),"x","")</f>
        <v/>
      </c>
      <c r="AE301" s="80" t="str">
        <f>IF(AND('341-CT'!$H$9=H301,OR(LEFT(O301,3)=$AE$7,LEFT(P301,3)=$AE$7)),"x","")</f>
        <v/>
      </c>
      <c r="AF301" s="80" t="str">
        <f>IF(OR(TH!O301=TH!$AF$7,P301=TH!$AF$7),"x","")</f>
        <v/>
      </c>
      <c r="AG301" s="80"/>
      <c r="AH301" s="80" t="str">
        <f>IF(AND(B301&gt;='IN-NX'!$P$3,B301&lt;='IN-NX'!$Q$3,'IN-NX'!$D$7=D301,OR(LEFT(L301,2)="15",AND(LEFT(M301,2)&lt;&gt;"15",LEFT(M301,2)&lt;&gt;"33"))),"x","")</f>
        <v/>
      </c>
      <c r="AI301" s="80" t="str">
        <f>IF(AND(OR(LEFT(TH!O301,2)="15",LEFT(TH!P301,2)="15"),'152-CT'!$J$8=TH!F301),"x","")</f>
        <v/>
      </c>
      <c r="AJ301" s="80" t="str">
        <f>IF(AND(OR(LEFT(TH!O301,2)="15",LEFT(TH!P301,2)="15"),'THE KHO'!$E$7=TH!F301),"x","")</f>
        <v/>
      </c>
      <c r="AK301" s="80" t="str">
        <f>IF(AND(O301="1521",MONTH(C301)='BK NL'!$M$11),"x","")</f>
        <v/>
      </c>
      <c r="AM301" s="373"/>
    </row>
    <row r="302" spans="1:39" ht="15.75" customHeight="1">
      <c r="A302" s="362" t="str">
        <f>IF(B302&lt;&gt;"",IF(AND(B302&gt;=_TM1,B302&lt;=_TM2,OR(TH!O302="1111",TH!P302="1111")),TH!D302,""),"")</f>
        <v/>
      </c>
      <c r="B302" s="63">
        <f t="shared" si="24"/>
        <v>4</v>
      </c>
      <c r="C302" s="337">
        <f t="shared" si="23"/>
        <v>42481</v>
      </c>
      <c r="D302" s="337" t="s">
        <v>8</v>
      </c>
      <c r="E302" s="337">
        <v>42481</v>
      </c>
      <c r="F302" s="338" t="s">
        <v>405</v>
      </c>
      <c r="G302" s="1022" t="s">
        <v>798</v>
      </c>
      <c r="H302" s="339" t="s">
        <v>175</v>
      </c>
      <c r="I302" s="479"/>
      <c r="J302" s="479"/>
      <c r="K302" s="472"/>
      <c r="L302" s="479"/>
      <c r="M302" s="65">
        <v>12280547</v>
      </c>
      <c r="N302" s="65"/>
      <c r="O302" s="340" t="s">
        <v>133</v>
      </c>
      <c r="P302" s="340" t="s">
        <v>31</v>
      </c>
      <c r="Q302" s="66" t="str">
        <f>IF(AND('331-CT'!$E$7=TH!H302,OR(O302="331",P302="331")),"x","")</f>
        <v/>
      </c>
      <c r="R302" s="66" t="str">
        <f>IF(AND($B302&gt;='111'!$N$11,$B302&lt;='111'!$O$11,OR($O302=$R$7,$P302=$R$7)),"x","")</f>
        <v/>
      </c>
      <c r="S302" s="66" t="str">
        <f>IF(AND($O302=$R$7,$B302&lt;'111'!$N$11),"x","")</f>
        <v/>
      </c>
      <c r="T302" s="66" t="str">
        <f>IF(AND($P302=$R$7,$B302&lt;'111'!$N$11),"x","")</f>
        <v/>
      </c>
      <c r="U302" s="66" t="str">
        <f>IF(AND($B302&gt;='112'!$M$9,$B302&lt;='112'!$N$9,OR($O302='112'!$I$6,$P302='112'!$I$6)),"x","")</f>
        <v/>
      </c>
      <c r="V302" s="66" t="str">
        <f>IF(AND($O302='112'!$I$6,$B302&lt;'112'!$M$9),"x","")</f>
        <v/>
      </c>
      <c r="W302" s="66" t="str">
        <f>IF(AND($P302='112'!$I$6,$B302&lt;'112'!$M$9),"x","")</f>
        <v>x</v>
      </c>
      <c r="X302" s="66" t="str">
        <f>IF(AND('131-CT'!$H$9=TH!H302,OR(O302="131",P302="131")),"x","")</f>
        <v/>
      </c>
      <c r="Y302" s="80" t="str">
        <f>IF(AND($B302&gt;='1331'!$I$9,$B302&lt;='1331'!$J$9,OR($O302=$Y$7,$P302=$Y$7)),"x","")</f>
        <v/>
      </c>
      <c r="Z302" s="80" t="str">
        <f>IF(AND($O302=$Y$7,$B302&lt;'1331'!$I$9),"x","")</f>
        <v/>
      </c>
      <c r="AA302" s="80" t="str">
        <f>IF(AND($P302=$Y$7,$B302&lt;'1331'!$I$9),"x","")</f>
        <v/>
      </c>
      <c r="AB302" s="80" t="str">
        <f>IF(AND($B302&gt;='1332'!$I$9,$B302&lt;='1332'!$I$9,OR($O302=$AB$7,$P302=$AB$7)),"x","")</f>
        <v/>
      </c>
      <c r="AC302" s="80" t="str">
        <f>IF(AND($O302=$AB$7,$B302&lt;'1332'!$I$9),"x","")</f>
        <v/>
      </c>
      <c r="AD302" s="80" t="str">
        <f>IF(AND($P302=$AB$7,$B302&lt;'1332'!$I$9),"x","")</f>
        <v/>
      </c>
      <c r="AE302" s="80" t="str">
        <f>IF(AND('341-CT'!$H$9=H302,OR(LEFT(O302,3)=$AE$7,LEFT(P302,3)=$AE$7)),"x","")</f>
        <v/>
      </c>
      <c r="AF302" s="80" t="str">
        <f>IF(OR(TH!O302=TH!$AF$7,P302=TH!$AF$7),"x","")</f>
        <v/>
      </c>
      <c r="AG302" s="80"/>
      <c r="AH302" s="80" t="str">
        <f>IF(AND(B302&gt;='IN-NX'!$P$3,B302&lt;='IN-NX'!$Q$3,'IN-NX'!$D$7=D302,OR(LEFT(L302,2)="15",AND(LEFT(M302,2)&lt;&gt;"15",LEFT(M302,2)&lt;&gt;"33"))),"x","")</f>
        <v/>
      </c>
      <c r="AI302" s="80" t="str">
        <f>IF(AND(OR(LEFT(TH!O302,2)="15",LEFT(TH!P302,2)="15"),'152-CT'!$J$8=TH!F302),"x","")</f>
        <v/>
      </c>
      <c r="AJ302" s="80" t="str">
        <f>IF(AND(OR(LEFT(TH!O302,2)="15",LEFT(TH!P302,2)="15"),'THE KHO'!$E$7=TH!F302),"x","")</f>
        <v/>
      </c>
      <c r="AK302" s="80" t="str">
        <f>IF(AND(O302="1521",MONTH(C302)='BK NL'!$M$11),"x","")</f>
        <v/>
      </c>
    </row>
    <row r="303" spans="1:39" ht="15.75" customHeight="1">
      <c r="A303" s="362" t="str">
        <f>IF(B303&lt;&gt;"",IF(AND(B303&gt;=_TM1,B303&lt;=_TM2,OR(TH!O303="1111",TH!P303="1111")),TH!D303,""),"")</f>
        <v/>
      </c>
      <c r="B303" s="63">
        <f t="shared" si="24"/>
        <v>4</v>
      </c>
      <c r="C303" s="337">
        <f t="shared" si="23"/>
        <v>42482</v>
      </c>
      <c r="D303" s="337" t="s">
        <v>8</v>
      </c>
      <c r="E303" s="337">
        <v>42482</v>
      </c>
      <c r="F303" s="1009" t="s">
        <v>163</v>
      </c>
      <c r="G303" s="1022" t="s">
        <v>798</v>
      </c>
      <c r="H303" s="7" t="s">
        <v>165</v>
      </c>
      <c r="I303" s="479"/>
      <c r="J303" s="479"/>
      <c r="K303" s="472"/>
      <c r="L303" s="479"/>
      <c r="M303" s="65">
        <v>60000000</v>
      </c>
      <c r="N303" s="65"/>
      <c r="O303" s="340" t="s">
        <v>9</v>
      </c>
      <c r="P303" s="340" t="s">
        <v>31</v>
      </c>
      <c r="Q303" s="66" t="str">
        <f>IF(AND('331-CT'!$E$7=TH!H303,OR(O303="331",P303="331")),"x","")</f>
        <v/>
      </c>
      <c r="R303" s="66" t="str">
        <f>IF(AND($B303&gt;='111'!$N$11,$B303&lt;='111'!$O$11,OR($O303=$R$7,$P303=$R$7)),"x","")</f>
        <v/>
      </c>
      <c r="S303" s="66" t="str">
        <f>IF(AND($O303=$R$7,$B303&lt;'111'!$N$11),"x","")</f>
        <v/>
      </c>
      <c r="T303" s="66" t="str">
        <f>IF(AND($P303=$R$7,$B303&lt;'111'!$N$11),"x","")</f>
        <v/>
      </c>
      <c r="U303" s="66" t="str">
        <f>IF(AND($B303&gt;='112'!$M$9,$B303&lt;='112'!$N$9,OR($O303='112'!$I$6,$P303='112'!$I$6)),"x","")</f>
        <v/>
      </c>
      <c r="V303" s="66" t="str">
        <f>IF(AND($O303='112'!$I$6,$B303&lt;'112'!$M$9),"x","")</f>
        <v/>
      </c>
      <c r="W303" s="66" t="str">
        <f>IF(AND($P303='112'!$I$6,$B303&lt;'112'!$M$9),"x","")</f>
        <v>x</v>
      </c>
      <c r="X303" s="66" t="str">
        <f>IF(AND('131-CT'!$H$9=TH!H303,OR(O303="131",P303="131")),"x","")</f>
        <v/>
      </c>
      <c r="Y303" s="80" t="str">
        <f>IF(AND($B303&gt;='1331'!$I$9,$B303&lt;='1331'!$J$9,OR($O303=$Y$7,$P303=$Y$7)),"x","")</f>
        <v/>
      </c>
      <c r="Z303" s="80" t="str">
        <f>IF(AND($O303=$Y$7,$B303&lt;'1331'!$I$9),"x","")</f>
        <v/>
      </c>
      <c r="AA303" s="80" t="str">
        <f>IF(AND($P303=$Y$7,$B303&lt;'1331'!$I$9),"x","")</f>
        <v/>
      </c>
      <c r="AB303" s="80" t="str">
        <f>IF(AND($B303&gt;='1332'!$I$9,$B303&lt;='1332'!$I$9,OR($O303=$AB$7,$P303=$AB$7)),"x","")</f>
        <v/>
      </c>
      <c r="AC303" s="80" t="str">
        <f>IF(AND($O303=$AB$7,$B303&lt;'1332'!$I$9),"x","")</f>
        <v/>
      </c>
      <c r="AD303" s="80" t="str">
        <f>IF(AND($P303=$AB$7,$B303&lt;'1332'!$I$9),"x","")</f>
        <v/>
      </c>
      <c r="AE303" s="80" t="str">
        <f>IF(AND('341-CT'!$H$9=H303,OR(LEFT(O303,3)=$AE$7,LEFT(P303,3)=$AE$7)),"x","")</f>
        <v/>
      </c>
      <c r="AF303" s="80" t="str">
        <f>IF(OR(TH!O303=TH!$AF$7,P303=TH!$AF$7),"x","")</f>
        <v/>
      </c>
      <c r="AG303" s="80"/>
      <c r="AH303" s="80" t="str">
        <f>IF(AND(B303&gt;='IN-NX'!$P$3,B303&lt;='IN-NX'!$Q$3,'IN-NX'!$D$7=D303,OR(LEFT(L303,2)="15",AND(LEFT(M303,2)&lt;&gt;"15",LEFT(M303,2)&lt;&gt;"33"))),"x","")</f>
        <v/>
      </c>
      <c r="AI303" s="80" t="str">
        <f>IF(AND(OR(LEFT(TH!O303,2)="15",LEFT(TH!P303,2)="15"),'152-CT'!$J$8=TH!F303),"x","")</f>
        <v/>
      </c>
      <c r="AJ303" s="80" t="str">
        <f>IF(AND(OR(LEFT(TH!O303,2)="15",LEFT(TH!P303,2)="15"),'THE KHO'!$E$7=TH!F303),"x","")</f>
        <v/>
      </c>
      <c r="AK303" s="80" t="str">
        <f>IF(AND(O303="1521",MONTH(C303)='BK NL'!$M$11),"x","")</f>
        <v/>
      </c>
    </row>
    <row r="304" spans="1:39" ht="15.75" customHeight="1">
      <c r="A304" s="362" t="str">
        <f>IF(B304&lt;&gt;"",IF(AND(B304&gt;=_TM1,B304&lt;=_TM2,OR(TH!O304="1111",TH!P304="1111")),TH!D304,""),"")</f>
        <v/>
      </c>
      <c r="B304" s="63">
        <f t="shared" si="24"/>
        <v>4</v>
      </c>
      <c r="C304" s="337">
        <f t="shared" si="23"/>
        <v>42482</v>
      </c>
      <c r="D304" s="337" t="s">
        <v>8</v>
      </c>
      <c r="E304" s="337">
        <v>42482</v>
      </c>
      <c r="F304" s="338" t="s">
        <v>22</v>
      </c>
      <c r="G304" s="1022" t="s">
        <v>798</v>
      </c>
      <c r="H304" s="369"/>
      <c r="I304" s="479"/>
      <c r="J304" s="479"/>
      <c r="K304" s="472"/>
      <c r="L304" s="479"/>
      <c r="M304" s="65">
        <v>50000</v>
      </c>
      <c r="N304" s="65"/>
      <c r="O304" s="340" t="s">
        <v>135</v>
      </c>
      <c r="P304" s="340" t="s">
        <v>31</v>
      </c>
      <c r="Q304" s="66" t="str">
        <f>IF(AND('331-CT'!$E$7=TH!H304,OR(O304="331",P304="331")),"x","")</f>
        <v/>
      </c>
      <c r="R304" s="66" t="str">
        <f>IF(AND($B304&gt;='111'!$N$11,$B304&lt;='111'!$O$11,OR($O304=$R$7,$P304=$R$7)),"x","")</f>
        <v/>
      </c>
      <c r="S304" s="66" t="str">
        <f>IF(AND($O304=$R$7,$B304&lt;'111'!$N$11),"x","")</f>
        <v/>
      </c>
      <c r="T304" s="66" t="str">
        <f>IF(AND($P304=$R$7,$B304&lt;'111'!$N$11),"x","")</f>
        <v/>
      </c>
      <c r="U304" s="66" t="str">
        <f>IF(AND($B304&gt;='112'!$M$9,$B304&lt;='112'!$N$9,OR($O304='112'!$I$6,$P304='112'!$I$6)),"x","")</f>
        <v/>
      </c>
      <c r="V304" s="66" t="str">
        <f>IF(AND($O304='112'!$I$6,$B304&lt;'112'!$M$9),"x","")</f>
        <v/>
      </c>
      <c r="W304" s="66" t="str">
        <f>IF(AND($P304='112'!$I$6,$B304&lt;'112'!$M$9),"x","")</f>
        <v>x</v>
      </c>
      <c r="X304" s="66" t="str">
        <f>IF(AND('131-CT'!$H$9=TH!H304,OR(O304="131",P304="131")),"x","")</f>
        <v/>
      </c>
      <c r="Y304" s="80" t="str">
        <f>IF(AND($B304&gt;='1331'!$I$9,$B304&lt;='1331'!$J$9,OR($O304=$Y$7,$P304=$Y$7)),"x","")</f>
        <v/>
      </c>
      <c r="Z304" s="80" t="str">
        <f>IF(AND($O304=$Y$7,$B304&lt;'1331'!$I$9),"x","")</f>
        <v/>
      </c>
      <c r="AA304" s="80" t="str">
        <f>IF(AND($P304=$Y$7,$B304&lt;'1331'!$I$9),"x","")</f>
        <v/>
      </c>
      <c r="AB304" s="80" t="str">
        <f>IF(AND($B304&gt;='1332'!$I$9,$B304&lt;='1332'!$I$9,OR($O304=$AB$7,$P304=$AB$7)),"x","")</f>
        <v/>
      </c>
      <c r="AC304" s="80" t="str">
        <f>IF(AND($O304=$AB$7,$B304&lt;'1332'!$I$9),"x","")</f>
        <v/>
      </c>
      <c r="AD304" s="80" t="str">
        <f>IF(AND($P304=$AB$7,$B304&lt;'1332'!$I$9),"x","")</f>
        <v/>
      </c>
      <c r="AE304" s="80" t="str">
        <f>IF(AND('341-CT'!$H$9=H304,OR(LEFT(O304,3)=$AE$7,LEFT(P304,3)=$AE$7)),"x","")</f>
        <v/>
      </c>
      <c r="AF304" s="80" t="str">
        <f>IF(OR(TH!O304=TH!$AF$7,P304=TH!$AF$7),"x","")</f>
        <v/>
      </c>
      <c r="AG304" s="80"/>
      <c r="AH304" s="80" t="str">
        <f>IF(AND(B304&gt;='IN-NX'!$P$3,B304&lt;='IN-NX'!$Q$3,'IN-NX'!$D$7=D304,OR(LEFT(L304,2)="15",AND(LEFT(M304,2)&lt;&gt;"15",LEFT(M304,2)&lt;&gt;"33"))),"x","")</f>
        <v/>
      </c>
      <c r="AI304" s="80" t="str">
        <f>IF(AND(OR(LEFT(TH!O304,2)="15",LEFT(TH!P304,2)="15"),'152-CT'!$J$8=TH!F304),"x","")</f>
        <v/>
      </c>
      <c r="AJ304" s="80" t="str">
        <f>IF(AND(OR(LEFT(TH!O304,2)="15",LEFT(TH!P304,2)="15"),'THE KHO'!$E$7=TH!F304),"x","")</f>
        <v/>
      </c>
      <c r="AK304" s="80" t="str">
        <f>IF(AND(O304="1521",MONTH(C304)='BK NL'!$M$11),"x","")</f>
        <v/>
      </c>
    </row>
    <row r="305" spans="1:39" ht="15.75" customHeight="1">
      <c r="A305" s="362" t="str">
        <f>IF(B305&lt;&gt;"",IF(AND(B305&gt;=_TM1,B305&lt;=_TM2,OR(TH!O305="1111",TH!P305="1111")),TH!D305,""),"")</f>
        <v/>
      </c>
      <c r="B305" s="63">
        <f t="shared" si="24"/>
        <v>4</v>
      </c>
      <c r="C305" s="337">
        <f t="shared" si="23"/>
        <v>42482</v>
      </c>
      <c r="D305" s="337" t="s">
        <v>8</v>
      </c>
      <c r="E305" s="337">
        <v>42482</v>
      </c>
      <c r="F305" s="338" t="s">
        <v>23</v>
      </c>
      <c r="G305" s="1022" t="s">
        <v>798</v>
      </c>
      <c r="H305" s="369"/>
      <c r="I305" s="479"/>
      <c r="J305" s="479"/>
      <c r="K305" s="472"/>
      <c r="L305" s="479"/>
      <c r="M305" s="88">
        <v>5000</v>
      </c>
      <c r="N305" s="88"/>
      <c r="O305" s="340" t="s">
        <v>10</v>
      </c>
      <c r="P305" s="340" t="s">
        <v>31</v>
      </c>
      <c r="Q305" s="66" t="str">
        <f>IF(AND('331-CT'!$E$7=TH!H305,OR(O305="331",P305="331")),"x","")</f>
        <v/>
      </c>
      <c r="R305" s="66" t="str">
        <f>IF(AND($B305&gt;='111'!$N$11,$B305&lt;='111'!$O$11,OR($O305=$R$7,$P305=$R$7)),"x","")</f>
        <v/>
      </c>
      <c r="S305" s="66" t="str">
        <f>IF(AND($O305=$R$7,$B305&lt;'111'!$N$11),"x","")</f>
        <v/>
      </c>
      <c r="T305" s="66" t="str">
        <f>IF(AND($P305=$R$7,$B305&lt;'111'!$N$11),"x","")</f>
        <v/>
      </c>
      <c r="U305" s="66" t="str">
        <f>IF(AND($B305&gt;='112'!$M$9,$B305&lt;='112'!$N$9,OR($O305='112'!$I$6,$P305='112'!$I$6)),"x","")</f>
        <v/>
      </c>
      <c r="V305" s="66" t="str">
        <f>IF(AND($O305='112'!$I$6,$B305&lt;'112'!$M$9),"x","")</f>
        <v/>
      </c>
      <c r="W305" s="66" t="str">
        <f>IF(AND($P305='112'!$I$6,$B305&lt;'112'!$M$9),"x","")</f>
        <v>x</v>
      </c>
      <c r="X305" s="66" t="str">
        <f>IF(AND('131-CT'!$H$9=TH!H305,OR(O305="131",P305="131")),"x","")</f>
        <v/>
      </c>
      <c r="Y305" s="80" t="str">
        <f>IF(AND($B305&gt;='1331'!$I$9,$B305&lt;='1331'!$J$9,OR($O305=$Y$7,$P305=$Y$7)),"x","")</f>
        <v/>
      </c>
      <c r="Z305" s="80" t="str">
        <f>IF(AND($O305=$Y$7,$B305&lt;'1331'!$I$9),"x","")</f>
        <v>x</v>
      </c>
      <c r="AA305" s="80" t="str">
        <f>IF(AND($P305=$Y$7,$B305&lt;'1331'!$I$9),"x","")</f>
        <v/>
      </c>
      <c r="AB305" s="80" t="str">
        <f>IF(AND($B305&gt;='1332'!$I$9,$B305&lt;='1332'!$I$9,OR($O305=$AB$7,$P305=$AB$7)),"x","")</f>
        <v/>
      </c>
      <c r="AC305" s="80" t="str">
        <f>IF(AND($O305=$AB$7,$B305&lt;'1332'!$I$9),"x","")</f>
        <v/>
      </c>
      <c r="AD305" s="80" t="str">
        <f>IF(AND($P305=$AB$7,$B305&lt;'1332'!$I$9),"x","")</f>
        <v/>
      </c>
      <c r="AE305" s="80" t="str">
        <f>IF(AND('341-CT'!$H$9=H305,OR(LEFT(O305,3)=$AE$7,LEFT(P305,3)=$AE$7)),"x","")</f>
        <v/>
      </c>
      <c r="AF305" s="80" t="str">
        <f>IF(OR(TH!O305=TH!$AF$7,P305=TH!$AF$7),"x","")</f>
        <v/>
      </c>
      <c r="AG305" s="80"/>
      <c r="AH305" s="80" t="str">
        <f>IF(AND(B305&gt;='IN-NX'!$P$3,B305&lt;='IN-NX'!$Q$3,'IN-NX'!$D$7=D305,OR(LEFT(L305,2)="15",AND(LEFT(M305,2)&lt;&gt;"15",LEFT(M305,2)&lt;&gt;"33"))),"x","")</f>
        <v/>
      </c>
      <c r="AI305" s="80" t="str">
        <f>IF(AND(OR(LEFT(TH!O305,2)="15",LEFT(TH!P305,2)="15"),'152-CT'!$J$8=TH!F305),"x","")</f>
        <v/>
      </c>
      <c r="AJ305" s="80" t="str">
        <f>IF(AND(OR(LEFT(TH!O305,2)="15",LEFT(TH!P305,2)="15"),'THE KHO'!$E$7=TH!F305),"x","")</f>
        <v/>
      </c>
      <c r="AK305" s="80" t="str">
        <f>IF(AND(O305="1521",MONTH(C305)='BK NL'!$M$11),"x","")</f>
        <v/>
      </c>
    </row>
    <row r="306" spans="1:39" ht="15.75" customHeight="1">
      <c r="A306" s="362" t="str">
        <f>IF(B306&lt;&gt;"",IF(AND(B306&gt;=_TM1,B306&lt;=_TM2,OR(TH!O306="1111",TH!P306="1111")),TH!D306,""),"")</f>
        <v>C20</v>
      </c>
      <c r="B306" s="63">
        <f t="shared" si="24"/>
        <v>4</v>
      </c>
      <c r="C306" s="337">
        <f t="shared" si="23"/>
        <v>42483</v>
      </c>
      <c r="D306" s="337" t="s">
        <v>81</v>
      </c>
      <c r="E306" s="337">
        <v>42483</v>
      </c>
      <c r="F306" s="338" t="s">
        <v>399</v>
      </c>
      <c r="G306" s="351" t="s">
        <v>895</v>
      </c>
      <c r="H306" s="368" t="s">
        <v>322</v>
      </c>
      <c r="I306" s="477"/>
      <c r="J306" s="477"/>
      <c r="K306" s="470"/>
      <c r="L306" s="477"/>
      <c r="M306" s="65">
        <v>618000</v>
      </c>
      <c r="N306" s="65"/>
      <c r="O306" s="340" t="s">
        <v>242</v>
      </c>
      <c r="P306" s="340" t="s">
        <v>97</v>
      </c>
      <c r="Q306" s="66" t="str">
        <f>IF(AND('331-CT'!$E$7=TH!H306,OR(O306="331",P306="331")),"x","")</f>
        <v/>
      </c>
      <c r="R306" s="66" t="str">
        <f>IF(AND($B306&gt;='111'!$N$11,$B306&lt;='111'!$O$11,OR($O306=$R$7,$P306=$R$7)),"x","")</f>
        <v/>
      </c>
      <c r="S306" s="66" t="str">
        <f>IF(AND($O306=$R$7,$B306&lt;'111'!$N$11),"x","")</f>
        <v/>
      </c>
      <c r="T306" s="66" t="str">
        <f>IF(AND($P306=$R$7,$B306&lt;'111'!$N$11),"x","")</f>
        <v>x</v>
      </c>
      <c r="U306" s="66" t="str">
        <f>IF(AND($B306&gt;='112'!$M$9,$B306&lt;='112'!$N$9,OR($O306='112'!$I$6,$P306='112'!$I$6)),"x","")</f>
        <v/>
      </c>
      <c r="V306" s="66" t="str">
        <f>IF(AND($O306='112'!$I$6,$B306&lt;'112'!$M$9),"x","")</f>
        <v/>
      </c>
      <c r="W306" s="66" t="str">
        <f>IF(AND($P306='112'!$I$6,$B306&lt;'112'!$M$9),"x","")</f>
        <v/>
      </c>
      <c r="X306" s="66" t="str">
        <f>IF(AND('131-CT'!$H$9=TH!H306,OR(O306="131",P306="131")),"x","")</f>
        <v/>
      </c>
      <c r="Y306" s="80" t="str">
        <f>IF(AND($B306&gt;='1331'!$I$9,$B306&lt;='1331'!$J$9,OR($O306=$Y$7,$P306=$Y$7)),"x","")</f>
        <v/>
      </c>
      <c r="Z306" s="80" t="str">
        <f>IF(AND($O306=$Y$7,$B306&lt;'1331'!$I$9),"x","")</f>
        <v/>
      </c>
      <c r="AA306" s="80" t="str">
        <f>IF(AND($P306=$Y$7,$B306&lt;'1331'!$I$9),"x","")</f>
        <v/>
      </c>
      <c r="AB306" s="80" t="str">
        <f>IF(AND($B306&gt;='1332'!$I$9,$B306&lt;='1332'!$I$9,OR($O306=$AB$7,$P306=$AB$7)),"x","")</f>
        <v/>
      </c>
      <c r="AC306" s="80" t="str">
        <f>IF(AND($O306=$AB$7,$B306&lt;'1332'!$I$9),"x","")</f>
        <v/>
      </c>
      <c r="AD306" s="80" t="str">
        <f>IF(AND($P306=$AB$7,$B306&lt;'1332'!$I$9),"x","")</f>
        <v/>
      </c>
      <c r="AE306" s="80" t="str">
        <f>IF(AND('341-CT'!$H$9=H306,OR(LEFT(O306,3)=$AE$7,LEFT(P306,3)=$AE$7)),"x","")</f>
        <v/>
      </c>
      <c r="AF306" s="80" t="str">
        <f>IF(OR(TH!O306=TH!$AF$7,P306=TH!$AF$7),"x","")</f>
        <v/>
      </c>
      <c r="AG306" s="80"/>
      <c r="AH306" s="80" t="str">
        <f>IF(AND(B306&gt;='IN-NX'!$P$3,B306&lt;='IN-NX'!$Q$3,'IN-NX'!$D$7=D306,OR(LEFT(L306,2)="15",AND(LEFT(M306,2)&lt;&gt;"15",LEFT(M306,2)&lt;&gt;"33"))),"x","")</f>
        <v/>
      </c>
      <c r="AI306" s="80" t="str">
        <f>IF(AND(OR(LEFT(TH!O306,2)="15",LEFT(TH!P306,2)="15"),'152-CT'!$J$8=TH!F306),"x","")</f>
        <v/>
      </c>
      <c r="AJ306" s="80" t="str">
        <f>IF(AND(OR(LEFT(TH!O306,2)="15",LEFT(TH!P306,2)="15"),'THE KHO'!$E$7=TH!F306),"x","")</f>
        <v/>
      </c>
      <c r="AK306" s="80" t="str">
        <f>IF(AND(O306="1521",MONTH(C306)='BK NL'!$M$11),"x","")</f>
        <v/>
      </c>
      <c r="AM306" s="352">
        <v>1</v>
      </c>
    </row>
    <row r="307" spans="1:39" ht="15.75" customHeight="1">
      <c r="A307" s="362" t="str">
        <f>IF(B307&lt;&gt;"",IF(AND(B307&gt;=_TM1,B307&lt;=_TM2,OR(TH!O307="1111",TH!P307="1111")),TH!D307,""),"")</f>
        <v>C21</v>
      </c>
      <c r="B307" s="63">
        <f t="shared" si="24"/>
        <v>4</v>
      </c>
      <c r="C307" s="337">
        <f t="shared" si="23"/>
        <v>42485</v>
      </c>
      <c r="D307" s="337" t="s">
        <v>187</v>
      </c>
      <c r="E307" s="337">
        <v>42485</v>
      </c>
      <c r="F307" s="338" t="s">
        <v>904</v>
      </c>
      <c r="G307" s="351" t="s">
        <v>906</v>
      </c>
      <c r="H307" s="339" t="s">
        <v>87</v>
      </c>
      <c r="I307" s="476"/>
      <c r="J307" s="476"/>
      <c r="K307" s="469"/>
      <c r="L307" s="476"/>
      <c r="M307" s="65">
        <v>10818800</v>
      </c>
      <c r="N307" s="65"/>
      <c r="O307" s="340" t="s">
        <v>135</v>
      </c>
      <c r="P307" s="340" t="s">
        <v>97</v>
      </c>
      <c r="Q307" s="66" t="str">
        <f>IF(AND('331-CT'!$E$7=TH!H307,OR(O307="331",P307="331")),"x","")</f>
        <v/>
      </c>
      <c r="R307" s="66" t="str">
        <f>IF(AND($B307&gt;='111'!$N$11,$B307&lt;='111'!$O$11,OR($O307=$R$7,$P307=$R$7)),"x","")</f>
        <v/>
      </c>
      <c r="S307" s="66" t="str">
        <f>IF(AND($O307=$R$7,$B307&lt;'111'!$N$11),"x","")</f>
        <v/>
      </c>
      <c r="T307" s="66" t="str">
        <f>IF(AND($P307=$R$7,$B307&lt;'111'!$N$11),"x","")</f>
        <v>x</v>
      </c>
      <c r="U307" s="66" t="str">
        <f>IF(AND($B307&gt;='112'!$M$9,$B307&lt;='112'!$N$9,OR($O307='112'!$I$6,$P307='112'!$I$6)),"x","")</f>
        <v/>
      </c>
      <c r="V307" s="66" t="str">
        <f>IF(AND($O307='112'!$I$6,$B307&lt;'112'!$M$9),"x","")</f>
        <v/>
      </c>
      <c r="W307" s="66" t="str">
        <f>IF(AND($P307='112'!$I$6,$B307&lt;'112'!$M$9),"x","")</f>
        <v/>
      </c>
      <c r="X307" s="66" t="str">
        <f>IF(AND('131-CT'!$H$9=TH!H307,OR(O307="131",P307="131")),"x","")</f>
        <v/>
      </c>
      <c r="Y307" s="80" t="str">
        <f>IF(AND($B307&gt;='1331'!$I$9,$B307&lt;='1331'!$J$9,OR($O307=$Y$7,$P307=$Y$7)),"x","")</f>
        <v/>
      </c>
      <c r="Z307" s="80" t="str">
        <f>IF(AND($O307=$Y$7,$B307&lt;'1331'!$I$9),"x","")</f>
        <v/>
      </c>
      <c r="AA307" s="80" t="str">
        <f>IF(AND($P307=$Y$7,$B307&lt;'1331'!$I$9),"x","")</f>
        <v/>
      </c>
      <c r="AB307" s="80" t="str">
        <f>IF(AND($B307&gt;='1332'!$I$9,$B307&lt;='1332'!$I$9,OR($O307=$AB$7,$P307=$AB$7)),"x","")</f>
        <v/>
      </c>
      <c r="AC307" s="80" t="str">
        <f>IF(AND($O307=$AB$7,$B307&lt;'1332'!$I$9),"x","")</f>
        <v/>
      </c>
      <c r="AD307" s="80" t="str">
        <f>IF(AND($P307=$AB$7,$B307&lt;'1332'!$I$9),"x","")</f>
        <v/>
      </c>
      <c r="AE307" s="80" t="str">
        <f>IF(AND('341-CT'!$H$9=H307,OR(LEFT(O307,3)=$AE$7,LEFT(P307,3)=$AE$7)),"x","")</f>
        <v/>
      </c>
      <c r="AF307" s="80" t="str">
        <f>IF(OR(TH!O307=TH!$AF$7,P307=TH!$AF$7),"x","")</f>
        <v/>
      </c>
      <c r="AG307" s="80"/>
      <c r="AH307" s="80" t="str">
        <f>IF(AND(B307&gt;='IN-NX'!$P$3,B307&lt;='IN-NX'!$Q$3,'IN-NX'!$D$7=D307,OR(LEFT(L307,2)="15",AND(LEFT(M307,2)&lt;&gt;"15",LEFT(M307,2)&lt;&gt;"33"))),"x","")</f>
        <v/>
      </c>
      <c r="AI307" s="80" t="str">
        <f>IF(AND(OR(LEFT(TH!O307,2)="15",LEFT(TH!P307,2)="15"),'152-CT'!$J$8=TH!F307),"x","")</f>
        <v/>
      </c>
      <c r="AJ307" s="80" t="str">
        <f>IF(AND(OR(LEFT(TH!O307,2)="15",LEFT(TH!P307,2)="15"),'THE KHO'!$E$7=TH!F307),"x","")</f>
        <v/>
      </c>
      <c r="AK307" s="80" t="str">
        <f>IF(AND(O307="1521",MONTH(C307)='BK NL'!$M$11),"x","")</f>
        <v/>
      </c>
      <c r="AM307" s="352">
        <v>1</v>
      </c>
    </row>
    <row r="308" spans="1:39" ht="15.75" customHeight="1">
      <c r="A308" s="362" t="str">
        <f>IF(B308&lt;&gt;"",IF(AND(B308&gt;=_TM1,B308&lt;=_TM2,OR(TH!O308="1111",TH!P308="1111")),TH!D308,""),"")</f>
        <v>C21</v>
      </c>
      <c r="B308" s="63">
        <f t="shared" si="24"/>
        <v>4</v>
      </c>
      <c r="C308" s="337">
        <f t="shared" si="23"/>
        <v>42485</v>
      </c>
      <c r="D308" s="337" t="s">
        <v>187</v>
      </c>
      <c r="E308" s="337">
        <v>42485</v>
      </c>
      <c r="F308" s="338" t="s">
        <v>905</v>
      </c>
      <c r="G308" s="351" t="s">
        <v>906</v>
      </c>
      <c r="H308" s="339" t="s">
        <v>87</v>
      </c>
      <c r="I308" s="476"/>
      <c r="J308" s="476"/>
      <c r="K308" s="469"/>
      <c r="L308" s="476"/>
      <c r="M308" s="88">
        <v>540940</v>
      </c>
      <c r="N308" s="88"/>
      <c r="O308" s="1024" t="s">
        <v>10</v>
      </c>
      <c r="P308" s="340" t="s">
        <v>97</v>
      </c>
      <c r="Q308" s="66" t="str">
        <f>IF(AND('331-CT'!$E$7=TH!H308,OR(O308="331",P308="331")),"x","")</f>
        <v/>
      </c>
      <c r="R308" s="66" t="str">
        <f>IF(AND($B308&gt;='111'!$N$11,$B308&lt;='111'!$O$11,OR($O308=$R$7,$P308=$R$7)),"x","")</f>
        <v/>
      </c>
      <c r="S308" s="66" t="str">
        <f>IF(AND($O308=$R$7,$B308&lt;'111'!$N$11),"x","")</f>
        <v/>
      </c>
      <c r="T308" s="66" t="str">
        <f>IF(AND($P308=$R$7,$B308&lt;'111'!$N$11),"x","")</f>
        <v>x</v>
      </c>
      <c r="U308" s="66" t="str">
        <f>IF(AND($B308&gt;='112'!$M$9,$B308&lt;='112'!$N$9,OR($O308='112'!$I$6,$P308='112'!$I$6)),"x","")</f>
        <v/>
      </c>
      <c r="V308" s="66" t="str">
        <f>IF(AND($O308='112'!$I$6,$B308&lt;'112'!$M$9),"x","")</f>
        <v/>
      </c>
      <c r="W308" s="66" t="str">
        <f>IF(AND($P308='112'!$I$6,$B308&lt;'112'!$M$9),"x","")</f>
        <v/>
      </c>
      <c r="X308" s="66" t="str">
        <f>IF(AND('131-CT'!$H$9=TH!H308,OR(O308="131",P308="131")),"x","")</f>
        <v/>
      </c>
      <c r="Y308" s="80" t="str">
        <f>IF(AND($B308&gt;='1331'!$I$9,$B308&lt;='1331'!$J$9,OR($O308=$Y$7,$P308=$Y$7)),"x","")</f>
        <v/>
      </c>
      <c r="Z308" s="80" t="str">
        <f>IF(AND($O308=$Y$7,$B308&lt;'1331'!$I$9),"x","")</f>
        <v>x</v>
      </c>
      <c r="AA308" s="80" t="str">
        <f>IF(AND($P308=$Y$7,$B308&lt;'1331'!$I$9),"x","")</f>
        <v/>
      </c>
      <c r="AB308" s="80" t="str">
        <f>IF(AND($B308&gt;='1332'!$I$9,$B308&lt;='1332'!$I$9,OR($O308=$AB$7,$P308=$AB$7)),"x","")</f>
        <v/>
      </c>
      <c r="AC308" s="80" t="str">
        <f>IF(AND($O308=$AB$7,$B308&lt;'1332'!$I$9),"x","")</f>
        <v/>
      </c>
      <c r="AD308" s="80" t="str">
        <f>IF(AND($P308=$AB$7,$B308&lt;'1332'!$I$9),"x","")</f>
        <v/>
      </c>
      <c r="AE308" s="80" t="str">
        <f>IF(AND('341-CT'!$H$9=H308,OR(LEFT(O308,3)=$AE$7,LEFT(P308,3)=$AE$7)),"x","")</f>
        <v/>
      </c>
      <c r="AF308" s="80" t="str">
        <f>IF(OR(TH!O308=TH!$AF$7,P308=TH!$AF$7),"x","")</f>
        <v/>
      </c>
      <c r="AG308" s="80"/>
      <c r="AH308" s="80" t="str">
        <f>IF(AND(B308&gt;='IN-NX'!$P$3,B308&lt;='IN-NX'!$Q$3,'IN-NX'!$D$7=D308,OR(LEFT(L308,2)="15",AND(LEFT(M308,2)&lt;&gt;"15",LEFT(M308,2)&lt;&gt;"33"))),"x","")</f>
        <v/>
      </c>
      <c r="AI308" s="80" t="str">
        <f>IF(AND(OR(LEFT(TH!O308,2)="15",LEFT(TH!P308,2)="15"),'152-CT'!$J$8=TH!F308),"x","")</f>
        <v/>
      </c>
      <c r="AJ308" s="80" t="str">
        <f>IF(AND(OR(LEFT(TH!O308,2)="15",LEFT(TH!P308,2)="15"),'THE KHO'!$E$7=TH!F308),"x","")</f>
        <v/>
      </c>
      <c r="AK308" s="80" t="str">
        <f>IF(AND(O308="1521",MONTH(C308)='BK NL'!$M$11),"x","")</f>
        <v/>
      </c>
    </row>
    <row r="309" spans="1:39" ht="15.75" customHeight="1">
      <c r="A309" s="362" t="str">
        <f>IF(B309&lt;&gt;"",IF(AND(B309&gt;=_TM1,B309&lt;=_TM2,OR(TH!O309="1111",TH!P309="1111")),TH!D309,""),"")</f>
        <v>C22</v>
      </c>
      <c r="B309" s="63">
        <f t="shared" si="24"/>
        <v>4</v>
      </c>
      <c r="C309" s="337">
        <f t="shared" si="23"/>
        <v>42486</v>
      </c>
      <c r="D309" s="337" t="s">
        <v>188</v>
      </c>
      <c r="E309" s="337">
        <v>42486</v>
      </c>
      <c r="F309" s="338" t="s">
        <v>185</v>
      </c>
      <c r="G309" s="351" t="s">
        <v>896</v>
      </c>
      <c r="H309" s="339" t="s">
        <v>897</v>
      </c>
      <c r="I309" s="476"/>
      <c r="J309" s="476"/>
      <c r="K309" s="469"/>
      <c r="L309" s="476"/>
      <c r="M309" s="65">
        <v>2180000</v>
      </c>
      <c r="N309" s="65"/>
      <c r="O309" s="340" t="s">
        <v>242</v>
      </c>
      <c r="P309" s="340" t="s">
        <v>97</v>
      </c>
      <c r="Q309" s="66" t="str">
        <f>IF(AND('331-CT'!$E$7=TH!H309,OR(O309="331",P309="331")),"x","")</f>
        <v/>
      </c>
      <c r="R309" s="66" t="str">
        <f>IF(AND($B309&gt;='111'!$N$11,$B309&lt;='111'!$O$11,OR($O309=$R$7,$P309=$R$7)),"x","")</f>
        <v/>
      </c>
      <c r="S309" s="66" t="str">
        <f>IF(AND($O309=$R$7,$B309&lt;'111'!$N$11),"x","")</f>
        <v/>
      </c>
      <c r="T309" s="66" t="str">
        <f>IF(AND($P309=$R$7,$B309&lt;'111'!$N$11),"x","")</f>
        <v>x</v>
      </c>
      <c r="U309" s="66" t="str">
        <f>IF(AND($B309&gt;='112'!$M$9,$B309&lt;='112'!$N$9,OR($O309='112'!$I$6,$P309='112'!$I$6)),"x","")</f>
        <v/>
      </c>
      <c r="V309" s="66" t="str">
        <f>IF(AND($O309='112'!$I$6,$B309&lt;'112'!$M$9),"x","")</f>
        <v/>
      </c>
      <c r="W309" s="66" t="str">
        <f>IF(AND($P309='112'!$I$6,$B309&lt;'112'!$M$9),"x","")</f>
        <v/>
      </c>
      <c r="X309" s="66" t="str">
        <f>IF(AND('131-CT'!$H$9=TH!H309,OR(O309="131",P309="131")),"x","")</f>
        <v/>
      </c>
      <c r="Y309" s="80" t="str">
        <f>IF(AND($B309&gt;='1331'!$I$9,$B309&lt;='1331'!$J$9,OR($O309=$Y$7,$P309=$Y$7)),"x","")</f>
        <v/>
      </c>
      <c r="Z309" s="80" t="str">
        <f>IF(AND($O309=$Y$7,$B309&lt;'1331'!$I$9),"x","")</f>
        <v/>
      </c>
      <c r="AA309" s="80" t="str">
        <f>IF(AND($P309=$Y$7,$B309&lt;'1331'!$I$9),"x","")</f>
        <v/>
      </c>
      <c r="AB309" s="80" t="str">
        <f>IF(AND($B309&gt;='1332'!$I$9,$B309&lt;='1332'!$I$9,OR($O309=$AB$7,$P309=$AB$7)),"x","")</f>
        <v/>
      </c>
      <c r="AC309" s="80" t="str">
        <f>IF(AND($O309=$AB$7,$B309&lt;'1332'!$I$9),"x","")</f>
        <v/>
      </c>
      <c r="AD309" s="80" t="str">
        <f>IF(AND($P309=$AB$7,$B309&lt;'1332'!$I$9),"x","")</f>
        <v/>
      </c>
      <c r="AE309" s="80" t="str">
        <f>IF(AND('341-CT'!$H$9=H309,OR(LEFT(O309,3)=$AE$7,LEFT(P309,3)=$AE$7)),"x","")</f>
        <v/>
      </c>
      <c r="AF309" s="80" t="str">
        <f>IF(OR(TH!O309=TH!$AF$7,P309=TH!$AF$7),"x","")</f>
        <v/>
      </c>
      <c r="AG309" s="80"/>
      <c r="AH309" s="80" t="str">
        <f>IF(AND(B309&gt;='IN-NX'!$P$3,B309&lt;='IN-NX'!$Q$3,'IN-NX'!$D$7=D309,OR(LEFT(L309,2)="15",AND(LEFT(M309,2)&lt;&gt;"15",LEFT(M309,2)&lt;&gt;"33"))),"x","")</f>
        <v/>
      </c>
      <c r="AI309" s="80" t="str">
        <f>IF(AND(OR(LEFT(TH!O309,2)="15",LEFT(TH!P309,2)="15"),'152-CT'!$J$8=TH!F309),"x","")</f>
        <v/>
      </c>
      <c r="AJ309" s="80" t="str">
        <f>IF(AND(OR(LEFT(TH!O309,2)="15",LEFT(TH!P309,2)="15"),'THE KHO'!$E$7=TH!F309),"x","")</f>
        <v/>
      </c>
      <c r="AK309" s="80" t="str">
        <f>IF(AND(O309="1521",MONTH(C309)='BK NL'!$M$11),"x","")</f>
        <v/>
      </c>
      <c r="AM309" s="352">
        <v>1</v>
      </c>
    </row>
    <row r="310" spans="1:39" ht="15.75" customHeight="1">
      <c r="A310" s="362" t="str">
        <f>IF(B310&lt;&gt;"",IF(AND(B310&gt;=_TM1,B310&lt;=_TM2,OR(TH!O310="1111",TH!P310="1111")),TH!D310,""),"")</f>
        <v/>
      </c>
      <c r="B310" s="63">
        <f t="shared" si="24"/>
        <v>4</v>
      </c>
      <c r="C310" s="337">
        <v>42486</v>
      </c>
      <c r="D310" s="337" t="s">
        <v>1017</v>
      </c>
      <c r="E310" s="337">
        <v>42471</v>
      </c>
      <c r="F310" s="338" t="s">
        <v>933</v>
      </c>
      <c r="G310" s="1025" t="s">
        <v>942</v>
      </c>
      <c r="H310" s="339" t="s">
        <v>221</v>
      </c>
      <c r="I310" s="476"/>
      <c r="J310" s="476"/>
      <c r="K310" s="469"/>
      <c r="L310" s="476"/>
      <c r="M310" s="65">
        <v>46496600</v>
      </c>
      <c r="N310" s="65"/>
      <c r="O310" s="340" t="s">
        <v>135</v>
      </c>
      <c r="P310" s="340" t="s">
        <v>9</v>
      </c>
      <c r="Q310" s="66" t="str">
        <f>IF(AND('331-CT'!$E$7=TH!H310,OR(O310="331",P310="331")),"x","")</f>
        <v/>
      </c>
      <c r="R310" s="66" t="str">
        <f>IF(AND($B310&gt;='111'!$N$11,$B310&lt;='111'!$O$11,OR($O310=$R$7,$P310=$R$7)),"x","")</f>
        <v/>
      </c>
      <c r="S310" s="66" t="str">
        <f>IF(AND($O310=$R$7,$B310&lt;'111'!$N$11),"x","")</f>
        <v/>
      </c>
      <c r="T310" s="66" t="str">
        <f>IF(AND($P310=$R$7,$B310&lt;'111'!$N$11),"x","")</f>
        <v/>
      </c>
      <c r="U310" s="66" t="str">
        <f>IF(AND($B310&gt;='112'!$M$9,$B310&lt;='112'!$N$9,OR($O310='112'!$I$6,$P310='112'!$I$6)),"x","")</f>
        <v/>
      </c>
      <c r="V310" s="66" t="str">
        <f>IF(AND($O310='112'!$I$6,$B310&lt;'112'!$M$9),"x","")</f>
        <v/>
      </c>
      <c r="W310" s="66" t="str">
        <f>IF(AND($P310='112'!$I$6,$B310&lt;'112'!$M$9),"x","")</f>
        <v/>
      </c>
      <c r="X310" s="66" t="str">
        <f>IF(AND('131-CT'!$H$9=TH!H310,OR(O310="131",P310="131")),"x","")</f>
        <v/>
      </c>
      <c r="Y310" s="80" t="str">
        <f>IF(AND($B310&gt;='1331'!$I$9,$B310&lt;='1331'!$J$9,OR($O310=$Y$7,$P310=$Y$7)),"x","")</f>
        <v/>
      </c>
      <c r="Z310" s="80" t="str">
        <f>IF(AND($O310=$Y$7,$B310&lt;'1331'!$I$9),"x","")</f>
        <v/>
      </c>
      <c r="AA310" s="80" t="str">
        <f>IF(AND($P310=$Y$7,$B310&lt;'1331'!$I$9),"x","")</f>
        <v/>
      </c>
      <c r="AB310" s="80" t="str">
        <f>IF(AND($B310&gt;='1332'!$I$9,$B310&lt;='1332'!$I$9,OR($O310=$AB$7,$P310=$AB$7)),"x","")</f>
        <v/>
      </c>
      <c r="AC310" s="80" t="str">
        <f>IF(AND($O310=$AB$7,$B310&lt;'1332'!$I$9),"x","")</f>
        <v/>
      </c>
      <c r="AD310" s="80" t="str">
        <f>IF(AND($P310=$AB$7,$B310&lt;'1332'!$I$9),"x","")</f>
        <v/>
      </c>
      <c r="AE310" s="80" t="str">
        <f>IF(AND('341-CT'!$H$9=H310,OR(LEFT(O310,3)=$AE$7,LEFT(P310,3)=$AE$7)),"x","")</f>
        <v/>
      </c>
      <c r="AF310" s="80" t="str">
        <f>IF(OR(TH!O310=TH!$AF$7,P310=TH!$AF$7),"x","")</f>
        <v/>
      </c>
      <c r="AG310" s="80"/>
      <c r="AH310" s="80" t="str">
        <f>IF(AND(B310&gt;='IN-NX'!$P$3,B310&lt;='IN-NX'!$Q$3,'IN-NX'!$D$7=D310,OR(LEFT(L310,2)="15",AND(LEFT(M310,2)&lt;&gt;"15",LEFT(M310,2)&lt;&gt;"33"))),"x","")</f>
        <v/>
      </c>
      <c r="AI310" s="80" t="str">
        <f>IF(AND(OR(LEFT(TH!O310,2)="15",LEFT(TH!P310,2)="15"),'152-CT'!$J$8=TH!F310),"x","")</f>
        <v/>
      </c>
      <c r="AJ310" s="80" t="str">
        <f>IF(AND(OR(LEFT(TH!O310,2)="15",LEFT(TH!P310,2)="15"),'THE KHO'!$E$7=TH!F310),"x","")</f>
        <v/>
      </c>
      <c r="AK310" s="80" t="str">
        <f>IF(AND(O310="1521",MONTH(C310)='BK NL'!$M$11),"x","")</f>
        <v/>
      </c>
      <c r="AM310" s="352">
        <v>1</v>
      </c>
    </row>
    <row r="311" spans="1:39" ht="15.75" customHeight="1">
      <c r="A311" s="362" t="str">
        <f>IF(B311&lt;&gt;"",IF(AND(B311&gt;=_TM1,B311&lt;=_TM2,OR(TH!O311="1111",TH!P311="1111")),TH!D311,""),"")</f>
        <v/>
      </c>
      <c r="B311" s="63">
        <f t="shared" si="24"/>
        <v>4</v>
      </c>
      <c r="C311" s="337">
        <v>42486</v>
      </c>
      <c r="D311" s="337" t="s">
        <v>1017</v>
      </c>
      <c r="E311" s="337">
        <v>42471</v>
      </c>
      <c r="F311" s="338" t="s">
        <v>934</v>
      </c>
      <c r="G311" s="1025" t="s">
        <v>942</v>
      </c>
      <c r="H311" s="339" t="s">
        <v>221</v>
      </c>
      <c r="I311" s="476"/>
      <c r="J311" s="476"/>
      <c r="K311" s="469"/>
      <c r="L311" s="476"/>
      <c r="M311" s="88">
        <v>4649660</v>
      </c>
      <c r="N311" s="88"/>
      <c r="O311" s="340" t="s">
        <v>10</v>
      </c>
      <c r="P311" s="340" t="s">
        <v>9</v>
      </c>
      <c r="Q311" s="66" t="str">
        <f>IF(AND('331-CT'!$E$7=TH!H311,OR(O311="331",P311="331")),"x","")</f>
        <v/>
      </c>
      <c r="R311" s="66" t="str">
        <f>IF(AND($B311&gt;='111'!$N$11,$B311&lt;='111'!$O$11,OR($O311=$R$7,$P311=$R$7)),"x","")</f>
        <v/>
      </c>
      <c r="S311" s="66" t="str">
        <f>IF(AND($O311=$R$7,$B311&lt;'111'!$N$11),"x","")</f>
        <v/>
      </c>
      <c r="T311" s="66" t="str">
        <f>IF(AND($P311=$R$7,$B311&lt;'111'!$N$11),"x","")</f>
        <v/>
      </c>
      <c r="U311" s="66" t="str">
        <f>IF(AND($B311&gt;='112'!$M$9,$B311&lt;='112'!$N$9,OR($O311='112'!$I$6,$P311='112'!$I$6)),"x","")</f>
        <v/>
      </c>
      <c r="V311" s="66" t="str">
        <f>IF(AND($O311='112'!$I$6,$B311&lt;'112'!$M$9),"x","")</f>
        <v/>
      </c>
      <c r="W311" s="66" t="str">
        <f>IF(AND($P311='112'!$I$6,$B311&lt;'112'!$M$9),"x","")</f>
        <v/>
      </c>
      <c r="X311" s="66" t="str">
        <f>IF(AND('131-CT'!$H$9=TH!H311,OR(O311="131",P311="131")),"x","")</f>
        <v/>
      </c>
      <c r="Y311" s="80" t="str">
        <f>IF(AND($B311&gt;='1331'!$I$9,$B311&lt;='1331'!$J$9,OR($O311=$Y$7,$P311=$Y$7)),"x","")</f>
        <v/>
      </c>
      <c r="Z311" s="80" t="str">
        <f>IF(AND($O311=$Y$7,$B311&lt;'1331'!$I$9),"x","")</f>
        <v>x</v>
      </c>
      <c r="AA311" s="80" t="str">
        <f>IF(AND($P311=$Y$7,$B311&lt;'1331'!$I$9),"x","")</f>
        <v/>
      </c>
      <c r="AB311" s="80" t="str">
        <f>IF(AND($B311&gt;='1332'!$I$9,$B311&lt;='1332'!$I$9,OR($O311=$AB$7,$P311=$AB$7)),"x","")</f>
        <v/>
      </c>
      <c r="AC311" s="80" t="str">
        <f>IF(AND($O311=$AB$7,$B311&lt;'1332'!$I$9),"x","")</f>
        <v/>
      </c>
      <c r="AD311" s="80" t="str">
        <f>IF(AND($P311=$AB$7,$B311&lt;'1332'!$I$9),"x","")</f>
        <v/>
      </c>
      <c r="AE311" s="80" t="str">
        <f>IF(AND('341-CT'!$H$9=H311,OR(LEFT(O311,3)=$AE$7,LEFT(P311,3)=$AE$7)),"x","")</f>
        <v/>
      </c>
      <c r="AF311" s="80" t="str">
        <f>IF(OR(TH!O311=TH!$AF$7,P311=TH!$AF$7),"x","")</f>
        <v/>
      </c>
      <c r="AG311" s="80"/>
      <c r="AH311" s="80" t="str">
        <f>IF(AND(B311&gt;='IN-NX'!$P$3,B311&lt;='IN-NX'!$Q$3,'IN-NX'!$D$7=D311,OR(LEFT(L311,2)="15",AND(LEFT(M311,2)&lt;&gt;"15",LEFT(M311,2)&lt;&gt;"33"))),"x","")</f>
        <v/>
      </c>
      <c r="AI311" s="80" t="str">
        <f>IF(AND(OR(LEFT(TH!O311,2)="15",LEFT(TH!P311,2)="15"),'152-CT'!$J$8=TH!F311),"x","")</f>
        <v/>
      </c>
      <c r="AJ311" s="80" t="str">
        <f>IF(AND(OR(LEFT(TH!O311,2)="15",LEFT(TH!P311,2)="15"),'THE KHO'!$E$7=TH!F311),"x","")</f>
        <v/>
      </c>
      <c r="AK311" s="80" t="str">
        <f>IF(AND(O311="1521",MONTH(C311)='BK NL'!$M$11),"x","")</f>
        <v/>
      </c>
    </row>
    <row r="312" spans="1:39" ht="15.75" customHeight="1">
      <c r="A312" s="362" t="str">
        <f>IF(B312&lt;&gt;"",IF(AND(B312&gt;=_TM1,B312&lt;=_TM2,OR(TH!O312="1111",TH!P312="1111")),TH!D312,""),"")</f>
        <v/>
      </c>
      <c r="B312" s="63">
        <f t="shared" si="24"/>
        <v>4</v>
      </c>
      <c r="C312" s="337">
        <v>42486</v>
      </c>
      <c r="D312" s="337" t="s">
        <v>1017</v>
      </c>
      <c r="E312" s="337">
        <v>42486</v>
      </c>
      <c r="F312" s="338" t="s">
        <v>935</v>
      </c>
      <c r="G312" s="351" t="s">
        <v>941</v>
      </c>
      <c r="H312" s="339" t="s">
        <v>221</v>
      </c>
      <c r="I312" s="476"/>
      <c r="J312" s="476"/>
      <c r="K312" s="469"/>
      <c r="L312" s="476"/>
      <c r="M312" s="65">
        <v>37564400</v>
      </c>
      <c r="N312" s="65"/>
      <c r="O312" s="340" t="s">
        <v>135</v>
      </c>
      <c r="P312" s="340" t="s">
        <v>9</v>
      </c>
      <c r="Q312" s="66" t="str">
        <f>IF(AND('331-CT'!$E$7=TH!H312,OR(O312="331",P312="331")),"x","")</f>
        <v/>
      </c>
      <c r="R312" s="66" t="str">
        <f>IF(AND($B312&gt;='111'!$N$11,$B312&lt;='111'!$O$11,OR($O312=$R$7,$P312=$R$7)),"x","")</f>
        <v/>
      </c>
      <c r="S312" s="66" t="str">
        <f>IF(AND($O312=$R$7,$B312&lt;'111'!$N$11),"x","")</f>
        <v/>
      </c>
      <c r="T312" s="66" t="str">
        <f>IF(AND($P312=$R$7,$B312&lt;'111'!$N$11),"x","")</f>
        <v/>
      </c>
      <c r="U312" s="66" t="str">
        <f>IF(AND($B312&gt;='112'!$M$9,$B312&lt;='112'!$N$9,OR($O312='112'!$I$6,$P312='112'!$I$6)),"x","")</f>
        <v/>
      </c>
      <c r="V312" s="66" t="str">
        <f>IF(AND($O312='112'!$I$6,$B312&lt;'112'!$M$9),"x","")</f>
        <v/>
      </c>
      <c r="W312" s="66" t="str">
        <f>IF(AND($P312='112'!$I$6,$B312&lt;'112'!$M$9),"x","")</f>
        <v/>
      </c>
      <c r="X312" s="66" t="str">
        <f>IF(AND('131-CT'!$H$9=TH!H312,OR(O312="131",P312="131")),"x","")</f>
        <v/>
      </c>
      <c r="Y312" s="80" t="str">
        <f>IF(AND($B312&gt;='1331'!$I$9,$B312&lt;='1331'!$J$9,OR($O312=$Y$7,$P312=$Y$7)),"x","")</f>
        <v/>
      </c>
      <c r="Z312" s="80" t="str">
        <f>IF(AND($O312=$Y$7,$B312&lt;'1331'!$I$9),"x","")</f>
        <v/>
      </c>
      <c r="AA312" s="80" t="str">
        <f>IF(AND($P312=$Y$7,$B312&lt;'1331'!$I$9),"x","")</f>
        <v/>
      </c>
      <c r="AB312" s="80" t="str">
        <f>IF(AND($B312&gt;='1332'!$I$9,$B312&lt;='1332'!$I$9,OR($O312=$AB$7,$P312=$AB$7)),"x","")</f>
        <v/>
      </c>
      <c r="AC312" s="80" t="str">
        <f>IF(AND($O312=$AB$7,$B312&lt;'1332'!$I$9),"x","")</f>
        <v/>
      </c>
      <c r="AD312" s="80" t="str">
        <f>IF(AND($P312=$AB$7,$B312&lt;'1332'!$I$9),"x","")</f>
        <v/>
      </c>
      <c r="AE312" s="80" t="str">
        <f>IF(AND('341-CT'!$H$9=H312,OR(LEFT(O312,3)=$AE$7,LEFT(P312,3)=$AE$7)),"x","")</f>
        <v/>
      </c>
      <c r="AF312" s="80" t="str">
        <f>IF(OR(TH!O312=TH!$AF$7,P312=TH!$AF$7),"x","")</f>
        <v/>
      </c>
      <c r="AG312" s="80"/>
      <c r="AH312" s="80" t="str">
        <f>IF(AND(B312&gt;='IN-NX'!$P$3,B312&lt;='IN-NX'!$Q$3,'IN-NX'!$D$7=D312,OR(LEFT(L312,2)="15",AND(LEFT(M312,2)&lt;&gt;"15",LEFT(M312,2)&lt;&gt;"33"))),"x","")</f>
        <v/>
      </c>
      <c r="AI312" s="80" t="str">
        <f>IF(AND(OR(LEFT(TH!O312,2)="15",LEFT(TH!P312,2)="15"),'152-CT'!$J$8=TH!F312),"x","")</f>
        <v/>
      </c>
      <c r="AJ312" s="80" t="str">
        <f>IF(AND(OR(LEFT(TH!O312,2)="15",LEFT(TH!P312,2)="15"),'THE KHO'!$E$7=TH!F312),"x","")</f>
        <v/>
      </c>
      <c r="AK312" s="80" t="str">
        <f>IF(AND(O312="1521",MONTH(C312)='BK NL'!$M$11),"x","")</f>
        <v/>
      </c>
      <c r="AM312" s="352">
        <v>1</v>
      </c>
    </row>
    <row r="313" spans="1:39" ht="15.75" customHeight="1">
      <c r="A313" s="362" t="str">
        <f>IF(B313&lt;&gt;"",IF(AND(B313&gt;=_TM1,B313&lt;=_TM2,OR(TH!O313="1111",TH!P313="1111")),TH!D313,""),"")</f>
        <v/>
      </c>
      <c r="B313" s="63">
        <f t="shared" si="24"/>
        <v>4</v>
      </c>
      <c r="C313" s="337">
        <v>42486</v>
      </c>
      <c r="D313" s="337" t="s">
        <v>1017</v>
      </c>
      <c r="E313" s="337">
        <v>42486</v>
      </c>
      <c r="F313" s="338" t="s">
        <v>936</v>
      </c>
      <c r="G313" s="351" t="s">
        <v>941</v>
      </c>
      <c r="H313" s="339" t="s">
        <v>221</v>
      </c>
      <c r="I313" s="476"/>
      <c r="J313" s="476"/>
      <c r="K313" s="469"/>
      <c r="L313" s="476"/>
      <c r="M313" s="88">
        <v>3756440</v>
      </c>
      <c r="N313" s="88"/>
      <c r="O313" s="340" t="s">
        <v>10</v>
      </c>
      <c r="P313" s="340" t="s">
        <v>9</v>
      </c>
      <c r="Q313" s="66" t="str">
        <f>IF(AND('331-CT'!$E$7=TH!H313,OR(O313="331",P313="331")),"x","")</f>
        <v/>
      </c>
      <c r="R313" s="66" t="str">
        <f>IF(AND($B313&gt;='111'!$N$11,$B313&lt;='111'!$O$11,OR($O313=$R$7,$P313=$R$7)),"x","")</f>
        <v/>
      </c>
      <c r="S313" s="66" t="str">
        <f>IF(AND($O313=$R$7,$B313&lt;'111'!$N$11),"x","")</f>
        <v/>
      </c>
      <c r="T313" s="66" t="str">
        <f>IF(AND($P313=$R$7,$B313&lt;'111'!$N$11),"x","")</f>
        <v/>
      </c>
      <c r="U313" s="66" t="str">
        <f>IF(AND($B313&gt;='112'!$M$9,$B313&lt;='112'!$N$9,OR($O313='112'!$I$6,$P313='112'!$I$6)),"x","")</f>
        <v/>
      </c>
      <c r="V313" s="66" t="str">
        <f>IF(AND($O313='112'!$I$6,$B313&lt;'112'!$M$9),"x","")</f>
        <v/>
      </c>
      <c r="W313" s="66" t="str">
        <f>IF(AND($P313='112'!$I$6,$B313&lt;'112'!$M$9),"x","")</f>
        <v/>
      </c>
      <c r="X313" s="66" t="str">
        <f>IF(AND('131-CT'!$H$9=TH!H313,OR(O313="131",P313="131")),"x","")</f>
        <v/>
      </c>
      <c r="Y313" s="80" t="str">
        <f>IF(AND($B313&gt;='1331'!$I$9,$B313&lt;='1331'!$J$9,OR($O313=$Y$7,$P313=$Y$7)),"x","")</f>
        <v/>
      </c>
      <c r="Z313" s="80" t="str">
        <f>IF(AND($O313=$Y$7,$B313&lt;'1331'!$I$9),"x","")</f>
        <v>x</v>
      </c>
      <c r="AA313" s="80" t="str">
        <f>IF(AND($P313=$Y$7,$B313&lt;'1331'!$I$9),"x","")</f>
        <v/>
      </c>
      <c r="AB313" s="80" t="str">
        <f>IF(AND($B313&gt;='1332'!$I$9,$B313&lt;='1332'!$I$9,OR($O313=$AB$7,$P313=$AB$7)),"x","")</f>
        <v/>
      </c>
      <c r="AC313" s="80" t="str">
        <f>IF(AND($O313=$AB$7,$B313&lt;'1332'!$I$9),"x","")</f>
        <v/>
      </c>
      <c r="AD313" s="80" t="str">
        <f>IF(AND($P313=$AB$7,$B313&lt;'1332'!$I$9),"x","")</f>
        <v/>
      </c>
      <c r="AE313" s="80" t="str">
        <f>IF(AND('341-CT'!$H$9=H313,OR(LEFT(O313,3)=$AE$7,LEFT(P313,3)=$AE$7)),"x","")</f>
        <v/>
      </c>
      <c r="AF313" s="80" t="str">
        <f>IF(OR(TH!O313=TH!$AF$7,P313=TH!$AF$7),"x","")</f>
        <v/>
      </c>
      <c r="AG313" s="80"/>
      <c r="AH313" s="80" t="str">
        <f>IF(AND(B313&gt;='IN-NX'!$P$3,B313&lt;='IN-NX'!$Q$3,'IN-NX'!$D$7=D313,OR(LEFT(L313,2)="15",AND(LEFT(M313,2)&lt;&gt;"15",LEFT(M313,2)&lt;&gt;"33"))),"x","")</f>
        <v/>
      </c>
      <c r="AI313" s="80" t="str">
        <f>IF(AND(OR(LEFT(TH!O313,2)="15",LEFT(TH!P313,2)="15"),'152-CT'!$J$8=TH!F313),"x","")</f>
        <v/>
      </c>
      <c r="AJ313" s="80" t="str">
        <f>IF(AND(OR(LEFT(TH!O313,2)="15",LEFT(TH!P313,2)="15"),'THE KHO'!$E$7=TH!F313),"x","")</f>
        <v/>
      </c>
      <c r="AK313" s="80" t="str">
        <f>IF(AND(O313="1521",MONTH(C313)='BK NL'!$M$11),"x","")</f>
        <v/>
      </c>
      <c r="AM313" s="352">
        <v>1</v>
      </c>
    </row>
    <row r="314" spans="1:39" ht="15.75" customHeight="1">
      <c r="A314" s="362" t="str">
        <f>IF(B314&lt;&gt;"",IF(AND(B314&gt;=_TM1,B314&lt;=_TM2,OR(TH!O314="1111",TH!P314="1111")),TH!D314,""),"")</f>
        <v>C23</v>
      </c>
      <c r="B314" s="63">
        <f t="shared" si="24"/>
        <v>4</v>
      </c>
      <c r="C314" s="337">
        <f t="shared" ref="C314:C355" si="25">E314</f>
        <v>42487</v>
      </c>
      <c r="D314" s="337" t="s">
        <v>189</v>
      </c>
      <c r="E314" s="337">
        <v>42487</v>
      </c>
      <c r="F314" s="338" t="s">
        <v>185</v>
      </c>
      <c r="G314" s="351" t="s">
        <v>898</v>
      </c>
      <c r="H314" s="339" t="s">
        <v>841</v>
      </c>
      <c r="I314" s="476"/>
      <c r="J314" s="476"/>
      <c r="K314" s="469"/>
      <c r="L314" s="476"/>
      <c r="M314" s="65">
        <v>1500000</v>
      </c>
      <c r="N314" s="65"/>
      <c r="O314" s="340" t="s">
        <v>242</v>
      </c>
      <c r="P314" s="340" t="s">
        <v>97</v>
      </c>
      <c r="Q314" s="66" t="str">
        <f>IF(AND('331-CT'!$E$7=TH!H314,OR(O314="331",P314="331")),"x","")</f>
        <v/>
      </c>
      <c r="R314" s="66" t="str">
        <f>IF(AND($B314&gt;='111'!$N$11,$B314&lt;='111'!$O$11,OR($O314=$R$7,$P314=$R$7)),"x","")</f>
        <v/>
      </c>
      <c r="S314" s="66" t="str">
        <f>IF(AND($O314=$R$7,$B314&lt;'111'!$N$11),"x","")</f>
        <v/>
      </c>
      <c r="T314" s="66" t="str">
        <f>IF(AND($P314=$R$7,$B314&lt;'111'!$N$11),"x","")</f>
        <v>x</v>
      </c>
      <c r="U314" s="66" t="str">
        <f>IF(AND($B314&gt;='112'!$M$9,$B314&lt;='112'!$N$9,OR($O314='112'!$I$6,$P314='112'!$I$6)),"x","")</f>
        <v/>
      </c>
      <c r="V314" s="66" t="str">
        <f>IF(AND($O314='112'!$I$6,$B314&lt;'112'!$M$9),"x","")</f>
        <v/>
      </c>
      <c r="W314" s="66" t="str">
        <f>IF(AND($P314='112'!$I$6,$B314&lt;'112'!$M$9),"x","")</f>
        <v/>
      </c>
      <c r="X314" s="66" t="str">
        <f>IF(AND('131-CT'!$H$9=TH!H314,OR(O314="131",P314="131")),"x","")</f>
        <v/>
      </c>
      <c r="Y314" s="80" t="str">
        <f>IF(AND($B314&gt;='1331'!$I$9,$B314&lt;='1331'!$J$9,OR($O314=$Y$7,$P314=$Y$7)),"x","")</f>
        <v/>
      </c>
      <c r="Z314" s="80" t="str">
        <f>IF(AND($O314=$Y$7,$B314&lt;'1331'!$I$9),"x","")</f>
        <v/>
      </c>
      <c r="AA314" s="80" t="str">
        <f>IF(AND($P314=$Y$7,$B314&lt;'1331'!$I$9),"x","")</f>
        <v/>
      </c>
      <c r="AB314" s="80" t="str">
        <f>IF(AND($B314&gt;='1332'!$I$9,$B314&lt;='1332'!$I$9,OR($O314=$AB$7,$P314=$AB$7)),"x","")</f>
        <v/>
      </c>
      <c r="AC314" s="80" t="str">
        <f>IF(AND($O314=$AB$7,$B314&lt;'1332'!$I$9),"x","")</f>
        <v/>
      </c>
      <c r="AD314" s="80" t="str">
        <f>IF(AND($P314=$AB$7,$B314&lt;'1332'!$I$9),"x","")</f>
        <v/>
      </c>
      <c r="AE314" s="80" t="str">
        <f>IF(AND('341-CT'!$H$9=H314,OR(LEFT(O314,3)=$AE$7,LEFT(P314,3)=$AE$7)),"x","")</f>
        <v/>
      </c>
      <c r="AF314" s="80" t="str">
        <f>IF(OR(TH!O314=TH!$AF$7,P314=TH!$AF$7),"x","")</f>
        <v/>
      </c>
      <c r="AG314" s="80"/>
      <c r="AH314" s="80" t="str">
        <f>IF(AND(B314&gt;='IN-NX'!$P$3,B314&lt;='IN-NX'!$Q$3,'IN-NX'!$D$7=D314,OR(LEFT(L314,2)="15",AND(LEFT(M314,2)&lt;&gt;"15",LEFT(M314,2)&lt;&gt;"33"))),"x","")</f>
        <v/>
      </c>
      <c r="AI314" s="80" t="str">
        <f>IF(AND(OR(LEFT(TH!O314,2)="15",LEFT(TH!P314,2)="15"),'152-CT'!$J$8=TH!F314),"x","")</f>
        <v/>
      </c>
      <c r="AJ314" s="80" t="str">
        <f>IF(AND(OR(LEFT(TH!O314,2)="15",LEFT(TH!P314,2)="15"),'THE KHO'!$E$7=TH!F314),"x","")</f>
        <v/>
      </c>
      <c r="AK314" s="80" t="str">
        <f>IF(AND(O314="1521",MONTH(C314)='BK NL'!$M$11),"x","")</f>
        <v/>
      </c>
    </row>
    <row r="315" spans="1:39" ht="15.75" customHeight="1">
      <c r="A315" s="362" t="str">
        <f>IF(B315&lt;&gt;"",IF(AND(B315&gt;=_TM1,B315&lt;=_TM2,OR(TH!O315="1111",TH!P315="1111")),TH!D315,""),"")</f>
        <v>C24</v>
      </c>
      <c r="B315" s="63">
        <f t="shared" si="24"/>
        <v>4</v>
      </c>
      <c r="C315" s="337">
        <f t="shared" si="25"/>
        <v>42487</v>
      </c>
      <c r="D315" s="337" t="s">
        <v>190</v>
      </c>
      <c r="E315" s="337">
        <v>42487</v>
      </c>
      <c r="F315" s="338" t="s">
        <v>410</v>
      </c>
      <c r="G315" s="1022" t="s">
        <v>798</v>
      </c>
      <c r="H315" s="369" t="s">
        <v>825</v>
      </c>
      <c r="I315" s="479"/>
      <c r="J315" s="479"/>
      <c r="K315" s="472"/>
      <c r="L315" s="479"/>
      <c r="M315" s="65">
        <v>47000000</v>
      </c>
      <c r="N315" s="65"/>
      <c r="O315" s="340" t="s">
        <v>31</v>
      </c>
      <c r="P315" s="340" t="s">
        <v>97</v>
      </c>
      <c r="Q315" s="66" t="str">
        <f>IF(AND('331-CT'!$E$7=TH!H315,OR(O315="331",P315="331")),"x","")</f>
        <v/>
      </c>
      <c r="R315" s="66" t="str">
        <f>IF(AND($B315&gt;='111'!$N$11,$B315&lt;='111'!$O$11,OR($O315=$R$7,$P315=$R$7)),"x","")</f>
        <v/>
      </c>
      <c r="S315" s="66" t="str">
        <f>IF(AND($O315=$R$7,$B315&lt;'111'!$N$11),"x","")</f>
        <v/>
      </c>
      <c r="T315" s="66" t="str">
        <f>IF(AND($P315=$R$7,$B315&lt;'111'!$N$11),"x","")</f>
        <v>x</v>
      </c>
      <c r="U315" s="66" t="str">
        <f>IF(AND($B315&gt;='112'!$M$9,$B315&lt;='112'!$N$9,OR($O315='112'!$I$6,$P315='112'!$I$6)),"x","")</f>
        <v/>
      </c>
      <c r="V315" s="66" t="str">
        <f>IF(AND($O315='112'!$I$6,$B315&lt;'112'!$M$9),"x","")</f>
        <v>x</v>
      </c>
      <c r="W315" s="66" t="str">
        <f>IF(AND($P315='112'!$I$6,$B315&lt;'112'!$M$9),"x","")</f>
        <v/>
      </c>
      <c r="X315" s="66" t="str">
        <f>IF(AND('131-CT'!$H$9=TH!H315,OR(O315="131",P315="131")),"x","")</f>
        <v/>
      </c>
      <c r="Y315" s="80" t="str">
        <f>IF(AND($B315&gt;='1331'!$I$9,$B315&lt;='1331'!$J$9,OR($O315=$Y$7,$P315=$Y$7)),"x","")</f>
        <v/>
      </c>
      <c r="Z315" s="80" t="str">
        <f>IF(AND($O315=$Y$7,$B315&lt;'1331'!$I$9),"x","")</f>
        <v/>
      </c>
      <c r="AA315" s="80" t="str">
        <f>IF(AND($P315=$Y$7,$B315&lt;'1331'!$I$9),"x","")</f>
        <v/>
      </c>
      <c r="AB315" s="80" t="str">
        <f>IF(AND($B315&gt;='1332'!$I$9,$B315&lt;='1332'!$I$9,OR($O315=$AB$7,$P315=$AB$7)),"x","")</f>
        <v/>
      </c>
      <c r="AC315" s="80" t="str">
        <f>IF(AND($O315=$AB$7,$B315&lt;'1332'!$I$9),"x","")</f>
        <v/>
      </c>
      <c r="AD315" s="80" t="str">
        <f>IF(AND($P315=$AB$7,$B315&lt;'1332'!$I$9),"x","")</f>
        <v/>
      </c>
      <c r="AE315" s="80" t="str">
        <f>IF(AND('341-CT'!$H$9=H315,OR(LEFT(O315,3)=$AE$7,LEFT(P315,3)=$AE$7)),"x","")</f>
        <v/>
      </c>
      <c r="AF315" s="80" t="str">
        <f>IF(OR(TH!O315=TH!$AF$7,P315=TH!$AF$7),"x","")</f>
        <v/>
      </c>
      <c r="AG315" s="80"/>
      <c r="AH315" s="80" t="str">
        <f>IF(AND(B315&gt;='IN-NX'!$P$3,B315&lt;='IN-NX'!$Q$3,'IN-NX'!$D$7=D315,OR(LEFT(L315,2)="15",AND(LEFT(M315,2)&lt;&gt;"15",LEFT(M315,2)&lt;&gt;"33"))),"x","")</f>
        <v/>
      </c>
      <c r="AI315" s="80" t="str">
        <f>IF(AND(OR(LEFT(TH!O315,2)="15",LEFT(TH!P315,2)="15"),'152-CT'!$J$8=TH!F315),"x","")</f>
        <v/>
      </c>
      <c r="AJ315" s="80" t="str">
        <f>IF(AND(OR(LEFT(TH!O315,2)="15",LEFT(TH!P315,2)="15"),'THE KHO'!$E$7=TH!F315),"x","")</f>
        <v/>
      </c>
      <c r="AK315" s="80" t="str">
        <f>IF(AND(O315="1521",MONTH(C315)='BK NL'!$M$11),"x","")</f>
        <v/>
      </c>
    </row>
    <row r="316" spans="1:39" ht="15.75" customHeight="1">
      <c r="A316" s="362" t="str">
        <f>IF(B316&lt;&gt;"",IF(AND(B316&gt;=_TM1,B316&lt;=_TM2,OR(TH!O316="1111",TH!P316="1111")),TH!D316,""),"")</f>
        <v/>
      </c>
      <c r="B316" s="63">
        <f t="shared" ref="B316:B347" si="26">IF(C316&lt;&gt;"",MONTH(C316),"")</f>
        <v>4</v>
      </c>
      <c r="C316" s="337">
        <f t="shared" si="25"/>
        <v>42487</v>
      </c>
      <c r="D316" s="337" t="s">
        <v>8</v>
      </c>
      <c r="E316" s="337">
        <v>42487</v>
      </c>
      <c r="F316" s="338" t="s">
        <v>957</v>
      </c>
      <c r="G316" s="351" t="s">
        <v>798</v>
      </c>
      <c r="H316" s="339" t="s">
        <v>221</v>
      </c>
      <c r="I316" s="476"/>
      <c r="J316" s="476"/>
      <c r="K316" s="469"/>
      <c r="L316" s="476"/>
      <c r="M316" s="65">
        <v>46697530</v>
      </c>
      <c r="N316" s="65"/>
      <c r="O316" s="340" t="s">
        <v>9</v>
      </c>
      <c r="P316" s="340" t="s">
        <v>31</v>
      </c>
      <c r="Q316" s="66" t="str">
        <f>IF(AND('331-CT'!$E$7=TH!H316,OR(O316="331",P316="331")),"x","")</f>
        <v/>
      </c>
      <c r="R316" s="66" t="str">
        <f>IF(AND($B316&gt;='111'!$N$11,$B316&lt;='111'!$O$11,OR($O316=$R$7,$P316=$R$7)),"x","")</f>
        <v/>
      </c>
      <c r="S316" s="66" t="str">
        <f>IF(AND($O316=$R$7,$B316&lt;'111'!$N$11),"x","")</f>
        <v/>
      </c>
      <c r="T316" s="66" t="str">
        <f>IF(AND($P316=$R$7,$B316&lt;'111'!$N$11),"x","")</f>
        <v/>
      </c>
      <c r="U316" s="66" t="str">
        <f>IF(AND($B316&gt;='112'!$M$9,$B316&lt;='112'!$N$9,OR($O316='112'!$I$6,$P316='112'!$I$6)),"x","")</f>
        <v/>
      </c>
      <c r="V316" s="66" t="str">
        <f>IF(AND($O316='112'!$I$6,$B316&lt;'112'!$M$9),"x","")</f>
        <v/>
      </c>
      <c r="W316" s="66" t="str">
        <f>IF(AND($P316='112'!$I$6,$B316&lt;'112'!$M$9),"x","")</f>
        <v>x</v>
      </c>
      <c r="X316" s="66" t="str">
        <f>IF(AND('131-CT'!$H$9=TH!H316,OR(O316="131",P316="131")),"x","")</f>
        <v/>
      </c>
      <c r="Y316" s="80" t="str">
        <f>IF(AND($B316&gt;='1331'!$I$9,$B316&lt;='1331'!$J$9,OR($O316=$Y$7,$P316=$Y$7)),"x","")</f>
        <v/>
      </c>
      <c r="Z316" s="80" t="str">
        <f>IF(AND($O316=$Y$7,$B316&lt;'1331'!$I$9),"x","")</f>
        <v/>
      </c>
      <c r="AA316" s="80" t="str">
        <f>IF(AND($P316=$Y$7,$B316&lt;'1331'!$I$9),"x","")</f>
        <v/>
      </c>
      <c r="AB316" s="80" t="str">
        <f>IF(AND($B316&gt;='1332'!$I$9,$B316&lt;='1332'!$I$9,OR($O316=$AB$7,$P316=$AB$7)),"x","")</f>
        <v/>
      </c>
      <c r="AC316" s="80" t="str">
        <f>IF(AND($O316=$AB$7,$B316&lt;'1332'!$I$9),"x","")</f>
        <v/>
      </c>
      <c r="AD316" s="80" t="str">
        <f>IF(AND($P316=$AB$7,$B316&lt;'1332'!$I$9),"x","")</f>
        <v/>
      </c>
      <c r="AE316" s="80" t="str">
        <f>IF(AND('341-CT'!$H$9=H316,OR(LEFT(O316,3)=$AE$7,LEFT(P316,3)=$AE$7)),"x","")</f>
        <v/>
      </c>
      <c r="AF316" s="80" t="str">
        <f>IF(OR(TH!O316=TH!$AF$7,P316=TH!$AF$7),"x","")</f>
        <v/>
      </c>
      <c r="AG316" s="80"/>
      <c r="AH316" s="80" t="str">
        <f>IF(AND(B316&gt;='IN-NX'!$P$3,B316&lt;='IN-NX'!$Q$3,'IN-NX'!$D$7=D316,OR(LEFT(L316,2)="15",AND(LEFT(M316,2)&lt;&gt;"15",LEFT(M316,2)&lt;&gt;"33"))),"x","")</f>
        <v/>
      </c>
      <c r="AI316" s="80" t="str">
        <f>IF(AND(OR(LEFT(TH!O316,2)="15",LEFT(TH!P316,2)="15"),'152-CT'!$J$8=TH!F316),"x","")</f>
        <v/>
      </c>
      <c r="AJ316" s="80" t="str">
        <f>IF(AND(OR(LEFT(TH!O316,2)="15",LEFT(TH!P316,2)="15"),'THE KHO'!$E$7=TH!F316),"x","")</f>
        <v/>
      </c>
      <c r="AK316" s="80" t="str">
        <f>IF(AND(O316="1521",MONTH(C316)='BK NL'!$M$11),"x","")</f>
        <v/>
      </c>
    </row>
    <row r="317" spans="1:39" ht="15.75" customHeight="1">
      <c r="A317" s="362" t="str">
        <f>IF(B317&lt;&gt;"",IF(AND(B317&gt;=_TM1,B317&lt;=_TM2,OR(TH!O317="1111",TH!P317="1111")),TH!D317,""),"")</f>
        <v/>
      </c>
      <c r="B317" s="63">
        <f t="shared" si="26"/>
        <v>4</v>
      </c>
      <c r="C317" s="337">
        <f t="shared" si="25"/>
        <v>42487</v>
      </c>
      <c r="D317" s="337" t="s">
        <v>8</v>
      </c>
      <c r="E317" s="337">
        <v>42487</v>
      </c>
      <c r="F317" s="338" t="s">
        <v>22</v>
      </c>
      <c r="G317" s="351" t="s">
        <v>798</v>
      </c>
      <c r="H317" s="368"/>
      <c r="I317" s="477"/>
      <c r="J317" s="477"/>
      <c r="K317" s="470"/>
      <c r="L317" s="477"/>
      <c r="M317" s="65">
        <v>45000</v>
      </c>
      <c r="N317" s="65"/>
      <c r="O317" s="340" t="s">
        <v>135</v>
      </c>
      <c r="P317" s="340" t="s">
        <v>31</v>
      </c>
      <c r="Q317" s="66" t="str">
        <f>IF(AND('331-CT'!$E$7=TH!H317,OR(O317="331",P317="331")),"x","")</f>
        <v/>
      </c>
      <c r="R317" s="66" t="str">
        <f>IF(AND($B317&gt;='111'!$N$11,$B317&lt;='111'!$O$11,OR($O317=$R$7,$P317=$R$7)),"x","")</f>
        <v/>
      </c>
      <c r="S317" s="66" t="str">
        <f>IF(AND($O317=$R$7,$B317&lt;'111'!$N$11),"x","")</f>
        <v/>
      </c>
      <c r="T317" s="66" t="str">
        <f>IF(AND($P317=$R$7,$B317&lt;'111'!$N$11),"x","")</f>
        <v/>
      </c>
      <c r="U317" s="66" t="str">
        <f>IF(AND($B317&gt;='112'!$M$9,$B317&lt;='112'!$N$9,OR($O317='112'!$I$6,$P317='112'!$I$6)),"x","")</f>
        <v/>
      </c>
      <c r="V317" s="66" t="str">
        <f>IF(AND($O317='112'!$I$6,$B317&lt;'112'!$M$9),"x","")</f>
        <v/>
      </c>
      <c r="W317" s="66" t="str">
        <f>IF(AND($P317='112'!$I$6,$B317&lt;'112'!$M$9),"x","")</f>
        <v>x</v>
      </c>
      <c r="X317" s="66" t="str">
        <f>IF(AND('131-CT'!$H$9=TH!H317,OR(O317="131",P317="131")),"x","")</f>
        <v/>
      </c>
      <c r="Y317" s="80" t="str">
        <f>IF(AND($B317&gt;='1331'!$I$9,$B317&lt;='1331'!$J$9,OR($O317=$Y$7,$P317=$Y$7)),"x","")</f>
        <v/>
      </c>
      <c r="Z317" s="80" t="str">
        <f>IF(AND($O317=$Y$7,$B317&lt;'1331'!$I$9),"x","")</f>
        <v/>
      </c>
      <c r="AA317" s="80" t="str">
        <f>IF(AND($P317=$Y$7,$B317&lt;'1331'!$I$9),"x","")</f>
        <v/>
      </c>
      <c r="AB317" s="80" t="str">
        <f>IF(AND($B317&gt;='1332'!$I$9,$B317&lt;='1332'!$I$9,OR($O317=$AB$7,$P317=$AB$7)),"x","")</f>
        <v/>
      </c>
      <c r="AC317" s="80" t="str">
        <f>IF(AND($O317=$AB$7,$B317&lt;'1332'!$I$9),"x","")</f>
        <v/>
      </c>
      <c r="AD317" s="80" t="str">
        <f>IF(AND($P317=$AB$7,$B317&lt;'1332'!$I$9),"x","")</f>
        <v/>
      </c>
      <c r="AE317" s="80" t="str">
        <f>IF(AND('341-CT'!$H$9=H317,OR(LEFT(O317,3)=$AE$7,LEFT(P317,3)=$AE$7)),"x","")</f>
        <v/>
      </c>
      <c r="AF317" s="80" t="str">
        <f>IF(OR(TH!O317=TH!$AF$7,P317=TH!$AF$7),"x","")</f>
        <v/>
      </c>
      <c r="AG317" s="80"/>
      <c r="AH317" s="80" t="str">
        <f>IF(AND(B317&gt;='IN-NX'!$P$3,B317&lt;='IN-NX'!$Q$3,'IN-NX'!$D$7=D317,OR(LEFT(L317,2)="15",AND(LEFT(M317,2)&lt;&gt;"15",LEFT(M317,2)&lt;&gt;"33"))),"x","")</f>
        <v/>
      </c>
      <c r="AI317" s="80" t="str">
        <f>IF(AND(OR(LEFT(TH!O317,2)="15",LEFT(TH!P317,2)="15"),'152-CT'!$J$8=TH!F317),"x","")</f>
        <v/>
      </c>
      <c r="AJ317" s="80" t="str">
        <f>IF(AND(OR(LEFT(TH!O317,2)="15",LEFT(TH!P317,2)="15"),'THE KHO'!$E$7=TH!F317),"x","")</f>
        <v/>
      </c>
      <c r="AK317" s="80" t="str">
        <f>IF(AND(O317="1521",MONTH(C317)='BK NL'!$M$11),"x","")</f>
        <v/>
      </c>
      <c r="AM317" s="352">
        <v>1</v>
      </c>
    </row>
    <row r="318" spans="1:39" ht="15.75" customHeight="1">
      <c r="A318" s="362" t="str">
        <f>IF(B318&lt;&gt;"",IF(AND(B318&gt;=_TM1,B318&lt;=_TM2,OR(TH!O318="1111",TH!P318="1111")),TH!D318,""),"")</f>
        <v/>
      </c>
      <c r="B318" s="63">
        <f t="shared" si="26"/>
        <v>4</v>
      </c>
      <c r="C318" s="337">
        <f t="shared" si="25"/>
        <v>42487</v>
      </c>
      <c r="D318" s="337" t="s">
        <v>8</v>
      </c>
      <c r="E318" s="337">
        <v>42487</v>
      </c>
      <c r="F318" s="338" t="s">
        <v>23</v>
      </c>
      <c r="G318" s="351" t="s">
        <v>798</v>
      </c>
      <c r="H318" s="339"/>
      <c r="I318" s="476"/>
      <c r="J318" s="476"/>
      <c r="K318" s="469"/>
      <c r="L318" s="476"/>
      <c r="M318" s="88">
        <v>4500</v>
      </c>
      <c r="N318" s="88"/>
      <c r="O318" s="340" t="s">
        <v>10</v>
      </c>
      <c r="P318" s="340" t="s">
        <v>31</v>
      </c>
      <c r="Q318" s="66" t="str">
        <f>IF(AND('331-CT'!$E$7=TH!H318,OR(O318="331",P318="331")),"x","")</f>
        <v/>
      </c>
      <c r="R318" s="66" t="str">
        <f>IF(AND($B318&gt;='111'!$N$11,$B318&lt;='111'!$O$11,OR($O318=$R$7,$P318=$R$7)),"x","")</f>
        <v/>
      </c>
      <c r="S318" s="66" t="str">
        <f>IF(AND($O318=$R$7,$B318&lt;'111'!$N$11),"x","")</f>
        <v/>
      </c>
      <c r="T318" s="66" t="str">
        <f>IF(AND($P318=$R$7,$B318&lt;'111'!$N$11),"x","")</f>
        <v/>
      </c>
      <c r="U318" s="66" t="str">
        <f>IF(AND($B318&gt;='112'!$M$9,$B318&lt;='112'!$N$9,OR($O318='112'!$I$6,$P318='112'!$I$6)),"x","")</f>
        <v/>
      </c>
      <c r="V318" s="66" t="str">
        <f>IF(AND($O318='112'!$I$6,$B318&lt;'112'!$M$9),"x","")</f>
        <v/>
      </c>
      <c r="W318" s="66" t="str">
        <f>IF(AND($P318='112'!$I$6,$B318&lt;'112'!$M$9),"x","")</f>
        <v>x</v>
      </c>
      <c r="X318" s="66" t="str">
        <f>IF(AND('131-CT'!$H$9=TH!H318,OR(O318="131",P318="131")),"x","")</f>
        <v/>
      </c>
      <c r="Y318" s="80" t="str">
        <f>IF(AND($B318&gt;='1331'!$I$9,$B318&lt;='1331'!$J$9,OR($O318=$Y$7,$P318=$Y$7)),"x","")</f>
        <v/>
      </c>
      <c r="Z318" s="80" t="str">
        <f>IF(AND($O318=$Y$7,$B318&lt;'1331'!$I$9),"x","")</f>
        <v>x</v>
      </c>
      <c r="AA318" s="80" t="str">
        <f>IF(AND($P318=$Y$7,$B318&lt;'1331'!$I$9),"x","")</f>
        <v/>
      </c>
      <c r="AB318" s="80" t="str">
        <f>IF(AND($B318&gt;='1332'!$I$9,$B318&lt;='1332'!$I$9,OR($O318=$AB$7,$P318=$AB$7)),"x","")</f>
        <v/>
      </c>
      <c r="AC318" s="80" t="str">
        <f>IF(AND($O318=$AB$7,$B318&lt;'1332'!$I$9),"x","")</f>
        <v/>
      </c>
      <c r="AD318" s="80" t="str">
        <f>IF(AND($P318=$AB$7,$B318&lt;'1332'!$I$9),"x","")</f>
        <v/>
      </c>
      <c r="AE318" s="80" t="str">
        <f>IF(AND('341-CT'!$H$9=H318,OR(LEFT(O318,3)=$AE$7,LEFT(P318,3)=$AE$7)),"x","")</f>
        <v/>
      </c>
      <c r="AF318" s="80" t="str">
        <f>IF(OR(TH!O318=TH!$AF$7,P318=TH!$AF$7),"x","")</f>
        <v/>
      </c>
      <c r="AG318" s="80"/>
      <c r="AH318" s="80" t="str">
        <f>IF(AND(B318&gt;='IN-NX'!$P$3,B318&lt;='IN-NX'!$Q$3,'IN-NX'!$D$7=D318,OR(LEFT(L318,2)="15",AND(LEFT(M318,2)&lt;&gt;"15",LEFT(M318,2)&lt;&gt;"33"))),"x","")</f>
        <v/>
      </c>
      <c r="AI318" s="80" t="str">
        <f>IF(AND(OR(LEFT(TH!O318,2)="15",LEFT(TH!P318,2)="15"),'152-CT'!$J$8=TH!F318),"x","")</f>
        <v/>
      </c>
      <c r="AJ318" s="80" t="str">
        <f>IF(AND(OR(LEFT(TH!O318,2)="15",LEFT(TH!P318,2)="15"),'THE KHO'!$E$7=TH!F318),"x","")</f>
        <v/>
      </c>
      <c r="AK318" s="80" t="str">
        <f>IF(AND(O318="1521",MONTH(C318)='BK NL'!$M$11),"x","")</f>
        <v/>
      </c>
      <c r="AM318" s="352">
        <v>1</v>
      </c>
    </row>
    <row r="319" spans="1:39" ht="15.75" customHeight="1">
      <c r="A319" s="362" t="str">
        <f>IF(B319&lt;&gt;"",IF(AND(B319&gt;=_TM1,B319&lt;=_TM2,OR(TH!O319="1111",TH!P319="1111")),TH!D319,""),"")</f>
        <v>T01</v>
      </c>
      <c r="B319" s="63">
        <f t="shared" si="26"/>
        <v>5</v>
      </c>
      <c r="C319" s="337">
        <f t="shared" si="25"/>
        <v>42491</v>
      </c>
      <c r="D319" s="337" t="s">
        <v>11</v>
      </c>
      <c r="E319" s="337">
        <v>42491</v>
      </c>
      <c r="F319" s="338" t="s">
        <v>788</v>
      </c>
      <c r="G319" s="351" t="s">
        <v>798</v>
      </c>
      <c r="H319" s="338" t="s">
        <v>182</v>
      </c>
      <c r="I319" s="476"/>
      <c r="J319" s="476"/>
      <c r="K319" s="469"/>
      <c r="L319" s="476"/>
      <c r="M319" s="65">
        <v>1000000000</v>
      </c>
      <c r="N319" s="65"/>
      <c r="O319" s="340" t="s">
        <v>97</v>
      </c>
      <c r="P319" s="340" t="s">
        <v>24</v>
      </c>
      <c r="Q319" s="66" t="str">
        <f>IF(AND('331-CT'!$E$7=TH!H319,OR(O319="331",P319="331")),"x","")</f>
        <v/>
      </c>
      <c r="R319" s="66" t="str">
        <f>IF(AND($B319&gt;='111'!$N$11,$B319&lt;='111'!$O$11,OR($O319=$R$7,$P319=$R$7)),"x","")</f>
        <v/>
      </c>
      <c r="S319" s="66" t="str">
        <f>IF(AND($O319=$R$7,$B319&lt;'111'!$N$11),"x","")</f>
        <v>x</v>
      </c>
      <c r="T319" s="66" t="str">
        <f>IF(AND($P319=$R$7,$B319&lt;'111'!$N$11),"x","")</f>
        <v/>
      </c>
      <c r="U319" s="66" t="str">
        <f>IF(AND($B319&gt;='112'!$M$9,$B319&lt;='112'!$N$9,OR($O319='112'!$I$6,$P319='112'!$I$6)),"x","")</f>
        <v/>
      </c>
      <c r="V319" s="66" t="str">
        <f>IF(AND($O319='112'!$I$6,$B319&lt;'112'!$M$9),"x","")</f>
        <v/>
      </c>
      <c r="W319" s="66" t="str">
        <f>IF(AND($P319='112'!$I$6,$B319&lt;'112'!$M$9),"x","")</f>
        <v/>
      </c>
      <c r="X319" s="66" t="str">
        <f>IF(AND('131-CT'!$H$9=TH!H319,OR(O319="131",P319="131")),"x","")</f>
        <v/>
      </c>
      <c r="Y319" s="80" t="str">
        <f>IF(AND($B319&gt;='1331'!$I$9,$B319&lt;='1331'!$J$9,OR($O319=$Y$7,$P319=$Y$7)),"x","")</f>
        <v/>
      </c>
      <c r="Z319" s="80" t="str">
        <f>IF(AND($O319=$Y$7,$B319&lt;'1331'!$I$9),"x","")</f>
        <v/>
      </c>
      <c r="AA319" s="80" t="str">
        <f>IF(AND($P319=$Y$7,$B319&lt;'1331'!$I$9),"x","")</f>
        <v/>
      </c>
      <c r="AB319" s="80" t="str">
        <f>IF(AND($B319&gt;='1332'!$I$9,$B319&lt;='1332'!$I$9,OR($O319=$AB$7,$P319=$AB$7)),"x","")</f>
        <v/>
      </c>
      <c r="AC319" s="80" t="str">
        <f>IF(AND($O319=$AB$7,$B319&lt;'1332'!$I$9),"x","")</f>
        <v/>
      </c>
      <c r="AD319" s="80" t="str">
        <f>IF(AND($P319=$AB$7,$B319&lt;'1332'!$I$9),"x","")</f>
        <v/>
      </c>
      <c r="AE319" s="80" t="str">
        <f>IF(AND('341-CT'!$H$9=H319,OR(LEFT(O319,3)=$AE$7,LEFT(P319,3)=$AE$7)),"x","")</f>
        <v/>
      </c>
      <c r="AF319" s="80" t="str">
        <f>IF(OR(TH!O319=TH!$AF$7,P319=TH!$AF$7),"x","")</f>
        <v>x</v>
      </c>
      <c r="AG319" s="80"/>
      <c r="AH319" s="80" t="str">
        <f>IF(AND(B319&gt;='IN-NX'!$P$3,B319&lt;='IN-NX'!$Q$3,'IN-NX'!$D$7=D319,OR(LEFT(L319,2)="15",AND(LEFT(M319,2)&lt;&gt;"15",LEFT(M319,2)&lt;&gt;"33"))),"x","")</f>
        <v/>
      </c>
      <c r="AI319" s="80" t="str">
        <f>IF(AND(OR(LEFT(TH!O319,2)="15",LEFT(TH!P319,2)="15"),'152-CT'!$J$8=TH!F319),"x","")</f>
        <v/>
      </c>
      <c r="AJ319" s="80" t="str">
        <f>IF(AND(OR(LEFT(TH!O319,2)="15",LEFT(TH!P319,2)="15"),'THE KHO'!$E$7=TH!F319),"x","")</f>
        <v/>
      </c>
      <c r="AK319" s="80" t="str">
        <f>IF(AND(O319="1521",MONTH(C319)='BK NL'!$M$11),"x","")</f>
        <v/>
      </c>
    </row>
    <row r="320" spans="1:39" ht="15.75" customHeight="1">
      <c r="A320" s="362" t="str">
        <f>IF(B320&lt;&gt;"",IF(AND(B320&gt;=_TM1,B320&lt;=_TM2,OR(TH!O320="1111",TH!P320="1111")),TH!D320,""),"")</f>
        <v>C25</v>
      </c>
      <c r="B320" s="63">
        <f t="shared" si="26"/>
        <v>5</v>
      </c>
      <c r="C320" s="337">
        <f t="shared" si="25"/>
        <v>42494</v>
      </c>
      <c r="D320" s="337" t="s">
        <v>191</v>
      </c>
      <c r="E320" s="337">
        <v>42494</v>
      </c>
      <c r="F320" s="338" t="s">
        <v>437</v>
      </c>
      <c r="G320" s="1022" t="s">
        <v>798</v>
      </c>
      <c r="H320" s="339" t="s">
        <v>429</v>
      </c>
      <c r="I320" s="476"/>
      <c r="J320" s="476"/>
      <c r="K320" s="469"/>
      <c r="L320" s="476"/>
      <c r="M320" s="65">
        <v>95000000</v>
      </c>
      <c r="N320" s="65"/>
      <c r="O320" s="340" t="s">
        <v>24</v>
      </c>
      <c r="P320" s="340" t="s">
        <v>97</v>
      </c>
      <c r="Q320" s="66" t="str">
        <f>IF(AND('331-CT'!$E$7=TH!H320,OR(O320="331",P320="331")),"x","")</f>
        <v/>
      </c>
      <c r="R320" s="66" t="str">
        <f>IF(AND($B320&gt;='111'!$N$11,$B320&lt;='111'!$O$11,OR($O320=$R$7,$P320=$R$7)),"x","")</f>
        <v/>
      </c>
      <c r="S320" s="66" t="str">
        <f>IF(AND($O320=$R$7,$B320&lt;'111'!$N$11),"x","")</f>
        <v/>
      </c>
      <c r="T320" s="66" t="str">
        <f>IF(AND($P320=$R$7,$B320&lt;'111'!$N$11),"x","")</f>
        <v>x</v>
      </c>
      <c r="U320" s="66" t="str">
        <f>IF(AND($B320&gt;='112'!$M$9,$B320&lt;='112'!$N$9,OR($O320='112'!$I$6,$P320='112'!$I$6)),"x","")</f>
        <v/>
      </c>
      <c r="V320" s="66" t="str">
        <f>IF(AND($O320='112'!$I$6,$B320&lt;'112'!$M$9),"x","")</f>
        <v/>
      </c>
      <c r="W320" s="66" t="str">
        <f>IF(AND($P320='112'!$I$6,$B320&lt;'112'!$M$9),"x","")</f>
        <v/>
      </c>
      <c r="X320" s="66" t="str">
        <f>IF(AND('131-CT'!$H$9=TH!H320,OR(O320="131",P320="131")),"x","")</f>
        <v/>
      </c>
      <c r="Y320" s="80" t="str">
        <f>IF(AND($B320&gt;='1331'!$I$9,$B320&lt;='1331'!$J$9,OR($O320=$Y$7,$P320=$Y$7)),"x","")</f>
        <v/>
      </c>
      <c r="Z320" s="80" t="str">
        <f>IF(AND($O320=$Y$7,$B320&lt;'1331'!$I$9),"x","")</f>
        <v/>
      </c>
      <c r="AA320" s="80" t="str">
        <f>IF(AND($P320=$Y$7,$B320&lt;'1331'!$I$9),"x","")</f>
        <v/>
      </c>
      <c r="AB320" s="80" t="str">
        <f>IF(AND($B320&gt;='1332'!$I$9,$B320&lt;='1332'!$I$9,OR($O320=$AB$7,$P320=$AB$7)),"x","")</f>
        <v/>
      </c>
      <c r="AC320" s="80" t="str">
        <f>IF(AND($O320=$AB$7,$B320&lt;'1332'!$I$9),"x","")</f>
        <v/>
      </c>
      <c r="AD320" s="80" t="str">
        <f>IF(AND($P320=$AB$7,$B320&lt;'1332'!$I$9),"x","")</f>
        <v/>
      </c>
      <c r="AE320" s="80" t="str">
        <f>IF(AND('341-CT'!$H$9=H320,OR(LEFT(O320,3)=$AE$7,LEFT(P320,3)=$AE$7)),"x","")</f>
        <v/>
      </c>
      <c r="AF320" s="80" t="str">
        <f>IF(OR(TH!O320=TH!$AF$7,P320=TH!$AF$7),"x","")</f>
        <v>x</v>
      </c>
      <c r="AG320" s="80"/>
      <c r="AH320" s="80" t="str">
        <f>IF(AND(B320&gt;='IN-NX'!$P$3,B320&lt;='IN-NX'!$Q$3,'IN-NX'!$D$7=D320,OR(LEFT(L320,2)="15",AND(LEFT(M320,2)&lt;&gt;"15",LEFT(M320,2)&lt;&gt;"33"))),"x","")</f>
        <v/>
      </c>
      <c r="AI320" s="80" t="str">
        <f>IF(AND(OR(LEFT(TH!O320,2)="15",LEFT(TH!P320,2)="15"),'152-CT'!$J$8=TH!F320),"x","")</f>
        <v/>
      </c>
      <c r="AJ320" s="80" t="str">
        <f>IF(AND(OR(LEFT(TH!O320,2)="15",LEFT(TH!P320,2)="15"),'THE KHO'!$E$7=TH!F320),"x","")</f>
        <v/>
      </c>
      <c r="AK320" s="80" t="str">
        <f>IF(AND(O320="1521",MONTH(C320)='BK NL'!$M$11),"x","")</f>
        <v/>
      </c>
    </row>
    <row r="321" spans="1:39" s="370" customFormat="1" ht="15.75" customHeight="1">
      <c r="A321" s="362" t="str">
        <f>IF(B321&lt;&gt;"",IF(AND(B321&gt;=_TM1,B321&lt;=_TM2,OR(TH!O321="1111",TH!P321="1111")),TH!D321,""),"")</f>
        <v/>
      </c>
      <c r="B321" s="63">
        <f t="shared" si="26"/>
        <v>5</v>
      </c>
      <c r="C321" s="337">
        <f t="shared" si="25"/>
        <v>42494</v>
      </c>
      <c r="D321" s="337" t="s">
        <v>12</v>
      </c>
      <c r="E321" s="337">
        <v>42494</v>
      </c>
      <c r="F321" s="338" t="s">
        <v>788</v>
      </c>
      <c r="G321" s="1022" t="s">
        <v>798</v>
      </c>
      <c r="H321" s="339" t="s">
        <v>429</v>
      </c>
      <c r="I321" s="476"/>
      <c r="J321" s="476"/>
      <c r="K321" s="469"/>
      <c r="L321" s="476"/>
      <c r="M321" s="65">
        <v>95000000</v>
      </c>
      <c r="N321" s="65"/>
      <c r="O321" s="340" t="s">
        <v>31</v>
      </c>
      <c r="P321" s="340" t="s">
        <v>24</v>
      </c>
      <c r="Q321" s="66" t="str">
        <f>IF(AND('331-CT'!$E$7=TH!H321,OR(O321="331",P321="331")),"x","")</f>
        <v/>
      </c>
      <c r="R321" s="66" t="str">
        <f>IF(AND($B321&gt;='111'!$N$11,$B321&lt;='111'!$O$11,OR($O321=$R$7,$P321=$R$7)),"x","")</f>
        <v/>
      </c>
      <c r="S321" s="66" t="str">
        <f>IF(AND($O321=$R$7,$B321&lt;'111'!$N$11),"x","")</f>
        <v/>
      </c>
      <c r="T321" s="66" t="str">
        <f>IF(AND($P321=$R$7,$B321&lt;'111'!$N$11),"x","")</f>
        <v/>
      </c>
      <c r="U321" s="66" t="str">
        <f>IF(AND($B321&gt;='112'!$M$9,$B321&lt;='112'!$N$9,OR($O321='112'!$I$6,$P321='112'!$I$6)),"x","")</f>
        <v/>
      </c>
      <c r="V321" s="66" t="str">
        <f>IF(AND($O321='112'!$I$6,$B321&lt;'112'!$M$9),"x","")</f>
        <v>x</v>
      </c>
      <c r="W321" s="66" t="str">
        <f>IF(AND($P321='112'!$I$6,$B321&lt;'112'!$M$9),"x","")</f>
        <v/>
      </c>
      <c r="X321" s="66" t="str">
        <f>IF(AND('131-CT'!$H$9=TH!H321,OR(O321="131",P321="131")),"x","")</f>
        <v/>
      </c>
      <c r="Y321" s="80" t="str">
        <f>IF(AND($B321&gt;='1331'!$I$9,$B321&lt;='1331'!$J$9,OR($O321=$Y$7,$P321=$Y$7)),"x","")</f>
        <v/>
      </c>
      <c r="Z321" s="80" t="str">
        <f>IF(AND($O321=$Y$7,$B321&lt;'1331'!$I$9),"x","")</f>
        <v/>
      </c>
      <c r="AA321" s="80" t="str">
        <f>IF(AND($P321=$Y$7,$B321&lt;'1331'!$I$9),"x","")</f>
        <v/>
      </c>
      <c r="AB321" s="80" t="str">
        <f>IF(AND($B321&gt;='1332'!$I$9,$B321&lt;='1332'!$I$9,OR($O321=$AB$7,$P321=$AB$7)),"x","")</f>
        <v/>
      </c>
      <c r="AC321" s="80" t="str">
        <f>IF(AND($O321=$AB$7,$B321&lt;'1332'!$I$9),"x","")</f>
        <v/>
      </c>
      <c r="AD321" s="80" t="str">
        <f>IF(AND($P321=$AB$7,$B321&lt;'1332'!$I$9),"x","")</f>
        <v/>
      </c>
      <c r="AE321" s="80" t="str">
        <f>IF(AND('341-CT'!$H$9=H321,OR(LEFT(O321,3)=$AE$7,LEFT(P321,3)=$AE$7)),"x","")</f>
        <v/>
      </c>
      <c r="AF321" s="80" t="str">
        <f>IF(OR(TH!O321=TH!$AF$7,P321=TH!$AF$7),"x","")</f>
        <v>x</v>
      </c>
      <c r="AG321" s="80"/>
      <c r="AH321" s="80" t="str">
        <f>IF(AND(B321&gt;='IN-NX'!$P$3,B321&lt;='IN-NX'!$Q$3,'IN-NX'!$D$7=D321,OR(LEFT(L321,2)="15",AND(LEFT(M321,2)&lt;&gt;"15",LEFT(M321,2)&lt;&gt;"33"))),"x","")</f>
        <v/>
      </c>
      <c r="AI321" s="80" t="str">
        <f>IF(AND(OR(LEFT(TH!O321,2)="15",LEFT(TH!P321,2)="15"),'152-CT'!$J$8=TH!F321),"x","")</f>
        <v/>
      </c>
      <c r="AJ321" s="80" t="str">
        <f>IF(AND(OR(LEFT(TH!O321,2)="15",LEFT(TH!P321,2)="15"),'THE KHO'!$E$7=TH!F321),"x","")</f>
        <v/>
      </c>
      <c r="AK321" s="80" t="str">
        <f>IF(AND(O321="1521",MONTH(C321)='BK NL'!$M$11),"x","")</f>
        <v/>
      </c>
      <c r="AL321" s="352"/>
      <c r="AM321" s="352"/>
    </row>
    <row r="322" spans="1:39" ht="15.75" customHeight="1">
      <c r="A322" s="362" t="str">
        <f>IF(B322&lt;&gt;"",IF(AND(B322&gt;=_TM1,B322&lt;=_TM2,OR(TH!O322="1111",TH!P322="1111")),TH!D322,""),"")</f>
        <v/>
      </c>
      <c r="B322" s="63">
        <f t="shared" si="26"/>
        <v>5</v>
      </c>
      <c r="C322" s="337">
        <f t="shared" si="25"/>
        <v>42494</v>
      </c>
      <c r="D322" s="337" t="s">
        <v>8</v>
      </c>
      <c r="E322" s="337">
        <v>42494</v>
      </c>
      <c r="F322" s="338" t="s">
        <v>958</v>
      </c>
      <c r="G322" s="351" t="s">
        <v>798</v>
      </c>
      <c r="H322" s="339" t="s">
        <v>221</v>
      </c>
      <c r="I322" s="476"/>
      <c r="J322" s="476"/>
      <c r="K322" s="469"/>
      <c r="L322" s="476"/>
      <c r="M322" s="65">
        <v>92467100</v>
      </c>
      <c r="N322" s="65"/>
      <c r="O322" s="340" t="s">
        <v>9</v>
      </c>
      <c r="P322" s="340" t="s">
        <v>31</v>
      </c>
      <c r="Q322" s="66" t="str">
        <f>IF(AND('331-CT'!$E$7=TH!H322,OR(O322="331",P322="331")),"x","")</f>
        <v/>
      </c>
      <c r="R322" s="66" t="str">
        <f>IF(AND($B322&gt;='111'!$N$11,$B322&lt;='111'!$O$11,OR($O322=$R$7,$P322=$R$7)),"x","")</f>
        <v/>
      </c>
      <c r="S322" s="66" t="str">
        <f>IF(AND($O322=$R$7,$B322&lt;'111'!$N$11),"x","")</f>
        <v/>
      </c>
      <c r="T322" s="66" t="str">
        <f>IF(AND($P322=$R$7,$B322&lt;'111'!$N$11),"x","")</f>
        <v/>
      </c>
      <c r="U322" s="66" t="str">
        <f>IF(AND($B322&gt;='112'!$M$9,$B322&lt;='112'!$N$9,OR($O322='112'!$I$6,$P322='112'!$I$6)),"x","")</f>
        <v/>
      </c>
      <c r="V322" s="66" t="str">
        <f>IF(AND($O322='112'!$I$6,$B322&lt;'112'!$M$9),"x","")</f>
        <v/>
      </c>
      <c r="W322" s="66" t="str">
        <f>IF(AND($P322='112'!$I$6,$B322&lt;'112'!$M$9),"x","")</f>
        <v>x</v>
      </c>
      <c r="X322" s="66" t="str">
        <f>IF(AND('131-CT'!$H$9=TH!H322,OR(O322="131",P322="131")),"x","")</f>
        <v/>
      </c>
      <c r="Y322" s="80" t="str">
        <f>IF(AND($B322&gt;='1331'!$I$9,$B322&lt;='1331'!$J$9,OR($O322=$Y$7,$P322=$Y$7)),"x","")</f>
        <v/>
      </c>
      <c r="Z322" s="80" t="str">
        <f>IF(AND($O322=$Y$7,$B322&lt;'1331'!$I$9),"x","")</f>
        <v/>
      </c>
      <c r="AA322" s="80" t="str">
        <f>IF(AND($P322=$Y$7,$B322&lt;'1331'!$I$9),"x","")</f>
        <v/>
      </c>
      <c r="AB322" s="80" t="str">
        <f>IF(AND($B322&gt;='1332'!$I$9,$B322&lt;='1332'!$I$9,OR($O322=$AB$7,$P322=$AB$7)),"x","")</f>
        <v/>
      </c>
      <c r="AC322" s="80" t="str">
        <f>IF(AND($O322=$AB$7,$B322&lt;'1332'!$I$9),"x","")</f>
        <v/>
      </c>
      <c r="AD322" s="80" t="str">
        <f>IF(AND($P322=$AB$7,$B322&lt;'1332'!$I$9),"x","")</f>
        <v/>
      </c>
      <c r="AE322" s="80" t="str">
        <f>IF(AND('341-CT'!$H$9=H322,OR(LEFT(O322,3)=$AE$7,LEFT(P322,3)=$AE$7)),"x","")</f>
        <v/>
      </c>
      <c r="AF322" s="80" t="str">
        <f>IF(OR(TH!O322=TH!$AF$7,P322=TH!$AF$7),"x","")</f>
        <v/>
      </c>
      <c r="AG322" s="80"/>
      <c r="AH322" s="80" t="str">
        <f>IF(AND(B322&gt;='IN-NX'!$P$3,B322&lt;='IN-NX'!$Q$3,'IN-NX'!$D$7=D322,OR(LEFT(L322,2)="15",AND(LEFT(M322,2)&lt;&gt;"15",LEFT(M322,2)&lt;&gt;"33"))),"x","")</f>
        <v/>
      </c>
      <c r="AI322" s="80" t="str">
        <f>IF(AND(OR(LEFT(TH!O322,2)="15",LEFT(TH!P322,2)="15"),'152-CT'!$J$8=TH!F322),"x","")</f>
        <v/>
      </c>
      <c r="AJ322" s="80" t="str">
        <f>IF(AND(OR(LEFT(TH!O322,2)="15",LEFT(TH!P322,2)="15"),'THE KHO'!$E$7=TH!F322),"x","")</f>
        <v/>
      </c>
      <c r="AK322" s="80" t="str">
        <f>IF(AND(O322="1521",MONTH(C322)='BK NL'!$M$11),"x","")</f>
        <v/>
      </c>
    </row>
    <row r="323" spans="1:39" ht="15.75" customHeight="1">
      <c r="A323" s="362" t="str">
        <f>IF(B323&lt;&gt;"",IF(AND(B323&gt;=_TM1,B323&lt;=_TM2,OR(TH!O323="1111",TH!P323="1111")),TH!D323,""),"")</f>
        <v/>
      </c>
      <c r="B323" s="63">
        <f t="shared" si="26"/>
        <v>5</v>
      </c>
      <c r="C323" s="337">
        <f t="shared" si="25"/>
        <v>42494</v>
      </c>
      <c r="D323" s="337" t="s">
        <v>8</v>
      </c>
      <c r="E323" s="337">
        <v>42494</v>
      </c>
      <c r="F323" s="338" t="s">
        <v>22</v>
      </c>
      <c r="G323" s="351" t="s">
        <v>798</v>
      </c>
      <c r="H323" s="368"/>
      <c r="I323" s="477"/>
      <c r="J323" s="477"/>
      <c r="K323" s="470"/>
      <c r="L323" s="477"/>
      <c r="M323" s="65">
        <v>46234</v>
      </c>
      <c r="N323" s="65"/>
      <c r="O323" s="340" t="s">
        <v>135</v>
      </c>
      <c r="P323" s="340" t="s">
        <v>31</v>
      </c>
      <c r="Q323" s="66" t="str">
        <f>IF(AND('331-CT'!$E$7=TH!H323,OR(O323="331",P323="331")),"x","")</f>
        <v/>
      </c>
      <c r="R323" s="66" t="str">
        <f>IF(AND($B323&gt;='111'!$N$11,$B323&lt;='111'!$O$11,OR($O323=$R$7,$P323=$R$7)),"x","")</f>
        <v/>
      </c>
      <c r="S323" s="66" t="str">
        <f>IF(AND($O323=$R$7,$B323&lt;'111'!$N$11),"x","")</f>
        <v/>
      </c>
      <c r="T323" s="66" t="str">
        <f>IF(AND($P323=$R$7,$B323&lt;'111'!$N$11),"x","")</f>
        <v/>
      </c>
      <c r="U323" s="66" t="str">
        <f>IF(AND($B323&gt;='112'!$M$9,$B323&lt;='112'!$N$9,OR($O323='112'!$I$6,$P323='112'!$I$6)),"x","")</f>
        <v/>
      </c>
      <c r="V323" s="66" t="str">
        <f>IF(AND($O323='112'!$I$6,$B323&lt;'112'!$M$9),"x","")</f>
        <v/>
      </c>
      <c r="W323" s="66" t="str">
        <f>IF(AND($P323='112'!$I$6,$B323&lt;'112'!$M$9),"x","")</f>
        <v>x</v>
      </c>
      <c r="X323" s="66" t="str">
        <f>IF(AND('131-CT'!$H$9=TH!H323,OR(O323="131",P323="131")),"x","")</f>
        <v/>
      </c>
      <c r="Y323" s="80" t="str">
        <f>IF(AND($B323&gt;='1331'!$I$9,$B323&lt;='1331'!$J$9,OR($O323=$Y$7,$P323=$Y$7)),"x","")</f>
        <v/>
      </c>
      <c r="Z323" s="80" t="str">
        <f>IF(AND($O323=$Y$7,$B323&lt;'1331'!$I$9),"x","")</f>
        <v/>
      </c>
      <c r="AA323" s="80" t="str">
        <f>IF(AND($P323=$Y$7,$B323&lt;'1331'!$I$9),"x","")</f>
        <v/>
      </c>
      <c r="AB323" s="80" t="str">
        <f>IF(AND($B323&gt;='1332'!$I$9,$B323&lt;='1332'!$I$9,OR($O323=$AB$7,$P323=$AB$7)),"x","")</f>
        <v/>
      </c>
      <c r="AC323" s="80" t="str">
        <f>IF(AND($O323=$AB$7,$B323&lt;'1332'!$I$9),"x","")</f>
        <v/>
      </c>
      <c r="AD323" s="80" t="str">
        <f>IF(AND($P323=$AB$7,$B323&lt;'1332'!$I$9),"x","")</f>
        <v/>
      </c>
      <c r="AE323" s="80" t="str">
        <f>IF(AND('341-CT'!$H$9=H323,OR(LEFT(O323,3)=$AE$7,LEFT(P323,3)=$AE$7)),"x","")</f>
        <v/>
      </c>
      <c r="AF323" s="80" t="str">
        <f>IF(OR(TH!O323=TH!$AF$7,P323=TH!$AF$7),"x","")</f>
        <v/>
      </c>
      <c r="AG323" s="80"/>
      <c r="AH323" s="80" t="str">
        <f>IF(AND(B323&gt;='IN-NX'!$P$3,B323&lt;='IN-NX'!$Q$3,'IN-NX'!$D$7=D323,OR(LEFT(L323,2)="15",AND(LEFT(M323,2)&lt;&gt;"15",LEFT(M323,2)&lt;&gt;"33"))),"x","")</f>
        <v/>
      </c>
      <c r="AI323" s="80" t="str">
        <f>IF(AND(OR(LEFT(TH!O323,2)="15",LEFT(TH!P323,2)="15"),'152-CT'!$J$8=TH!F323),"x","")</f>
        <v/>
      </c>
      <c r="AJ323" s="80" t="str">
        <f>IF(AND(OR(LEFT(TH!O323,2)="15",LEFT(TH!P323,2)="15"),'THE KHO'!$E$7=TH!F323),"x","")</f>
        <v/>
      </c>
      <c r="AK323" s="80" t="str">
        <f>IF(AND(O323="1521",MONTH(C323)='BK NL'!$M$11),"x","")</f>
        <v/>
      </c>
      <c r="AM323" s="352">
        <v>1</v>
      </c>
    </row>
    <row r="324" spans="1:39" ht="15.75" customHeight="1">
      <c r="A324" s="362" t="str">
        <f>IF(B324&lt;&gt;"",IF(AND(B324&gt;=_TM1,B324&lt;=_TM2,OR(TH!O324="1111",TH!P324="1111")),TH!D324,""),"")</f>
        <v/>
      </c>
      <c r="B324" s="63">
        <f t="shared" si="26"/>
        <v>5</v>
      </c>
      <c r="C324" s="337">
        <f t="shared" si="25"/>
        <v>42494</v>
      </c>
      <c r="D324" s="337" t="s">
        <v>8</v>
      </c>
      <c r="E324" s="337">
        <v>42494</v>
      </c>
      <c r="F324" s="338" t="s">
        <v>23</v>
      </c>
      <c r="G324" s="351" t="s">
        <v>798</v>
      </c>
      <c r="H324" s="339"/>
      <c r="I324" s="476"/>
      <c r="J324" s="476"/>
      <c r="K324" s="469"/>
      <c r="L324" s="476"/>
      <c r="M324" s="88">
        <v>4623</v>
      </c>
      <c r="N324" s="88"/>
      <c r="O324" s="340" t="s">
        <v>10</v>
      </c>
      <c r="P324" s="340" t="s">
        <v>31</v>
      </c>
      <c r="Q324" s="66" t="str">
        <f>IF(AND('331-CT'!$E$7=TH!H324,OR(O324="331",P324="331")),"x","")</f>
        <v/>
      </c>
      <c r="R324" s="66" t="str">
        <f>IF(AND($B324&gt;='111'!$N$11,$B324&lt;='111'!$O$11,OR($O324=$R$7,$P324=$R$7)),"x","")</f>
        <v/>
      </c>
      <c r="S324" s="66" t="str">
        <f>IF(AND($O324=$R$7,$B324&lt;'111'!$N$11),"x","")</f>
        <v/>
      </c>
      <c r="T324" s="66" t="str">
        <f>IF(AND($P324=$R$7,$B324&lt;'111'!$N$11),"x","")</f>
        <v/>
      </c>
      <c r="U324" s="66" t="str">
        <f>IF(AND($B324&gt;='112'!$M$9,$B324&lt;='112'!$N$9,OR($O324='112'!$I$6,$P324='112'!$I$6)),"x","")</f>
        <v/>
      </c>
      <c r="V324" s="66" t="str">
        <f>IF(AND($O324='112'!$I$6,$B324&lt;'112'!$M$9),"x","")</f>
        <v/>
      </c>
      <c r="W324" s="66" t="str">
        <f>IF(AND($P324='112'!$I$6,$B324&lt;'112'!$M$9),"x","")</f>
        <v>x</v>
      </c>
      <c r="X324" s="66" t="str">
        <f>IF(AND('131-CT'!$H$9=TH!H324,OR(O324="131",P324="131")),"x","")</f>
        <v/>
      </c>
      <c r="Y324" s="80" t="str">
        <f>IF(AND($B324&gt;='1331'!$I$9,$B324&lt;='1331'!$J$9,OR($O324=$Y$7,$P324=$Y$7)),"x","")</f>
        <v/>
      </c>
      <c r="Z324" s="80" t="str">
        <f>IF(AND($O324=$Y$7,$B324&lt;'1331'!$I$9),"x","")</f>
        <v>x</v>
      </c>
      <c r="AA324" s="80" t="str">
        <f>IF(AND($P324=$Y$7,$B324&lt;'1331'!$I$9),"x","")</f>
        <v/>
      </c>
      <c r="AB324" s="80" t="str">
        <f>IF(AND($B324&gt;='1332'!$I$9,$B324&lt;='1332'!$I$9,OR($O324=$AB$7,$P324=$AB$7)),"x","")</f>
        <v/>
      </c>
      <c r="AC324" s="80" t="str">
        <f>IF(AND($O324=$AB$7,$B324&lt;'1332'!$I$9),"x","")</f>
        <v/>
      </c>
      <c r="AD324" s="80" t="str">
        <f>IF(AND($P324=$AB$7,$B324&lt;'1332'!$I$9),"x","")</f>
        <v/>
      </c>
      <c r="AE324" s="80" t="str">
        <f>IF(AND('341-CT'!$H$9=H324,OR(LEFT(O324,3)=$AE$7,LEFT(P324,3)=$AE$7)),"x","")</f>
        <v/>
      </c>
      <c r="AF324" s="80" t="str">
        <f>IF(OR(TH!O324=TH!$AF$7,P324=TH!$AF$7),"x","")</f>
        <v/>
      </c>
      <c r="AG324" s="80"/>
      <c r="AH324" s="80" t="str">
        <f>IF(AND(B324&gt;='IN-NX'!$P$3,B324&lt;='IN-NX'!$Q$3,'IN-NX'!$D$7=D324,OR(LEFT(L324,2)="15",AND(LEFT(M324,2)&lt;&gt;"15",LEFT(M324,2)&lt;&gt;"33"))),"x","")</f>
        <v/>
      </c>
      <c r="AI324" s="80" t="str">
        <f>IF(AND(OR(LEFT(TH!O324,2)="15",LEFT(TH!P324,2)="15"),'152-CT'!$J$8=TH!F324),"x","")</f>
        <v/>
      </c>
      <c r="AJ324" s="80" t="str">
        <f>IF(AND(OR(LEFT(TH!O324,2)="15",LEFT(TH!P324,2)="15"),'THE KHO'!$E$7=TH!F324),"x","")</f>
        <v/>
      </c>
      <c r="AK324" s="80" t="str">
        <f>IF(AND(O324="1521",MONTH(C324)='BK NL'!$M$11),"x","")</f>
        <v/>
      </c>
      <c r="AM324" s="352">
        <v>1</v>
      </c>
    </row>
    <row r="325" spans="1:39" ht="15.75" customHeight="1">
      <c r="A325" s="362" t="str">
        <f>IF(B325&lt;&gt;"",IF(AND(B325&gt;=_TM1,B325&lt;=_TM2,OR(TH!O325="1111",TH!P325="1111")),TH!D325,""),"")</f>
        <v>C26</v>
      </c>
      <c r="B325" s="63">
        <f t="shared" si="26"/>
        <v>5</v>
      </c>
      <c r="C325" s="337">
        <f t="shared" si="25"/>
        <v>42500</v>
      </c>
      <c r="D325" s="337" t="s">
        <v>192</v>
      </c>
      <c r="E325" s="337">
        <v>42500</v>
      </c>
      <c r="F325" s="338" t="s">
        <v>979</v>
      </c>
      <c r="G325" s="351" t="s">
        <v>910</v>
      </c>
      <c r="H325" s="339" t="s">
        <v>315</v>
      </c>
      <c r="I325" s="477"/>
      <c r="J325" s="477"/>
      <c r="K325" s="470"/>
      <c r="L325" s="477"/>
      <c r="M325" s="65">
        <v>7272727</v>
      </c>
      <c r="N325" s="65"/>
      <c r="O325" s="340" t="s">
        <v>135</v>
      </c>
      <c r="P325" s="340" t="s">
        <v>97</v>
      </c>
      <c r="Q325" s="66" t="str">
        <f>IF(AND('331-CT'!$E$7=TH!H325,OR(O325="331",P325="331")),"x","")</f>
        <v/>
      </c>
      <c r="R325" s="66" t="str">
        <f>IF(AND($B325&gt;='111'!$N$11,$B325&lt;='111'!$O$11,OR($O325=$R$7,$P325=$R$7)),"x","")</f>
        <v/>
      </c>
      <c r="S325" s="66" t="str">
        <f>IF(AND($O325=$R$7,$B325&lt;'111'!$N$11),"x","")</f>
        <v/>
      </c>
      <c r="T325" s="66" t="str">
        <f>IF(AND($P325=$R$7,$B325&lt;'111'!$N$11),"x","")</f>
        <v>x</v>
      </c>
      <c r="U325" s="66" t="str">
        <f>IF(AND($B325&gt;='112'!$M$9,$B325&lt;='112'!$N$9,OR($O325='112'!$I$6,$P325='112'!$I$6)),"x","")</f>
        <v/>
      </c>
      <c r="V325" s="66" t="str">
        <f>IF(AND($O325='112'!$I$6,$B325&lt;'112'!$M$9),"x","")</f>
        <v/>
      </c>
      <c r="W325" s="66" t="str">
        <f>IF(AND($P325='112'!$I$6,$B325&lt;'112'!$M$9),"x","")</f>
        <v/>
      </c>
      <c r="X325" s="66" t="str">
        <f>IF(AND('131-CT'!$H$9=TH!H325,OR(O325="131",P325="131")),"x","")</f>
        <v/>
      </c>
      <c r="Y325" s="80" t="str">
        <f>IF(AND($B325&gt;='1331'!$I$9,$B325&lt;='1331'!$J$9,OR($O325=$Y$7,$P325=$Y$7)),"x","")</f>
        <v/>
      </c>
      <c r="Z325" s="80" t="str">
        <f>IF(AND($O325=$Y$7,$B325&lt;'1331'!$I$9),"x","")</f>
        <v/>
      </c>
      <c r="AA325" s="80" t="str">
        <f>IF(AND($P325=$Y$7,$B325&lt;'1331'!$I$9),"x","")</f>
        <v/>
      </c>
      <c r="AB325" s="80" t="str">
        <f>IF(AND($B325&gt;='1332'!$I$9,$B325&lt;='1332'!$I$9,OR($O325=$AB$7,$P325=$AB$7)),"x","")</f>
        <v/>
      </c>
      <c r="AC325" s="80" t="str">
        <f>IF(AND($O325=$AB$7,$B325&lt;'1332'!$I$9),"x","")</f>
        <v/>
      </c>
      <c r="AD325" s="80" t="str">
        <f>IF(AND($P325=$AB$7,$B325&lt;'1332'!$I$9),"x","")</f>
        <v/>
      </c>
      <c r="AE325" s="80" t="str">
        <f>IF(AND('341-CT'!$H$9=H325,OR(LEFT(O325,3)=$AE$7,LEFT(P325,3)=$AE$7)),"x","")</f>
        <v/>
      </c>
      <c r="AF325" s="80" t="str">
        <f>IF(OR(TH!O325=TH!$AF$7,P325=TH!$AF$7),"x","")</f>
        <v/>
      </c>
      <c r="AG325" s="80"/>
      <c r="AH325" s="80" t="str">
        <f>IF(AND(B325&gt;='IN-NX'!$P$3,B325&lt;='IN-NX'!$Q$3,'IN-NX'!$D$7=D325,OR(LEFT(L325,2)="15",AND(LEFT(M325,2)&lt;&gt;"15",LEFT(M325,2)&lt;&gt;"33"))),"x","")</f>
        <v/>
      </c>
      <c r="AI325" s="80" t="str">
        <f>IF(AND(OR(LEFT(TH!O325,2)="15",LEFT(TH!P325,2)="15"),'152-CT'!$J$8=TH!F325),"x","")</f>
        <v/>
      </c>
      <c r="AJ325" s="80" t="str">
        <f>IF(AND(OR(LEFT(TH!O325,2)="15",LEFT(TH!P325,2)="15"),'THE KHO'!$E$7=TH!F325),"x","")</f>
        <v/>
      </c>
      <c r="AK325" s="80" t="str">
        <f>IF(AND(O325="1521",MONTH(C325)='BK NL'!$M$11),"x","")</f>
        <v/>
      </c>
      <c r="AM325" s="370">
        <v>1</v>
      </c>
    </row>
    <row r="326" spans="1:39" ht="15.75" customHeight="1">
      <c r="A326" s="362" t="str">
        <f>IF(B326&lt;&gt;"",IF(AND(B326&gt;=_TM1,B326&lt;=_TM2,OR(TH!O326="1111",TH!P326="1111")),TH!D326,""),"")</f>
        <v>C26</v>
      </c>
      <c r="B326" s="63">
        <f t="shared" si="26"/>
        <v>5</v>
      </c>
      <c r="C326" s="337">
        <f t="shared" si="25"/>
        <v>42500</v>
      </c>
      <c r="D326" s="337" t="s">
        <v>192</v>
      </c>
      <c r="E326" s="337">
        <v>42500</v>
      </c>
      <c r="F326" s="338" t="s">
        <v>980</v>
      </c>
      <c r="G326" s="351" t="s">
        <v>910</v>
      </c>
      <c r="H326" s="339" t="s">
        <v>315</v>
      </c>
      <c r="I326" s="477"/>
      <c r="J326" s="477"/>
      <c r="K326" s="470"/>
      <c r="L326" s="477"/>
      <c r="M326" s="88">
        <v>727273</v>
      </c>
      <c r="N326" s="88"/>
      <c r="O326" s="340" t="s">
        <v>10</v>
      </c>
      <c r="P326" s="340" t="s">
        <v>97</v>
      </c>
      <c r="Q326" s="66" t="str">
        <f>IF(AND('331-CT'!$E$7=TH!H326,OR(O326="331",P326="331")),"x","")</f>
        <v/>
      </c>
      <c r="R326" s="66" t="str">
        <f>IF(AND($B326&gt;='111'!$N$11,$B326&lt;='111'!$O$11,OR($O326=$R$7,$P326=$R$7)),"x","")</f>
        <v/>
      </c>
      <c r="S326" s="66" t="str">
        <f>IF(AND($O326=$R$7,$B326&lt;'111'!$N$11),"x","")</f>
        <v/>
      </c>
      <c r="T326" s="66" t="str">
        <f>IF(AND($P326=$R$7,$B326&lt;'111'!$N$11),"x","")</f>
        <v>x</v>
      </c>
      <c r="U326" s="66" t="str">
        <f>IF(AND($B326&gt;='112'!$M$9,$B326&lt;='112'!$N$9,OR($O326='112'!$I$6,$P326='112'!$I$6)),"x","")</f>
        <v/>
      </c>
      <c r="V326" s="66" t="str">
        <f>IF(AND($O326='112'!$I$6,$B326&lt;'112'!$M$9),"x","")</f>
        <v/>
      </c>
      <c r="W326" s="66" t="str">
        <f>IF(AND($P326='112'!$I$6,$B326&lt;'112'!$M$9),"x","")</f>
        <v/>
      </c>
      <c r="X326" s="66" t="str">
        <f>IF(AND('131-CT'!$H$9=TH!H326,OR(O326="131",P326="131")),"x","")</f>
        <v/>
      </c>
      <c r="Y326" s="80" t="str">
        <f>IF(AND($B326&gt;='1331'!$I$9,$B326&lt;='1331'!$J$9,OR($O326=$Y$7,$P326=$Y$7)),"x","")</f>
        <v/>
      </c>
      <c r="Z326" s="80" t="str">
        <f>IF(AND($O326=$Y$7,$B326&lt;'1331'!$I$9),"x","")</f>
        <v>x</v>
      </c>
      <c r="AA326" s="80" t="str">
        <f>IF(AND($P326=$Y$7,$B326&lt;'1331'!$I$9),"x","")</f>
        <v/>
      </c>
      <c r="AB326" s="80" t="str">
        <f>IF(AND($B326&gt;='1332'!$I$9,$B326&lt;='1332'!$I$9,OR($O326=$AB$7,$P326=$AB$7)),"x","")</f>
        <v/>
      </c>
      <c r="AC326" s="80" t="str">
        <f>IF(AND($O326=$AB$7,$B326&lt;'1332'!$I$9),"x","")</f>
        <v/>
      </c>
      <c r="AD326" s="80" t="str">
        <f>IF(AND($P326=$AB$7,$B326&lt;'1332'!$I$9),"x","")</f>
        <v/>
      </c>
      <c r="AE326" s="80" t="str">
        <f>IF(AND('341-CT'!$H$9=H326,OR(LEFT(O326,3)=$AE$7,LEFT(P326,3)=$AE$7)),"x","")</f>
        <v/>
      </c>
      <c r="AF326" s="80" t="str">
        <f>IF(OR(TH!O326=TH!$AF$7,P326=TH!$AF$7),"x","")</f>
        <v/>
      </c>
      <c r="AG326" s="80"/>
      <c r="AH326" s="80" t="str">
        <f>IF(AND(B326&gt;='IN-NX'!$P$3,B326&lt;='IN-NX'!$Q$3,'IN-NX'!$D$7=D326,OR(LEFT(L326,2)="15",AND(LEFT(M326,2)&lt;&gt;"15",LEFT(M326,2)&lt;&gt;"33"))),"x","")</f>
        <v/>
      </c>
      <c r="AI326" s="80" t="str">
        <f>IF(AND(OR(LEFT(TH!O326,2)="15",LEFT(TH!P326,2)="15"),'152-CT'!$J$8=TH!F326),"x","")</f>
        <v/>
      </c>
      <c r="AJ326" s="80" t="str">
        <f>IF(AND(OR(LEFT(TH!O326,2)="15",LEFT(TH!P326,2)="15"),'THE KHO'!$E$7=TH!F326),"x","")</f>
        <v/>
      </c>
      <c r="AK326" s="80" t="str">
        <f>IF(AND(O326="1521",MONTH(C326)='BK NL'!$M$11),"x","")</f>
        <v/>
      </c>
      <c r="AM326" s="352">
        <v>1</v>
      </c>
    </row>
    <row r="327" spans="1:39" ht="15.75" customHeight="1">
      <c r="A327" s="362" t="str">
        <f>IF(B327&lt;&gt;"",IF(AND(B327&gt;=_TM1,B327&lt;=_TM2,OR(TH!O327="1111",TH!P327="1111")),TH!D327,""),"")</f>
        <v>C27</v>
      </c>
      <c r="B327" s="63">
        <f t="shared" si="26"/>
        <v>5</v>
      </c>
      <c r="C327" s="337">
        <f t="shared" si="25"/>
        <v>42500</v>
      </c>
      <c r="D327" s="337" t="s">
        <v>193</v>
      </c>
      <c r="E327" s="337">
        <v>42500</v>
      </c>
      <c r="F327" s="1027" t="s">
        <v>925</v>
      </c>
      <c r="G327" s="351" t="s">
        <v>927</v>
      </c>
      <c r="H327" s="339" t="s">
        <v>928</v>
      </c>
      <c r="I327" s="476"/>
      <c r="J327" s="476"/>
      <c r="K327" s="469"/>
      <c r="L327" s="476"/>
      <c r="M327" s="65">
        <v>1479091</v>
      </c>
      <c r="N327" s="65"/>
      <c r="O327" s="340" t="s">
        <v>135</v>
      </c>
      <c r="P327" s="340" t="s">
        <v>97</v>
      </c>
      <c r="Q327" s="66" t="str">
        <f>IF(AND('331-CT'!$E$7=TH!H327,OR(O327="331",P327="331")),"x","")</f>
        <v/>
      </c>
      <c r="R327" s="66" t="str">
        <f>IF(AND($B327&gt;='111'!$N$11,$B327&lt;='111'!$O$11,OR($O327=$R$7,$P327=$R$7)),"x","")</f>
        <v/>
      </c>
      <c r="S327" s="66" t="str">
        <f>IF(AND($O327=$R$7,$B327&lt;'111'!$N$11),"x","")</f>
        <v/>
      </c>
      <c r="T327" s="66" t="str">
        <f>IF(AND($P327=$R$7,$B327&lt;'111'!$N$11),"x","")</f>
        <v>x</v>
      </c>
      <c r="U327" s="66" t="str">
        <f>IF(AND($B327&gt;='112'!$M$9,$B327&lt;='112'!$N$9,OR($O327='112'!$I$6,$P327='112'!$I$6)),"x","")</f>
        <v/>
      </c>
      <c r="V327" s="66" t="str">
        <f>IF(AND($O327='112'!$I$6,$B327&lt;'112'!$M$9),"x","")</f>
        <v/>
      </c>
      <c r="W327" s="66" t="str">
        <f>IF(AND($P327='112'!$I$6,$B327&lt;'112'!$M$9),"x","")</f>
        <v/>
      </c>
      <c r="X327" s="66" t="str">
        <f>IF(AND('131-CT'!$H$9=TH!H327,OR(O327="131",P327="131")),"x","")</f>
        <v/>
      </c>
      <c r="Y327" s="80" t="str">
        <f>IF(AND($B327&gt;='1331'!$I$9,$B327&lt;='1331'!$J$9,OR($O327=$Y$7,$P327=$Y$7)),"x","")</f>
        <v/>
      </c>
      <c r="Z327" s="80" t="str">
        <f>IF(AND($O327=$Y$7,$B327&lt;'1331'!$I$9),"x","")</f>
        <v/>
      </c>
      <c r="AA327" s="80" t="str">
        <f>IF(AND($P327=$Y$7,$B327&lt;'1331'!$I$9),"x","")</f>
        <v/>
      </c>
      <c r="AB327" s="80" t="str">
        <f>IF(AND($B327&gt;='1332'!$I$9,$B327&lt;='1332'!$I$9,OR($O327=$AB$7,$P327=$AB$7)),"x","")</f>
        <v/>
      </c>
      <c r="AC327" s="80" t="str">
        <f>IF(AND($O327=$AB$7,$B327&lt;'1332'!$I$9),"x","")</f>
        <v/>
      </c>
      <c r="AD327" s="80" t="str">
        <f>IF(AND($P327=$AB$7,$B327&lt;'1332'!$I$9),"x","")</f>
        <v/>
      </c>
      <c r="AE327" s="80" t="str">
        <f>IF(AND('341-CT'!$H$9=H327,OR(LEFT(O327,3)=$AE$7,LEFT(P327,3)=$AE$7)),"x","")</f>
        <v/>
      </c>
      <c r="AF327" s="80" t="str">
        <f>IF(OR(TH!O327=TH!$AF$7,P327=TH!$AF$7),"x","")</f>
        <v/>
      </c>
      <c r="AG327" s="80"/>
      <c r="AH327" s="80" t="str">
        <f>IF(AND(B327&gt;='IN-NX'!$P$3,B327&lt;='IN-NX'!$Q$3,'IN-NX'!$D$7=D327,OR(LEFT(L327,2)="15",AND(LEFT(M327,2)&lt;&gt;"15",LEFT(M327,2)&lt;&gt;"33"))),"x","")</f>
        <v/>
      </c>
      <c r="AI327" s="80" t="str">
        <f>IF(AND(OR(LEFT(TH!O327,2)="15",LEFT(TH!P327,2)="15"),'152-CT'!$J$8=TH!F327),"x","")</f>
        <v/>
      </c>
      <c r="AJ327" s="80" t="str">
        <f>IF(AND(OR(LEFT(TH!O327,2)="15",LEFT(TH!P327,2)="15"),'THE KHO'!$E$7=TH!F327),"x","")</f>
        <v/>
      </c>
      <c r="AK327" s="80" t="str">
        <f>IF(AND(O327="1521",MONTH(C327)='BK NL'!$M$11),"x","")</f>
        <v/>
      </c>
      <c r="AM327" s="352">
        <v>1</v>
      </c>
    </row>
    <row r="328" spans="1:39" ht="15.75" customHeight="1">
      <c r="A328" s="362" t="str">
        <f>IF(B328&lt;&gt;"",IF(AND(B328&gt;=_TM1,B328&lt;=_TM2,OR(TH!O328="1111",TH!P328="1111")),TH!D328,""),"")</f>
        <v>C27</v>
      </c>
      <c r="B328" s="63">
        <f t="shared" si="26"/>
        <v>5</v>
      </c>
      <c r="C328" s="337">
        <f t="shared" si="25"/>
        <v>42500</v>
      </c>
      <c r="D328" s="337" t="s">
        <v>193</v>
      </c>
      <c r="E328" s="337">
        <v>42500</v>
      </c>
      <c r="F328" s="1027" t="s">
        <v>926</v>
      </c>
      <c r="G328" s="351" t="s">
        <v>927</v>
      </c>
      <c r="H328" s="339" t="s">
        <v>928</v>
      </c>
      <c r="I328" s="476"/>
      <c r="J328" s="476"/>
      <c r="K328" s="469"/>
      <c r="L328" s="476"/>
      <c r="M328" s="88">
        <v>147909</v>
      </c>
      <c r="N328" s="88"/>
      <c r="O328" s="340" t="s">
        <v>10</v>
      </c>
      <c r="P328" s="340" t="s">
        <v>97</v>
      </c>
      <c r="Q328" s="66" t="str">
        <f>IF(AND('331-CT'!$E$7=TH!H328,OR(O328="331",P328="331")),"x","")</f>
        <v/>
      </c>
      <c r="R328" s="66" t="str">
        <f>IF(AND($B328&gt;='111'!$N$11,$B328&lt;='111'!$O$11,OR($O328=$R$7,$P328=$R$7)),"x","")</f>
        <v/>
      </c>
      <c r="S328" s="66" t="str">
        <f>IF(AND($O328=$R$7,$B328&lt;'111'!$N$11),"x","")</f>
        <v/>
      </c>
      <c r="T328" s="66" t="str">
        <f>IF(AND($P328=$R$7,$B328&lt;'111'!$N$11),"x","")</f>
        <v>x</v>
      </c>
      <c r="U328" s="66" t="str">
        <f>IF(AND($B328&gt;='112'!$M$9,$B328&lt;='112'!$N$9,OR($O328='112'!$I$6,$P328='112'!$I$6)),"x","")</f>
        <v/>
      </c>
      <c r="V328" s="66" t="str">
        <f>IF(AND($O328='112'!$I$6,$B328&lt;'112'!$M$9),"x","")</f>
        <v/>
      </c>
      <c r="W328" s="66" t="str">
        <f>IF(AND($P328='112'!$I$6,$B328&lt;'112'!$M$9),"x","")</f>
        <v/>
      </c>
      <c r="X328" s="66" t="str">
        <f>IF(AND('131-CT'!$H$9=TH!H328,OR(O328="131",P328="131")),"x","")</f>
        <v/>
      </c>
      <c r="Y328" s="80" t="str">
        <f>IF(AND($B328&gt;='1331'!$I$9,$B328&lt;='1331'!$J$9,OR($O328=$Y$7,$P328=$Y$7)),"x","")</f>
        <v/>
      </c>
      <c r="Z328" s="80" t="str">
        <f>IF(AND($O328=$Y$7,$B328&lt;'1331'!$I$9),"x","")</f>
        <v>x</v>
      </c>
      <c r="AA328" s="80" t="str">
        <f>IF(AND($P328=$Y$7,$B328&lt;'1331'!$I$9),"x","")</f>
        <v/>
      </c>
      <c r="AB328" s="80" t="str">
        <f>IF(AND($B328&gt;='1332'!$I$9,$B328&lt;='1332'!$I$9,OR($O328=$AB$7,$P328=$AB$7)),"x","")</f>
        <v/>
      </c>
      <c r="AC328" s="80" t="str">
        <f>IF(AND($O328=$AB$7,$B328&lt;'1332'!$I$9),"x","")</f>
        <v/>
      </c>
      <c r="AD328" s="80" t="str">
        <f>IF(AND($P328=$AB$7,$B328&lt;'1332'!$I$9),"x","")</f>
        <v/>
      </c>
      <c r="AE328" s="80" t="str">
        <f>IF(AND('341-CT'!$H$9=H328,OR(LEFT(O328,3)=$AE$7,LEFT(P328,3)=$AE$7)),"x","")</f>
        <v/>
      </c>
      <c r="AF328" s="80" t="str">
        <f>IF(OR(TH!O328=TH!$AF$7,P328=TH!$AF$7),"x","")</f>
        <v/>
      </c>
      <c r="AG328" s="80"/>
      <c r="AH328" s="80" t="str">
        <f>IF(AND(B328&gt;='IN-NX'!$P$3,B328&lt;='IN-NX'!$Q$3,'IN-NX'!$D$7=D328,OR(LEFT(L328,2)="15",AND(LEFT(M328,2)&lt;&gt;"15",LEFT(M328,2)&lt;&gt;"33"))),"x","")</f>
        <v/>
      </c>
      <c r="AI328" s="80" t="str">
        <f>IF(AND(OR(LEFT(TH!O328,2)="15",LEFT(TH!P328,2)="15"),'152-CT'!$J$8=TH!F328),"x","")</f>
        <v/>
      </c>
      <c r="AJ328" s="80" t="str">
        <f>IF(AND(OR(LEFT(TH!O328,2)="15",LEFT(TH!P328,2)="15"),'THE KHO'!$E$7=TH!F328),"x","")</f>
        <v/>
      </c>
      <c r="AK328" s="80" t="str">
        <f>IF(AND(O328="1521",MONTH(C328)='BK NL'!$M$11),"x","")</f>
        <v/>
      </c>
      <c r="AM328" s="352">
        <v>1</v>
      </c>
    </row>
    <row r="329" spans="1:39" ht="15.75" customHeight="1">
      <c r="A329" s="362" t="str">
        <f>IF(B329&lt;&gt;"",IF(AND(B329&gt;=_TM1,B329&lt;=_TM2,OR(TH!O329="1111",TH!P329="1111")),TH!D329,""),"")</f>
        <v>C28</v>
      </c>
      <c r="B329" s="63">
        <f t="shared" si="26"/>
        <v>5</v>
      </c>
      <c r="C329" s="337">
        <f t="shared" si="25"/>
        <v>42503</v>
      </c>
      <c r="D329" s="337" t="s">
        <v>194</v>
      </c>
      <c r="E329" s="337">
        <v>42503</v>
      </c>
      <c r="F329" s="338" t="s">
        <v>399</v>
      </c>
      <c r="G329" s="351" t="s">
        <v>907</v>
      </c>
      <c r="H329" s="339" t="s">
        <v>417</v>
      </c>
      <c r="I329" s="476"/>
      <c r="J329" s="476"/>
      <c r="K329" s="469"/>
      <c r="L329" s="476"/>
      <c r="M329" s="65">
        <v>1700000</v>
      </c>
      <c r="N329" s="65"/>
      <c r="O329" s="340" t="s">
        <v>242</v>
      </c>
      <c r="P329" s="340" t="s">
        <v>97</v>
      </c>
      <c r="Q329" s="66" t="str">
        <f>IF(AND('331-CT'!$E$7=TH!H329,OR(O329="331",P329="331")),"x","")</f>
        <v/>
      </c>
      <c r="R329" s="66" t="str">
        <f>IF(AND($B329&gt;='111'!$N$11,$B329&lt;='111'!$O$11,OR($O329=$R$7,$P329=$R$7)),"x","")</f>
        <v/>
      </c>
      <c r="S329" s="66" t="str">
        <f>IF(AND($O329=$R$7,$B329&lt;'111'!$N$11),"x","")</f>
        <v/>
      </c>
      <c r="T329" s="66" t="str">
        <f>IF(AND($P329=$R$7,$B329&lt;'111'!$N$11),"x","")</f>
        <v>x</v>
      </c>
      <c r="U329" s="66" t="str">
        <f>IF(AND($B329&gt;='112'!$M$9,$B329&lt;='112'!$N$9,OR($O329='112'!$I$6,$P329='112'!$I$6)),"x","")</f>
        <v/>
      </c>
      <c r="V329" s="66" t="str">
        <f>IF(AND($O329='112'!$I$6,$B329&lt;'112'!$M$9),"x","")</f>
        <v/>
      </c>
      <c r="W329" s="66" t="str">
        <f>IF(AND($P329='112'!$I$6,$B329&lt;'112'!$M$9),"x","")</f>
        <v/>
      </c>
      <c r="X329" s="66" t="str">
        <f>IF(AND('131-CT'!$H$9=TH!H329,OR(O329="131",P329="131")),"x","")</f>
        <v/>
      </c>
      <c r="Y329" s="80" t="str">
        <f>IF(AND($B329&gt;='1331'!$I$9,$B329&lt;='1331'!$J$9,OR($O329=$Y$7,$P329=$Y$7)),"x","")</f>
        <v/>
      </c>
      <c r="Z329" s="80" t="str">
        <f>IF(AND($O329=$Y$7,$B329&lt;'1331'!$I$9),"x","")</f>
        <v/>
      </c>
      <c r="AA329" s="80" t="str">
        <f>IF(AND($P329=$Y$7,$B329&lt;'1331'!$I$9),"x","")</f>
        <v/>
      </c>
      <c r="AB329" s="80" t="str">
        <f>IF(AND($B329&gt;='1332'!$I$9,$B329&lt;='1332'!$I$9,OR($O329=$AB$7,$P329=$AB$7)),"x","")</f>
        <v/>
      </c>
      <c r="AC329" s="80" t="str">
        <f>IF(AND($O329=$AB$7,$B329&lt;'1332'!$I$9),"x","")</f>
        <v/>
      </c>
      <c r="AD329" s="80" t="str">
        <f>IF(AND($P329=$AB$7,$B329&lt;'1332'!$I$9),"x","")</f>
        <v/>
      </c>
      <c r="AE329" s="80" t="str">
        <f>IF(AND('341-CT'!$H$9=H329,OR(LEFT(O329,3)=$AE$7,LEFT(P329,3)=$AE$7)),"x","")</f>
        <v/>
      </c>
      <c r="AF329" s="80" t="str">
        <f>IF(OR(TH!O329=TH!$AF$7,P329=TH!$AF$7),"x","")</f>
        <v/>
      </c>
      <c r="AG329" s="80"/>
      <c r="AH329" s="80" t="str">
        <f>IF(AND(B329&gt;='IN-NX'!$P$3,B329&lt;='IN-NX'!$Q$3,'IN-NX'!$D$7=D329,OR(LEFT(L329,2)="15",AND(LEFT(M329,2)&lt;&gt;"15",LEFT(M329,2)&lt;&gt;"33"))),"x","")</f>
        <v/>
      </c>
      <c r="AI329" s="80" t="str">
        <f>IF(AND(OR(LEFT(TH!O329,2)="15",LEFT(TH!P329,2)="15"),'152-CT'!$J$8=TH!F329),"x","")</f>
        <v/>
      </c>
      <c r="AJ329" s="80" t="str">
        <f>IF(AND(OR(LEFT(TH!O329,2)="15",LEFT(TH!P329,2)="15"),'THE KHO'!$E$7=TH!F329),"x","")</f>
        <v/>
      </c>
      <c r="AK329" s="80" t="str">
        <f>IF(AND(O329="1521",MONTH(C329)='BK NL'!$M$11),"x","")</f>
        <v/>
      </c>
      <c r="AM329" s="352">
        <v>1</v>
      </c>
    </row>
    <row r="330" spans="1:39" ht="15.75" customHeight="1">
      <c r="A330" s="362" t="str">
        <f>IF(B330&lt;&gt;"",IF(AND(B330&gt;=_TM1,B330&lt;=_TM2,OR(TH!O330="1111",TH!P330="1111")),TH!D330,""),"")</f>
        <v>C29</v>
      </c>
      <c r="B330" s="63">
        <f t="shared" si="26"/>
        <v>5</v>
      </c>
      <c r="C330" s="337">
        <f t="shared" si="25"/>
        <v>42507</v>
      </c>
      <c r="D330" s="337" t="s">
        <v>195</v>
      </c>
      <c r="E330" s="337">
        <v>42507</v>
      </c>
      <c r="F330" s="338" t="s">
        <v>901</v>
      </c>
      <c r="G330" s="351" t="s">
        <v>903</v>
      </c>
      <c r="H330" s="339" t="s">
        <v>161</v>
      </c>
      <c r="I330" s="477"/>
      <c r="J330" s="477"/>
      <c r="K330" s="470"/>
      <c r="L330" s="477"/>
      <c r="M330" s="65">
        <f>89195+122119+210000+60000</f>
        <v>481314</v>
      </c>
      <c r="N330" s="65"/>
      <c r="O330" s="340" t="s">
        <v>135</v>
      </c>
      <c r="P330" s="340" t="s">
        <v>97</v>
      </c>
      <c r="Q330" s="66" t="str">
        <f>IF(AND('331-CT'!$E$7=TH!H330,OR(O330="331",P330="331")),"x","")</f>
        <v/>
      </c>
      <c r="R330" s="66" t="str">
        <f>IF(AND($B330&gt;='111'!$N$11,$B330&lt;='111'!$O$11,OR($O330=$R$7,$P330=$R$7)),"x","")</f>
        <v/>
      </c>
      <c r="S330" s="66" t="str">
        <f>IF(AND($O330=$R$7,$B330&lt;'111'!$N$11),"x","")</f>
        <v/>
      </c>
      <c r="T330" s="66" t="str">
        <f>IF(AND($P330=$R$7,$B330&lt;'111'!$N$11),"x","")</f>
        <v>x</v>
      </c>
      <c r="U330" s="66" t="str">
        <f>IF(AND($B330&gt;='112'!$M$9,$B330&lt;='112'!$N$9,OR($O330='112'!$I$6,$P330='112'!$I$6)),"x","")</f>
        <v/>
      </c>
      <c r="V330" s="66" t="str">
        <f>IF(AND($O330='112'!$I$6,$B330&lt;'112'!$M$9),"x","")</f>
        <v/>
      </c>
      <c r="W330" s="66" t="str">
        <f>IF(AND($P330='112'!$I$6,$B330&lt;'112'!$M$9),"x","")</f>
        <v/>
      </c>
      <c r="X330" s="66" t="str">
        <f>IF(AND('131-CT'!$H$9=TH!H330,OR(O330="131",P330="131")),"x","")</f>
        <v/>
      </c>
      <c r="Y330" s="80" t="str">
        <f>IF(AND($B330&gt;='1331'!$I$9,$B330&lt;='1331'!$J$9,OR($O330=$Y$7,$P330=$Y$7)),"x","")</f>
        <v/>
      </c>
      <c r="Z330" s="80" t="str">
        <f>IF(AND($O330=$Y$7,$B330&lt;'1331'!$I$9),"x","")</f>
        <v/>
      </c>
      <c r="AA330" s="80" t="str">
        <f>IF(AND($P330=$Y$7,$B330&lt;'1331'!$I$9),"x","")</f>
        <v/>
      </c>
      <c r="AB330" s="80" t="str">
        <f>IF(AND($B330&gt;='1332'!$I$9,$B330&lt;='1332'!$I$9,OR($O330=$AB$7,$P330=$AB$7)),"x","")</f>
        <v/>
      </c>
      <c r="AC330" s="80" t="str">
        <f>IF(AND($O330=$AB$7,$B330&lt;'1332'!$I$9),"x","")</f>
        <v/>
      </c>
      <c r="AD330" s="80" t="str">
        <f>IF(AND($P330=$AB$7,$B330&lt;'1332'!$I$9),"x","")</f>
        <v/>
      </c>
      <c r="AE330" s="80" t="str">
        <f>IF(AND('341-CT'!$H$9=H330,OR(LEFT(O330,3)=$AE$7,LEFT(P330,3)=$AE$7)),"x","")</f>
        <v/>
      </c>
      <c r="AF330" s="80" t="str">
        <f>IF(OR(TH!O330=TH!$AF$7,P330=TH!$AF$7),"x","")</f>
        <v/>
      </c>
      <c r="AG330" s="80"/>
      <c r="AH330" s="80" t="str">
        <f>IF(AND(B330&gt;='IN-NX'!$P$3,B330&lt;='IN-NX'!$Q$3,'IN-NX'!$D$7=D330,OR(LEFT(L330,2)="15",AND(LEFT(M330,2)&lt;&gt;"15",LEFT(M330,2)&lt;&gt;"33"))),"x","")</f>
        <v/>
      </c>
      <c r="AI330" s="80" t="str">
        <f>IF(AND(OR(LEFT(TH!O330,2)="15",LEFT(TH!P330,2)="15"),'152-CT'!$J$8=TH!F330),"x","")</f>
        <v/>
      </c>
      <c r="AJ330" s="80" t="str">
        <f>IF(AND(OR(LEFT(TH!O330,2)="15",LEFT(TH!P330,2)="15"),'THE KHO'!$E$7=TH!F330),"x","")</f>
        <v/>
      </c>
      <c r="AK330" s="80" t="str">
        <f>IF(AND(O330="1521",MONTH(C330)='BK NL'!$M$11),"x","")</f>
        <v/>
      </c>
      <c r="AM330" s="352">
        <v>1</v>
      </c>
    </row>
    <row r="331" spans="1:39" ht="15.75" customHeight="1">
      <c r="A331" s="362" t="str">
        <f>IF(B331&lt;&gt;"",IF(AND(B331&gt;=_TM1,B331&lt;=_TM2,OR(TH!O331="1111",TH!P331="1111")),TH!D331,""),"")</f>
        <v>C29</v>
      </c>
      <c r="B331" s="63">
        <f t="shared" si="26"/>
        <v>5</v>
      </c>
      <c r="C331" s="337">
        <f t="shared" si="25"/>
        <v>42507</v>
      </c>
      <c r="D331" s="337" t="s">
        <v>195</v>
      </c>
      <c r="E331" s="337">
        <v>42507</v>
      </c>
      <c r="F331" s="338" t="s">
        <v>902</v>
      </c>
      <c r="G331" s="351" t="s">
        <v>903</v>
      </c>
      <c r="H331" s="339" t="s">
        <v>161</v>
      </c>
      <c r="I331" s="476"/>
      <c r="J331" s="476"/>
      <c r="K331" s="469"/>
      <c r="L331" s="476"/>
      <c r="M331" s="88">
        <f>8920+12211+21000+6000</f>
        <v>48131</v>
      </c>
      <c r="N331" s="88"/>
      <c r="O331" s="340" t="s">
        <v>10</v>
      </c>
      <c r="P331" s="340" t="s">
        <v>97</v>
      </c>
      <c r="Q331" s="66" t="str">
        <f>IF(AND('331-CT'!$E$7=TH!H331,OR(O331="331",P331="331")),"x","")</f>
        <v/>
      </c>
      <c r="R331" s="66" t="str">
        <f>IF(AND($B331&gt;='111'!$N$11,$B331&lt;='111'!$O$11,OR($O331=$R$7,$P331=$R$7)),"x","")</f>
        <v/>
      </c>
      <c r="S331" s="66" t="str">
        <f>IF(AND($O331=$R$7,$B331&lt;'111'!$N$11),"x","")</f>
        <v/>
      </c>
      <c r="T331" s="66" t="str">
        <f>IF(AND($P331=$R$7,$B331&lt;'111'!$N$11),"x","")</f>
        <v>x</v>
      </c>
      <c r="U331" s="66" t="str">
        <f>IF(AND($B331&gt;='112'!$M$9,$B331&lt;='112'!$N$9,OR($O331='112'!$I$6,$P331='112'!$I$6)),"x","")</f>
        <v/>
      </c>
      <c r="V331" s="66" t="str">
        <f>IF(AND($O331='112'!$I$6,$B331&lt;'112'!$M$9),"x","")</f>
        <v/>
      </c>
      <c r="W331" s="66" t="str">
        <f>IF(AND($P331='112'!$I$6,$B331&lt;'112'!$M$9),"x","")</f>
        <v/>
      </c>
      <c r="X331" s="66" t="str">
        <f>IF(AND('131-CT'!$H$9=TH!H331,OR(O331="131",P331="131")),"x","")</f>
        <v/>
      </c>
      <c r="Y331" s="80" t="str">
        <f>IF(AND($B331&gt;='1331'!$I$9,$B331&lt;='1331'!$J$9,OR($O331=$Y$7,$P331=$Y$7)),"x","")</f>
        <v/>
      </c>
      <c r="Z331" s="80" t="str">
        <f>IF(AND($O331=$Y$7,$B331&lt;'1331'!$I$9),"x","")</f>
        <v>x</v>
      </c>
      <c r="AA331" s="80" t="str">
        <f>IF(AND($P331=$Y$7,$B331&lt;'1331'!$I$9),"x","")</f>
        <v/>
      </c>
      <c r="AB331" s="80" t="str">
        <f>IF(AND($B331&gt;='1332'!$I$9,$B331&lt;='1332'!$I$9,OR($O331=$AB$7,$P331=$AB$7)),"x","")</f>
        <v/>
      </c>
      <c r="AC331" s="80" t="str">
        <f>IF(AND($O331=$AB$7,$B331&lt;'1332'!$I$9),"x","")</f>
        <v/>
      </c>
      <c r="AD331" s="80" t="str">
        <f>IF(AND($P331=$AB$7,$B331&lt;'1332'!$I$9),"x","")</f>
        <v/>
      </c>
      <c r="AE331" s="80" t="str">
        <f>IF(AND('341-CT'!$H$9=H331,OR(LEFT(O331,3)=$AE$7,LEFT(P331,3)=$AE$7)),"x","")</f>
        <v/>
      </c>
      <c r="AF331" s="80" t="str">
        <f>IF(OR(TH!O331=TH!$AF$7,P331=TH!$AF$7),"x","")</f>
        <v/>
      </c>
      <c r="AG331" s="80"/>
      <c r="AH331" s="80" t="str">
        <f>IF(AND(B331&gt;='IN-NX'!$P$3,B331&lt;='IN-NX'!$Q$3,'IN-NX'!$D$7=D331,OR(LEFT(L331,2)="15",AND(LEFT(M331,2)&lt;&gt;"15",LEFT(M331,2)&lt;&gt;"33"))),"x","")</f>
        <v/>
      </c>
      <c r="AI331" s="80" t="str">
        <f>IF(AND(OR(LEFT(TH!O331,2)="15",LEFT(TH!P331,2)="15"),'152-CT'!$J$8=TH!F331),"x","")</f>
        <v/>
      </c>
      <c r="AJ331" s="80" t="str">
        <f>IF(AND(OR(LEFT(TH!O331,2)="15",LEFT(TH!P331,2)="15"),'THE KHO'!$E$7=TH!F331),"x","")</f>
        <v/>
      </c>
      <c r="AK331" s="80" t="str">
        <f>IF(AND(O331="1521",MONTH(C331)='BK NL'!$M$11),"x","")</f>
        <v/>
      </c>
    </row>
    <row r="332" spans="1:39" ht="15.75" customHeight="1">
      <c r="A332" s="362" t="str">
        <f>IF(B332&lt;&gt;"",IF(AND(B332&gt;=_TM1,B332&lt;=_TM2,OR(TH!O332="1111",TH!P332="1111")),TH!D332,""),"")</f>
        <v>C30</v>
      </c>
      <c r="B332" s="63">
        <f t="shared" si="26"/>
        <v>5</v>
      </c>
      <c r="C332" s="337">
        <f t="shared" si="25"/>
        <v>42507</v>
      </c>
      <c r="D332" s="337" t="s">
        <v>196</v>
      </c>
      <c r="E332" s="337">
        <v>42507</v>
      </c>
      <c r="F332" s="338" t="s">
        <v>399</v>
      </c>
      <c r="G332" s="351" t="s">
        <v>908</v>
      </c>
      <c r="H332" s="339" t="s">
        <v>417</v>
      </c>
      <c r="I332" s="476"/>
      <c r="J332" s="476"/>
      <c r="K332" s="469"/>
      <c r="L332" s="476"/>
      <c r="M332" s="65">
        <v>3800000</v>
      </c>
      <c r="N332" s="65"/>
      <c r="O332" s="340" t="s">
        <v>242</v>
      </c>
      <c r="P332" s="340" t="s">
        <v>97</v>
      </c>
      <c r="Q332" s="66" t="str">
        <f>IF(AND('331-CT'!$E$7=TH!H332,OR(O332="331",P332="331")),"x","")</f>
        <v/>
      </c>
      <c r="R332" s="66" t="str">
        <f>IF(AND($B332&gt;='111'!$N$11,$B332&lt;='111'!$O$11,OR($O332=$R$7,$P332=$R$7)),"x","")</f>
        <v/>
      </c>
      <c r="S332" s="66" t="str">
        <f>IF(AND($O332=$R$7,$B332&lt;'111'!$N$11),"x","")</f>
        <v/>
      </c>
      <c r="T332" s="66" t="str">
        <f>IF(AND($P332=$R$7,$B332&lt;'111'!$N$11),"x","")</f>
        <v>x</v>
      </c>
      <c r="U332" s="66" t="str">
        <f>IF(AND($B332&gt;='112'!$M$9,$B332&lt;='112'!$N$9,OR($O332='112'!$I$6,$P332='112'!$I$6)),"x","")</f>
        <v/>
      </c>
      <c r="V332" s="66" t="str">
        <f>IF(AND($O332='112'!$I$6,$B332&lt;'112'!$M$9),"x","")</f>
        <v/>
      </c>
      <c r="W332" s="66" t="str">
        <f>IF(AND($P332='112'!$I$6,$B332&lt;'112'!$M$9),"x","")</f>
        <v/>
      </c>
      <c r="X332" s="66" t="str">
        <f>IF(AND('131-CT'!$H$9=TH!H332,OR(O332="131",P332="131")),"x","")</f>
        <v/>
      </c>
      <c r="Y332" s="80" t="str">
        <f>IF(AND($B332&gt;='1331'!$I$9,$B332&lt;='1331'!$J$9,OR($O332=$Y$7,$P332=$Y$7)),"x","")</f>
        <v/>
      </c>
      <c r="Z332" s="80" t="str">
        <f>IF(AND($O332=$Y$7,$B332&lt;'1331'!$I$9),"x","")</f>
        <v/>
      </c>
      <c r="AA332" s="80" t="str">
        <f>IF(AND($P332=$Y$7,$B332&lt;'1331'!$I$9),"x","")</f>
        <v/>
      </c>
      <c r="AB332" s="80" t="str">
        <f>IF(AND($B332&gt;='1332'!$I$9,$B332&lt;='1332'!$I$9,OR($O332=$AB$7,$P332=$AB$7)),"x","")</f>
        <v/>
      </c>
      <c r="AC332" s="80" t="str">
        <f>IF(AND($O332=$AB$7,$B332&lt;'1332'!$I$9),"x","")</f>
        <v/>
      </c>
      <c r="AD332" s="80" t="str">
        <f>IF(AND($P332=$AB$7,$B332&lt;'1332'!$I$9),"x","")</f>
        <v/>
      </c>
      <c r="AE332" s="80" t="str">
        <f>IF(AND('341-CT'!$H$9=H332,OR(LEFT(O332,3)=$AE$7,LEFT(P332,3)=$AE$7)),"x","")</f>
        <v/>
      </c>
      <c r="AF332" s="80" t="str">
        <f>IF(OR(TH!O332=TH!$AF$7,P332=TH!$AF$7),"x","")</f>
        <v/>
      </c>
      <c r="AG332" s="80"/>
      <c r="AH332" s="80" t="str">
        <f>IF(AND(B332&gt;='IN-NX'!$P$3,B332&lt;='IN-NX'!$Q$3,'IN-NX'!$D$7=D332,OR(LEFT(L332,2)="15",AND(LEFT(M332,2)&lt;&gt;"15",LEFT(M332,2)&lt;&gt;"33"))),"x","")</f>
        <v/>
      </c>
      <c r="AI332" s="80" t="str">
        <f>IF(AND(OR(LEFT(TH!O332,2)="15",LEFT(TH!P332,2)="15"),'152-CT'!$J$8=TH!F332),"x","")</f>
        <v/>
      </c>
      <c r="AJ332" s="80" t="str">
        <f>IF(AND(OR(LEFT(TH!O332,2)="15",LEFT(TH!P332,2)="15"),'THE KHO'!$E$7=TH!F332),"x","")</f>
        <v/>
      </c>
      <c r="AK332" s="80" t="str">
        <f>IF(AND(O332="1521",MONTH(C332)='BK NL'!$M$11),"x","")</f>
        <v/>
      </c>
      <c r="AM332" s="352">
        <v>1</v>
      </c>
    </row>
    <row r="333" spans="1:39" s="374" customFormat="1" ht="15.75" customHeight="1">
      <c r="A333" s="362" t="str">
        <f>IF(B333&lt;&gt;"",IF(AND(B333&gt;=_TM1,B333&lt;=_TM2,OR(TH!O333="1111",TH!P333="1111")),TH!D333,""),"")</f>
        <v>C31</v>
      </c>
      <c r="B333" s="63">
        <f t="shared" si="26"/>
        <v>5</v>
      </c>
      <c r="C333" s="337">
        <f t="shared" si="25"/>
        <v>42509</v>
      </c>
      <c r="D333" s="337" t="s">
        <v>197</v>
      </c>
      <c r="E333" s="337">
        <v>42509</v>
      </c>
      <c r="F333" s="338" t="s">
        <v>185</v>
      </c>
      <c r="G333" s="351" t="s">
        <v>909</v>
      </c>
      <c r="H333" s="339" t="s">
        <v>319</v>
      </c>
      <c r="I333" s="476"/>
      <c r="J333" s="476"/>
      <c r="K333" s="469"/>
      <c r="L333" s="476"/>
      <c r="M333" s="65">
        <v>1145000</v>
      </c>
      <c r="N333" s="65"/>
      <c r="O333" s="340" t="s">
        <v>242</v>
      </c>
      <c r="P333" s="340" t="s">
        <v>97</v>
      </c>
      <c r="Q333" s="66" t="str">
        <f>IF(AND('331-CT'!$E$7=TH!H333,OR(O333="331",P333="331")),"x","")</f>
        <v/>
      </c>
      <c r="R333" s="66" t="str">
        <f>IF(AND($B333&gt;='111'!$N$11,$B333&lt;='111'!$O$11,OR($O333=$R$7,$P333=$R$7)),"x","")</f>
        <v/>
      </c>
      <c r="S333" s="66" t="str">
        <f>IF(AND($O333=$R$7,$B333&lt;'111'!$N$11),"x","")</f>
        <v/>
      </c>
      <c r="T333" s="66" t="str">
        <f>IF(AND($P333=$R$7,$B333&lt;'111'!$N$11),"x","")</f>
        <v>x</v>
      </c>
      <c r="U333" s="66" t="str">
        <f>IF(AND($B333&gt;='112'!$M$9,$B333&lt;='112'!$N$9,OR($O333='112'!$I$6,$P333='112'!$I$6)),"x","")</f>
        <v/>
      </c>
      <c r="V333" s="66" t="str">
        <f>IF(AND($O333='112'!$I$6,$B333&lt;'112'!$M$9),"x","")</f>
        <v/>
      </c>
      <c r="W333" s="66" t="str">
        <f>IF(AND($P333='112'!$I$6,$B333&lt;'112'!$M$9),"x","")</f>
        <v/>
      </c>
      <c r="X333" s="66" t="str">
        <f>IF(AND('131-CT'!$H$9=TH!H333,OR(O333="131",P333="131")),"x","")</f>
        <v/>
      </c>
      <c r="Y333" s="80" t="str">
        <f>IF(AND($B333&gt;='1331'!$I$9,$B333&lt;='1331'!$J$9,OR($O333=$Y$7,$P333=$Y$7)),"x","")</f>
        <v/>
      </c>
      <c r="Z333" s="80" t="str">
        <f>IF(AND($O333=$Y$7,$B333&lt;'1331'!$I$9),"x","")</f>
        <v/>
      </c>
      <c r="AA333" s="80" t="str">
        <f>IF(AND($P333=$Y$7,$B333&lt;'1331'!$I$9),"x","")</f>
        <v/>
      </c>
      <c r="AB333" s="80" t="str">
        <f>IF(AND($B333&gt;='1332'!$I$9,$B333&lt;='1332'!$I$9,OR($O333=$AB$7,$P333=$AB$7)),"x","")</f>
        <v/>
      </c>
      <c r="AC333" s="80" t="str">
        <f>IF(AND($O333=$AB$7,$B333&lt;'1332'!$I$9),"x","")</f>
        <v/>
      </c>
      <c r="AD333" s="80" t="str">
        <f>IF(AND($P333=$AB$7,$B333&lt;'1332'!$I$9),"x","")</f>
        <v/>
      </c>
      <c r="AE333" s="80" t="str">
        <f>IF(AND('341-CT'!$H$9=H333,OR(LEFT(O333,3)=$AE$7,LEFT(P333,3)=$AE$7)),"x","")</f>
        <v/>
      </c>
      <c r="AF333" s="80" t="str">
        <f>IF(OR(TH!O333=TH!$AF$7,P333=TH!$AF$7),"x","")</f>
        <v/>
      </c>
      <c r="AG333" s="80"/>
      <c r="AH333" s="80" t="str">
        <f>IF(AND(B333&gt;='IN-NX'!$P$3,B333&lt;='IN-NX'!$Q$3,'IN-NX'!$D$7=D333,OR(LEFT(L333,2)="15",AND(LEFT(M333,2)&lt;&gt;"15",LEFT(M333,2)&lt;&gt;"33"))),"x","")</f>
        <v/>
      </c>
      <c r="AI333" s="80" t="str">
        <f>IF(AND(OR(LEFT(TH!O333,2)="15",LEFT(TH!P333,2)="15"),'152-CT'!$J$8=TH!F333),"x","")</f>
        <v/>
      </c>
      <c r="AJ333" s="80" t="str">
        <f>IF(AND(OR(LEFT(TH!O333,2)="15",LEFT(TH!P333,2)="15"),'THE KHO'!$E$7=TH!F333),"x","")</f>
        <v/>
      </c>
      <c r="AK333" s="80" t="str">
        <f>IF(AND(O333="1521",MONTH(C333)='BK NL'!$M$11),"x","")</f>
        <v/>
      </c>
      <c r="AL333" s="352"/>
      <c r="AM333" s="352">
        <v>1</v>
      </c>
    </row>
    <row r="334" spans="1:39" ht="15.75" customHeight="1">
      <c r="A334" s="362" t="str">
        <f>IF(B334&lt;&gt;"",IF(AND(B334&gt;=_TM1,B334&lt;=_TM2,OR(TH!O334="1111",TH!P334="1111")),TH!D334,""),"")</f>
        <v>C32</v>
      </c>
      <c r="B334" s="63">
        <f t="shared" si="26"/>
        <v>5</v>
      </c>
      <c r="C334" s="337">
        <f t="shared" si="25"/>
        <v>42509</v>
      </c>
      <c r="D334" s="337" t="s">
        <v>198</v>
      </c>
      <c r="E334" s="337">
        <v>42509</v>
      </c>
      <c r="F334" s="338" t="s">
        <v>437</v>
      </c>
      <c r="G334" s="1022" t="s">
        <v>798</v>
      </c>
      <c r="H334" s="339" t="s">
        <v>429</v>
      </c>
      <c r="I334" s="476"/>
      <c r="J334" s="476"/>
      <c r="K334" s="469"/>
      <c r="L334" s="476"/>
      <c r="M334" s="65">
        <v>14000000</v>
      </c>
      <c r="N334" s="65"/>
      <c r="O334" s="340" t="s">
        <v>24</v>
      </c>
      <c r="P334" s="340" t="s">
        <v>97</v>
      </c>
      <c r="Q334" s="66" t="str">
        <f>IF(AND('331-CT'!$E$7=TH!H334,OR(O334="331",P334="331")),"x","")</f>
        <v/>
      </c>
      <c r="R334" s="66" t="str">
        <f>IF(AND($B334&gt;='111'!$N$11,$B334&lt;='111'!$O$11,OR($O334=$R$7,$P334=$R$7)),"x","")</f>
        <v/>
      </c>
      <c r="S334" s="66" t="str">
        <f>IF(AND($O334=$R$7,$B334&lt;'111'!$N$11),"x","")</f>
        <v/>
      </c>
      <c r="T334" s="66" t="str">
        <f>IF(AND($P334=$R$7,$B334&lt;'111'!$N$11),"x","")</f>
        <v>x</v>
      </c>
      <c r="U334" s="66" t="str">
        <f>IF(AND($B334&gt;='112'!$M$9,$B334&lt;='112'!$N$9,OR($O334='112'!$I$6,$P334='112'!$I$6)),"x","")</f>
        <v/>
      </c>
      <c r="V334" s="66" t="str">
        <f>IF(AND($O334='112'!$I$6,$B334&lt;'112'!$M$9),"x","")</f>
        <v/>
      </c>
      <c r="W334" s="66" t="str">
        <f>IF(AND($P334='112'!$I$6,$B334&lt;'112'!$M$9),"x","")</f>
        <v/>
      </c>
      <c r="X334" s="66" t="str">
        <f>IF(AND('131-CT'!$H$9=TH!H334,OR(O334="131",P334="131")),"x","")</f>
        <v/>
      </c>
      <c r="Y334" s="80" t="str">
        <f>IF(AND($B334&gt;='1331'!$I$9,$B334&lt;='1331'!$J$9,OR($O334=$Y$7,$P334=$Y$7)),"x","")</f>
        <v/>
      </c>
      <c r="Z334" s="80" t="str">
        <f>IF(AND($O334=$Y$7,$B334&lt;'1331'!$I$9),"x","")</f>
        <v/>
      </c>
      <c r="AA334" s="80" t="str">
        <f>IF(AND($P334=$Y$7,$B334&lt;'1331'!$I$9),"x","")</f>
        <v/>
      </c>
      <c r="AB334" s="80" t="str">
        <f>IF(AND($B334&gt;='1332'!$I$9,$B334&lt;='1332'!$I$9,OR($O334=$AB$7,$P334=$AB$7)),"x","")</f>
        <v/>
      </c>
      <c r="AC334" s="80" t="str">
        <f>IF(AND($O334=$AB$7,$B334&lt;'1332'!$I$9),"x","")</f>
        <v/>
      </c>
      <c r="AD334" s="80" t="str">
        <f>IF(AND($P334=$AB$7,$B334&lt;'1332'!$I$9),"x","")</f>
        <v/>
      </c>
      <c r="AE334" s="80" t="str">
        <f>IF(AND('341-CT'!$H$9=H334,OR(LEFT(O334,3)=$AE$7,LEFT(P334,3)=$AE$7)),"x","")</f>
        <v/>
      </c>
      <c r="AF334" s="80" t="str">
        <f>IF(OR(TH!O334=TH!$AF$7,P334=TH!$AF$7),"x","")</f>
        <v>x</v>
      </c>
      <c r="AG334" s="80"/>
      <c r="AH334" s="80" t="str">
        <f>IF(AND(B334&gt;='IN-NX'!$P$3,B334&lt;='IN-NX'!$Q$3,'IN-NX'!$D$7=D334,OR(LEFT(L334,2)="15",AND(LEFT(M334,2)&lt;&gt;"15",LEFT(M334,2)&lt;&gt;"33"))),"x","")</f>
        <v/>
      </c>
      <c r="AI334" s="80" t="str">
        <f>IF(AND(OR(LEFT(TH!O334,2)="15",LEFT(TH!P334,2)="15"),'152-CT'!$J$8=TH!F334),"x","")</f>
        <v/>
      </c>
      <c r="AJ334" s="80" t="str">
        <f>IF(AND(OR(LEFT(TH!O334,2)="15",LEFT(TH!P334,2)="15"),'THE KHO'!$E$7=TH!F334),"x","")</f>
        <v/>
      </c>
      <c r="AK334" s="80" t="str">
        <f>IF(AND(O334="1521",MONTH(C334)='BK NL'!$M$11),"x","")</f>
        <v/>
      </c>
    </row>
    <row r="335" spans="1:39" ht="15.75" customHeight="1">
      <c r="A335" s="362" t="str">
        <f>IF(B335&lt;&gt;"",IF(AND(B335&gt;=_TM1,B335&lt;=_TM2,OR(TH!O335="1111",TH!P335="1111")),TH!D335,""),"")</f>
        <v/>
      </c>
      <c r="B335" s="63">
        <f t="shared" si="26"/>
        <v>5</v>
      </c>
      <c r="C335" s="337">
        <f t="shared" si="25"/>
        <v>42509</v>
      </c>
      <c r="D335" s="337" t="s">
        <v>12</v>
      </c>
      <c r="E335" s="337">
        <v>42509</v>
      </c>
      <c r="F335" s="338" t="s">
        <v>788</v>
      </c>
      <c r="G335" s="1022" t="s">
        <v>798</v>
      </c>
      <c r="H335" s="339" t="s">
        <v>429</v>
      </c>
      <c r="I335" s="476"/>
      <c r="J335" s="476"/>
      <c r="K335" s="469"/>
      <c r="L335" s="476"/>
      <c r="M335" s="65">
        <v>14000000</v>
      </c>
      <c r="N335" s="65"/>
      <c r="O335" s="340" t="s">
        <v>31</v>
      </c>
      <c r="P335" s="340" t="s">
        <v>24</v>
      </c>
      <c r="Q335" s="66" t="str">
        <f>IF(AND('331-CT'!$E$7=TH!H335,OR(O335="331",P335="331")),"x","")</f>
        <v/>
      </c>
      <c r="R335" s="66" t="str">
        <f>IF(AND($B335&gt;='111'!$N$11,$B335&lt;='111'!$O$11,OR($O335=$R$7,$P335=$R$7)),"x","")</f>
        <v/>
      </c>
      <c r="S335" s="66" t="str">
        <f>IF(AND($O335=$R$7,$B335&lt;'111'!$N$11),"x","")</f>
        <v/>
      </c>
      <c r="T335" s="66" t="str">
        <f>IF(AND($P335=$R$7,$B335&lt;'111'!$N$11),"x","")</f>
        <v/>
      </c>
      <c r="U335" s="66" t="str">
        <f>IF(AND($B335&gt;='112'!$M$9,$B335&lt;='112'!$N$9,OR($O335='112'!$I$6,$P335='112'!$I$6)),"x","")</f>
        <v/>
      </c>
      <c r="V335" s="66" t="str">
        <f>IF(AND($O335='112'!$I$6,$B335&lt;'112'!$M$9),"x","")</f>
        <v>x</v>
      </c>
      <c r="W335" s="66" t="str">
        <f>IF(AND($P335='112'!$I$6,$B335&lt;'112'!$M$9),"x","")</f>
        <v/>
      </c>
      <c r="X335" s="66" t="str">
        <f>IF(AND('131-CT'!$H$9=TH!H335,OR(O335="131",P335="131")),"x","")</f>
        <v/>
      </c>
      <c r="Y335" s="80" t="str">
        <f>IF(AND($B335&gt;='1331'!$I$9,$B335&lt;='1331'!$J$9,OR($O335=$Y$7,$P335=$Y$7)),"x","")</f>
        <v/>
      </c>
      <c r="Z335" s="80" t="str">
        <f>IF(AND($O335=$Y$7,$B335&lt;'1331'!$I$9),"x","")</f>
        <v/>
      </c>
      <c r="AA335" s="80" t="str">
        <f>IF(AND($P335=$Y$7,$B335&lt;'1331'!$I$9),"x","")</f>
        <v/>
      </c>
      <c r="AB335" s="80" t="str">
        <f>IF(AND($B335&gt;='1332'!$I$9,$B335&lt;='1332'!$I$9,OR($O335=$AB$7,$P335=$AB$7)),"x","")</f>
        <v/>
      </c>
      <c r="AC335" s="80" t="str">
        <f>IF(AND($O335=$AB$7,$B335&lt;'1332'!$I$9),"x","")</f>
        <v/>
      </c>
      <c r="AD335" s="80" t="str">
        <f>IF(AND($P335=$AB$7,$B335&lt;'1332'!$I$9),"x","")</f>
        <v/>
      </c>
      <c r="AE335" s="80" t="str">
        <f>IF(AND('341-CT'!$H$9=H335,OR(LEFT(O335,3)=$AE$7,LEFT(P335,3)=$AE$7)),"x","")</f>
        <v/>
      </c>
      <c r="AF335" s="80" t="str">
        <f>IF(OR(TH!O335=TH!$AF$7,P335=TH!$AF$7),"x","")</f>
        <v>x</v>
      </c>
      <c r="AG335" s="80"/>
      <c r="AH335" s="80" t="str">
        <f>IF(AND(B335&gt;='IN-NX'!$P$3,B335&lt;='IN-NX'!$Q$3,'IN-NX'!$D$7=D335,OR(LEFT(L335,2)="15",AND(LEFT(M335,2)&lt;&gt;"15",LEFT(M335,2)&lt;&gt;"33"))),"x","")</f>
        <v/>
      </c>
      <c r="AI335" s="80" t="str">
        <f>IF(AND(OR(LEFT(TH!O335,2)="15",LEFT(TH!P335,2)="15"),'152-CT'!$J$8=TH!F335),"x","")</f>
        <v/>
      </c>
      <c r="AJ335" s="80" t="str">
        <f>IF(AND(OR(LEFT(TH!O335,2)="15",LEFT(TH!P335,2)="15"),'THE KHO'!$E$7=TH!F335),"x","")</f>
        <v/>
      </c>
      <c r="AK335" s="80" t="str">
        <f>IF(AND(O335="1521",MONTH(C335)='BK NL'!$M$11),"x","")</f>
        <v/>
      </c>
    </row>
    <row r="336" spans="1:39" ht="22.5" customHeight="1">
      <c r="A336" s="362" t="str">
        <f>IF(B336&lt;&gt;"",IF(AND(B336&gt;=_TM1,B336&lt;=_TM2,OR(TH!O336="1111",TH!P336="1111")),TH!D336,""),"")</f>
        <v/>
      </c>
      <c r="B336" s="63">
        <f t="shared" si="26"/>
        <v>5</v>
      </c>
      <c r="C336" s="337">
        <f t="shared" si="25"/>
        <v>42509</v>
      </c>
      <c r="D336" s="337" t="s">
        <v>8</v>
      </c>
      <c r="E336" s="337">
        <v>42509</v>
      </c>
      <c r="F336" s="338" t="s">
        <v>405</v>
      </c>
      <c r="G336" s="1022" t="s">
        <v>798</v>
      </c>
      <c r="H336" s="339" t="s">
        <v>325</v>
      </c>
      <c r="I336" s="479"/>
      <c r="J336" s="479"/>
      <c r="K336" s="472"/>
      <c r="L336" s="479"/>
      <c r="M336" s="65">
        <v>6557460</v>
      </c>
      <c r="N336" s="65"/>
      <c r="O336" s="340" t="s">
        <v>133</v>
      </c>
      <c r="P336" s="340" t="s">
        <v>31</v>
      </c>
      <c r="Q336" s="66" t="str">
        <f>IF(AND('331-CT'!$E$7=TH!H336,OR(O336="331",P336="331")),"x","")</f>
        <v/>
      </c>
      <c r="R336" s="66" t="str">
        <f>IF(AND($B336&gt;='111'!$N$11,$B336&lt;='111'!$O$11,OR($O336=$R$7,$P336=$R$7)),"x","")</f>
        <v/>
      </c>
      <c r="S336" s="66" t="str">
        <f>IF(AND($O336=$R$7,$B336&lt;'111'!$N$11),"x","")</f>
        <v/>
      </c>
      <c r="T336" s="66" t="str">
        <f>IF(AND($P336=$R$7,$B336&lt;'111'!$N$11),"x","")</f>
        <v/>
      </c>
      <c r="U336" s="66" t="str">
        <f>IF(AND($B336&gt;='112'!$M$9,$B336&lt;='112'!$N$9,OR($O336='112'!$I$6,$P336='112'!$I$6)),"x","")</f>
        <v/>
      </c>
      <c r="V336" s="66" t="str">
        <f>IF(AND($O336='112'!$I$6,$B336&lt;'112'!$M$9),"x","")</f>
        <v/>
      </c>
      <c r="W336" s="66" t="str">
        <f>IF(AND($P336='112'!$I$6,$B336&lt;'112'!$M$9),"x","")</f>
        <v>x</v>
      </c>
      <c r="X336" s="66" t="str">
        <f>IF(AND('131-CT'!$H$9=TH!H336,OR(O336="131",P336="131")),"x","")</f>
        <v/>
      </c>
      <c r="Y336" s="80" t="str">
        <f>IF(AND($B336&gt;='1331'!$I$9,$B336&lt;='1331'!$J$9,OR($O336=$Y$7,$P336=$Y$7)),"x","")</f>
        <v/>
      </c>
      <c r="Z336" s="80" t="str">
        <f>IF(AND($O336=$Y$7,$B336&lt;'1331'!$I$9),"x","")</f>
        <v/>
      </c>
      <c r="AA336" s="80" t="str">
        <f>IF(AND($P336=$Y$7,$B336&lt;'1331'!$I$9),"x","")</f>
        <v/>
      </c>
      <c r="AB336" s="80" t="str">
        <f>IF(AND($B336&gt;='1332'!$I$9,$B336&lt;='1332'!$I$9,OR($O336=$AB$7,$P336=$AB$7)),"x","")</f>
        <v/>
      </c>
      <c r="AC336" s="80" t="str">
        <f>IF(AND($O336=$AB$7,$B336&lt;'1332'!$I$9),"x","")</f>
        <v/>
      </c>
      <c r="AD336" s="80" t="str">
        <f>IF(AND($P336=$AB$7,$B336&lt;'1332'!$I$9),"x","")</f>
        <v/>
      </c>
      <c r="AE336" s="80" t="str">
        <f>IF(AND('341-CT'!$H$9=H336,OR(LEFT(O336,3)=$AE$7,LEFT(P336,3)=$AE$7)),"x","")</f>
        <v/>
      </c>
      <c r="AF336" s="80" t="str">
        <f>IF(OR(TH!O336=TH!$AF$7,P336=TH!$AF$7),"x","")</f>
        <v/>
      </c>
      <c r="AG336" s="80"/>
      <c r="AH336" s="80" t="str">
        <f>IF(AND(B336&gt;='IN-NX'!$P$3,B336&lt;='IN-NX'!$Q$3,'IN-NX'!$D$7=D336,OR(LEFT(L336,2)="15",AND(LEFT(M336,2)&lt;&gt;"15",LEFT(M336,2)&lt;&gt;"33"))),"x","")</f>
        <v/>
      </c>
      <c r="AI336" s="80" t="str">
        <f>IF(AND(OR(LEFT(TH!O336,2)="15",LEFT(TH!P336,2)="15"),'152-CT'!$J$8=TH!F336),"x","")</f>
        <v/>
      </c>
      <c r="AJ336" s="80" t="str">
        <f>IF(AND(OR(LEFT(TH!O336,2)="15",LEFT(TH!P336,2)="15"),'THE KHO'!$E$7=TH!F336),"x","")</f>
        <v/>
      </c>
      <c r="AK336" s="80" t="str">
        <f>IF(AND(O336="1521",MONTH(C336)='BK NL'!$M$11),"x","")</f>
        <v/>
      </c>
    </row>
    <row r="337" spans="1:39" ht="15.75" customHeight="1">
      <c r="A337" s="362" t="str">
        <f>IF(B337&lt;&gt;"",IF(AND(B337&gt;=_TM1,B337&lt;=_TM2,OR(TH!O337="1111",TH!P337="1111")),TH!D337,""),"")</f>
        <v>C33</v>
      </c>
      <c r="B337" s="63">
        <f t="shared" si="26"/>
        <v>5</v>
      </c>
      <c r="C337" s="337">
        <f t="shared" si="25"/>
        <v>42515</v>
      </c>
      <c r="D337" s="337" t="s">
        <v>199</v>
      </c>
      <c r="E337" s="337">
        <v>42515</v>
      </c>
      <c r="F337" s="338" t="s">
        <v>437</v>
      </c>
      <c r="G337" s="1022" t="s">
        <v>798</v>
      </c>
      <c r="H337" s="339" t="s">
        <v>429</v>
      </c>
      <c r="I337" s="476"/>
      <c r="J337" s="476"/>
      <c r="K337" s="469"/>
      <c r="L337" s="476"/>
      <c r="M337" s="65">
        <v>85000000</v>
      </c>
      <c r="N337" s="65"/>
      <c r="O337" s="340" t="s">
        <v>24</v>
      </c>
      <c r="P337" s="340" t="s">
        <v>97</v>
      </c>
      <c r="Q337" s="66" t="str">
        <f>IF(AND('331-CT'!$E$7=TH!H337,OR(O337="331",P337="331")),"x","")</f>
        <v/>
      </c>
      <c r="R337" s="66" t="str">
        <f>IF(AND($B337&gt;='111'!$N$11,$B337&lt;='111'!$O$11,OR($O337=$R$7,$P337=$R$7)),"x","")</f>
        <v/>
      </c>
      <c r="S337" s="66" t="str">
        <f>IF(AND($O337=$R$7,$B337&lt;'111'!$N$11),"x","")</f>
        <v/>
      </c>
      <c r="T337" s="66" t="str">
        <f>IF(AND($P337=$R$7,$B337&lt;'111'!$N$11),"x","")</f>
        <v>x</v>
      </c>
      <c r="U337" s="66" t="str">
        <f>IF(AND($B337&gt;='112'!$M$9,$B337&lt;='112'!$N$9,OR($O337='112'!$I$6,$P337='112'!$I$6)),"x","")</f>
        <v/>
      </c>
      <c r="V337" s="66" t="str">
        <f>IF(AND($O337='112'!$I$6,$B337&lt;'112'!$M$9),"x","")</f>
        <v/>
      </c>
      <c r="W337" s="66" t="str">
        <f>IF(AND($P337='112'!$I$6,$B337&lt;'112'!$M$9),"x","")</f>
        <v/>
      </c>
      <c r="X337" s="66" t="str">
        <f>IF(AND('131-CT'!$H$9=TH!H337,OR(O337="131",P337="131")),"x","")</f>
        <v/>
      </c>
      <c r="Y337" s="80" t="str">
        <f>IF(AND($B337&gt;='1331'!$I$9,$B337&lt;='1331'!$J$9,OR($O337=$Y$7,$P337=$Y$7)),"x","")</f>
        <v/>
      </c>
      <c r="Z337" s="80" t="str">
        <f>IF(AND($O337=$Y$7,$B337&lt;'1331'!$I$9),"x","")</f>
        <v/>
      </c>
      <c r="AA337" s="80" t="str">
        <f>IF(AND($P337=$Y$7,$B337&lt;'1331'!$I$9),"x","")</f>
        <v/>
      </c>
      <c r="AB337" s="80" t="str">
        <f>IF(AND($B337&gt;='1332'!$I$9,$B337&lt;='1332'!$I$9,OR($O337=$AB$7,$P337=$AB$7)),"x","")</f>
        <v/>
      </c>
      <c r="AC337" s="80" t="str">
        <f>IF(AND($O337=$AB$7,$B337&lt;'1332'!$I$9),"x","")</f>
        <v/>
      </c>
      <c r="AD337" s="80" t="str">
        <f>IF(AND($P337=$AB$7,$B337&lt;'1332'!$I$9),"x","")</f>
        <v/>
      </c>
      <c r="AE337" s="80" t="str">
        <f>IF(AND('341-CT'!$H$9=H337,OR(LEFT(O337,3)=$AE$7,LEFT(P337,3)=$AE$7)),"x","")</f>
        <v/>
      </c>
      <c r="AF337" s="80" t="str">
        <f>IF(OR(TH!O337=TH!$AF$7,P337=TH!$AF$7),"x","")</f>
        <v>x</v>
      </c>
      <c r="AG337" s="80"/>
      <c r="AH337" s="80" t="str">
        <f>IF(AND(B337&gt;='IN-NX'!$P$3,B337&lt;='IN-NX'!$Q$3,'IN-NX'!$D$7=D337,OR(LEFT(L337,2)="15",AND(LEFT(M337,2)&lt;&gt;"15",LEFT(M337,2)&lt;&gt;"33"))),"x","")</f>
        <v/>
      </c>
      <c r="AI337" s="80" t="str">
        <f>IF(AND(OR(LEFT(TH!O337,2)="15",LEFT(TH!P337,2)="15"),'152-CT'!$J$8=TH!F337),"x","")</f>
        <v/>
      </c>
      <c r="AJ337" s="80" t="str">
        <f>IF(AND(OR(LEFT(TH!O337,2)="15",LEFT(TH!P337,2)="15"),'THE KHO'!$E$7=TH!F337),"x","")</f>
        <v/>
      </c>
      <c r="AK337" s="80" t="str">
        <f>IF(AND(O337="1521",MONTH(C337)='BK NL'!$M$11),"x","")</f>
        <v/>
      </c>
    </row>
    <row r="338" spans="1:39" ht="15.75" customHeight="1">
      <c r="A338" s="362" t="str">
        <f>IF(B338&lt;&gt;"",IF(AND(B338&gt;=_TM1,B338&lt;=_TM2,OR(TH!O338="1111",TH!P338="1111")),TH!D338,""),"")</f>
        <v>C34</v>
      </c>
      <c r="B338" s="63">
        <f t="shared" si="26"/>
        <v>5</v>
      </c>
      <c r="C338" s="337">
        <f t="shared" si="25"/>
        <v>42515</v>
      </c>
      <c r="D338" s="337" t="s">
        <v>747</v>
      </c>
      <c r="E338" s="337">
        <v>42515</v>
      </c>
      <c r="F338" s="338" t="s">
        <v>410</v>
      </c>
      <c r="G338" s="1022" t="s">
        <v>798</v>
      </c>
      <c r="H338" s="369" t="s">
        <v>825</v>
      </c>
      <c r="I338" s="479"/>
      <c r="J338" s="479"/>
      <c r="K338" s="472"/>
      <c r="L338" s="479"/>
      <c r="M338" s="65">
        <v>40000000</v>
      </c>
      <c r="N338" s="65"/>
      <c r="O338" s="340" t="s">
        <v>31</v>
      </c>
      <c r="P338" s="340" t="s">
        <v>97</v>
      </c>
      <c r="Q338" s="66" t="str">
        <f>IF(AND('331-CT'!$E$7=TH!H338,OR(O338="331",P338="331")),"x","")</f>
        <v/>
      </c>
      <c r="R338" s="66" t="str">
        <f>IF(AND($B338&gt;='111'!$N$11,$B338&lt;='111'!$O$11,OR($O338=$R$7,$P338=$R$7)),"x","")</f>
        <v/>
      </c>
      <c r="S338" s="66" t="str">
        <f>IF(AND($O338=$R$7,$B338&lt;'111'!$N$11),"x","")</f>
        <v/>
      </c>
      <c r="T338" s="66" t="str">
        <f>IF(AND($P338=$R$7,$B338&lt;'111'!$N$11),"x","")</f>
        <v>x</v>
      </c>
      <c r="U338" s="66" t="str">
        <f>IF(AND($B338&gt;='112'!$M$9,$B338&lt;='112'!$N$9,OR($O338='112'!$I$6,$P338='112'!$I$6)),"x","")</f>
        <v/>
      </c>
      <c r="V338" s="66" t="str">
        <f>IF(AND($O338='112'!$I$6,$B338&lt;'112'!$M$9),"x","")</f>
        <v>x</v>
      </c>
      <c r="W338" s="66" t="str">
        <f>IF(AND($P338='112'!$I$6,$B338&lt;'112'!$M$9),"x","")</f>
        <v/>
      </c>
      <c r="X338" s="66" t="str">
        <f>IF(AND('131-CT'!$H$9=TH!H338,OR(O338="131",P338="131")),"x","")</f>
        <v/>
      </c>
      <c r="Y338" s="80" t="str">
        <f>IF(AND($B338&gt;='1331'!$I$9,$B338&lt;='1331'!$J$9,OR($O338=$Y$7,$P338=$Y$7)),"x","")</f>
        <v/>
      </c>
      <c r="Z338" s="80" t="str">
        <f>IF(AND($O338=$Y$7,$B338&lt;'1331'!$I$9),"x","")</f>
        <v/>
      </c>
      <c r="AA338" s="80" t="str">
        <f>IF(AND($P338=$Y$7,$B338&lt;'1331'!$I$9),"x","")</f>
        <v/>
      </c>
      <c r="AB338" s="80" t="str">
        <f>IF(AND($B338&gt;='1332'!$I$9,$B338&lt;='1332'!$I$9,OR($O338=$AB$7,$P338=$AB$7)),"x","")</f>
        <v/>
      </c>
      <c r="AC338" s="80" t="str">
        <f>IF(AND($O338=$AB$7,$B338&lt;'1332'!$I$9),"x","")</f>
        <v/>
      </c>
      <c r="AD338" s="80" t="str">
        <f>IF(AND($P338=$AB$7,$B338&lt;'1332'!$I$9),"x","")</f>
        <v/>
      </c>
      <c r="AE338" s="80" t="str">
        <f>IF(AND('341-CT'!$H$9=H338,OR(LEFT(O338,3)=$AE$7,LEFT(P338,3)=$AE$7)),"x","")</f>
        <v/>
      </c>
      <c r="AF338" s="80" t="str">
        <f>IF(OR(TH!O338=TH!$AF$7,P338=TH!$AF$7),"x","")</f>
        <v/>
      </c>
      <c r="AG338" s="80"/>
      <c r="AH338" s="80" t="str">
        <f>IF(AND(B338&gt;='IN-NX'!$P$3,B338&lt;='IN-NX'!$Q$3,'IN-NX'!$D$7=D338,OR(LEFT(L338,2)="15",AND(LEFT(M338,2)&lt;&gt;"15",LEFT(M338,2)&lt;&gt;"33"))),"x","")</f>
        <v/>
      </c>
      <c r="AI338" s="80" t="str">
        <f>IF(AND(OR(LEFT(TH!O338,2)="15",LEFT(TH!P338,2)="15"),'152-CT'!$J$8=TH!F338),"x","")</f>
        <v/>
      </c>
      <c r="AJ338" s="80" t="str">
        <f>IF(AND(OR(LEFT(TH!O338,2)="15",LEFT(TH!P338,2)="15"),'THE KHO'!$E$7=TH!F338),"x","")</f>
        <v/>
      </c>
      <c r="AK338" s="80" t="str">
        <f>IF(AND(O338="1521",MONTH(C338)='BK NL'!$M$11),"x","")</f>
        <v/>
      </c>
    </row>
    <row r="339" spans="1:39" s="374" customFormat="1" ht="15.75" customHeight="1">
      <c r="A339" s="362" t="str">
        <f>IF(B339&lt;&gt;"",IF(AND(B339&gt;=_TM1,B339&lt;=_TM2,OR(TH!O339="1111",TH!P339="1111")),TH!D339,""),"")</f>
        <v>C35</v>
      </c>
      <c r="B339" s="63">
        <f t="shared" si="26"/>
        <v>5</v>
      </c>
      <c r="C339" s="337">
        <f t="shared" si="25"/>
        <v>42515</v>
      </c>
      <c r="D339" s="337" t="s">
        <v>748</v>
      </c>
      <c r="E339" s="337">
        <v>42515</v>
      </c>
      <c r="F339" s="338" t="s">
        <v>968</v>
      </c>
      <c r="G339" s="351" t="s">
        <v>970</v>
      </c>
      <c r="H339" s="339" t="s">
        <v>87</v>
      </c>
      <c r="I339" s="476"/>
      <c r="J339" s="476"/>
      <c r="K339" s="469"/>
      <c r="L339" s="476"/>
      <c r="M339" s="65">
        <v>10648600</v>
      </c>
      <c r="N339" s="65"/>
      <c r="O339" s="340" t="s">
        <v>135</v>
      </c>
      <c r="P339" s="340" t="s">
        <v>97</v>
      </c>
      <c r="Q339" s="66" t="str">
        <f>IF(AND('331-CT'!$E$7=TH!H339,OR(O339="331",P339="331")),"x","")</f>
        <v/>
      </c>
      <c r="R339" s="66" t="str">
        <f>IF(AND($B339&gt;='111'!$N$11,$B339&lt;='111'!$O$11,OR($O339=$R$7,$P339=$R$7)),"x","")</f>
        <v/>
      </c>
      <c r="S339" s="66" t="str">
        <f>IF(AND($O339=$R$7,$B339&lt;'111'!$N$11),"x","")</f>
        <v/>
      </c>
      <c r="T339" s="66" t="str">
        <f>IF(AND($P339=$R$7,$B339&lt;'111'!$N$11),"x","")</f>
        <v>x</v>
      </c>
      <c r="U339" s="66" t="str">
        <f>IF(AND($B339&gt;='112'!$M$9,$B339&lt;='112'!$N$9,OR($O339='112'!$I$6,$P339='112'!$I$6)),"x","")</f>
        <v/>
      </c>
      <c r="V339" s="66" t="str">
        <f>IF(AND($O339='112'!$I$6,$B339&lt;'112'!$M$9),"x","")</f>
        <v/>
      </c>
      <c r="W339" s="66" t="str">
        <f>IF(AND($P339='112'!$I$6,$B339&lt;'112'!$M$9),"x","")</f>
        <v/>
      </c>
      <c r="X339" s="66" t="str">
        <f>IF(AND('131-CT'!$H$9=TH!H339,OR(O339="131",P339="131")),"x","")</f>
        <v/>
      </c>
      <c r="Y339" s="80" t="str">
        <f>IF(AND($B339&gt;='1331'!$I$9,$B339&lt;='1331'!$J$9,OR($O339=$Y$7,$P339=$Y$7)),"x","")</f>
        <v/>
      </c>
      <c r="Z339" s="80" t="str">
        <f>IF(AND($O339=$Y$7,$B339&lt;'1331'!$I$9),"x","")</f>
        <v/>
      </c>
      <c r="AA339" s="80" t="str">
        <f>IF(AND($P339=$Y$7,$B339&lt;'1331'!$I$9),"x","")</f>
        <v/>
      </c>
      <c r="AB339" s="80" t="str">
        <f>IF(AND($B339&gt;='1332'!$I$9,$B339&lt;='1332'!$I$9,OR($O339=$AB$7,$P339=$AB$7)),"x","")</f>
        <v/>
      </c>
      <c r="AC339" s="80" t="str">
        <f>IF(AND($O339=$AB$7,$B339&lt;'1332'!$I$9),"x","")</f>
        <v/>
      </c>
      <c r="AD339" s="80" t="str">
        <f>IF(AND($P339=$AB$7,$B339&lt;'1332'!$I$9),"x","")</f>
        <v/>
      </c>
      <c r="AE339" s="80" t="str">
        <f>IF(AND('341-CT'!$H$9=H339,OR(LEFT(O339,3)=$AE$7,LEFT(P339,3)=$AE$7)),"x","")</f>
        <v/>
      </c>
      <c r="AF339" s="80" t="str">
        <f>IF(OR(TH!O339=TH!$AF$7,P339=TH!$AF$7),"x","")</f>
        <v/>
      </c>
      <c r="AG339" s="80"/>
      <c r="AH339" s="80" t="str">
        <f>IF(AND(B339&gt;='IN-NX'!$P$3,B339&lt;='IN-NX'!$Q$3,'IN-NX'!$D$7=D339,OR(LEFT(L339,2)="15",AND(LEFT(M339,2)&lt;&gt;"15",LEFT(M339,2)&lt;&gt;"33"))),"x","")</f>
        <v/>
      </c>
      <c r="AI339" s="80" t="str">
        <f>IF(AND(OR(LEFT(TH!O339,2)="15",LEFT(TH!P339,2)="15"),'152-CT'!$J$8=TH!F339),"x","")</f>
        <v/>
      </c>
      <c r="AJ339" s="80" t="str">
        <f>IF(AND(OR(LEFT(TH!O339,2)="15",LEFT(TH!P339,2)="15"),'THE KHO'!$E$7=TH!F339),"x","")</f>
        <v/>
      </c>
      <c r="AK339" s="80" t="str">
        <f>IF(AND(O339="1521",MONTH(C339)='BK NL'!$M$11),"x","")</f>
        <v/>
      </c>
      <c r="AM339" s="374">
        <v>1</v>
      </c>
    </row>
    <row r="340" spans="1:39" s="374" customFormat="1" ht="15.75" customHeight="1">
      <c r="A340" s="362" t="str">
        <f>IF(B340&lt;&gt;"",IF(AND(B340&gt;=_TM1,B340&lt;=_TM2,OR(TH!O340="1111",TH!P340="1111")),TH!D340,""),"")</f>
        <v>C35</v>
      </c>
      <c r="B340" s="63">
        <f t="shared" si="26"/>
        <v>5</v>
      </c>
      <c r="C340" s="337">
        <f t="shared" si="25"/>
        <v>42515</v>
      </c>
      <c r="D340" s="337" t="s">
        <v>748</v>
      </c>
      <c r="E340" s="337">
        <v>42515</v>
      </c>
      <c r="F340" s="338" t="s">
        <v>969</v>
      </c>
      <c r="G340" s="351" t="s">
        <v>970</v>
      </c>
      <c r="H340" s="339" t="s">
        <v>87</v>
      </c>
      <c r="I340" s="476"/>
      <c r="J340" s="476"/>
      <c r="K340" s="469"/>
      <c r="L340" s="476"/>
      <c r="M340" s="88">
        <v>532430</v>
      </c>
      <c r="N340" s="88"/>
      <c r="O340" s="1024" t="s">
        <v>10</v>
      </c>
      <c r="P340" s="340" t="s">
        <v>97</v>
      </c>
      <c r="Q340" s="66" t="str">
        <f>IF(AND('331-CT'!$E$7=TH!H340,OR(O340="331",P340="331")),"x","")</f>
        <v/>
      </c>
      <c r="R340" s="66" t="str">
        <f>IF(AND($B340&gt;='111'!$N$11,$B340&lt;='111'!$O$11,OR($O340=$R$7,$P340=$R$7)),"x","")</f>
        <v/>
      </c>
      <c r="S340" s="66" t="str">
        <f>IF(AND($O340=$R$7,$B340&lt;'111'!$N$11),"x","")</f>
        <v/>
      </c>
      <c r="T340" s="66" t="str">
        <f>IF(AND($P340=$R$7,$B340&lt;'111'!$N$11),"x","")</f>
        <v>x</v>
      </c>
      <c r="U340" s="66" t="str">
        <f>IF(AND($B340&gt;='112'!$M$9,$B340&lt;='112'!$N$9,OR($O340='112'!$I$6,$P340='112'!$I$6)),"x","")</f>
        <v/>
      </c>
      <c r="V340" s="66" t="str">
        <f>IF(AND($O340='112'!$I$6,$B340&lt;'112'!$M$9),"x","")</f>
        <v/>
      </c>
      <c r="W340" s="66" t="str">
        <f>IF(AND($P340='112'!$I$6,$B340&lt;'112'!$M$9),"x","")</f>
        <v/>
      </c>
      <c r="X340" s="66" t="str">
        <f>IF(AND('131-CT'!$H$9=TH!H340,OR(O340="131",P340="131")),"x","")</f>
        <v/>
      </c>
      <c r="Y340" s="80" t="str">
        <f>IF(AND($B340&gt;='1331'!$I$9,$B340&lt;='1331'!$J$9,OR($O340=$Y$7,$P340=$Y$7)),"x","")</f>
        <v/>
      </c>
      <c r="Z340" s="80" t="str">
        <f>IF(AND($O340=$Y$7,$B340&lt;'1331'!$I$9),"x","")</f>
        <v>x</v>
      </c>
      <c r="AA340" s="80" t="str">
        <f>IF(AND($P340=$Y$7,$B340&lt;'1331'!$I$9),"x","")</f>
        <v/>
      </c>
      <c r="AB340" s="80" t="str">
        <f>IF(AND($B340&gt;='1332'!$I$9,$B340&lt;='1332'!$I$9,OR($O340=$AB$7,$P340=$AB$7)),"x","")</f>
        <v/>
      </c>
      <c r="AC340" s="80" t="str">
        <f>IF(AND($O340=$AB$7,$B340&lt;'1332'!$I$9),"x","")</f>
        <v/>
      </c>
      <c r="AD340" s="80" t="str">
        <f>IF(AND($P340=$AB$7,$B340&lt;'1332'!$I$9),"x","")</f>
        <v/>
      </c>
      <c r="AE340" s="80" t="str">
        <f>IF(AND('341-CT'!$H$9=H340,OR(LEFT(O340,3)=$AE$7,LEFT(P340,3)=$AE$7)),"x","")</f>
        <v/>
      </c>
      <c r="AF340" s="80" t="str">
        <f>IF(OR(TH!O340=TH!$AF$7,P340=TH!$AF$7),"x","")</f>
        <v/>
      </c>
      <c r="AG340" s="80"/>
      <c r="AH340" s="80" t="str">
        <f>IF(AND(B340&gt;='IN-NX'!$P$3,B340&lt;='IN-NX'!$Q$3,'IN-NX'!$D$7=D340,OR(LEFT(L340,2)="15",AND(LEFT(M340,2)&lt;&gt;"15",LEFT(M340,2)&lt;&gt;"33"))),"x","")</f>
        <v/>
      </c>
      <c r="AI340" s="80" t="str">
        <f>IF(AND(OR(LEFT(TH!O340,2)="15",LEFT(TH!P340,2)="15"),'152-CT'!$J$8=TH!F340),"x","")</f>
        <v/>
      </c>
      <c r="AJ340" s="80" t="str">
        <f>IF(AND(OR(LEFT(TH!O340,2)="15",LEFT(TH!P340,2)="15"),'THE KHO'!$E$7=TH!F340),"x","")</f>
        <v/>
      </c>
      <c r="AK340" s="80" t="str">
        <f>IF(AND(O340="1521",MONTH(C340)='BK NL'!$M$11),"x","")</f>
        <v/>
      </c>
      <c r="AM340" s="374">
        <v>1</v>
      </c>
    </row>
    <row r="341" spans="1:39" ht="15.75" customHeight="1">
      <c r="A341" s="362" t="str">
        <f>IF(B341&lt;&gt;"",IF(AND(B341&gt;=_TM1,B341&lt;=_TM2,OR(TH!O341="1111",TH!P341="1111")),TH!D341,""),"")</f>
        <v/>
      </c>
      <c r="B341" s="63">
        <f t="shared" si="26"/>
        <v>5</v>
      </c>
      <c r="C341" s="337">
        <f t="shared" si="25"/>
        <v>42515</v>
      </c>
      <c r="D341" s="337" t="s">
        <v>12</v>
      </c>
      <c r="E341" s="337">
        <v>42515</v>
      </c>
      <c r="F341" s="338" t="s">
        <v>788</v>
      </c>
      <c r="G341" s="1022" t="s">
        <v>798</v>
      </c>
      <c r="H341" s="339" t="s">
        <v>429</v>
      </c>
      <c r="I341" s="476"/>
      <c r="J341" s="476"/>
      <c r="K341" s="469"/>
      <c r="L341" s="476"/>
      <c r="M341" s="65">
        <v>85000000</v>
      </c>
      <c r="N341" s="65"/>
      <c r="O341" s="340" t="s">
        <v>31</v>
      </c>
      <c r="P341" s="340" t="s">
        <v>24</v>
      </c>
      <c r="Q341" s="66" t="str">
        <f>IF(AND('331-CT'!$E$7=TH!H341,OR(O341="331",P341="331")),"x","")</f>
        <v/>
      </c>
      <c r="R341" s="66" t="str">
        <f>IF(AND($B341&gt;='111'!$N$11,$B341&lt;='111'!$O$11,OR($O341=$R$7,$P341=$R$7)),"x","")</f>
        <v/>
      </c>
      <c r="S341" s="66" t="str">
        <f>IF(AND($O341=$R$7,$B341&lt;'111'!$N$11),"x","")</f>
        <v/>
      </c>
      <c r="T341" s="66" t="str">
        <f>IF(AND($P341=$R$7,$B341&lt;'111'!$N$11),"x","")</f>
        <v/>
      </c>
      <c r="U341" s="66" t="str">
        <f>IF(AND($B341&gt;='112'!$M$9,$B341&lt;='112'!$N$9,OR($O341='112'!$I$6,$P341='112'!$I$6)),"x","")</f>
        <v/>
      </c>
      <c r="V341" s="66" t="str">
        <f>IF(AND($O341='112'!$I$6,$B341&lt;'112'!$M$9),"x","")</f>
        <v>x</v>
      </c>
      <c r="W341" s="66" t="str">
        <f>IF(AND($P341='112'!$I$6,$B341&lt;'112'!$M$9),"x","")</f>
        <v/>
      </c>
      <c r="X341" s="66" t="str">
        <f>IF(AND('131-CT'!$H$9=TH!H341,OR(O341="131",P341="131")),"x","")</f>
        <v/>
      </c>
      <c r="Y341" s="80" t="str">
        <f>IF(AND($B341&gt;='1331'!$I$9,$B341&lt;='1331'!$J$9,OR($O341=$Y$7,$P341=$Y$7)),"x","")</f>
        <v/>
      </c>
      <c r="Z341" s="80" t="str">
        <f>IF(AND($O341=$Y$7,$B341&lt;'1331'!$I$9),"x","")</f>
        <v/>
      </c>
      <c r="AA341" s="80" t="str">
        <f>IF(AND($P341=$Y$7,$B341&lt;'1331'!$I$9),"x","")</f>
        <v/>
      </c>
      <c r="AB341" s="80" t="str">
        <f>IF(AND($B341&gt;='1332'!$I$9,$B341&lt;='1332'!$I$9,OR($O341=$AB$7,$P341=$AB$7)),"x","")</f>
        <v/>
      </c>
      <c r="AC341" s="80" t="str">
        <f>IF(AND($O341=$AB$7,$B341&lt;'1332'!$I$9),"x","")</f>
        <v/>
      </c>
      <c r="AD341" s="80" t="str">
        <f>IF(AND($P341=$AB$7,$B341&lt;'1332'!$I$9),"x","")</f>
        <v/>
      </c>
      <c r="AE341" s="80" t="str">
        <f>IF(AND('341-CT'!$H$9=H341,OR(LEFT(O341,3)=$AE$7,LEFT(P341,3)=$AE$7)),"x","")</f>
        <v/>
      </c>
      <c r="AF341" s="80" t="str">
        <f>IF(OR(TH!O341=TH!$AF$7,P341=TH!$AF$7),"x","")</f>
        <v>x</v>
      </c>
      <c r="AG341" s="80"/>
      <c r="AH341" s="80" t="str">
        <f>IF(AND(B341&gt;='IN-NX'!$P$3,B341&lt;='IN-NX'!$Q$3,'IN-NX'!$D$7=D341,OR(LEFT(L341,2)="15",AND(LEFT(M341,2)&lt;&gt;"15",LEFT(M341,2)&lt;&gt;"33"))),"x","")</f>
        <v/>
      </c>
      <c r="AI341" s="80" t="str">
        <f>IF(AND(OR(LEFT(TH!O341,2)="15",LEFT(TH!P341,2)="15"),'152-CT'!$J$8=TH!F341),"x","")</f>
        <v/>
      </c>
      <c r="AJ341" s="80" t="str">
        <f>IF(AND(OR(LEFT(TH!O341,2)="15",LEFT(TH!P341,2)="15"),'THE KHO'!$E$7=TH!F341),"x","")</f>
        <v/>
      </c>
      <c r="AK341" s="80" t="str">
        <f>IF(AND(O341="1521",MONTH(C341)='BK NL'!$M$11),"x","")</f>
        <v/>
      </c>
    </row>
    <row r="342" spans="1:39" ht="15.75" customHeight="1">
      <c r="A342" s="362" t="str">
        <f>IF(B342&lt;&gt;"",IF(AND(B342&gt;=_TM1,B342&lt;=_TM2,OR(TH!O342="1111",TH!P342="1111")),TH!D342,""),"")</f>
        <v/>
      </c>
      <c r="B342" s="63">
        <f t="shared" si="26"/>
        <v>5</v>
      </c>
      <c r="C342" s="337">
        <f t="shared" si="25"/>
        <v>42515</v>
      </c>
      <c r="D342" s="337" t="s">
        <v>8</v>
      </c>
      <c r="E342" s="337">
        <v>42515</v>
      </c>
      <c r="F342" s="338" t="s">
        <v>405</v>
      </c>
      <c r="G342" s="1022" t="s">
        <v>798</v>
      </c>
      <c r="H342" s="339" t="s">
        <v>166</v>
      </c>
      <c r="I342" s="479"/>
      <c r="J342" s="479"/>
      <c r="K342" s="472"/>
      <c r="L342" s="479"/>
      <c r="M342" s="65">
        <v>7935469</v>
      </c>
      <c r="N342" s="65"/>
      <c r="O342" s="340" t="s">
        <v>133</v>
      </c>
      <c r="P342" s="340" t="s">
        <v>31</v>
      </c>
      <c r="Q342" s="66" t="str">
        <f>IF(AND('331-CT'!$E$7=TH!H342,OR(O342="331",P342="331")),"x","")</f>
        <v/>
      </c>
      <c r="R342" s="66" t="str">
        <f>IF(AND($B342&gt;='111'!$N$11,$B342&lt;='111'!$O$11,OR($O342=$R$7,$P342=$R$7)),"x","")</f>
        <v/>
      </c>
      <c r="S342" s="66" t="str">
        <f>IF(AND($O342=$R$7,$B342&lt;'111'!$N$11),"x","")</f>
        <v/>
      </c>
      <c r="T342" s="66" t="str">
        <f>IF(AND($P342=$R$7,$B342&lt;'111'!$N$11),"x","")</f>
        <v/>
      </c>
      <c r="U342" s="66" t="str">
        <f>IF(AND($B342&gt;='112'!$M$9,$B342&lt;='112'!$N$9,OR($O342='112'!$I$6,$P342='112'!$I$6)),"x","")</f>
        <v/>
      </c>
      <c r="V342" s="66" t="str">
        <f>IF(AND($O342='112'!$I$6,$B342&lt;'112'!$M$9),"x","")</f>
        <v/>
      </c>
      <c r="W342" s="66" t="str">
        <f>IF(AND($P342='112'!$I$6,$B342&lt;'112'!$M$9),"x","")</f>
        <v>x</v>
      </c>
      <c r="X342" s="66" t="str">
        <f>IF(AND('131-CT'!$H$9=TH!H342,OR(O342="131",P342="131")),"x","")</f>
        <v/>
      </c>
      <c r="Y342" s="80" t="str">
        <f>IF(AND($B342&gt;='1331'!$I$9,$B342&lt;='1331'!$J$9,OR($O342=$Y$7,$P342=$Y$7)),"x","")</f>
        <v/>
      </c>
      <c r="Z342" s="80" t="str">
        <f>IF(AND($O342=$Y$7,$B342&lt;'1331'!$I$9),"x","")</f>
        <v/>
      </c>
      <c r="AA342" s="80" t="str">
        <f>IF(AND($P342=$Y$7,$B342&lt;'1331'!$I$9),"x","")</f>
        <v/>
      </c>
      <c r="AB342" s="80" t="str">
        <f>IF(AND($B342&gt;='1332'!$I$9,$B342&lt;='1332'!$I$9,OR($O342=$AB$7,$P342=$AB$7)),"x","")</f>
        <v/>
      </c>
      <c r="AC342" s="80" t="str">
        <f>IF(AND($O342=$AB$7,$B342&lt;'1332'!$I$9),"x","")</f>
        <v/>
      </c>
      <c r="AD342" s="80" t="str">
        <f>IF(AND($P342=$AB$7,$B342&lt;'1332'!$I$9),"x","")</f>
        <v/>
      </c>
      <c r="AE342" s="80" t="str">
        <f>IF(AND('341-CT'!$H$9=H342,OR(LEFT(O342,3)=$AE$7,LEFT(P342,3)=$AE$7)),"x","")</f>
        <v/>
      </c>
      <c r="AF342" s="80" t="str">
        <f>IF(OR(TH!O342=TH!$AF$7,P342=TH!$AF$7),"x","")</f>
        <v/>
      </c>
      <c r="AG342" s="80"/>
      <c r="AH342" s="80" t="str">
        <f>IF(AND(B342&gt;='IN-NX'!$P$3,B342&lt;='IN-NX'!$Q$3,'IN-NX'!$D$7=D342,OR(LEFT(L342,2)="15",AND(LEFT(M342,2)&lt;&gt;"15",LEFT(M342,2)&lt;&gt;"33"))),"x","")</f>
        <v/>
      </c>
      <c r="AI342" s="80" t="str">
        <f>IF(AND(OR(LEFT(TH!O342,2)="15",LEFT(TH!P342,2)="15"),'152-CT'!$J$8=TH!F342),"x","")</f>
        <v/>
      </c>
      <c r="AJ342" s="80" t="str">
        <f>IF(AND(OR(LEFT(TH!O342,2)="15",LEFT(TH!P342,2)="15"),'THE KHO'!$E$7=TH!F342),"x","")</f>
        <v/>
      </c>
      <c r="AK342" s="80" t="str">
        <f>IF(AND(O342="1521",MONTH(C342)='BK NL'!$M$11),"x","")</f>
        <v/>
      </c>
    </row>
    <row r="343" spans="1:39" ht="15.75" customHeight="1">
      <c r="A343" s="362" t="str">
        <f>IF(B343&lt;&gt;"",IF(AND(B343&gt;=_TM1,B343&lt;=_TM2,OR(TH!O343="1111",TH!P343="1111")),TH!D343,""),"")</f>
        <v/>
      </c>
      <c r="B343" s="63">
        <f t="shared" si="26"/>
        <v>5</v>
      </c>
      <c r="C343" s="337">
        <f t="shared" si="25"/>
        <v>42515</v>
      </c>
      <c r="D343" s="337" t="s">
        <v>8</v>
      </c>
      <c r="E343" s="337">
        <v>42515</v>
      </c>
      <c r="F343" s="338" t="s">
        <v>405</v>
      </c>
      <c r="G343" s="1022" t="s">
        <v>798</v>
      </c>
      <c r="H343" s="339" t="s">
        <v>167</v>
      </c>
      <c r="I343" s="479"/>
      <c r="J343" s="479"/>
      <c r="K343" s="472"/>
      <c r="L343" s="479"/>
      <c r="M343" s="65">
        <v>15870937</v>
      </c>
      <c r="N343" s="65"/>
      <c r="O343" s="340" t="s">
        <v>133</v>
      </c>
      <c r="P343" s="340" t="s">
        <v>31</v>
      </c>
      <c r="Q343" s="66" t="str">
        <f>IF(AND('331-CT'!$E$7=TH!H343,OR(O343="331",P343="331")),"x","")</f>
        <v/>
      </c>
      <c r="R343" s="66" t="str">
        <f>IF(AND($B343&gt;='111'!$N$11,$B343&lt;='111'!$O$11,OR($O343=$R$7,$P343=$R$7)),"x","")</f>
        <v/>
      </c>
      <c r="S343" s="66" t="str">
        <f>IF(AND($O343=$R$7,$B343&lt;'111'!$N$11),"x","")</f>
        <v/>
      </c>
      <c r="T343" s="66" t="str">
        <f>IF(AND($P343=$R$7,$B343&lt;'111'!$N$11),"x","")</f>
        <v/>
      </c>
      <c r="U343" s="66" t="str">
        <f>IF(AND($B343&gt;='112'!$M$9,$B343&lt;='112'!$N$9,OR($O343='112'!$I$6,$P343='112'!$I$6)),"x","")</f>
        <v/>
      </c>
      <c r="V343" s="66" t="str">
        <f>IF(AND($O343='112'!$I$6,$B343&lt;'112'!$M$9),"x","")</f>
        <v/>
      </c>
      <c r="W343" s="66" t="str">
        <f>IF(AND($P343='112'!$I$6,$B343&lt;'112'!$M$9),"x","")</f>
        <v>x</v>
      </c>
      <c r="X343" s="66" t="str">
        <f>IF(AND('131-CT'!$H$9=TH!H343,OR(O343="131",P343="131")),"x","")</f>
        <v/>
      </c>
      <c r="Y343" s="80" t="str">
        <f>IF(AND($B343&gt;='1331'!$I$9,$B343&lt;='1331'!$J$9,OR($O343=$Y$7,$P343=$Y$7)),"x","")</f>
        <v/>
      </c>
      <c r="Z343" s="80" t="str">
        <f>IF(AND($O343=$Y$7,$B343&lt;'1331'!$I$9),"x","")</f>
        <v/>
      </c>
      <c r="AA343" s="80" t="str">
        <f>IF(AND($P343=$Y$7,$B343&lt;'1331'!$I$9),"x","")</f>
        <v/>
      </c>
      <c r="AB343" s="80" t="str">
        <f>IF(AND($B343&gt;='1332'!$I$9,$B343&lt;='1332'!$I$9,OR($O343=$AB$7,$P343=$AB$7)),"x","")</f>
        <v/>
      </c>
      <c r="AC343" s="80" t="str">
        <f>IF(AND($O343=$AB$7,$B343&lt;'1332'!$I$9),"x","")</f>
        <v/>
      </c>
      <c r="AD343" s="80" t="str">
        <f>IF(AND($P343=$AB$7,$B343&lt;'1332'!$I$9),"x","")</f>
        <v/>
      </c>
      <c r="AE343" s="80" t="str">
        <f>IF(AND('341-CT'!$H$9=H343,OR(LEFT(O343,3)=$AE$7,LEFT(P343,3)=$AE$7)),"x","")</f>
        <v/>
      </c>
      <c r="AF343" s="80" t="str">
        <f>IF(OR(TH!O343=TH!$AF$7,P343=TH!$AF$7),"x","")</f>
        <v/>
      </c>
      <c r="AG343" s="80"/>
      <c r="AH343" s="80" t="str">
        <f>IF(AND(B343&gt;='IN-NX'!$P$3,B343&lt;='IN-NX'!$Q$3,'IN-NX'!$D$7=D343,OR(LEFT(L343,2)="15",AND(LEFT(M343,2)&lt;&gt;"15",LEFT(M343,2)&lt;&gt;"33"))),"x","")</f>
        <v/>
      </c>
      <c r="AI343" s="80" t="str">
        <f>IF(AND(OR(LEFT(TH!O343,2)="15",LEFT(TH!P343,2)="15"),'152-CT'!$J$8=TH!F343),"x","")</f>
        <v/>
      </c>
      <c r="AJ343" s="80" t="str">
        <f>IF(AND(OR(LEFT(TH!O343,2)="15",LEFT(TH!P343,2)="15"),'THE KHO'!$E$7=TH!F343),"x","")</f>
        <v/>
      </c>
      <c r="AK343" s="80" t="str">
        <f>IF(AND(O343="1521",MONTH(C343)='BK NL'!$M$11),"x","")</f>
        <v/>
      </c>
    </row>
    <row r="344" spans="1:39" ht="15.75" customHeight="1">
      <c r="A344" s="362" t="str">
        <f>IF(B344&lt;&gt;"",IF(AND(B344&gt;=_TM1,B344&lt;=_TM2,OR(TH!O344="1111",TH!P344="1111")),TH!D344,""),"")</f>
        <v/>
      </c>
      <c r="B344" s="63">
        <f t="shared" si="26"/>
        <v>5</v>
      </c>
      <c r="C344" s="337">
        <f t="shared" si="25"/>
        <v>42515</v>
      </c>
      <c r="D344" s="337" t="s">
        <v>8</v>
      </c>
      <c r="E344" s="337">
        <v>42515</v>
      </c>
      <c r="F344" s="338" t="s">
        <v>405</v>
      </c>
      <c r="G344" s="1022" t="s">
        <v>798</v>
      </c>
      <c r="H344" s="1026" t="s">
        <v>169</v>
      </c>
      <c r="I344" s="479"/>
      <c r="J344" s="479"/>
      <c r="K344" s="472"/>
      <c r="L344" s="479"/>
      <c r="M344" s="65">
        <v>12696750</v>
      </c>
      <c r="N344" s="65"/>
      <c r="O344" s="340" t="s">
        <v>133</v>
      </c>
      <c r="P344" s="340" t="s">
        <v>31</v>
      </c>
      <c r="Q344" s="66" t="str">
        <f>IF(AND('331-CT'!$E$7=TH!H344,OR(O344="331",P344="331")),"x","")</f>
        <v/>
      </c>
      <c r="R344" s="66" t="str">
        <f>IF(AND($B344&gt;='111'!$N$11,$B344&lt;='111'!$O$11,OR($O344=$R$7,$P344=$R$7)),"x","")</f>
        <v/>
      </c>
      <c r="S344" s="66" t="str">
        <f>IF(AND($O344=$R$7,$B344&lt;'111'!$N$11),"x","")</f>
        <v/>
      </c>
      <c r="T344" s="66" t="str">
        <f>IF(AND($P344=$R$7,$B344&lt;'111'!$N$11),"x","")</f>
        <v/>
      </c>
      <c r="U344" s="66" t="str">
        <f>IF(AND($B344&gt;='112'!$M$9,$B344&lt;='112'!$N$9,OR($O344='112'!$I$6,$P344='112'!$I$6)),"x","")</f>
        <v/>
      </c>
      <c r="V344" s="66" t="str">
        <f>IF(AND($O344='112'!$I$6,$B344&lt;'112'!$M$9),"x","")</f>
        <v/>
      </c>
      <c r="W344" s="66" t="str">
        <f>IF(AND($P344='112'!$I$6,$B344&lt;'112'!$M$9),"x","")</f>
        <v>x</v>
      </c>
      <c r="X344" s="66" t="str">
        <f>IF(AND('131-CT'!$H$9=TH!H344,OR(O344="131",P344="131")),"x","")</f>
        <v/>
      </c>
      <c r="Y344" s="80" t="str">
        <f>IF(AND($B344&gt;='1331'!$I$9,$B344&lt;='1331'!$J$9,OR($O344=$Y$7,$P344=$Y$7)),"x","")</f>
        <v/>
      </c>
      <c r="Z344" s="80" t="str">
        <f>IF(AND($O344=$Y$7,$B344&lt;'1331'!$I$9),"x","")</f>
        <v/>
      </c>
      <c r="AA344" s="80" t="str">
        <f>IF(AND($P344=$Y$7,$B344&lt;'1331'!$I$9),"x","")</f>
        <v/>
      </c>
      <c r="AB344" s="80" t="str">
        <f>IF(AND($B344&gt;='1332'!$I$9,$B344&lt;='1332'!$I$9,OR($O344=$AB$7,$P344=$AB$7)),"x","")</f>
        <v/>
      </c>
      <c r="AC344" s="80" t="str">
        <f>IF(AND($O344=$AB$7,$B344&lt;'1332'!$I$9),"x","")</f>
        <v/>
      </c>
      <c r="AD344" s="80" t="str">
        <f>IF(AND($P344=$AB$7,$B344&lt;'1332'!$I$9),"x","")</f>
        <v/>
      </c>
      <c r="AE344" s="80" t="str">
        <f>IF(AND('341-CT'!$H$9=H344,OR(LEFT(O344,3)=$AE$7,LEFT(P344,3)=$AE$7)),"x","")</f>
        <v/>
      </c>
      <c r="AF344" s="80" t="str">
        <f>IF(OR(TH!O344=TH!$AF$7,P344=TH!$AF$7),"x","")</f>
        <v/>
      </c>
      <c r="AG344" s="80"/>
      <c r="AH344" s="80" t="str">
        <f>IF(AND(B344&gt;='IN-NX'!$P$3,B344&lt;='IN-NX'!$Q$3,'IN-NX'!$D$7=D344,OR(LEFT(L344,2)="15",AND(LEFT(M344,2)&lt;&gt;"15",LEFT(M344,2)&lt;&gt;"33"))),"x","")</f>
        <v/>
      </c>
      <c r="AI344" s="80" t="str">
        <f>IF(AND(OR(LEFT(TH!O344,2)="15",LEFT(TH!P344,2)="15"),'152-CT'!$J$8=TH!F344),"x","")</f>
        <v/>
      </c>
      <c r="AJ344" s="80" t="str">
        <f>IF(AND(OR(LEFT(TH!O344,2)="15",LEFT(TH!P344,2)="15"),'THE KHO'!$E$7=TH!F344),"x","")</f>
        <v/>
      </c>
      <c r="AK344" s="80" t="str">
        <f>IF(AND(O344="1521",MONTH(C344)='BK NL'!$M$11),"x","")</f>
        <v/>
      </c>
    </row>
    <row r="345" spans="1:39" ht="15.75" customHeight="1">
      <c r="A345" s="362" t="str">
        <f>IF(B345&lt;&gt;"",IF(AND(B345&gt;=_TM1,B345&lt;=_TM2,OR(TH!O345="1111",TH!P345="1111")),TH!D345,""),"")</f>
        <v/>
      </c>
      <c r="B345" s="63">
        <f t="shared" si="26"/>
        <v>5</v>
      </c>
      <c r="C345" s="337">
        <f t="shared" si="25"/>
        <v>42515</v>
      </c>
      <c r="D345" s="337" t="s">
        <v>8</v>
      </c>
      <c r="E345" s="337">
        <v>42515</v>
      </c>
      <c r="F345" s="338" t="s">
        <v>405</v>
      </c>
      <c r="G345" s="1022" t="s">
        <v>798</v>
      </c>
      <c r="H345" s="339" t="s">
        <v>168</v>
      </c>
      <c r="I345" s="479"/>
      <c r="J345" s="479"/>
      <c r="K345" s="472"/>
      <c r="L345" s="479"/>
      <c r="M345" s="65">
        <v>11903203</v>
      </c>
      <c r="N345" s="65"/>
      <c r="O345" s="340" t="s">
        <v>133</v>
      </c>
      <c r="P345" s="340" t="s">
        <v>31</v>
      </c>
      <c r="Q345" s="66" t="str">
        <f>IF(AND('331-CT'!$E$7=TH!H345,OR(O345="331",P345="331")),"x","")</f>
        <v/>
      </c>
      <c r="R345" s="66" t="str">
        <f>IF(AND($B345&gt;='111'!$N$11,$B345&lt;='111'!$O$11,OR($O345=$R$7,$P345=$R$7)),"x","")</f>
        <v/>
      </c>
      <c r="S345" s="66" t="str">
        <f>IF(AND($O345=$R$7,$B345&lt;'111'!$N$11),"x","")</f>
        <v/>
      </c>
      <c r="T345" s="66" t="str">
        <f>IF(AND($P345=$R$7,$B345&lt;'111'!$N$11),"x","")</f>
        <v/>
      </c>
      <c r="U345" s="66" t="str">
        <f>IF(AND($B345&gt;='112'!$M$9,$B345&lt;='112'!$N$9,OR($O345='112'!$I$6,$P345='112'!$I$6)),"x","")</f>
        <v/>
      </c>
      <c r="V345" s="66" t="str">
        <f>IF(AND($O345='112'!$I$6,$B345&lt;'112'!$M$9),"x","")</f>
        <v/>
      </c>
      <c r="W345" s="66" t="str">
        <f>IF(AND($P345='112'!$I$6,$B345&lt;'112'!$M$9),"x","")</f>
        <v>x</v>
      </c>
      <c r="X345" s="66" t="str">
        <f>IF(AND('131-CT'!$H$9=TH!H345,OR(O345="131",P345="131")),"x","")</f>
        <v/>
      </c>
      <c r="Y345" s="80" t="str">
        <f>IF(AND($B345&gt;='1331'!$I$9,$B345&lt;='1331'!$J$9,OR($O345=$Y$7,$P345=$Y$7)),"x","")</f>
        <v/>
      </c>
      <c r="Z345" s="80" t="str">
        <f>IF(AND($O345=$Y$7,$B345&lt;'1331'!$I$9),"x","")</f>
        <v/>
      </c>
      <c r="AA345" s="80" t="str">
        <f>IF(AND($P345=$Y$7,$B345&lt;'1331'!$I$9),"x","")</f>
        <v/>
      </c>
      <c r="AB345" s="80" t="str">
        <f>IF(AND($B345&gt;='1332'!$I$9,$B345&lt;='1332'!$I$9,OR($O345=$AB$7,$P345=$AB$7)),"x","")</f>
        <v/>
      </c>
      <c r="AC345" s="80" t="str">
        <f>IF(AND($O345=$AB$7,$B345&lt;'1332'!$I$9),"x","")</f>
        <v/>
      </c>
      <c r="AD345" s="80" t="str">
        <f>IF(AND($P345=$AB$7,$B345&lt;'1332'!$I$9),"x","")</f>
        <v/>
      </c>
      <c r="AE345" s="80" t="str">
        <f>IF(AND('341-CT'!$H$9=H345,OR(LEFT(O345,3)=$AE$7,LEFT(P345,3)=$AE$7)),"x","")</f>
        <v/>
      </c>
      <c r="AF345" s="80" t="str">
        <f>IF(OR(TH!O345=TH!$AF$7,P345=TH!$AF$7),"x","")</f>
        <v/>
      </c>
      <c r="AG345" s="80"/>
      <c r="AH345" s="80" t="str">
        <f>IF(AND(B345&gt;='IN-NX'!$P$3,B345&lt;='IN-NX'!$Q$3,'IN-NX'!$D$7=D345,OR(LEFT(L345,2)="15",AND(LEFT(M345,2)&lt;&gt;"15",LEFT(M345,2)&lt;&gt;"33"))),"x","")</f>
        <v/>
      </c>
      <c r="AI345" s="80" t="str">
        <f>IF(AND(OR(LEFT(TH!O345,2)="15",LEFT(TH!P345,2)="15"),'152-CT'!$J$8=TH!F345),"x","")</f>
        <v/>
      </c>
      <c r="AJ345" s="80" t="str">
        <f>IF(AND(OR(LEFT(TH!O345,2)="15",LEFT(TH!P345,2)="15"),'THE KHO'!$E$7=TH!F345),"x","")</f>
        <v/>
      </c>
      <c r="AK345" s="80" t="str">
        <f>IF(AND(O345="1521",MONTH(C345)='BK NL'!$M$11),"x","")</f>
        <v/>
      </c>
    </row>
    <row r="346" spans="1:39" s="370" customFormat="1" ht="15.75" customHeight="1">
      <c r="A346" s="362" t="str">
        <f>IF(B346&lt;&gt;"",IF(AND(B346&gt;=_TM1,B346&lt;=_TM2,OR(TH!O346="1111",TH!P346="1111")),TH!D346,""),"")</f>
        <v/>
      </c>
      <c r="B346" s="63">
        <f t="shared" si="26"/>
        <v>5</v>
      </c>
      <c r="C346" s="337">
        <f t="shared" si="25"/>
        <v>42515</v>
      </c>
      <c r="D346" s="337" t="s">
        <v>8</v>
      </c>
      <c r="E346" s="337">
        <v>42515</v>
      </c>
      <c r="F346" s="338" t="s">
        <v>405</v>
      </c>
      <c r="G346" s="1022" t="s">
        <v>798</v>
      </c>
      <c r="H346" s="339" t="s">
        <v>170</v>
      </c>
      <c r="I346" s="479"/>
      <c r="J346" s="479"/>
      <c r="K346" s="472"/>
      <c r="L346" s="479"/>
      <c r="M346" s="65">
        <v>7935469</v>
      </c>
      <c r="N346" s="65"/>
      <c r="O346" s="340" t="s">
        <v>133</v>
      </c>
      <c r="P346" s="340" t="s">
        <v>31</v>
      </c>
      <c r="Q346" s="66" t="str">
        <f>IF(AND('331-CT'!$E$7=TH!H346,OR(O346="331",P346="331")),"x","")</f>
        <v/>
      </c>
      <c r="R346" s="66" t="str">
        <f>IF(AND($B346&gt;='111'!$N$11,$B346&lt;='111'!$O$11,OR($O346=$R$7,$P346=$R$7)),"x","")</f>
        <v/>
      </c>
      <c r="S346" s="66" t="str">
        <f>IF(AND($O346=$R$7,$B346&lt;'111'!$N$11),"x","")</f>
        <v/>
      </c>
      <c r="T346" s="66" t="str">
        <f>IF(AND($P346=$R$7,$B346&lt;'111'!$N$11),"x","")</f>
        <v/>
      </c>
      <c r="U346" s="66" t="str">
        <f>IF(AND($B346&gt;='112'!$M$9,$B346&lt;='112'!$N$9,OR($O346='112'!$I$6,$P346='112'!$I$6)),"x","")</f>
        <v/>
      </c>
      <c r="V346" s="66" t="str">
        <f>IF(AND($O346='112'!$I$6,$B346&lt;'112'!$M$9),"x","")</f>
        <v/>
      </c>
      <c r="W346" s="66" t="str">
        <f>IF(AND($P346='112'!$I$6,$B346&lt;'112'!$M$9),"x","")</f>
        <v>x</v>
      </c>
      <c r="X346" s="66" t="str">
        <f>IF(AND('131-CT'!$H$9=TH!H346,OR(O346="131",P346="131")),"x","")</f>
        <v/>
      </c>
      <c r="Y346" s="80" t="str">
        <f>IF(AND($B346&gt;='1331'!$I$9,$B346&lt;='1331'!$J$9,OR($O346=$Y$7,$P346=$Y$7)),"x","")</f>
        <v/>
      </c>
      <c r="Z346" s="80" t="str">
        <f>IF(AND($O346=$Y$7,$B346&lt;'1331'!$I$9),"x","")</f>
        <v/>
      </c>
      <c r="AA346" s="80" t="str">
        <f>IF(AND($P346=$Y$7,$B346&lt;'1331'!$I$9),"x","")</f>
        <v/>
      </c>
      <c r="AB346" s="80" t="str">
        <f>IF(AND($B346&gt;='1332'!$I$9,$B346&lt;='1332'!$I$9,OR($O346=$AB$7,$P346=$AB$7)),"x","")</f>
        <v/>
      </c>
      <c r="AC346" s="80" t="str">
        <f>IF(AND($O346=$AB$7,$B346&lt;'1332'!$I$9),"x","")</f>
        <v/>
      </c>
      <c r="AD346" s="80" t="str">
        <f>IF(AND($P346=$AB$7,$B346&lt;'1332'!$I$9),"x","")</f>
        <v/>
      </c>
      <c r="AE346" s="80" t="str">
        <f>IF(AND('341-CT'!$H$9=H346,OR(LEFT(O346,3)=$AE$7,LEFT(P346,3)=$AE$7)),"x","")</f>
        <v/>
      </c>
      <c r="AF346" s="80" t="str">
        <f>IF(OR(TH!O346=TH!$AF$7,P346=TH!$AF$7),"x","")</f>
        <v/>
      </c>
      <c r="AG346" s="80"/>
      <c r="AH346" s="80" t="str">
        <f>IF(AND(B346&gt;='IN-NX'!$P$3,B346&lt;='IN-NX'!$Q$3,'IN-NX'!$D$7=D346,OR(LEFT(L346,2)="15",AND(LEFT(M346,2)&lt;&gt;"15",LEFT(M346,2)&lt;&gt;"33"))),"x","")</f>
        <v/>
      </c>
      <c r="AI346" s="80" t="str">
        <f>IF(AND(OR(LEFT(TH!O346,2)="15",LEFT(TH!P346,2)="15"),'152-CT'!$J$8=TH!F346),"x","")</f>
        <v/>
      </c>
      <c r="AJ346" s="80" t="str">
        <f>IF(AND(OR(LEFT(TH!O346,2)="15",LEFT(TH!P346,2)="15"),'THE KHO'!$E$7=TH!F346),"x","")</f>
        <v/>
      </c>
      <c r="AK346" s="80" t="str">
        <f>IF(AND(O346="1521",MONTH(C346)='BK NL'!$M$11),"x","")</f>
        <v/>
      </c>
      <c r="AL346" s="352"/>
      <c r="AM346" s="352"/>
    </row>
    <row r="347" spans="1:39" ht="15.75" customHeight="1">
      <c r="A347" s="362" t="str">
        <f>IF(B347&lt;&gt;"",IF(AND(B347&gt;=_TM1,B347&lt;=_TM2,OR(TH!O347="1111",TH!P347="1111")),TH!D347,""),"")</f>
        <v/>
      </c>
      <c r="B347" s="63">
        <f t="shared" si="26"/>
        <v>5</v>
      </c>
      <c r="C347" s="337">
        <f t="shared" si="25"/>
        <v>42515</v>
      </c>
      <c r="D347" s="337" t="s">
        <v>8</v>
      </c>
      <c r="E347" s="337">
        <v>42515</v>
      </c>
      <c r="F347" s="338" t="s">
        <v>405</v>
      </c>
      <c r="G347" s="1022" t="s">
        <v>798</v>
      </c>
      <c r="H347" s="339" t="s">
        <v>171</v>
      </c>
      <c r="I347" s="479"/>
      <c r="J347" s="479"/>
      <c r="K347" s="472"/>
      <c r="L347" s="479"/>
      <c r="M347" s="65">
        <v>11903203</v>
      </c>
      <c r="N347" s="65"/>
      <c r="O347" s="340" t="s">
        <v>133</v>
      </c>
      <c r="P347" s="340" t="s">
        <v>31</v>
      </c>
      <c r="Q347" s="66" t="str">
        <f>IF(AND('331-CT'!$E$7=TH!H347,OR(O347="331",P347="331")),"x","")</f>
        <v/>
      </c>
      <c r="R347" s="66" t="str">
        <f>IF(AND($B347&gt;='111'!$N$11,$B347&lt;='111'!$O$11,OR($O347=$R$7,$P347=$R$7)),"x","")</f>
        <v/>
      </c>
      <c r="S347" s="66" t="str">
        <f>IF(AND($O347=$R$7,$B347&lt;'111'!$N$11),"x","")</f>
        <v/>
      </c>
      <c r="T347" s="66" t="str">
        <f>IF(AND($P347=$R$7,$B347&lt;'111'!$N$11),"x","")</f>
        <v/>
      </c>
      <c r="U347" s="66" t="str">
        <f>IF(AND($B347&gt;='112'!$M$9,$B347&lt;='112'!$N$9,OR($O347='112'!$I$6,$P347='112'!$I$6)),"x","")</f>
        <v/>
      </c>
      <c r="V347" s="66" t="str">
        <f>IF(AND($O347='112'!$I$6,$B347&lt;'112'!$M$9),"x","")</f>
        <v/>
      </c>
      <c r="W347" s="66" t="str">
        <f>IF(AND($P347='112'!$I$6,$B347&lt;'112'!$M$9),"x","")</f>
        <v>x</v>
      </c>
      <c r="X347" s="66" t="str">
        <f>IF(AND('131-CT'!$H$9=TH!H347,OR(O347="131",P347="131")),"x","")</f>
        <v/>
      </c>
      <c r="Y347" s="80" t="str">
        <f>IF(AND($B347&gt;='1331'!$I$9,$B347&lt;='1331'!$J$9,OR($O347=$Y$7,$P347=$Y$7)),"x","")</f>
        <v/>
      </c>
      <c r="Z347" s="80" t="str">
        <f>IF(AND($O347=$Y$7,$B347&lt;'1331'!$I$9),"x","")</f>
        <v/>
      </c>
      <c r="AA347" s="80" t="str">
        <f>IF(AND($P347=$Y$7,$B347&lt;'1331'!$I$9),"x","")</f>
        <v/>
      </c>
      <c r="AB347" s="80" t="str">
        <f>IF(AND($B347&gt;='1332'!$I$9,$B347&lt;='1332'!$I$9,OR($O347=$AB$7,$P347=$AB$7)),"x","")</f>
        <v/>
      </c>
      <c r="AC347" s="80" t="str">
        <f>IF(AND($O347=$AB$7,$B347&lt;'1332'!$I$9),"x","")</f>
        <v/>
      </c>
      <c r="AD347" s="80" t="str">
        <f>IF(AND($P347=$AB$7,$B347&lt;'1332'!$I$9),"x","")</f>
        <v/>
      </c>
      <c r="AE347" s="80" t="str">
        <f>IF(AND('341-CT'!$H$9=H347,OR(LEFT(O347,3)=$AE$7,LEFT(P347,3)=$AE$7)),"x","")</f>
        <v/>
      </c>
      <c r="AF347" s="80" t="str">
        <f>IF(OR(TH!O347=TH!$AF$7,P347=TH!$AF$7),"x","")</f>
        <v/>
      </c>
      <c r="AG347" s="80"/>
      <c r="AH347" s="80" t="str">
        <f>IF(AND(B347&gt;='IN-NX'!$P$3,B347&lt;='IN-NX'!$Q$3,'IN-NX'!$D$7=D347,OR(LEFT(L347,2)="15",AND(LEFT(M347,2)&lt;&gt;"15",LEFT(M347,2)&lt;&gt;"33"))),"x","")</f>
        <v/>
      </c>
      <c r="AI347" s="80" t="str">
        <f>IF(AND(OR(LEFT(TH!O347,2)="15",LEFT(TH!P347,2)="15"),'152-CT'!$J$8=TH!F347),"x","")</f>
        <v/>
      </c>
      <c r="AJ347" s="80" t="str">
        <f>IF(AND(OR(LEFT(TH!O347,2)="15",LEFT(TH!P347,2)="15"),'THE KHO'!$E$7=TH!F347),"x","")</f>
        <v/>
      </c>
      <c r="AK347" s="80" t="str">
        <f>IF(AND(O347="1521",MONTH(C347)='BK NL'!$M$11),"x","")</f>
        <v/>
      </c>
    </row>
    <row r="348" spans="1:39" ht="15.75" customHeight="1">
      <c r="A348" s="362" t="str">
        <f>IF(B348&lt;&gt;"",IF(AND(B348&gt;=_TM1,B348&lt;=_TM2,OR(TH!O348="1111",TH!P348="1111")),TH!D348,""),"")</f>
        <v/>
      </c>
      <c r="B348" s="63">
        <f t="shared" ref="B348:B379" si="27">IF(C348&lt;&gt;"",MONTH(C348),"")</f>
        <v>5</v>
      </c>
      <c r="C348" s="337">
        <f t="shared" si="25"/>
        <v>42515</v>
      </c>
      <c r="D348" s="337" t="s">
        <v>8</v>
      </c>
      <c r="E348" s="337">
        <v>42515</v>
      </c>
      <c r="F348" s="338" t="s">
        <v>405</v>
      </c>
      <c r="G348" s="1022" t="s">
        <v>798</v>
      </c>
      <c r="H348" s="339" t="s">
        <v>172</v>
      </c>
      <c r="I348" s="479"/>
      <c r="J348" s="479"/>
      <c r="K348" s="472"/>
      <c r="L348" s="479"/>
      <c r="M348" s="65">
        <v>15870937</v>
      </c>
      <c r="N348" s="65"/>
      <c r="O348" s="340" t="s">
        <v>133</v>
      </c>
      <c r="P348" s="340" t="s">
        <v>31</v>
      </c>
      <c r="Q348" s="66" t="str">
        <f>IF(AND('331-CT'!$E$7=TH!H348,OR(O348="331",P348="331")),"x","")</f>
        <v/>
      </c>
      <c r="R348" s="66" t="str">
        <f>IF(AND($B348&gt;='111'!$N$11,$B348&lt;='111'!$O$11,OR($O348=$R$7,$P348=$R$7)),"x","")</f>
        <v/>
      </c>
      <c r="S348" s="66" t="str">
        <f>IF(AND($O348=$R$7,$B348&lt;'111'!$N$11),"x","")</f>
        <v/>
      </c>
      <c r="T348" s="66" t="str">
        <f>IF(AND($P348=$R$7,$B348&lt;'111'!$N$11),"x","")</f>
        <v/>
      </c>
      <c r="U348" s="66" t="str">
        <f>IF(AND($B348&gt;='112'!$M$9,$B348&lt;='112'!$N$9,OR($O348='112'!$I$6,$P348='112'!$I$6)),"x","")</f>
        <v/>
      </c>
      <c r="V348" s="66" t="str">
        <f>IF(AND($O348='112'!$I$6,$B348&lt;'112'!$M$9),"x","")</f>
        <v/>
      </c>
      <c r="W348" s="66" t="str">
        <f>IF(AND($P348='112'!$I$6,$B348&lt;'112'!$M$9),"x","")</f>
        <v>x</v>
      </c>
      <c r="X348" s="66" t="str">
        <f>IF(AND('131-CT'!$H$9=TH!H348,OR(O348="131",P348="131")),"x","")</f>
        <v/>
      </c>
      <c r="Y348" s="80" t="str">
        <f>IF(AND($B348&gt;='1331'!$I$9,$B348&lt;='1331'!$J$9,OR($O348=$Y$7,$P348=$Y$7)),"x","")</f>
        <v/>
      </c>
      <c r="Z348" s="80" t="str">
        <f>IF(AND($O348=$Y$7,$B348&lt;'1331'!$I$9),"x","")</f>
        <v/>
      </c>
      <c r="AA348" s="80" t="str">
        <f>IF(AND($P348=$Y$7,$B348&lt;'1331'!$I$9),"x","")</f>
        <v/>
      </c>
      <c r="AB348" s="80" t="str">
        <f>IF(AND($B348&gt;='1332'!$I$9,$B348&lt;='1332'!$I$9,OR($O348=$AB$7,$P348=$AB$7)),"x","")</f>
        <v/>
      </c>
      <c r="AC348" s="80" t="str">
        <f>IF(AND($O348=$AB$7,$B348&lt;'1332'!$I$9),"x","")</f>
        <v/>
      </c>
      <c r="AD348" s="80" t="str">
        <f>IF(AND($P348=$AB$7,$B348&lt;'1332'!$I$9),"x","")</f>
        <v/>
      </c>
      <c r="AE348" s="80" t="str">
        <f>IF(AND('341-CT'!$H$9=H348,OR(LEFT(O348,3)=$AE$7,LEFT(P348,3)=$AE$7)),"x","")</f>
        <v/>
      </c>
      <c r="AF348" s="80" t="str">
        <f>IF(OR(TH!O348=TH!$AF$7,P348=TH!$AF$7),"x","")</f>
        <v/>
      </c>
      <c r="AG348" s="80"/>
      <c r="AH348" s="80" t="str">
        <f>IF(AND(B348&gt;='IN-NX'!$P$3,B348&lt;='IN-NX'!$Q$3,'IN-NX'!$D$7=D348,OR(LEFT(L348,2)="15",AND(LEFT(M348,2)&lt;&gt;"15",LEFT(M348,2)&lt;&gt;"33"))),"x","")</f>
        <v/>
      </c>
      <c r="AI348" s="80" t="str">
        <f>IF(AND(OR(LEFT(TH!O348,2)="15",LEFT(TH!P348,2)="15"),'152-CT'!$J$8=TH!F348),"x","")</f>
        <v/>
      </c>
      <c r="AJ348" s="80" t="str">
        <f>IF(AND(OR(LEFT(TH!O348,2)="15",LEFT(TH!P348,2)="15"),'THE KHO'!$E$7=TH!F348),"x","")</f>
        <v/>
      </c>
      <c r="AK348" s="80" t="str">
        <f>IF(AND(O348="1521",MONTH(C348)='BK NL'!$M$11),"x","")</f>
        <v/>
      </c>
    </row>
    <row r="349" spans="1:39" ht="15.75" customHeight="1">
      <c r="A349" s="362" t="str">
        <f>IF(B349&lt;&gt;"",IF(AND(B349&gt;=_TM1,B349&lt;=_TM2,OR(TH!O349="1111",TH!P349="1111")),TH!D349,""),"")</f>
        <v/>
      </c>
      <c r="B349" s="63">
        <f t="shared" si="27"/>
        <v>5</v>
      </c>
      <c r="C349" s="337">
        <f t="shared" si="25"/>
        <v>42515</v>
      </c>
      <c r="D349" s="337" t="s">
        <v>8</v>
      </c>
      <c r="E349" s="337">
        <v>42515</v>
      </c>
      <c r="F349" s="338" t="s">
        <v>405</v>
      </c>
      <c r="G349" s="1022" t="s">
        <v>798</v>
      </c>
      <c r="H349" s="339" t="s">
        <v>180</v>
      </c>
      <c r="I349" s="479"/>
      <c r="J349" s="479"/>
      <c r="K349" s="472"/>
      <c r="L349" s="479"/>
      <c r="M349" s="65">
        <v>7935469</v>
      </c>
      <c r="N349" s="65"/>
      <c r="O349" s="340" t="s">
        <v>133</v>
      </c>
      <c r="P349" s="340" t="s">
        <v>31</v>
      </c>
      <c r="Q349" s="66" t="str">
        <f>IF(AND('331-CT'!$E$7=TH!H349,OR(O349="331",P349="331")),"x","")</f>
        <v/>
      </c>
      <c r="R349" s="66" t="str">
        <f>IF(AND($B349&gt;='111'!$N$11,$B349&lt;='111'!$O$11,OR($O349=$R$7,$P349=$R$7)),"x","")</f>
        <v/>
      </c>
      <c r="S349" s="66" t="str">
        <f>IF(AND($O349=$R$7,$B349&lt;'111'!$N$11),"x","")</f>
        <v/>
      </c>
      <c r="T349" s="66" t="str">
        <f>IF(AND($P349=$R$7,$B349&lt;'111'!$N$11),"x","")</f>
        <v/>
      </c>
      <c r="U349" s="66" t="str">
        <f>IF(AND($B349&gt;='112'!$M$9,$B349&lt;='112'!$N$9,OR($O349='112'!$I$6,$P349='112'!$I$6)),"x","")</f>
        <v/>
      </c>
      <c r="V349" s="66" t="str">
        <f>IF(AND($O349='112'!$I$6,$B349&lt;'112'!$M$9),"x","")</f>
        <v/>
      </c>
      <c r="W349" s="66" t="str">
        <f>IF(AND($P349='112'!$I$6,$B349&lt;'112'!$M$9),"x","")</f>
        <v>x</v>
      </c>
      <c r="X349" s="66" t="str">
        <f>IF(AND('131-CT'!$H$9=TH!H349,OR(O349="131",P349="131")),"x","")</f>
        <v/>
      </c>
      <c r="Y349" s="80" t="str">
        <f>IF(AND($B349&gt;='1331'!$I$9,$B349&lt;='1331'!$J$9,OR($O349=$Y$7,$P349=$Y$7)),"x","")</f>
        <v/>
      </c>
      <c r="Z349" s="80" t="str">
        <f>IF(AND($O349=$Y$7,$B349&lt;'1331'!$I$9),"x","")</f>
        <v/>
      </c>
      <c r="AA349" s="80" t="str">
        <f>IF(AND($P349=$Y$7,$B349&lt;'1331'!$I$9),"x","")</f>
        <v/>
      </c>
      <c r="AB349" s="80" t="str">
        <f>IF(AND($B349&gt;='1332'!$I$9,$B349&lt;='1332'!$I$9,OR($O349=$AB$7,$P349=$AB$7)),"x","")</f>
        <v/>
      </c>
      <c r="AC349" s="80" t="str">
        <f>IF(AND($O349=$AB$7,$B349&lt;'1332'!$I$9),"x","")</f>
        <v/>
      </c>
      <c r="AD349" s="80" t="str">
        <f>IF(AND($P349=$AB$7,$B349&lt;'1332'!$I$9),"x","")</f>
        <v/>
      </c>
      <c r="AE349" s="80" t="str">
        <f>IF(AND('341-CT'!$H$9=H349,OR(LEFT(O349,3)=$AE$7,LEFT(P349,3)=$AE$7)),"x","")</f>
        <v/>
      </c>
      <c r="AF349" s="80" t="str">
        <f>IF(OR(TH!O349=TH!$AF$7,P349=TH!$AF$7),"x","")</f>
        <v/>
      </c>
      <c r="AG349" s="80"/>
      <c r="AH349" s="80" t="str">
        <f>IF(AND(B349&gt;='IN-NX'!$P$3,B349&lt;='IN-NX'!$Q$3,'IN-NX'!$D$7=D349,OR(LEFT(L349,2)="15",AND(LEFT(M349,2)&lt;&gt;"15",LEFT(M349,2)&lt;&gt;"33"))),"x","")</f>
        <v/>
      </c>
      <c r="AI349" s="80" t="str">
        <f>IF(AND(OR(LEFT(TH!O349,2)="15",LEFT(TH!P349,2)="15"),'152-CT'!$J$8=TH!F349),"x","")</f>
        <v/>
      </c>
      <c r="AJ349" s="80" t="str">
        <f>IF(AND(OR(LEFT(TH!O349,2)="15",LEFT(TH!P349,2)="15"),'THE KHO'!$E$7=TH!F349),"x","")</f>
        <v/>
      </c>
      <c r="AK349" s="80" t="str">
        <f>IF(AND(O349="1521",MONTH(C349)='BK NL'!$M$11),"x","")</f>
        <v/>
      </c>
    </row>
    <row r="350" spans="1:39" ht="15.75" customHeight="1">
      <c r="A350" s="362" t="str">
        <f>IF(B350&lt;&gt;"",IF(AND(B350&gt;=_TM1,B350&lt;=_TM2,OR(TH!O350="1111",TH!P350="1111")),TH!D350,""),"")</f>
        <v/>
      </c>
      <c r="B350" s="63">
        <f t="shared" si="27"/>
        <v>5</v>
      </c>
      <c r="C350" s="337">
        <f t="shared" si="25"/>
        <v>42515</v>
      </c>
      <c r="D350" s="337" t="s">
        <v>8</v>
      </c>
      <c r="E350" s="337">
        <v>42515</v>
      </c>
      <c r="F350" s="338" t="s">
        <v>405</v>
      </c>
      <c r="G350" s="1022" t="s">
        <v>798</v>
      </c>
      <c r="H350" s="339" t="s">
        <v>184</v>
      </c>
      <c r="I350" s="479"/>
      <c r="J350" s="479"/>
      <c r="K350" s="472"/>
      <c r="L350" s="479"/>
      <c r="M350" s="65">
        <v>7935469</v>
      </c>
      <c r="N350" s="65"/>
      <c r="O350" s="340" t="s">
        <v>133</v>
      </c>
      <c r="P350" s="340" t="s">
        <v>31</v>
      </c>
      <c r="Q350" s="66" t="str">
        <f>IF(AND('331-CT'!$E$7=TH!H350,OR(O350="331",P350="331")),"x","")</f>
        <v/>
      </c>
      <c r="R350" s="66" t="str">
        <f>IF(AND($B350&gt;='111'!$N$11,$B350&lt;='111'!$O$11,OR($O350=$R$7,$P350=$R$7)),"x","")</f>
        <v/>
      </c>
      <c r="S350" s="66" t="str">
        <f>IF(AND($O350=$R$7,$B350&lt;'111'!$N$11),"x","")</f>
        <v/>
      </c>
      <c r="T350" s="66" t="str">
        <f>IF(AND($P350=$R$7,$B350&lt;'111'!$N$11),"x","")</f>
        <v/>
      </c>
      <c r="U350" s="66" t="str">
        <f>IF(AND($B350&gt;='112'!$M$9,$B350&lt;='112'!$N$9,OR($O350='112'!$I$6,$P350='112'!$I$6)),"x","")</f>
        <v/>
      </c>
      <c r="V350" s="66" t="str">
        <f>IF(AND($O350='112'!$I$6,$B350&lt;'112'!$M$9),"x","")</f>
        <v/>
      </c>
      <c r="W350" s="66" t="str">
        <f>IF(AND($P350='112'!$I$6,$B350&lt;'112'!$M$9),"x","")</f>
        <v>x</v>
      </c>
      <c r="X350" s="66" t="str">
        <f>IF(AND('131-CT'!$H$9=TH!H350,OR(O350="131",P350="131")),"x","")</f>
        <v/>
      </c>
      <c r="Y350" s="80" t="str">
        <f>IF(AND($B350&gt;='1331'!$I$9,$B350&lt;='1331'!$J$9,OR($O350=$Y$7,$P350=$Y$7)),"x","")</f>
        <v/>
      </c>
      <c r="Z350" s="80" t="str">
        <f>IF(AND($O350=$Y$7,$B350&lt;'1331'!$I$9),"x","")</f>
        <v/>
      </c>
      <c r="AA350" s="80" t="str">
        <f>IF(AND($P350=$Y$7,$B350&lt;'1331'!$I$9),"x","")</f>
        <v/>
      </c>
      <c r="AB350" s="80" t="str">
        <f>IF(AND($B350&gt;='1332'!$I$9,$B350&lt;='1332'!$I$9,OR($O350=$AB$7,$P350=$AB$7)),"x","")</f>
        <v/>
      </c>
      <c r="AC350" s="80" t="str">
        <f>IF(AND($O350=$AB$7,$B350&lt;'1332'!$I$9),"x","")</f>
        <v/>
      </c>
      <c r="AD350" s="80" t="str">
        <f>IF(AND($P350=$AB$7,$B350&lt;'1332'!$I$9),"x","")</f>
        <v/>
      </c>
      <c r="AE350" s="80" t="str">
        <f>IF(AND('341-CT'!$H$9=H350,OR(LEFT(O350,3)=$AE$7,LEFT(P350,3)=$AE$7)),"x","")</f>
        <v/>
      </c>
      <c r="AF350" s="80" t="str">
        <f>IF(OR(TH!O350=TH!$AF$7,P350=TH!$AF$7),"x","")</f>
        <v/>
      </c>
      <c r="AG350" s="80"/>
      <c r="AH350" s="80" t="str">
        <f>IF(AND(B350&gt;='IN-NX'!$P$3,B350&lt;='IN-NX'!$Q$3,'IN-NX'!$D$7=D350,OR(LEFT(L350,2)="15",AND(LEFT(M350,2)&lt;&gt;"15",LEFT(M350,2)&lt;&gt;"33"))),"x","")</f>
        <v/>
      </c>
      <c r="AI350" s="80" t="str">
        <f>IF(AND(OR(LEFT(TH!O350,2)="15",LEFT(TH!P350,2)="15"),'152-CT'!$J$8=TH!F350),"x","")</f>
        <v/>
      </c>
      <c r="AJ350" s="80" t="str">
        <f>IF(AND(OR(LEFT(TH!O350,2)="15",LEFT(TH!P350,2)="15"),'THE KHO'!$E$7=TH!F350),"x","")</f>
        <v/>
      </c>
      <c r="AK350" s="80" t="str">
        <f>IF(AND(O350="1521",MONTH(C350)='BK NL'!$M$11),"x","")</f>
        <v/>
      </c>
    </row>
    <row r="351" spans="1:39" ht="15.75" customHeight="1">
      <c r="A351" s="362" t="str">
        <f>IF(B351&lt;&gt;"",IF(AND(B351&gt;=_TM1,B351&lt;=_TM2,OR(TH!O351="1111",TH!P351="1111")),TH!D351,""),"")</f>
        <v/>
      </c>
      <c r="B351" s="63">
        <f t="shared" si="27"/>
        <v>5</v>
      </c>
      <c r="C351" s="337">
        <f t="shared" si="25"/>
        <v>42515</v>
      </c>
      <c r="D351" s="337" t="s">
        <v>8</v>
      </c>
      <c r="E351" s="337">
        <v>42515</v>
      </c>
      <c r="F351" s="338" t="s">
        <v>405</v>
      </c>
      <c r="G351" s="1022" t="s">
        <v>798</v>
      </c>
      <c r="H351" s="339" t="s">
        <v>173</v>
      </c>
      <c r="I351" s="479"/>
      <c r="J351" s="479"/>
      <c r="K351" s="472"/>
      <c r="L351" s="479"/>
      <c r="M351" s="65">
        <v>11109656</v>
      </c>
      <c r="N351" s="65"/>
      <c r="O351" s="340" t="s">
        <v>133</v>
      </c>
      <c r="P351" s="340" t="s">
        <v>31</v>
      </c>
      <c r="Q351" s="66" t="str">
        <f>IF(AND('331-CT'!$E$7=TH!H351,OR(O351="331",P351="331")),"x","")</f>
        <v/>
      </c>
      <c r="R351" s="66" t="str">
        <f>IF(AND($B351&gt;='111'!$N$11,$B351&lt;='111'!$O$11,OR($O351=$R$7,$P351=$R$7)),"x","")</f>
        <v/>
      </c>
      <c r="S351" s="66" t="str">
        <f>IF(AND($O351=$R$7,$B351&lt;'111'!$N$11),"x","")</f>
        <v/>
      </c>
      <c r="T351" s="66" t="str">
        <f>IF(AND($P351=$R$7,$B351&lt;'111'!$N$11),"x","")</f>
        <v/>
      </c>
      <c r="U351" s="66" t="str">
        <f>IF(AND($B351&gt;='112'!$M$9,$B351&lt;='112'!$N$9,OR($O351='112'!$I$6,$P351='112'!$I$6)),"x","")</f>
        <v/>
      </c>
      <c r="V351" s="66" t="str">
        <f>IF(AND($O351='112'!$I$6,$B351&lt;'112'!$M$9),"x","")</f>
        <v/>
      </c>
      <c r="W351" s="66" t="str">
        <f>IF(AND($P351='112'!$I$6,$B351&lt;'112'!$M$9),"x","")</f>
        <v>x</v>
      </c>
      <c r="X351" s="66" t="str">
        <f>IF(AND('131-CT'!$H$9=TH!H351,OR(O351="131",P351="131")),"x","")</f>
        <v/>
      </c>
      <c r="Y351" s="80" t="str">
        <f>IF(AND($B351&gt;='1331'!$I$9,$B351&lt;='1331'!$J$9,OR($O351=$Y$7,$P351=$Y$7)),"x","")</f>
        <v/>
      </c>
      <c r="Z351" s="80" t="str">
        <f>IF(AND($O351=$Y$7,$B351&lt;'1331'!$I$9),"x","")</f>
        <v/>
      </c>
      <c r="AA351" s="80" t="str">
        <f>IF(AND($P351=$Y$7,$B351&lt;'1331'!$I$9),"x","")</f>
        <v/>
      </c>
      <c r="AB351" s="80" t="str">
        <f>IF(AND($B351&gt;='1332'!$I$9,$B351&lt;='1332'!$I$9,OR($O351=$AB$7,$P351=$AB$7)),"x","")</f>
        <v/>
      </c>
      <c r="AC351" s="80" t="str">
        <f>IF(AND($O351=$AB$7,$B351&lt;'1332'!$I$9),"x","")</f>
        <v/>
      </c>
      <c r="AD351" s="80" t="str">
        <f>IF(AND($P351=$AB$7,$B351&lt;'1332'!$I$9),"x","")</f>
        <v/>
      </c>
      <c r="AE351" s="80" t="str">
        <f>IF(AND('341-CT'!$H$9=H351,OR(LEFT(O351,3)=$AE$7,LEFT(P351,3)=$AE$7)),"x","")</f>
        <v/>
      </c>
      <c r="AF351" s="80" t="str">
        <f>IF(OR(TH!O351=TH!$AF$7,P351=TH!$AF$7),"x","")</f>
        <v/>
      </c>
      <c r="AG351" s="80"/>
      <c r="AH351" s="80" t="str">
        <f>IF(AND(B351&gt;='IN-NX'!$P$3,B351&lt;='IN-NX'!$Q$3,'IN-NX'!$D$7=D351,OR(LEFT(L351,2)="15",AND(LEFT(M351,2)&lt;&gt;"15",LEFT(M351,2)&lt;&gt;"33"))),"x","")</f>
        <v/>
      </c>
      <c r="AI351" s="80" t="str">
        <f>IF(AND(OR(LEFT(TH!O351,2)="15",LEFT(TH!P351,2)="15"),'152-CT'!$J$8=TH!F351),"x","")</f>
        <v/>
      </c>
      <c r="AJ351" s="80" t="str">
        <f>IF(AND(OR(LEFT(TH!O351,2)="15",LEFT(TH!P351,2)="15"),'THE KHO'!$E$7=TH!F351),"x","")</f>
        <v/>
      </c>
      <c r="AK351" s="80" t="str">
        <f>IF(AND(O351="1521",MONTH(C351)='BK NL'!$M$11),"x","")</f>
        <v/>
      </c>
    </row>
    <row r="352" spans="1:39" ht="15.75" customHeight="1">
      <c r="A352" s="362" t="str">
        <f>IF(B352&lt;&gt;"",IF(AND(B352&gt;=_TM1,B352&lt;=_TM2,OR(TH!O352="1111",TH!P352="1111")),TH!D352,""),"")</f>
        <v/>
      </c>
      <c r="B352" s="63">
        <f t="shared" si="27"/>
        <v>5</v>
      </c>
      <c r="C352" s="337">
        <f t="shared" si="25"/>
        <v>42515</v>
      </c>
      <c r="D352" s="337" t="s">
        <v>8</v>
      </c>
      <c r="E352" s="337">
        <v>42515</v>
      </c>
      <c r="F352" s="338" t="s">
        <v>405</v>
      </c>
      <c r="G352" s="1022" t="s">
        <v>798</v>
      </c>
      <c r="H352" s="368" t="s">
        <v>174</v>
      </c>
      <c r="I352" s="479"/>
      <c r="J352" s="479"/>
      <c r="K352" s="472"/>
      <c r="L352" s="479"/>
      <c r="M352" s="65">
        <v>11903203</v>
      </c>
      <c r="N352" s="65"/>
      <c r="O352" s="340" t="s">
        <v>133</v>
      </c>
      <c r="P352" s="340" t="s">
        <v>31</v>
      </c>
      <c r="Q352" s="66" t="str">
        <f>IF(AND('331-CT'!$E$7=TH!H352,OR(O352="331",P352="331")),"x","")</f>
        <v/>
      </c>
      <c r="R352" s="66" t="str">
        <f>IF(AND($B352&gt;='111'!$N$11,$B352&lt;='111'!$O$11,OR($O352=$R$7,$P352=$R$7)),"x","")</f>
        <v/>
      </c>
      <c r="S352" s="66" t="str">
        <f>IF(AND($O352=$R$7,$B352&lt;'111'!$N$11),"x","")</f>
        <v/>
      </c>
      <c r="T352" s="66" t="str">
        <f>IF(AND($P352=$R$7,$B352&lt;'111'!$N$11),"x","")</f>
        <v/>
      </c>
      <c r="U352" s="66" t="str">
        <f>IF(AND($B352&gt;='112'!$M$9,$B352&lt;='112'!$N$9,OR($O352='112'!$I$6,$P352='112'!$I$6)),"x","")</f>
        <v/>
      </c>
      <c r="V352" s="66" t="str">
        <f>IF(AND($O352='112'!$I$6,$B352&lt;'112'!$M$9),"x","")</f>
        <v/>
      </c>
      <c r="W352" s="66" t="str">
        <f>IF(AND($P352='112'!$I$6,$B352&lt;'112'!$M$9),"x","")</f>
        <v>x</v>
      </c>
      <c r="X352" s="66" t="str">
        <f>IF(AND('131-CT'!$H$9=TH!H352,OR(O352="131",P352="131")),"x","")</f>
        <v/>
      </c>
      <c r="Y352" s="80" t="str">
        <f>IF(AND($B352&gt;='1331'!$I$9,$B352&lt;='1331'!$J$9,OR($O352=$Y$7,$P352=$Y$7)),"x","")</f>
        <v/>
      </c>
      <c r="Z352" s="80" t="str">
        <f>IF(AND($O352=$Y$7,$B352&lt;'1331'!$I$9),"x","")</f>
        <v/>
      </c>
      <c r="AA352" s="80" t="str">
        <f>IF(AND($P352=$Y$7,$B352&lt;'1331'!$I$9),"x","")</f>
        <v/>
      </c>
      <c r="AB352" s="80" t="str">
        <f>IF(AND($B352&gt;='1332'!$I$9,$B352&lt;='1332'!$I$9,OR($O352=$AB$7,$P352=$AB$7)),"x","")</f>
        <v/>
      </c>
      <c r="AC352" s="80" t="str">
        <f>IF(AND($O352=$AB$7,$B352&lt;'1332'!$I$9),"x","")</f>
        <v/>
      </c>
      <c r="AD352" s="80" t="str">
        <f>IF(AND($P352=$AB$7,$B352&lt;'1332'!$I$9),"x","")</f>
        <v/>
      </c>
      <c r="AE352" s="80" t="str">
        <f>IF(AND('341-CT'!$H$9=H352,OR(LEFT(O352,3)=$AE$7,LEFT(P352,3)=$AE$7)),"x","")</f>
        <v/>
      </c>
      <c r="AF352" s="80" t="str">
        <f>IF(OR(TH!O352=TH!$AF$7,P352=TH!$AF$7),"x","")</f>
        <v/>
      </c>
      <c r="AG352" s="80"/>
      <c r="AH352" s="80" t="str">
        <f>IF(AND(B352&gt;='IN-NX'!$P$3,B352&lt;='IN-NX'!$Q$3,'IN-NX'!$D$7=D352,OR(LEFT(L352,2)="15",AND(LEFT(M352,2)&lt;&gt;"15",LEFT(M352,2)&lt;&gt;"33"))),"x","")</f>
        <v/>
      </c>
      <c r="AI352" s="80" t="str">
        <f>IF(AND(OR(LEFT(TH!O352,2)="15",LEFT(TH!P352,2)="15"),'152-CT'!$J$8=TH!F352),"x","")</f>
        <v/>
      </c>
      <c r="AJ352" s="80" t="str">
        <f>IF(AND(OR(LEFT(TH!O352,2)="15",LEFT(TH!P352,2)="15"),'THE KHO'!$E$7=TH!F352),"x","")</f>
        <v/>
      </c>
      <c r="AK352" s="80" t="str">
        <f>IF(AND(O352="1521",MONTH(C352)='BK NL'!$M$11),"x","")</f>
        <v/>
      </c>
      <c r="AM352" s="370"/>
    </row>
    <row r="353" spans="1:39" ht="15.75" customHeight="1">
      <c r="A353" s="362" t="str">
        <f>IF(B353&lt;&gt;"",IF(AND(B353&gt;=_TM1,B353&lt;=_TM2,OR(TH!O353="1111",TH!P353="1111")),TH!D353,""),"")</f>
        <v/>
      </c>
      <c r="B353" s="63">
        <f t="shared" si="27"/>
        <v>5</v>
      </c>
      <c r="C353" s="337">
        <f t="shared" si="25"/>
        <v>42515</v>
      </c>
      <c r="D353" s="337" t="s">
        <v>8</v>
      </c>
      <c r="E353" s="337">
        <v>42515</v>
      </c>
      <c r="F353" s="1028" t="s">
        <v>405</v>
      </c>
      <c r="G353" s="1022" t="s">
        <v>798</v>
      </c>
      <c r="H353" s="368" t="s">
        <v>179</v>
      </c>
      <c r="I353" s="479"/>
      <c r="J353" s="479"/>
      <c r="K353" s="472"/>
      <c r="L353" s="479"/>
      <c r="M353" s="65">
        <v>11903203</v>
      </c>
      <c r="N353" s="65"/>
      <c r="O353" s="340" t="s">
        <v>133</v>
      </c>
      <c r="P353" s="340" t="s">
        <v>31</v>
      </c>
      <c r="Q353" s="66" t="str">
        <f>IF(AND('331-CT'!$E$7=TH!H353,OR(O353="331",P353="331")),"x","")</f>
        <v/>
      </c>
      <c r="R353" s="66" t="str">
        <f>IF(AND($B353&gt;='111'!$N$11,$B353&lt;='111'!$O$11,OR($O353=$R$7,$P353=$R$7)),"x","")</f>
        <v/>
      </c>
      <c r="S353" s="66" t="str">
        <f>IF(AND($O353=$R$7,$B353&lt;'111'!$N$11),"x","")</f>
        <v/>
      </c>
      <c r="T353" s="66" t="str">
        <f>IF(AND($P353=$R$7,$B353&lt;'111'!$N$11),"x","")</f>
        <v/>
      </c>
      <c r="U353" s="66" t="str">
        <f>IF(AND($B353&gt;='112'!$M$9,$B353&lt;='112'!$N$9,OR($O353='112'!$I$6,$P353='112'!$I$6)),"x","")</f>
        <v/>
      </c>
      <c r="V353" s="66" t="str">
        <f>IF(AND($O353='112'!$I$6,$B353&lt;'112'!$M$9),"x","")</f>
        <v/>
      </c>
      <c r="W353" s="66" t="str">
        <f>IF(AND($P353='112'!$I$6,$B353&lt;'112'!$M$9),"x","")</f>
        <v>x</v>
      </c>
      <c r="X353" s="66" t="str">
        <f>IF(AND('131-CT'!$H$9=TH!H353,OR(O353="131",P353="131")),"x","")</f>
        <v/>
      </c>
      <c r="Y353" s="80" t="str">
        <f>IF(AND($B353&gt;='1331'!$I$9,$B353&lt;='1331'!$J$9,OR($O353=$Y$7,$P353=$Y$7)),"x","")</f>
        <v/>
      </c>
      <c r="Z353" s="80" t="str">
        <f>IF(AND($O353=$Y$7,$B353&lt;'1331'!$I$9),"x","")</f>
        <v/>
      </c>
      <c r="AA353" s="80" t="str">
        <f>IF(AND($P353=$Y$7,$B353&lt;'1331'!$I$9),"x","")</f>
        <v/>
      </c>
      <c r="AB353" s="80" t="str">
        <f>IF(AND($B353&gt;='1332'!$I$9,$B353&lt;='1332'!$I$9,OR($O353=$AB$7,$P353=$AB$7)),"x","")</f>
        <v/>
      </c>
      <c r="AC353" s="80" t="str">
        <f>IF(AND($O353=$AB$7,$B353&lt;'1332'!$I$9),"x","")</f>
        <v/>
      </c>
      <c r="AD353" s="80" t="str">
        <f>IF(AND($P353=$AB$7,$B353&lt;'1332'!$I$9),"x","")</f>
        <v/>
      </c>
      <c r="AE353" s="80" t="str">
        <f>IF(AND('341-CT'!$H$9=H353,OR(LEFT(O353,3)=$AE$7,LEFT(P353,3)=$AE$7)),"x","")</f>
        <v/>
      </c>
      <c r="AF353" s="80" t="str">
        <f>IF(OR(TH!O353=TH!$AF$7,P353=TH!$AF$7),"x","")</f>
        <v/>
      </c>
      <c r="AG353" s="80"/>
      <c r="AH353" s="80" t="str">
        <f>IF(AND(B353&gt;='IN-NX'!$P$3,B353&lt;='IN-NX'!$Q$3,'IN-NX'!$D$7=D353,OR(LEFT(L353,2)="15",AND(LEFT(M353,2)&lt;&gt;"15",LEFT(M353,2)&lt;&gt;"33"))),"x","")</f>
        <v/>
      </c>
      <c r="AI353" s="80" t="str">
        <f>IF(AND(OR(LEFT(TH!O353,2)="15",LEFT(TH!P353,2)="15"),'152-CT'!$J$8=TH!F353),"x","")</f>
        <v/>
      </c>
      <c r="AJ353" s="80" t="str">
        <f>IF(AND(OR(LEFT(TH!O353,2)="15",LEFT(TH!P353,2)="15"),'THE KHO'!$E$7=TH!F353),"x","")</f>
        <v/>
      </c>
      <c r="AK353" s="80" t="str">
        <f>IF(AND(O353="1521",MONTH(C353)='BK NL'!$M$11),"x","")</f>
        <v/>
      </c>
    </row>
    <row r="354" spans="1:39" ht="15.75" customHeight="1">
      <c r="A354" s="362" t="str">
        <f>IF(B354&lt;&gt;"",IF(AND(B354&gt;=_TM1,B354&lt;=_TM2,OR(TH!O354="1111",TH!P354="1111")),TH!D354,""),"")</f>
        <v/>
      </c>
      <c r="B354" s="63">
        <f t="shared" si="27"/>
        <v>5</v>
      </c>
      <c r="C354" s="337">
        <f t="shared" si="25"/>
        <v>42516</v>
      </c>
      <c r="D354" s="337" t="s">
        <v>752</v>
      </c>
      <c r="E354" s="337">
        <v>42516</v>
      </c>
      <c r="F354" s="338" t="s">
        <v>921</v>
      </c>
      <c r="G354" s="351" t="s">
        <v>923</v>
      </c>
      <c r="H354" s="339" t="s">
        <v>924</v>
      </c>
      <c r="I354" s="476"/>
      <c r="J354" s="476"/>
      <c r="K354" s="469"/>
      <c r="L354" s="476"/>
      <c r="M354" s="65">
        <v>9090909</v>
      </c>
      <c r="N354" s="65"/>
      <c r="O354" s="340" t="s">
        <v>242</v>
      </c>
      <c r="P354" s="1029" t="s">
        <v>9</v>
      </c>
      <c r="Q354" s="66" t="str">
        <f>IF(AND('331-CT'!$E$7=TH!H354,OR(O354="331",P354="331")),"x","")</f>
        <v/>
      </c>
      <c r="R354" s="66" t="str">
        <f>IF(AND($B354&gt;='111'!$N$11,$B354&lt;='111'!$O$11,OR($O354=$R$7,$P354=$R$7)),"x","")</f>
        <v/>
      </c>
      <c r="S354" s="66" t="str">
        <f>IF(AND($O354=$R$7,$B354&lt;'111'!$N$11),"x","")</f>
        <v/>
      </c>
      <c r="T354" s="66" t="str">
        <f>IF(AND($P354=$R$7,$B354&lt;'111'!$N$11),"x","")</f>
        <v/>
      </c>
      <c r="U354" s="66" t="str">
        <f>IF(AND($B354&gt;='112'!$M$9,$B354&lt;='112'!$N$9,OR($O354='112'!$I$6,$P354='112'!$I$6)),"x","")</f>
        <v/>
      </c>
      <c r="V354" s="66" t="str">
        <f>IF(AND($O354='112'!$I$6,$B354&lt;'112'!$M$9),"x","")</f>
        <v/>
      </c>
      <c r="W354" s="66" t="str">
        <f>IF(AND($P354='112'!$I$6,$B354&lt;'112'!$M$9),"x","")</f>
        <v/>
      </c>
      <c r="X354" s="66" t="str">
        <f>IF(AND('131-CT'!$H$9=TH!H354,OR(O354="131",P354="131")),"x","")</f>
        <v/>
      </c>
      <c r="Y354" s="80" t="str">
        <f>IF(AND($B354&gt;='1331'!$I$9,$B354&lt;='1331'!$J$9,OR($O354=$Y$7,$P354=$Y$7)),"x","")</f>
        <v/>
      </c>
      <c r="Z354" s="80" t="str">
        <f>IF(AND($O354=$Y$7,$B354&lt;'1331'!$I$9),"x","")</f>
        <v/>
      </c>
      <c r="AA354" s="80" t="str">
        <f>IF(AND($P354=$Y$7,$B354&lt;'1331'!$I$9),"x","")</f>
        <v/>
      </c>
      <c r="AB354" s="80" t="str">
        <f>IF(AND($B354&gt;='1332'!$I$9,$B354&lt;='1332'!$I$9,OR($O354=$AB$7,$P354=$AB$7)),"x","")</f>
        <v/>
      </c>
      <c r="AC354" s="80" t="str">
        <f>IF(AND($O354=$AB$7,$B354&lt;'1332'!$I$9),"x","")</f>
        <v/>
      </c>
      <c r="AD354" s="80" t="str">
        <f>IF(AND($P354=$AB$7,$B354&lt;'1332'!$I$9),"x","")</f>
        <v/>
      </c>
      <c r="AE354" s="80" t="str">
        <f>IF(AND('341-CT'!$H$9=H354,OR(LEFT(O354,3)=$AE$7,LEFT(P354,3)=$AE$7)),"x","")</f>
        <v/>
      </c>
      <c r="AF354" s="80" t="str">
        <f>IF(OR(TH!O354=TH!$AF$7,P354=TH!$AF$7),"x","")</f>
        <v/>
      </c>
      <c r="AG354" s="80"/>
      <c r="AH354" s="80" t="str">
        <f>IF(AND(B354&gt;='IN-NX'!$P$3,B354&lt;='IN-NX'!$Q$3,'IN-NX'!$D$7=D354,OR(LEFT(L354,2)="15",AND(LEFT(M354,2)&lt;&gt;"15",LEFT(M354,2)&lt;&gt;"33"))),"x","")</f>
        <v/>
      </c>
      <c r="AI354" s="80" t="str">
        <f>IF(AND(OR(LEFT(TH!O354,2)="15",LEFT(TH!P354,2)="15"),'152-CT'!$J$8=TH!F354),"x","")</f>
        <v/>
      </c>
      <c r="AJ354" s="80" t="str">
        <f>IF(AND(OR(LEFT(TH!O354,2)="15",LEFT(TH!P354,2)="15"),'THE KHO'!$E$7=TH!F354),"x","")</f>
        <v/>
      </c>
      <c r="AK354" s="80" t="str">
        <f>IF(AND(O354="1521",MONTH(C354)='BK NL'!$M$11),"x","")</f>
        <v/>
      </c>
    </row>
    <row r="355" spans="1:39" ht="15.75" customHeight="1">
      <c r="A355" s="362" t="str">
        <f>IF(B355&lt;&gt;"",IF(AND(B355&gt;=_TM1,B355&lt;=_TM2,OR(TH!O355="1111",TH!P355="1111")),TH!D355,""),"")</f>
        <v/>
      </c>
      <c r="B355" s="63">
        <f t="shared" si="27"/>
        <v>5</v>
      </c>
      <c r="C355" s="337">
        <f t="shared" si="25"/>
        <v>42516</v>
      </c>
      <c r="D355" s="337" t="s">
        <v>752</v>
      </c>
      <c r="E355" s="337">
        <v>42516</v>
      </c>
      <c r="F355" s="338" t="s">
        <v>922</v>
      </c>
      <c r="G355" s="351" t="s">
        <v>923</v>
      </c>
      <c r="H355" s="339" t="s">
        <v>924</v>
      </c>
      <c r="I355" s="476"/>
      <c r="J355" s="476"/>
      <c r="K355" s="469"/>
      <c r="L355" s="476"/>
      <c r="M355" s="79">
        <v>909091</v>
      </c>
      <c r="N355" s="79"/>
      <c r="O355" s="340" t="s">
        <v>981</v>
      </c>
      <c r="P355" s="1029" t="s">
        <v>9</v>
      </c>
      <c r="Q355" s="66" t="str">
        <f>IF(AND('331-CT'!$E$7=TH!H355,OR(O355="331",P355="331")),"x","")</f>
        <v/>
      </c>
      <c r="R355" s="66" t="str">
        <f>IF(AND($B355&gt;='111'!$N$11,$B355&lt;='111'!$O$11,OR($O355=$R$7,$P355=$R$7)),"x","")</f>
        <v/>
      </c>
      <c r="S355" s="66" t="str">
        <f>IF(AND($O355=$R$7,$B355&lt;'111'!$N$11),"x","")</f>
        <v/>
      </c>
      <c r="T355" s="66" t="str">
        <f>IF(AND($P355=$R$7,$B355&lt;'111'!$N$11),"x","")</f>
        <v/>
      </c>
      <c r="U355" s="66" t="str">
        <f>IF(AND($B355&gt;='112'!$M$9,$B355&lt;='112'!$N$9,OR($O355='112'!$I$6,$P355='112'!$I$6)),"x","")</f>
        <v/>
      </c>
      <c r="V355" s="66" t="str">
        <f>IF(AND($O355='112'!$I$6,$B355&lt;'112'!$M$9),"x","")</f>
        <v/>
      </c>
      <c r="W355" s="66" t="str">
        <f>IF(AND($P355='112'!$I$6,$B355&lt;'112'!$M$9),"x","")</f>
        <v/>
      </c>
      <c r="X355" s="66" t="str">
        <f>IF(AND('131-CT'!$H$9=TH!H355,OR(O355="131",P355="131")),"x","")</f>
        <v/>
      </c>
      <c r="Y355" s="80" t="str">
        <f>IF(AND($B355&gt;='1331'!$I$9,$B355&lt;='1331'!$J$9,OR($O355=$Y$7,$P355=$Y$7)),"x","")</f>
        <v/>
      </c>
      <c r="Z355" s="80" t="str">
        <f>IF(AND($O355=$Y$7,$B355&lt;'1331'!$I$9),"x","")</f>
        <v/>
      </c>
      <c r="AA355" s="80" t="str">
        <f>IF(AND($P355=$Y$7,$B355&lt;'1331'!$I$9),"x","")</f>
        <v/>
      </c>
      <c r="AB355" s="80" t="str">
        <f>IF(AND($B355&gt;='1332'!$I$9,$B355&lt;='1332'!$I$9,OR($O355=$AB$7,$P355=$AB$7)),"x","")</f>
        <v/>
      </c>
      <c r="AC355" s="80" t="str">
        <f>IF(AND($O355=$AB$7,$B355&lt;'1332'!$I$9),"x","")</f>
        <v>x</v>
      </c>
      <c r="AD355" s="80" t="str">
        <f>IF(AND($P355=$AB$7,$B355&lt;'1332'!$I$9),"x","")</f>
        <v/>
      </c>
      <c r="AE355" s="80" t="str">
        <f>IF(AND('341-CT'!$H$9=H355,OR(LEFT(O355,3)=$AE$7,LEFT(P355,3)=$AE$7)),"x","")</f>
        <v/>
      </c>
      <c r="AF355" s="80" t="str">
        <f>IF(OR(TH!O355=TH!$AF$7,P355=TH!$AF$7),"x","")</f>
        <v/>
      </c>
      <c r="AG355" s="80"/>
      <c r="AH355" s="80" t="str">
        <f>IF(AND(B355&gt;='IN-NX'!$P$3,B355&lt;='IN-NX'!$Q$3,'IN-NX'!$D$7=D355,OR(LEFT(L355,2)="15",AND(LEFT(M355,2)&lt;&gt;"15",LEFT(M355,2)&lt;&gt;"33"))),"x","")</f>
        <v/>
      </c>
      <c r="AI355" s="80" t="str">
        <f>IF(AND(OR(LEFT(TH!O355,2)="15",LEFT(TH!P355,2)="15"),'152-CT'!$J$8=TH!F355),"x","")</f>
        <v/>
      </c>
      <c r="AJ355" s="80" t="str">
        <f>IF(AND(OR(LEFT(TH!O355,2)="15",LEFT(TH!P355,2)="15"),'THE KHO'!$E$7=TH!F355),"x","")</f>
        <v/>
      </c>
      <c r="AK355" s="80" t="str">
        <f>IF(AND(O355="1521",MONTH(C355)='BK NL'!$M$11),"x","")</f>
        <v/>
      </c>
    </row>
    <row r="356" spans="1:39" ht="15.75" customHeight="1">
      <c r="A356" s="362" t="str">
        <f>IF(B356&lt;&gt;"",IF(AND(B356&gt;=_TM1,B356&lt;=_TM2,OR(TH!O356="1111",TH!P356="1111")),TH!D356,""),"")</f>
        <v/>
      </c>
      <c r="B356" s="63">
        <f t="shared" si="27"/>
        <v>5</v>
      </c>
      <c r="C356" s="337">
        <v>42516</v>
      </c>
      <c r="D356" s="337" t="s">
        <v>1018</v>
      </c>
      <c r="E356" s="337">
        <v>42501</v>
      </c>
      <c r="F356" s="338" t="s">
        <v>937</v>
      </c>
      <c r="G356" s="351" t="s">
        <v>943</v>
      </c>
      <c r="H356" s="339" t="s">
        <v>221</v>
      </c>
      <c r="I356" s="479"/>
      <c r="J356" s="479"/>
      <c r="K356" s="472"/>
      <c r="L356" s="479"/>
      <c r="M356" s="65">
        <v>27604000</v>
      </c>
      <c r="N356" s="65"/>
      <c r="O356" s="340" t="s">
        <v>135</v>
      </c>
      <c r="P356" s="340" t="s">
        <v>9</v>
      </c>
      <c r="Q356" s="66" t="str">
        <f>IF(AND('331-CT'!$E$7=TH!H356,OR(O356="331",P356="331")),"x","")</f>
        <v/>
      </c>
      <c r="R356" s="66" t="str">
        <f>IF(AND($B356&gt;='111'!$N$11,$B356&lt;='111'!$O$11,OR($O356=$R$7,$P356=$R$7)),"x","")</f>
        <v/>
      </c>
      <c r="S356" s="66" t="str">
        <f>IF(AND($O356=$R$7,$B356&lt;'111'!$N$11),"x","")</f>
        <v/>
      </c>
      <c r="T356" s="66" t="str">
        <f>IF(AND($P356=$R$7,$B356&lt;'111'!$N$11),"x","")</f>
        <v/>
      </c>
      <c r="U356" s="66" t="str">
        <f>IF(AND($B356&gt;='112'!$M$9,$B356&lt;='112'!$N$9,OR($O356='112'!$I$6,$P356='112'!$I$6)),"x","")</f>
        <v/>
      </c>
      <c r="V356" s="66" t="str">
        <f>IF(AND($O356='112'!$I$6,$B356&lt;'112'!$M$9),"x","")</f>
        <v/>
      </c>
      <c r="W356" s="66" t="str">
        <f>IF(AND($P356='112'!$I$6,$B356&lt;'112'!$M$9),"x","")</f>
        <v/>
      </c>
      <c r="X356" s="66" t="str">
        <f>IF(AND('131-CT'!$H$9=TH!H356,OR(O356="131",P356="131")),"x","")</f>
        <v/>
      </c>
      <c r="Y356" s="80" t="str">
        <f>IF(AND($B356&gt;='1331'!$I$9,$B356&lt;='1331'!$J$9,OR($O356=$Y$7,$P356=$Y$7)),"x","")</f>
        <v/>
      </c>
      <c r="Z356" s="80" t="str">
        <f>IF(AND($O356=$Y$7,$B356&lt;'1331'!$I$9),"x","")</f>
        <v/>
      </c>
      <c r="AA356" s="80" t="str">
        <f>IF(AND($P356=$Y$7,$B356&lt;'1331'!$I$9),"x","")</f>
        <v/>
      </c>
      <c r="AB356" s="80" t="str">
        <f>IF(AND($B356&gt;='1332'!$I$9,$B356&lt;='1332'!$I$9,OR($O356=$AB$7,$P356=$AB$7)),"x","")</f>
        <v/>
      </c>
      <c r="AC356" s="80" t="str">
        <f>IF(AND($O356=$AB$7,$B356&lt;'1332'!$I$9),"x","")</f>
        <v/>
      </c>
      <c r="AD356" s="80" t="str">
        <f>IF(AND($P356=$AB$7,$B356&lt;'1332'!$I$9),"x","")</f>
        <v/>
      </c>
      <c r="AE356" s="80" t="str">
        <f>IF(AND('341-CT'!$H$9=H356,OR(LEFT(O356,3)=$AE$7,LEFT(P356,3)=$AE$7)),"x","")</f>
        <v/>
      </c>
      <c r="AF356" s="80" t="str">
        <f>IF(OR(TH!O356=TH!$AF$7,P356=TH!$AF$7),"x","")</f>
        <v/>
      </c>
      <c r="AG356" s="80"/>
      <c r="AH356" s="80" t="str">
        <f>IF(AND(B356&gt;='IN-NX'!$P$3,B356&lt;='IN-NX'!$Q$3,'IN-NX'!$D$7=D356,OR(LEFT(L356,2)="15",AND(LEFT(M356,2)&lt;&gt;"15",LEFT(M356,2)&lt;&gt;"33"))),"x","")</f>
        <v/>
      </c>
      <c r="AI356" s="80" t="str">
        <f>IF(AND(OR(LEFT(TH!O356,2)="15",LEFT(TH!P356,2)="15"),'152-CT'!$J$8=TH!F356),"x","")</f>
        <v/>
      </c>
      <c r="AJ356" s="80" t="str">
        <f>IF(AND(OR(LEFT(TH!O356,2)="15",LEFT(TH!P356,2)="15"),'THE KHO'!$E$7=TH!F356),"x","")</f>
        <v/>
      </c>
      <c r="AK356" s="80" t="str">
        <f>IF(AND(O356="1521",MONTH(C356)='BK NL'!$M$11),"x","")</f>
        <v/>
      </c>
      <c r="AM356" s="352">
        <v>1</v>
      </c>
    </row>
    <row r="357" spans="1:39" ht="15.75" customHeight="1">
      <c r="A357" s="362" t="str">
        <f>IF(B357&lt;&gt;"",IF(AND(B357&gt;=_TM1,B357&lt;=_TM2,OR(TH!O357="1111",TH!P357="1111")),TH!D357,""),"")</f>
        <v/>
      </c>
      <c r="B357" s="63">
        <f t="shared" si="27"/>
        <v>5</v>
      </c>
      <c r="C357" s="337">
        <v>42516</v>
      </c>
      <c r="D357" s="337" t="s">
        <v>1018</v>
      </c>
      <c r="E357" s="337">
        <v>42501</v>
      </c>
      <c r="F357" s="338" t="s">
        <v>938</v>
      </c>
      <c r="G357" s="351" t="s">
        <v>943</v>
      </c>
      <c r="H357" s="339" t="s">
        <v>221</v>
      </c>
      <c r="I357" s="476"/>
      <c r="J357" s="476"/>
      <c r="K357" s="469"/>
      <c r="L357" s="476"/>
      <c r="M357" s="88">
        <v>2760400</v>
      </c>
      <c r="N357" s="88"/>
      <c r="O357" s="340" t="s">
        <v>10</v>
      </c>
      <c r="P357" s="340" t="s">
        <v>9</v>
      </c>
      <c r="Q357" s="66" t="str">
        <f>IF(AND('331-CT'!$E$7=TH!H357,OR(O357="331",P357="331")),"x","")</f>
        <v/>
      </c>
      <c r="R357" s="66" t="str">
        <f>IF(AND($B357&gt;='111'!$N$11,$B357&lt;='111'!$O$11,OR($O357=$R$7,$P357=$R$7)),"x","")</f>
        <v/>
      </c>
      <c r="S357" s="66" t="str">
        <f>IF(AND($O357=$R$7,$B357&lt;'111'!$N$11),"x","")</f>
        <v/>
      </c>
      <c r="T357" s="66" t="str">
        <f>IF(AND($P357=$R$7,$B357&lt;'111'!$N$11),"x","")</f>
        <v/>
      </c>
      <c r="U357" s="66" t="str">
        <f>IF(AND($B357&gt;='112'!$M$9,$B357&lt;='112'!$N$9,OR($O357='112'!$I$6,$P357='112'!$I$6)),"x","")</f>
        <v/>
      </c>
      <c r="V357" s="66" t="str">
        <f>IF(AND($O357='112'!$I$6,$B357&lt;'112'!$M$9),"x","")</f>
        <v/>
      </c>
      <c r="W357" s="66" t="str">
        <f>IF(AND($P357='112'!$I$6,$B357&lt;'112'!$M$9),"x","")</f>
        <v/>
      </c>
      <c r="X357" s="66" t="str">
        <f>IF(AND('131-CT'!$H$9=TH!H357,OR(O357="131",P357="131")),"x","")</f>
        <v/>
      </c>
      <c r="Y357" s="80" t="str">
        <f>IF(AND($B357&gt;='1331'!$I$9,$B357&lt;='1331'!$J$9,OR($O357=$Y$7,$P357=$Y$7)),"x","")</f>
        <v/>
      </c>
      <c r="Z357" s="80" t="str">
        <f>IF(AND($O357=$Y$7,$B357&lt;'1331'!$I$9),"x","")</f>
        <v>x</v>
      </c>
      <c r="AA357" s="80" t="str">
        <f>IF(AND($P357=$Y$7,$B357&lt;'1331'!$I$9),"x","")</f>
        <v/>
      </c>
      <c r="AB357" s="80" t="str">
        <f>IF(AND($B357&gt;='1332'!$I$9,$B357&lt;='1332'!$I$9,OR($O357=$AB$7,$P357=$AB$7)),"x","")</f>
        <v/>
      </c>
      <c r="AC357" s="80" t="str">
        <f>IF(AND($O357=$AB$7,$B357&lt;'1332'!$I$9),"x","")</f>
        <v/>
      </c>
      <c r="AD357" s="80" t="str">
        <f>IF(AND($P357=$AB$7,$B357&lt;'1332'!$I$9),"x","")</f>
        <v/>
      </c>
      <c r="AE357" s="80" t="str">
        <f>IF(AND('341-CT'!$H$9=H357,OR(LEFT(O357,3)=$AE$7,LEFT(P357,3)=$AE$7)),"x","")</f>
        <v/>
      </c>
      <c r="AF357" s="80" t="str">
        <f>IF(OR(TH!O357=TH!$AF$7,P357=TH!$AF$7),"x","")</f>
        <v/>
      </c>
      <c r="AG357" s="80"/>
      <c r="AH357" s="80" t="str">
        <f>IF(AND(B357&gt;='IN-NX'!$P$3,B357&lt;='IN-NX'!$Q$3,'IN-NX'!$D$7=D357,OR(LEFT(L357,2)="15",AND(LEFT(M357,2)&lt;&gt;"15",LEFT(M357,2)&lt;&gt;"33"))),"x","")</f>
        <v/>
      </c>
      <c r="AI357" s="80" t="str">
        <f>IF(AND(OR(LEFT(TH!O357,2)="15",LEFT(TH!P357,2)="15"),'152-CT'!$J$8=TH!F357),"x","")</f>
        <v/>
      </c>
      <c r="AJ357" s="80" t="str">
        <f>IF(AND(OR(LEFT(TH!O357,2)="15",LEFT(TH!P357,2)="15"),'THE KHO'!$E$7=TH!F357),"x","")</f>
        <v/>
      </c>
      <c r="AK357" s="80" t="str">
        <f>IF(AND(O357="1521",MONTH(C357)='BK NL'!$M$11),"x","")</f>
        <v/>
      </c>
      <c r="AM357" s="352">
        <v>1</v>
      </c>
    </row>
    <row r="358" spans="1:39" ht="15.75" customHeight="1">
      <c r="A358" s="362" t="str">
        <f>IF(B358&lt;&gt;"",IF(AND(B358&gt;=_TM1,B358&lt;=_TM2,OR(TH!O358="1111",TH!P358="1111")),TH!D358,""),"")</f>
        <v/>
      </c>
      <c r="B358" s="63">
        <f t="shared" si="27"/>
        <v>5</v>
      </c>
      <c r="C358" s="337">
        <v>42516</v>
      </c>
      <c r="D358" s="337" t="s">
        <v>1018</v>
      </c>
      <c r="E358" s="337">
        <v>42510</v>
      </c>
      <c r="F358" s="338" t="s">
        <v>917</v>
      </c>
      <c r="G358" s="351" t="s">
        <v>919</v>
      </c>
      <c r="H358" s="339" t="s">
        <v>920</v>
      </c>
      <c r="I358" s="476"/>
      <c r="J358" s="476"/>
      <c r="K358" s="469"/>
      <c r="L358" s="476"/>
      <c r="M358" s="65">
        <v>8409091</v>
      </c>
      <c r="N358" s="65"/>
      <c r="O358" s="340" t="s">
        <v>135</v>
      </c>
      <c r="P358" s="340" t="s">
        <v>9</v>
      </c>
      <c r="Q358" s="66" t="str">
        <f>IF(AND('331-CT'!$E$7=TH!H358,OR(O358="331",P358="331")),"x","")</f>
        <v/>
      </c>
      <c r="R358" s="66" t="str">
        <f>IF(AND($B358&gt;='111'!$N$11,$B358&lt;='111'!$O$11,OR($O358=$R$7,$P358=$R$7)),"x","")</f>
        <v/>
      </c>
      <c r="S358" s="66" t="str">
        <f>IF(AND($O358=$R$7,$B358&lt;'111'!$N$11),"x","")</f>
        <v/>
      </c>
      <c r="T358" s="66" t="str">
        <f>IF(AND($P358=$R$7,$B358&lt;'111'!$N$11),"x","")</f>
        <v/>
      </c>
      <c r="U358" s="66" t="str">
        <f>IF(AND($B358&gt;='112'!$M$9,$B358&lt;='112'!$N$9,OR($O358='112'!$I$6,$P358='112'!$I$6)),"x","")</f>
        <v/>
      </c>
      <c r="V358" s="66" t="str">
        <f>IF(AND($O358='112'!$I$6,$B358&lt;'112'!$M$9),"x","")</f>
        <v/>
      </c>
      <c r="W358" s="66" t="str">
        <f>IF(AND($P358='112'!$I$6,$B358&lt;'112'!$M$9),"x","")</f>
        <v/>
      </c>
      <c r="X358" s="66" t="str">
        <f>IF(AND('131-CT'!$H$9=TH!H358,OR(O358="131",P358="131")),"x","")</f>
        <v/>
      </c>
      <c r="Y358" s="80" t="str">
        <f>IF(AND($B358&gt;='1331'!$I$9,$B358&lt;='1331'!$J$9,OR($O358=$Y$7,$P358=$Y$7)),"x","")</f>
        <v/>
      </c>
      <c r="Z358" s="80" t="str">
        <f>IF(AND($O358=$Y$7,$B358&lt;'1331'!$I$9),"x","")</f>
        <v/>
      </c>
      <c r="AA358" s="80" t="str">
        <f>IF(AND($P358=$Y$7,$B358&lt;'1331'!$I$9),"x","")</f>
        <v/>
      </c>
      <c r="AB358" s="80" t="str">
        <f>IF(AND($B358&gt;='1332'!$I$9,$B358&lt;='1332'!$I$9,OR($O358=$AB$7,$P358=$AB$7)),"x","")</f>
        <v/>
      </c>
      <c r="AC358" s="80" t="str">
        <f>IF(AND($O358=$AB$7,$B358&lt;'1332'!$I$9),"x","")</f>
        <v/>
      </c>
      <c r="AD358" s="80" t="str">
        <f>IF(AND($P358=$AB$7,$B358&lt;'1332'!$I$9),"x","")</f>
        <v/>
      </c>
      <c r="AE358" s="80" t="str">
        <f>IF(AND('341-CT'!$H$9=H358,OR(LEFT(O358,3)=$AE$7,LEFT(P358,3)=$AE$7)),"x","")</f>
        <v/>
      </c>
      <c r="AF358" s="80" t="str">
        <f>IF(OR(TH!O358=TH!$AF$7,P358=TH!$AF$7),"x","")</f>
        <v/>
      </c>
      <c r="AG358" s="80"/>
      <c r="AH358" s="80" t="str">
        <f>IF(AND(B358&gt;='IN-NX'!$P$3,B358&lt;='IN-NX'!$Q$3,'IN-NX'!$D$7=D358,OR(LEFT(L358,2)="15",AND(LEFT(M358,2)&lt;&gt;"15",LEFT(M358,2)&lt;&gt;"33"))),"x","")</f>
        <v/>
      </c>
      <c r="AI358" s="80" t="str">
        <f>IF(AND(OR(LEFT(TH!O358,2)="15",LEFT(TH!P358,2)="15"),'152-CT'!$J$8=TH!F358),"x","")</f>
        <v/>
      </c>
      <c r="AJ358" s="80" t="str">
        <f>IF(AND(OR(LEFT(TH!O358,2)="15",LEFT(TH!P358,2)="15"),'THE KHO'!$E$7=TH!F358),"x","")</f>
        <v/>
      </c>
      <c r="AK358" s="80" t="str">
        <f>IF(AND(O358="1521",MONTH(C358)='BK NL'!$M$11),"x","")</f>
        <v/>
      </c>
      <c r="AM358" s="352">
        <v>2</v>
      </c>
    </row>
    <row r="359" spans="1:39" ht="15.75" customHeight="1">
      <c r="A359" s="362" t="str">
        <f>IF(B359&lt;&gt;"",IF(AND(B359&gt;=_TM1,B359&lt;=_TM2,OR(TH!O359="1111",TH!P359="1111")),TH!D359,""),"")</f>
        <v/>
      </c>
      <c r="B359" s="63">
        <f t="shared" si="27"/>
        <v>5</v>
      </c>
      <c r="C359" s="337">
        <v>42516</v>
      </c>
      <c r="D359" s="337" t="s">
        <v>1018</v>
      </c>
      <c r="E359" s="337">
        <v>42510</v>
      </c>
      <c r="F359" s="338" t="s">
        <v>918</v>
      </c>
      <c r="G359" s="351" t="s">
        <v>919</v>
      </c>
      <c r="H359" s="339" t="s">
        <v>920</v>
      </c>
      <c r="I359" s="476"/>
      <c r="J359" s="476"/>
      <c r="K359" s="469"/>
      <c r="L359" s="476"/>
      <c r="M359" s="65">
        <v>840909</v>
      </c>
      <c r="N359" s="65"/>
      <c r="O359" s="340" t="s">
        <v>10</v>
      </c>
      <c r="P359" s="340" t="s">
        <v>9</v>
      </c>
      <c r="Q359" s="66" t="str">
        <f>IF(AND('331-CT'!$E$7=TH!H359,OR(O359="331",P359="331")),"x","")</f>
        <v/>
      </c>
      <c r="R359" s="66" t="str">
        <f>IF(AND($B359&gt;='111'!$N$11,$B359&lt;='111'!$O$11,OR($O359=$R$7,$P359=$R$7)),"x","")</f>
        <v/>
      </c>
      <c r="S359" s="66" t="str">
        <f>IF(AND($O359=$R$7,$B359&lt;'111'!$N$11),"x","")</f>
        <v/>
      </c>
      <c r="T359" s="66" t="str">
        <f>IF(AND($P359=$R$7,$B359&lt;'111'!$N$11),"x","")</f>
        <v/>
      </c>
      <c r="U359" s="66" t="str">
        <f>IF(AND($B359&gt;='112'!$M$9,$B359&lt;='112'!$N$9,OR($O359='112'!$I$6,$P359='112'!$I$6)),"x","")</f>
        <v/>
      </c>
      <c r="V359" s="66" t="str">
        <f>IF(AND($O359='112'!$I$6,$B359&lt;'112'!$M$9),"x","")</f>
        <v/>
      </c>
      <c r="W359" s="66" t="str">
        <f>IF(AND($P359='112'!$I$6,$B359&lt;'112'!$M$9),"x","")</f>
        <v/>
      </c>
      <c r="X359" s="66" t="str">
        <f>IF(AND('131-CT'!$H$9=TH!H359,OR(O359="131",P359="131")),"x","")</f>
        <v/>
      </c>
      <c r="Y359" s="80" t="str">
        <f>IF(AND($B359&gt;='1331'!$I$9,$B359&lt;='1331'!$J$9,OR($O359=$Y$7,$P359=$Y$7)),"x","")</f>
        <v/>
      </c>
      <c r="Z359" s="80" t="str">
        <f>IF(AND($O359=$Y$7,$B359&lt;'1331'!$I$9),"x","")</f>
        <v>x</v>
      </c>
      <c r="AA359" s="80" t="str">
        <f>IF(AND($P359=$Y$7,$B359&lt;'1331'!$I$9),"x","")</f>
        <v/>
      </c>
      <c r="AB359" s="80" t="str">
        <f>IF(AND($B359&gt;='1332'!$I$9,$B359&lt;='1332'!$I$9,OR($O359=$AB$7,$P359=$AB$7)),"x","")</f>
        <v/>
      </c>
      <c r="AC359" s="80" t="str">
        <f>IF(AND($O359=$AB$7,$B359&lt;'1332'!$I$9),"x","")</f>
        <v/>
      </c>
      <c r="AD359" s="80" t="str">
        <f>IF(AND($P359=$AB$7,$B359&lt;'1332'!$I$9),"x","")</f>
        <v/>
      </c>
      <c r="AE359" s="80" t="str">
        <f>IF(AND('341-CT'!$H$9=H359,OR(LEFT(O359,3)=$AE$7,LEFT(P359,3)=$AE$7)),"x","")</f>
        <v/>
      </c>
      <c r="AF359" s="80" t="str">
        <f>IF(OR(TH!O359=TH!$AF$7,P359=TH!$AF$7),"x","")</f>
        <v/>
      </c>
      <c r="AG359" s="80"/>
      <c r="AH359" s="80" t="str">
        <f>IF(AND(B359&gt;='IN-NX'!$P$3,B359&lt;='IN-NX'!$Q$3,'IN-NX'!$D$7=D359,OR(LEFT(L359,2)="15",AND(LEFT(M359,2)&lt;&gt;"15",LEFT(M359,2)&lt;&gt;"33"))),"x","")</f>
        <v/>
      </c>
      <c r="AI359" s="80" t="str">
        <f>IF(AND(OR(LEFT(TH!O359,2)="15",LEFT(TH!P359,2)="15"),'152-CT'!$J$8=TH!F359),"x","")</f>
        <v/>
      </c>
      <c r="AJ359" s="80" t="str">
        <f>IF(AND(OR(LEFT(TH!O359,2)="15",LEFT(TH!P359,2)="15"),'THE KHO'!$E$7=TH!F359),"x","")</f>
        <v/>
      </c>
      <c r="AK359" s="80" t="str">
        <f>IF(AND(O359="1521",MONTH(C359)='BK NL'!$M$11),"x","")</f>
        <v/>
      </c>
      <c r="AM359" s="352">
        <v>2</v>
      </c>
    </row>
    <row r="360" spans="1:39" ht="15.75" customHeight="1">
      <c r="A360" s="362" t="str">
        <f>IF(B360&lt;&gt;"",IF(AND(B360&gt;=_TM1,B360&lt;=_TM2,OR(TH!O360="1111",TH!P360="1111")),TH!D360,""),"")</f>
        <v/>
      </c>
      <c r="B360" s="63">
        <f t="shared" si="27"/>
        <v>5</v>
      </c>
      <c r="C360" s="337">
        <v>42516</v>
      </c>
      <c r="D360" s="337" t="s">
        <v>1018</v>
      </c>
      <c r="E360" s="337">
        <v>42516</v>
      </c>
      <c r="F360" s="338" t="s">
        <v>939</v>
      </c>
      <c r="G360" s="351" t="s">
        <v>944</v>
      </c>
      <c r="H360" s="339" t="s">
        <v>221</v>
      </c>
      <c r="I360" s="476"/>
      <c r="J360" s="476"/>
      <c r="K360" s="469"/>
      <c r="L360" s="476"/>
      <c r="M360" s="65">
        <v>28089300</v>
      </c>
      <c r="N360" s="65"/>
      <c r="O360" s="340" t="s">
        <v>135</v>
      </c>
      <c r="P360" s="340" t="s">
        <v>9</v>
      </c>
      <c r="Q360" s="66" t="str">
        <f>IF(AND('331-CT'!$E$7=TH!H360,OR(O360="331",P360="331")),"x","")</f>
        <v/>
      </c>
      <c r="R360" s="66" t="str">
        <f>IF(AND($B360&gt;='111'!$N$11,$B360&lt;='111'!$O$11,OR($O360=$R$7,$P360=$R$7)),"x","")</f>
        <v/>
      </c>
      <c r="S360" s="66" t="str">
        <f>IF(AND($O360=$R$7,$B360&lt;'111'!$N$11),"x","")</f>
        <v/>
      </c>
      <c r="T360" s="66" t="str">
        <f>IF(AND($P360=$R$7,$B360&lt;'111'!$N$11),"x","")</f>
        <v/>
      </c>
      <c r="U360" s="66" t="str">
        <f>IF(AND($B360&gt;='112'!$M$9,$B360&lt;='112'!$N$9,OR($O360='112'!$I$6,$P360='112'!$I$6)),"x","")</f>
        <v/>
      </c>
      <c r="V360" s="66" t="str">
        <f>IF(AND($O360='112'!$I$6,$B360&lt;'112'!$M$9),"x","")</f>
        <v/>
      </c>
      <c r="W360" s="66" t="str">
        <f>IF(AND($P360='112'!$I$6,$B360&lt;'112'!$M$9),"x","")</f>
        <v/>
      </c>
      <c r="X360" s="66" t="str">
        <f>IF(AND('131-CT'!$H$9=TH!H360,OR(O360="131",P360="131")),"x","")</f>
        <v/>
      </c>
      <c r="Y360" s="80" t="str">
        <f>IF(AND($B360&gt;='1331'!$I$9,$B360&lt;='1331'!$J$9,OR($O360=$Y$7,$P360=$Y$7)),"x","")</f>
        <v/>
      </c>
      <c r="Z360" s="80" t="str">
        <f>IF(AND($O360=$Y$7,$B360&lt;'1331'!$I$9),"x","")</f>
        <v/>
      </c>
      <c r="AA360" s="80" t="str">
        <f>IF(AND($P360=$Y$7,$B360&lt;'1331'!$I$9),"x","")</f>
        <v/>
      </c>
      <c r="AB360" s="80" t="str">
        <f>IF(AND($B360&gt;='1332'!$I$9,$B360&lt;='1332'!$I$9,OR($O360=$AB$7,$P360=$AB$7)),"x","")</f>
        <v/>
      </c>
      <c r="AC360" s="80" t="str">
        <f>IF(AND($O360=$AB$7,$B360&lt;'1332'!$I$9),"x","")</f>
        <v/>
      </c>
      <c r="AD360" s="80" t="str">
        <f>IF(AND($P360=$AB$7,$B360&lt;'1332'!$I$9),"x","")</f>
        <v/>
      </c>
      <c r="AE360" s="80" t="str">
        <f>IF(AND('341-CT'!$H$9=H360,OR(LEFT(O360,3)=$AE$7,LEFT(P360,3)=$AE$7)),"x","")</f>
        <v/>
      </c>
      <c r="AF360" s="80" t="str">
        <f>IF(OR(TH!O360=TH!$AF$7,P360=TH!$AF$7),"x","")</f>
        <v/>
      </c>
      <c r="AG360" s="80"/>
      <c r="AH360" s="80" t="str">
        <f>IF(AND(B360&gt;='IN-NX'!$P$3,B360&lt;='IN-NX'!$Q$3,'IN-NX'!$D$7=D360,OR(LEFT(L360,2)="15",AND(LEFT(M360,2)&lt;&gt;"15",LEFT(M360,2)&lt;&gt;"33"))),"x","")</f>
        <v/>
      </c>
      <c r="AI360" s="80" t="str">
        <f>IF(AND(OR(LEFT(TH!O360,2)="15",LEFT(TH!P360,2)="15"),'152-CT'!$J$8=TH!F360),"x","")</f>
        <v/>
      </c>
      <c r="AJ360" s="80" t="str">
        <f>IF(AND(OR(LEFT(TH!O360,2)="15",LEFT(TH!P360,2)="15"),'THE KHO'!$E$7=TH!F360),"x","")</f>
        <v/>
      </c>
      <c r="AK360" s="80" t="str">
        <f>IF(AND(O360="1521",MONTH(C360)='BK NL'!$M$11),"x","")</f>
        <v/>
      </c>
      <c r="AM360" s="352">
        <v>1</v>
      </c>
    </row>
    <row r="361" spans="1:39" ht="15.75" customHeight="1">
      <c r="A361" s="362" t="str">
        <f>IF(B361&lt;&gt;"",IF(AND(B361&gt;=_TM1,B361&lt;=_TM2,OR(TH!O361="1111",TH!P361="1111")),TH!D361,""),"")</f>
        <v/>
      </c>
      <c r="B361" s="63">
        <f t="shared" si="27"/>
        <v>5</v>
      </c>
      <c r="C361" s="337">
        <v>42516</v>
      </c>
      <c r="D361" s="337" t="s">
        <v>1018</v>
      </c>
      <c r="E361" s="337">
        <v>42516</v>
      </c>
      <c r="F361" s="338" t="s">
        <v>940</v>
      </c>
      <c r="G361" s="351" t="s">
        <v>944</v>
      </c>
      <c r="H361" s="339" t="s">
        <v>221</v>
      </c>
      <c r="I361" s="476"/>
      <c r="J361" s="476"/>
      <c r="K361" s="469"/>
      <c r="L361" s="476"/>
      <c r="M361" s="88">
        <v>2808930</v>
      </c>
      <c r="N361" s="88"/>
      <c r="O361" s="340" t="s">
        <v>10</v>
      </c>
      <c r="P361" s="340" t="s">
        <v>9</v>
      </c>
      <c r="Q361" s="66" t="str">
        <f>IF(AND('331-CT'!$E$7=TH!H361,OR(O361="331",P361="331")),"x","")</f>
        <v/>
      </c>
      <c r="R361" s="66" t="str">
        <f>IF(AND($B361&gt;='111'!$N$11,$B361&lt;='111'!$O$11,OR($O361=$R$7,$P361=$R$7)),"x","")</f>
        <v/>
      </c>
      <c r="S361" s="66" t="str">
        <f>IF(AND($O361=$R$7,$B361&lt;'111'!$N$11),"x","")</f>
        <v/>
      </c>
      <c r="T361" s="66" t="str">
        <f>IF(AND($P361=$R$7,$B361&lt;'111'!$N$11),"x","")</f>
        <v/>
      </c>
      <c r="U361" s="66" t="str">
        <f>IF(AND($B361&gt;='112'!$M$9,$B361&lt;='112'!$N$9,OR($O361='112'!$I$6,$P361='112'!$I$6)),"x","")</f>
        <v/>
      </c>
      <c r="V361" s="66" t="str">
        <f>IF(AND($O361='112'!$I$6,$B361&lt;'112'!$M$9),"x","")</f>
        <v/>
      </c>
      <c r="W361" s="66" t="str">
        <f>IF(AND($P361='112'!$I$6,$B361&lt;'112'!$M$9),"x","")</f>
        <v/>
      </c>
      <c r="X361" s="66" t="str">
        <f>IF(AND('131-CT'!$H$9=TH!H361,OR(O361="131",P361="131")),"x","")</f>
        <v/>
      </c>
      <c r="Y361" s="80" t="str">
        <f>IF(AND($B361&gt;='1331'!$I$9,$B361&lt;='1331'!$J$9,OR($O361=$Y$7,$P361=$Y$7)),"x","")</f>
        <v/>
      </c>
      <c r="Z361" s="80" t="str">
        <f>IF(AND($O361=$Y$7,$B361&lt;'1331'!$I$9),"x","")</f>
        <v>x</v>
      </c>
      <c r="AA361" s="80" t="str">
        <f>IF(AND($P361=$Y$7,$B361&lt;'1331'!$I$9),"x","")</f>
        <v/>
      </c>
      <c r="AB361" s="80" t="str">
        <f>IF(AND($B361&gt;='1332'!$I$9,$B361&lt;='1332'!$I$9,OR($O361=$AB$7,$P361=$AB$7)),"x","")</f>
        <v/>
      </c>
      <c r="AC361" s="80" t="str">
        <f>IF(AND($O361=$AB$7,$B361&lt;'1332'!$I$9),"x","")</f>
        <v/>
      </c>
      <c r="AD361" s="80" t="str">
        <f>IF(AND($P361=$AB$7,$B361&lt;'1332'!$I$9),"x","")</f>
        <v/>
      </c>
      <c r="AE361" s="80" t="str">
        <f>IF(AND('341-CT'!$H$9=H361,OR(LEFT(O361,3)=$AE$7,LEFT(P361,3)=$AE$7)),"x","")</f>
        <v/>
      </c>
      <c r="AF361" s="80" t="str">
        <f>IF(OR(TH!O361=TH!$AF$7,P361=TH!$AF$7),"x","")</f>
        <v/>
      </c>
      <c r="AG361" s="80"/>
      <c r="AH361" s="80" t="str">
        <f>IF(AND(B361&gt;='IN-NX'!$P$3,B361&lt;='IN-NX'!$Q$3,'IN-NX'!$D$7=D361,OR(LEFT(L361,2)="15",AND(LEFT(M361,2)&lt;&gt;"15",LEFT(M361,2)&lt;&gt;"33"))),"x","")</f>
        <v/>
      </c>
      <c r="AI361" s="80" t="str">
        <f>IF(AND(OR(LEFT(TH!O361,2)="15",LEFT(TH!P361,2)="15"),'152-CT'!$J$8=TH!F361),"x","")</f>
        <v/>
      </c>
      <c r="AJ361" s="80" t="str">
        <f>IF(AND(OR(LEFT(TH!O361,2)="15",LEFT(TH!P361,2)="15"),'THE KHO'!$E$7=TH!F361),"x","")</f>
        <v/>
      </c>
      <c r="AK361" s="80" t="str">
        <f>IF(AND(O361="1521",MONTH(C361)='BK NL'!$M$11),"x","")</f>
        <v/>
      </c>
      <c r="AM361" s="371">
        <v>1</v>
      </c>
    </row>
    <row r="362" spans="1:39" ht="15.75" customHeight="1">
      <c r="A362" s="362" t="str">
        <f>IF(B362&lt;&gt;"",IF(AND(B362&gt;=_TM1,B362&lt;=_TM2,OR(TH!O362="1111",TH!P362="1111")),TH!D362,""),"")</f>
        <v>C36</v>
      </c>
      <c r="B362" s="63">
        <f t="shared" si="27"/>
        <v>5</v>
      </c>
      <c r="C362" s="337">
        <f t="shared" ref="C362:C404" si="28">E362</f>
        <v>42517</v>
      </c>
      <c r="D362" s="337" t="s">
        <v>752</v>
      </c>
      <c r="E362" s="337">
        <v>42517</v>
      </c>
      <c r="F362" s="338" t="s">
        <v>185</v>
      </c>
      <c r="G362" s="351" t="s">
        <v>916</v>
      </c>
      <c r="H362" s="339" t="s">
        <v>319</v>
      </c>
      <c r="I362" s="476"/>
      <c r="J362" s="476"/>
      <c r="K362" s="469"/>
      <c r="L362" s="476"/>
      <c r="M362" s="65">
        <v>1186000</v>
      </c>
      <c r="N362" s="65"/>
      <c r="O362" s="340" t="s">
        <v>242</v>
      </c>
      <c r="P362" s="340" t="s">
        <v>97</v>
      </c>
      <c r="Q362" s="66" t="str">
        <f>IF(AND('331-CT'!$E$7=TH!H362,OR(O362="331",P362="331")),"x","")</f>
        <v/>
      </c>
      <c r="R362" s="66" t="str">
        <f>IF(AND($B362&gt;='111'!$N$11,$B362&lt;='111'!$O$11,OR($O362=$R$7,$P362=$R$7)),"x","")</f>
        <v/>
      </c>
      <c r="S362" s="66" t="str">
        <f>IF(AND($O362=$R$7,$B362&lt;'111'!$N$11),"x","")</f>
        <v/>
      </c>
      <c r="T362" s="66" t="str">
        <f>IF(AND($P362=$R$7,$B362&lt;'111'!$N$11),"x","")</f>
        <v>x</v>
      </c>
      <c r="U362" s="66" t="str">
        <f>IF(AND($B362&gt;='112'!$M$9,$B362&lt;='112'!$N$9,OR($O362='112'!$I$6,$P362='112'!$I$6)),"x","")</f>
        <v/>
      </c>
      <c r="V362" s="66" t="str">
        <f>IF(AND($O362='112'!$I$6,$B362&lt;'112'!$M$9),"x","")</f>
        <v/>
      </c>
      <c r="W362" s="66" t="str">
        <f>IF(AND($P362='112'!$I$6,$B362&lt;'112'!$M$9),"x","")</f>
        <v/>
      </c>
      <c r="X362" s="66" t="str">
        <f>IF(AND('131-CT'!$H$9=TH!H362,OR(O362="131",P362="131")),"x","")</f>
        <v/>
      </c>
      <c r="Y362" s="80" t="str">
        <f>IF(AND($B362&gt;='1331'!$I$9,$B362&lt;='1331'!$J$9,OR($O362=$Y$7,$P362=$Y$7)),"x","")</f>
        <v/>
      </c>
      <c r="Z362" s="80" t="str">
        <f>IF(AND($O362=$Y$7,$B362&lt;'1331'!$I$9),"x","")</f>
        <v/>
      </c>
      <c r="AA362" s="80" t="str">
        <f>IF(AND($P362=$Y$7,$B362&lt;'1331'!$I$9),"x","")</f>
        <v/>
      </c>
      <c r="AB362" s="80" t="str">
        <f>IF(AND($B362&gt;='1332'!$I$9,$B362&lt;='1332'!$I$9,OR($O362=$AB$7,$P362=$AB$7)),"x","")</f>
        <v/>
      </c>
      <c r="AC362" s="80" t="str">
        <f>IF(AND($O362=$AB$7,$B362&lt;'1332'!$I$9),"x","")</f>
        <v/>
      </c>
      <c r="AD362" s="80" t="str">
        <f>IF(AND($P362=$AB$7,$B362&lt;'1332'!$I$9),"x","")</f>
        <v/>
      </c>
      <c r="AE362" s="80" t="str">
        <f>IF(AND('341-CT'!$H$9=H362,OR(LEFT(O362,3)=$AE$7,LEFT(P362,3)=$AE$7)),"x","")</f>
        <v/>
      </c>
      <c r="AF362" s="80" t="str">
        <f>IF(OR(TH!O362=TH!$AF$7,P362=TH!$AF$7),"x","")</f>
        <v/>
      </c>
      <c r="AG362" s="80"/>
      <c r="AH362" s="80" t="str">
        <f>IF(AND(B362&gt;='IN-NX'!$P$3,B362&lt;='IN-NX'!$Q$3,'IN-NX'!$D$7=D362,OR(LEFT(L362,2)="15",AND(LEFT(M362,2)&lt;&gt;"15",LEFT(M362,2)&lt;&gt;"33"))),"x","")</f>
        <v/>
      </c>
      <c r="AI362" s="80" t="str">
        <f>IF(AND(OR(LEFT(TH!O362,2)="15",LEFT(TH!P362,2)="15"),'152-CT'!$J$8=TH!F362),"x","")</f>
        <v/>
      </c>
      <c r="AJ362" s="80" t="str">
        <f>IF(AND(OR(LEFT(TH!O362,2)="15",LEFT(TH!P362,2)="15"),'THE KHO'!$E$7=TH!F362),"x","")</f>
        <v/>
      </c>
      <c r="AK362" s="80" t="str">
        <f>IF(AND(O362="1521",MONTH(C362)='BK NL'!$M$11),"x","")</f>
        <v/>
      </c>
    </row>
    <row r="363" spans="1:39" ht="15.75" customHeight="1">
      <c r="A363" s="362" t="str">
        <f>IF(B363&lt;&gt;"",IF(AND(B363&gt;=_TM1,B363&lt;=_TM2,OR(TH!O363="1111",TH!P363="1111")),TH!D363,""),"")</f>
        <v>C37</v>
      </c>
      <c r="B363" s="63">
        <f t="shared" si="27"/>
        <v>5</v>
      </c>
      <c r="C363" s="337">
        <f t="shared" si="28"/>
        <v>42517</v>
      </c>
      <c r="D363" s="337" t="s">
        <v>755</v>
      </c>
      <c r="E363" s="337">
        <v>42517</v>
      </c>
      <c r="F363" s="338" t="s">
        <v>410</v>
      </c>
      <c r="G363" s="1022" t="s">
        <v>798</v>
      </c>
      <c r="H363" s="339" t="s">
        <v>956</v>
      </c>
      <c r="I363" s="476"/>
      <c r="J363" s="476"/>
      <c r="K363" s="469"/>
      <c r="L363" s="476"/>
      <c r="M363" s="65">
        <v>24000000</v>
      </c>
      <c r="N363" s="65"/>
      <c r="O363" s="340" t="s">
        <v>31</v>
      </c>
      <c r="P363" s="340" t="s">
        <v>97</v>
      </c>
      <c r="Q363" s="66" t="str">
        <f>IF(AND('331-CT'!$E$7=TH!H363,OR(O363="331",P363="331")),"x","")</f>
        <v/>
      </c>
      <c r="R363" s="66" t="str">
        <f>IF(AND($B363&gt;='111'!$N$11,$B363&lt;='111'!$O$11,OR($O363=$R$7,$P363=$R$7)),"x","")</f>
        <v/>
      </c>
      <c r="S363" s="66" t="str">
        <f>IF(AND($O363=$R$7,$B363&lt;'111'!$N$11),"x","")</f>
        <v/>
      </c>
      <c r="T363" s="66" t="str">
        <f>IF(AND($P363=$R$7,$B363&lt;'111'!$N$11),"x","")</f>
        <v>x</v>
      </c>
      <c r="U363" s="66" t="str">
        <f>IF(AND($B363&gt;='112'!$M$9,$B363&lt;='112'!$N$9,OR($O363='112'!$I$6,$P363='112'!$I$6)),"x","")</f>
        <v/>
      </c>
      <c r="V363" s="66" t="str">
        <f>IF(AND($O363='112'!$I$6,$B363&lt;'112'!$M$9),"x","")</f>
        <v>x</v>
      </c>
      <c r="W363" s="66" t="str">
        <f>IF(AND($P363='112'!$I$6,$B363&lt;'112'!$M$9),"x","")</f>
        <v/>
      </c>
      <c r="X363" s="66" t="str">
        <f>IF(AND('131-CT'!$H$9=TH!H363,OR(O363="131",P363="131")),"x","")</f>
        <v/>
      </c>
      <c r="Y363" s="80" t="str">
        <f>IF(AND($B363&gt;='1331'!$I$9,$B363&lt;='1331'!$J$9,OR($O363=$Y$7,$P363=$Y$7)),"x","")</f>
        <v/>
      </c>
      <c r="Z363" s="80" t="str">
        <f>IF(AND($O363=$Y$7,$B363&lt;'1331'!$I$9),"x","")</f>
        <v/>
      </c>
      <c r="AA363" s="80" t="str">
        <f>IF(AND($P363=$Y$7,$B363&lt;'1331'!$I$9),"x","")</f>
        <v/>
      </c>
      <c r="AB363" s="80" t="str">
        <f>IF(AND($B363&gt;='1332'!$I$9,$B363&lt;='1332'!$I$9,OR($O363=$AB$7,$P363=$AB$7)),"x","")</f>
        <v/>
      </c>
      <c r="AC363" s="80" t="str">
        <f>IF(AND($O363=$AB$7,$B363&lt;'1332'!$I$9),"x","")</f>
        <v/>
      </c>
      <c r="AD363" s="80" t="str">
        <f>IF(AND($P363=$AB$7,$B363&lt;'1332'!$I$9),"x","")</f>
        <v/>
      </c>
      <c r="AE363" s="80" t="str">
        <f>IF(AND('341-CT'!$H$9=H363,OR(LEFT(O363,3)=$AE$7,LEFT(P363,3)=$AE$7)),"x","")</f>
        <v/>
      </c>
      <c r="AF363" s="80" t="str">
        <f>IF(OR(TH!O363=TH!$AF$7,P363=TH!$AF$7),"x","")</f>
        <v/>
      </c>
      <c r="AG363" s="80"/>
      <c r="AH363" s="80" t="str">
        <f>IF(AND(B363&gt;='IN-NX'!$P$3,B363&lt;='IN-NX'!$Q$3,'IN-NX'!$D$7=D363,OR(LEFT(L363,2)="15",AND(LEFT(M363,2)&lt;&gt;"15",LEFT(M363,2)&lt;&gt;"33"))),"x","")</f>
        <v/>
      </c>
      <c r="AI363" s="80" t="str">
        <f>IF(AND(OR(LEFT(TH!O363,2)="15",LEFT(TH!P363,2)="15"),'152-CT'!$J$8=TH!F363),"x","")</f>
        <v/>
      </c>
      <c r="AJ363" s="80" t="str">
        <f>IF(AND(OR(LEFT(TH!O363,2)="15",LEFT(TH!P363,2)="15"),'THE KHO'!$E$7=TH!F363),"x","")</f>
        <v/>
      </c>
      <c r="AK363" s="80" t="str">
        <f>IF(AND(O363="1521",MONTH(C363)='BK NL'!$M$11),"x","")</f>
        <v/>
      </c>
    </row>
    <row r="364" spans="1:39" ht="15.75" customHeight="1">
      <c r="A364" s="362" t="str">
        <f>IF(B364&lt;&gt;"",IF(AND(B364&gt;=_TM1,B364&lt;=_TM2,OR(TH!O364="1111",TH!P364="1111")),TH!D364,""),"")</f>
        <v/>
      </c>
      <c r="B364" s="63">
        <f t="shared" si="27"/>
        <v>5</v>
      </c>
      <c r="C364" s="337">
        <f t="shared" si="28"/>
        <v>42517</v>
      </c>
      <c r="D364" s="337" t="s">
        <v>8</v>
      </c>
      <c r="E364" s="337">
        <v>42517</v>
      </c>
      <c r="F364" s="338" t="s">
        <v>405</v>
      </c>
      <c r="G364" s="1022" t="s">
        <v>798</v>
      </c>
      <c r="H364" s="339" t="s">
        <v>176</v>
      </c>
      <c r="I364" s="479"/>
      <c r="J364" s="479"/>
      <c r="K364" s="472"/>
      <c r="L364" s="479"/>
      <c r="M364" s="65">
        <v>11912604</v>
      </c>
      <c r="N364" s="65"/>
      <c r="O364" s="340" t="s">
        <v>133</v>
      </c>
      <c r="P364" s="340" t="s">
        <v>31</v>
      </c>
      <c r="Q364" s="66" t="str">
        <f>IF(AND('331-CT'!$E$7=TH!H364,OR(O364="331",P364="331")),"x","")</f>
        <v/>
      </c>
      <c r="R364" s="66" t="str">
        <f>IF(AND($B364&gt;='111'!$N$11,$B364&lt;='111'!$O$11,OR($O364=$R$7,$P364=$R$7)),"x","")</f>
        <v/>
      </c>
      <c r="S364" s="66" t="str">
        <f>IF(AND($O364=$R$7,$B364&lt;'111'!$N$11),"x","")</f>
        <v/>
      </c>
      <c r="T364" s="66" t="str">
        <f>IF(AND($P364=$R$7,$B364&lt;'111'!$N$11),"x","")</f>
        <v/>
      </c>
      <c r="U364" s="66" t="str">
        <f>IF(AND($B364&gt;='112'!$M$9,$B364&lt;='112'!$N$9,OR($O364='112'!$I$6,$P364='112'!$I$6)),"x","")</f>
        <v/>
      </c>
      <c r="V364" s="66" t="str">
        <f>IF(AND($O364='112'!$I$6,$B364&lt;'112'!$M$9),"x","")</f>
        <v/>
      </c>
      <c r="W364" s="66" t="str">
        <f>IF(AND($P364='112'!$I$6,$B364&lt;'112'!$M$9),"x","")</f>
        <v>x</v>
      </c>
      <c r="X364" s="66" t="str">
        <f>IF(AND('131-CT'!$H$9=TH!H364,OR(O364="131",P364="131")),"x","")</f>
        <v/>
      </c>
      <c r="Y364" s="80" t="str">
        <f>IF(AND($B364&gt;='1331'!$I$9,$B364&lt;='1331'!$J$9,OR($O364=$Y$7,$P364=$Y$7)),"x","")</f>
        <v/>
      </c>
      <c r="Z364" s="80" t="str">
        <f>IF(AND($O364=$Y$7,$B364&lt;'1331'!$I$9),"x","")</f>
        <v/>
      </c>
      <c r="AA364" s="80" t="str">
        <f>IF(AND($P364=$Y$7,$B364&lt;'1331'!$I$9),"x","")</f>
        <v/>
      </c>
      <c r="AB364" s="80" t="str">
        <f>IF(AND($B364&gt;='1332'!$I$9,$B364&lt;='1332'!$I$9,OR($O364=$AB$7,$P364=$AB$7)),"x","")</f>
        <v/>
      </c>
      <c r="AC364" s="80" t="str">
        <f>IF(AND($O364=$AB$7,$B364&lt;'1332'!$I$9),"x","")</f>
        <v/>
      </c>
      <c r="AD364" s="80" t="str">
        <f>IF(AND($P364=$AB$7,$B364&lt;'1332'!$I$9),"x","")</f>
        <v/>
      </c>
      <c r="AE364" s="80" t="str">
        <f>IF(AND('341-CT'!$H$9=H364,OR(LEFT(O364,3)=$AE$7,LEFT(P364,3)=$AE$7)),"x","")</f>
        <v/>
      </c>
      <c r="AF364" s="80" t="str">
        <f>IF(OR(TH!O364=TH!$AF$7,P364=TH!$AF$7),"x","")</f>
        <v/>
      </c>
      <c r="AG364" s="80"/>
      <c r="AH364" s="80" t="str">
        <f>IF(AND(B364&gt;='IN-NX'!$P$3,B364&lt;='IN-NX'!$Q$3,'IN-NX'!$D$7=D364,OR(LEFT(L364,2)="15",AND(LEFT(M364,2)&lt;&gt;"15",LEFT(M364,2)&lt;&gt;"33"))),"x","")</f>
        <v/>
      </c>
      <c r="AI364" s="80" t="str">
        <f>IF(AND(OR(LEFT(TH!O364,2)="15",LEFT(TH!P364,2)="15"),'152-CT'!$J$8=TH!F364),"x","")</f>
        <v/>
      </c>
      <c r="AJ364" s="80" t="str">
        <f>IF(AND(OR(LEFT(TH!O364,2)="15",LEFT(TH!P364,2)="15"),'THE KHO'!$E$7=TH!F364),"x","")</f>
        <v/>
      </c>
      <c r="AK364" s="80" t="str">
        <f>IF(AND(O364="1521",MONTH(C364)='BK NL'!$M$11),"x","")</f>
        <v/>
      </c>
    </row>
    <row r="365" spans="1:39" ht="15.75" customHeight="1">
      <c r="A365" s="362" t="str">
        <f>IF(B365&lt;&gt;"",IF(AND(B365&gt;=_TM1,B365&lt;=_TM2,OR(TH!O365="1111",TH!P365="1111")),TH!D365,""),"")</f>
        <v/>
      </c>
      <c r="B365" s="63">
        <f t="shared" si="27"/>
        <v>5</v>
      </c>
      <c r="C365" s="337">
        <f t="shared" si="28"/>
        <v>42517</v>
      </c>
      <c r="D365" s="337" t="s">
        <v>8</v>
      </c>
      <c r="E365" s="337">
        <v>42517</v>
      </c>
      <c r="F365" s="338" t="s">
        <v>405</v>
      </c>
      <c r="G365" s="1022" t="s">
        <v>798</v>
      </c>
      <c r="H365" s="339" t="s">
        <v>175</v>
      </c>
      <c r="I365" s="479"/>
      <c r="J365" s="479"/>
      <c r="K365" s="472"/>
      <c r="L365" s="479"/>
      <c r="M365" s="65">
        <v>11912604</v>
      </c>
      <c r="N365" s="65"/>
      <c r="O365" s="340" t="s">
        <v>133</v>
      </c>
      <c r="P365" s="340" t="s">
        <v>31</v>
      </c>
      <c r="Q365" s="66" t="str">
        <f>IF(AND('331-CT'!$E$7=TH!H365,OR(O365="331",P365="331")),"x","")</f>
        <v/>
      </c>
      <c r="R365" s="66" t="str">
        <f>IF(AND($B365&gt;='111'!$N$11,$B365&lt;='111'!$O$11,OR($O365=$R$7,$P365=$R$7)),"x","")</f>
        <v/>
      </c>
      <c r="S365" s="66" t="str">
        <f>IF(AND($O365=$R$7,$B365&lt;'111'!$N$11),"x","")</f>
        <v/>
      </c>
      <c r="T365" s="66" t="str">
        <f>IF(AND($P365=$R$7,$B365&lt;'111'!$N$11),"x","")</f>
        <v/>
      </c>
      <c r="U365" s="66" t="str">
        <f>IF(AND($B365&gt;='112'!$M$9,$B365&lt;='112'!$N$9,OR($O365='112'!$I$6,$P365='112'!$I$6)),"x","")</f>
        <v/>
      </c>
      <c r="V365" s="66" t="str">
        <f>IF(AND($O365='112'!$I$6,$B365&lt;'112'!$M$9),"x","")</f>
        <v/>
      </c>
      <c r="W365" s="66" t="str">
        <f>IF(AND($P365='112'!$I$6,$B365&lt;'112'!$M$9),"x","")</f>
        <v>x</v>
      </c>
      <c r="X365" s="66" t="str">
        <f>IF(AND('131-CT'!$H$9=TH!H365,OR(O365="131",P365="131")),"x","")</f>
        <v/>
      </c>
      <c r="Y365" s="80" t="str">
        <f>IF(AND($B365&gt;='1331'!$I$9,$B365&lt;='1331'!$J$9,OR($O365=$Y$7,$P365=$Y$7)),"x","")</f>
        <v/>
      </c>
      <c r="Z365" s="80" t="str">
        <f>IF(AND($O365=$Y$7,$B365&lt;'1331'!$I$9),"x","")</f>
        <v/>
      </c>
      <c r="AA365" s="80" t="str">
        <f>IF(AND($P365=$Y$7,$B365&lt;'1331'!$I$9),"x","")</f>
        <v/>
      </c>
      <c r="AB365" s="80" t="str">
        <f>IF(AND($B365&gt;='1332'!$I$9,$B365&lt;='1332'!$I$9,OR($O365=$AB$7,$P365=$AB$7)),"x","")</f>
        <v/>
      </c>
      <c r="AC365" s="80" t="str">
        <f>IF(AND($O365=$AB$7,$B365&lt;'1332'!$I$9),"x","")</f>
        <v/>
      </c>
      <c r="AD365" s="80" t="str">
        <f>IF(AND($P365=$AB$7,$B365&lt;'1332'!$I$9),"x","")</f>
        <v/>
      </c>
      <c r="AE365" s="80" t="str">
        <f>IF(AND('341-CT'!$H$9=H365,OR(LEFT(O365,3)=$AE$7,LEFT(P365,3)=$AE$7)),"x","")</f>
        <v/>
      </c>
      <c r="AF365" s="80" t="str">
        <f>IF(OR(TH!O365=TH!$AF$7,P365=TH!$AF$7),"x","")</f>
        <v/>
      </c>
      <c r="AG365" s="80"/>
      <c r="AH365" s="80" t="str">
        <f>IF(AND(B365&gt;='IN-NX'!$P$3,B365&lt;='IN-NX'!$Q$3,'IN-NX'!$D$7=D365,OR(LEFT(L365,2)="15",AND(LEFT(M365,2)&lt;&gt;"15",LEFT(M365,2)&lt;&gt;"33"))),"x","")</f>
        <v/>
      </c>
      <c r="AI365" s="80" t="str">
        <f>IF(AND(OR(LEFT(TH!O365,2)="15",LEFT(TH!P365,2)="15"),'152-CT'!$J$8=TH!F365),"x","")</f>
        <v/>
      </c>
      <c r="AJ365" s="80" t="str">
        <f>IF(AND(OR(LEFT(TH!O365,2)="15",LEFT(TH!P365,2)="15"),'THE KHO'!$E$7=TH!F365),"x","")</f>
        <v/>
      </c>
      <c r="AK365" s="80" t="str">
        <f>IF(AND(O365="1521",MONTH(C365)='BK NL'!$M$11),"x","")</f>
        <v/>
      </c>
    </row>
    <row r="366" spans="1:39" ht="15.75" customHeight="1">
      <c r="A366" s="362" t="str">
        <f>IF(B366&lt;&gt;"",IF(AND(B366&gt;=_TM1,B366&lt;=_TM2,OR(TH!O366="1111",TH!P366="1111")),TH!D366,""),"")</f>
        <v>C38</v>
      </c>
      <c r="B366" s="63">
        <f t="shared" si="27"/>
        <v>5</v>
      </c>
      <c r="C366" s="337">
        <f t="shared" si="28"/>
        <v>42520</v>
      </c>
      <c r="D366" s="337" t="s">
        <v>762</v>
      </c>
      <c r="E366" s="337">
        <v>42520</v>
      </c>
      <c r="F366" s="338" t="s">
        <v>800</v>
      </c>
      <c r="G366" s="351" t="s">
        <v>915</v>
      </c>
      <c r="H366" s="7" t="s">
        <v>49</v>
      </c>
      <c r="I366" s="476"/>
      <c r="J366" s="476"/>
      <c r="K366" s="469"/>
      <c r="L366" s="476"/>
      <c r="M366" s="65">
        <v>6379636</v>
      </c>
      <c r="N366" s="65"/>
      <c r="O366" s="340" t="s">
        <v>135</v>
      </c>
      <c r="P366" s="340" t="s">
        <v>97</v>
      </c>
      <c r="Q366" s="66" t="str">
        <f>IF(AND('331-CT'!$E$7=TH!H366,OR(O366="331",P366="331")),"x","")</f>
        <v/>
      </c>
      <c r="R366" s="66" t="str">
        <f>IF(AND($B366&gt;='111'!$N$11,$B366&lt;='111'!$O$11,OR($O366=$R$7,$P366=$R$7)),"x","")</f>
        <v/>
      </c>
      <c r="S366" s="66" t="str">
        <f>IF(AND($O366=$R$7,$B366&lt;'111'!$N$11),"x","")</f>
        <v/>
      </c>
      <c r="T366" s="66" t="str">
        <f>IF(AND($P366=$R$7,$B366&lt;'111'!$N$11),"x","")</f>
        <v>x</v>
      </c>
      <c r="U366" s="66" t="str">
        <f>IF(AND($B366&gt;='112'!$M$9,$B366&lt;='112'!$N$9,OR($O366='112'!$I$6,$P366='112'!$I$6)),"x","")</f>
        <v/>
      </c>
      <c r="V366" s="66" t="str">
        <f>IF(AND($O366='112'!$I$6,$B366&lt;'112'!$M$9),"x","")</f>
        <v/>
      </c>
      <c r="W366" s="66" t="str">
        <f>IF(AND($P366='112'!$I$6,$B366&lt;'112'!$M$9),"x","")</f>
        <v/>
      </c>
      <c r="X366" s="66" t="str">
        <f>IF(AND('131-CT'!$H$9=TH!H366,OR(O366="131",P366="131")),"x","")</f>
        <v/>
      </c>
      <c r="Y366" s="80" t="str">
        <f>IF(AND($B366&gt;='1331'!$I$9,$B366&lt;='1331'!$J$9,OR($O366=$Y$7,$P366=$Y$7)),"x","")</f>
        <v/>
      </c>
      <c r="Z366" s="80" t="str">
        <f>IF(AND($O366=$Y$7,$B366&lt;'1331'!$I$9),"x","")</f>
        <v/>
      </c>
      <c r="AA366" s="80" t="str">
        <f>IF(AND($P366=$Y$7,$B366&lt;'1331'!$I$9),"x","")</f>
        <v/>
      </c>
      <c r="AB366" s="80" t="str">
        <f>IF(AND($B366&gt;='1332'!$I$9,$B366&lt;='1332'!$I$9,OR($O366=$AB$7,$P366=$AB$7)),"x","")</f>
        <v/>
      </c>
      <c r="AC366" s="80" t="str">
        <f>IF(AND($O366=$AB$7,$B366&lt;'1332'!$I$9),"x","")</f>
        <v/>
      </c>
      <c r="AD366" s="80" t="str">
        <f>IF(AND($P366=$AB$7,$B366&lt;'1332'!$I$9),"x","")</f>
        <v/>
      </c>
      <c r="AE366" s="80" t="str">
        <f>IF(AND('341-CT'!$H$9=H366,OR(LEFT(O366,3)=$AE$7,LEFT(P366,3)=$AE$7)),"x","")</f>
        <v/>
      </c>
      <c r="AF366" s="80" t="str">
        <f>IF(OR(TH!O366=TH!$AF$7,P366=TH!$AF$7),"x","")</f>
        <v/>
      </c>
      <c r="AG366" s="80"/>
      <c r="AH366" s="80" t="str">
        <f>IF(AND(B366&gt;='IN-NX'!$P$3,B366&lt;='IN-NX'!$Q$3,'IN-NX'!$D$7=D366,OR(LEFT(L366,2)="15",AND(LEFT(M366,2)&lt;&gt;"15",LEFT(M366,2)&lt;&gt;"33"))),"x","")</f>
        <v/>
      </c>
      <c r="AI366" s="80" t="str">
        <f>IF(AND(OR(LEFT(TH!O366,2)="15",LEFT(TH!P366,2)="15"),'152-CT'!$J$8=TH!F366),"x","")</f>
        <v/>
      </c>
      <c r="AJ366" s="80" t="str">
        <f>IF(AND(OR(LEFT(TH!O366,2)="15",LEFT(TH!P366,2)="15"),'THE KHO'!$E$7=TH!F366),"x","")</f>
        <v/>
      </c>
      <c r="AK366" s="80" t="str">
        <f>IF(AND(O366="1521",MONTH(C366)='BK NL'!$M$11),"x","")</f>
        <v/>
      </c>
      <c r="AM366" s="352">
        <v>1</v>
      </c>
    </row>
    <row r="367" spans="1:39" ht="15.75" customHeight="1">
      <c r="A367" s="362" t="str">
        <f>IF(B367&lt;&gt;"",IF(AND(B367&gt;=_TM1,B367&lt;=_TM2,OR(TH!O367="1111",TH!P367="1111")),TH!D367,""),"")</f>
        <v>C38</v>
      </c>
      <c r="B367" s="63">
        <f t="shared" si="27"/>
        <v>5</v>
      </c>
      <c r="C367" s="337">
        <f t="shared" si="28"/>
        <v>42520</v>
      </c>
      <c r="D367" s="337" t="s">
        <v>762</v>
      </c>
      <c r="E367" s="337">
        <v>42520</v>
      </c>
      <c r="F367" s="338" t="s">
        <v>802</v>
      </c>
      <c r="G367" s="351" t="s">
        <v>915</v>
      </c>
      <c r="H367" s="7" t="s">
        <v>49</v>
      </c>
      <c r="I367" s="476"/>
      <c r="J367" s="476"/>
      <c r="K367" s="469"/>
      <c r="L367" s="476"/>
      <c r="M367" s="88">
        <v>637964</v>
      </c>
      <c r="N367" s="88"/>
      <c r="O367" s="340" t="s">
        <v>10</v>
      </c>
      <c r="P367" s="340" t="s">
        <v>97</v>
      </c>
      <c r="Q367" s="66" t="str">
        <f>IF(AND('331-CT'!$E$7=TH!H367,OR(O367="331",P367="331")),"x","")</f>
        <v/>
      </c>
      <c r="R367" s="66" t="str">
        <f>IF(AND($B367&gt;='111'!$N$11,$B367&lt;='111'!$O$11,OR($O367=$R$7,$P367=$R$7)),"x","")</f>
        <v/>
      </c>
      <c r="S367" s="66" t="str">
        <f>IF(AND($O367=$R$7,$B367&lt;'111'!$N$11),"x","")</f>
        <v/>
      </c>
      <c r="T367" s="66" t="str">
        <f>IF(AND($P367=$R$7,$B367&lt;'111'!$N$11),"x","")</f>
        <v>x</v>
      </c>
      <c r="U367" s="66" t="str">
        <f>IF(AND($B367&gt;='112'!$M$9,$B367&lt;='112'!$N$9,OR($O367='112'!$I$6,$P367='112'!$I$6)),"x","")</f>
        <v/>
      </c>
      <c r="V367" s="66" t="str">
        <f>IF(AND($O367='112'!$I$6,$B367&lt;'112'!$M$9),"x","")</f>
        <v/>
      </c>
      <c r="W367" s="66" t="str">
        <f>IF(AND($P367='112'!$I$6,$B367&lt;'112'!$M$9),"x","")</f>
        <v/>
      </c>
      <c r="X367" s="66" t="str">
        <f>IF(AND('131-CT'!$H$9=TH!H367,OR(O367="131",P367="131")),"x","")</f>
        <v/>
      </c>
      <c r="Y367" s="80" t="str">
        <f>IF(AND($B367&gt;='1331'!$I$9,$B367&lt;='1331'!$J$9,OR($O367=$Y$7,$P367=$Y$7)),"x","")</f>
        <v/>
      </c>
      <c r="Z367" s="80" t="str">
        <f>IF(AND($O367=$Y$7,$B367&lt;'1331'!$I$9),"x","")</f>
        <v>x</v>
      </c>
      <c r="AA367" s="80" t="str">
        <f>IF(AND($P367=$Y$7,$B367&lt;'1331'!$I$9),"x","")</f>
        <v/>
      </c>
      <c r="AB367" s="80" t="str">
        <f>IF(AND($B367&gt;='1332'!$I$9,$B367&lt;='1332'!$I$9,OR($O367=$AB$7,$P367=$AB$7)),"x","")</f>
        <v/>
      </c>
      <c r="AC367" s="80" t="str">
        <f>IF(AND($O367=$AB$7,$B367&lt;'1332'!$I$9),"x","")</f>
        <v/>
      </c>
      <c r="AD367" s="80" t="str">
        <f>IF(AND($P367=$AB$7,$B367&lt;'1332'!$I$9),"x","")</f>
        <v/>
      </c>
      <c r="AE367" s="80" t="str">
        <f>IF(AND('341-CT'!$H$9=H367,OR(LEFT(O367,3)=$AE$7,LEFT(P367,3)=$AE$7)),"x","")</f>
        <v/>
      </c>
      <c r="AF367" s="80" t="str">
        <f>IF(OR(TH!O367=TH!$AF$7,P367=TH!$AF$7),"x","")</f>
        <v/>
      </c>
      <c r="AG367" s="80"/>
      <c r="AH367" s="80" t="str">
        <f>IF(AND(B367&gt;='IN-NX'!$P$3,B367&lt;='IN-NX'!$Q$3,'IN-NX'!$D$7=D367,OR(LEFT(L367,2)="15",AND(LEFT(M367,2)&lt;&gt;"15",LEFT(M367,2)&lt;&gt;"33"))),"x","")</f>
        <v/>
      </c>
      <c r="AI367" s="80" t="str">
        <f>IF(AND(OR(LEFT(TH!O367,2)="15",LEFT(TH!P367,2)="15"),'152-CT'!$J$8=TH!F367),"x","")</f>
        <v/>
      </c>
      <c r="AJ367" s="80" t="str">
        <f>IF(AND(OR(LEFT(TH!O367,2)="15",LEFT(TH!P367,2)="15"),'THE KHO'!$E$7=TH!F367),"x","")</f>
        <v/>
      </c>
      <c r="AK367" s="80" t="str">
        <f>IF(AND(O367="1521",MONTH(C367)='BK NL'!$M$11),"x","")</f>
        <v/>
      </c>
      <c r="AM367" s="352">
        <v>1</v>
      </c>
    </row>
    <row r="368" spans="1:39" ht="15.75" customHeight="1">
      <c r="A368" s="362" t="str">
        <f>IF(B368&lt;&gt;"",IF(AND(B368&gt;=_TM1,B368&lt;=_TM2,OR(TH!O368="1111",TH!P368="1111")),TH!D368,""),"")</f>
        <v>C39</v>
      </c>
      <c r="B368" s="63">
        <f t="shared" si="27"/>
        <v>5</v>
      </c>
      <c r="C368" s="337">
        <f t="shared" si="28"/>
        <v>42521</v>
      </c>
      <c r="D368" s="337" t="s">
        <v>764</v>
      </c>
      <c r="E368" s="337">
        <v>42521</v>
      </c>
      <c r="F368" s="338" t="s">
        <v>911</v>
      </c>
      <c r="G368" s="351" t="s">
        <v>912</v>
      </c>
      <c r="H368" s="339" t="s">
        <v>914</v>
      </c>
      <c r="I368" s="476"/>
      <c r="J368" s="476"/>
      <c r="K368" s="469"/>
      <c r="L368" s="476"/>
      <c r="M368" s="65">
        <v>3000000</v>
      </c>
      <c r="N368" s="65"/>
      <c r="O368" s="340" t="s">
        <v>135</v>
      </c>
      <c r="P368" s="340" t="s">
        <v>97</v>
      </c>
      <c r="Q368" s="66" t="str">
        <f>IF(AND('331-CT'!$E$7=TH!H368,OR(O368="331",P368="331")),"x","")</f>
        <v/>
      </c>
      <c r="R368" s="66" t="str">
        <f>IF(AND($B368&gt;='111'!$N$11,$B368&lt;='111'!$O$11,OR($O368=$R$7,$P368=$R$7)),"x","")</f>
        <v/>
      </c>
      <c r="S368" s="66" t="str">
        <f>IF(AND($O368=$R$7,$B368&lt;'111'!$N$11),"x","")</f>
        <v/>
      </c>
      <c r="T368" s="66" t="str">
        <f>IF(AND($P368=$R$7,$B368&lt;'111'!$N$11),"x","")</f>
        <v>x</v>
      </c>
      <c r="U368" s="66" t="str">
        <f>IF(AND($B368&gt;='112'!$M$9,$B368&lt;='112'!$N$9,OR($O368='112'!$I$6,$P368='112'!$I$6)),"x","")</f>
        <v/>
      </c>
      <c r="V368" s="66" t="str">
        <f>IF(AND($O368='112'!$I$6,$B368&lt;'112'!$M$9),"x","")</f>
        <v/>
      </c>
      <c r="W368" s="66" t="str">
        <f>IF(AND($P368='112'!$I$6,$B368&lt;'112'!$M$9),"x","")</f>
        <v/>
      </c>
      <c r="X368" s="66" t="str">
        <f>IF(AND('131-CT'!$H$9=TH!H368,OR(O368="131",P368="131")),"x","")</f>
        <v/>
      </c>
      <c r="Y368" s="80" t="str">
        <f>IF(AND($B368&gt;='1331'!$I$9,$B368&lt;='1331'!$J$9,OR($O368=$Y$7,$P368=$Y$7)),"x","")</f>
        <v/>
      </c>
      <c r="Z368" s="80" t="str">
        <f>IF(AND($O368=$Y$7,$B368&lt;'1331'!$I$9),"x","")</f>
        <v/>
      </c>
      <c r="AA368" s="80" t="str">
        <f>IF(AND($P368=$Y$7,$B368&lt;'1331'!$I$9),"x","")</f>
        <v/>
      </c>
      <c r="AB368" s="80" t="str">
        <f>IF(AND($B368&gt;='1332'!$I$9,$B368&lt;='1332'!$I$9,OR($O368=$AB$7,$P368=$AB$7)),"x","")</f>
        <v/>
      </c>
      <c r="AC368" s="80" t="str">
        <f>IF(AND($O368=$AB$7,$B368&lt;'1332'!$I$9),"x","")</f>
        <v/>
      </c>
      <c r="AD368" s="80" t="str">
        <f>IF(AND($P368=$AB$7,$B368&lt;'1332'!$I$9),"x","")</f>
        <v/>
      </c>
      <c r="AE368" s="80" t="str">
        <f>IF(AND('341-CT'!$H$9=H368,OR(LEFT(O368,3)=$AE$7,LEFT(P368,3)=$AE$7)),"x","")</f>
        <v/>
      </c>
      <c r="AF368" s="80" t="str">
        <f>IF(OR(TH!O368=TH!$AF$7,P368=TH!$AF$7),"x","")</f>
        <v/>
      </c>
      <c r="AG368" s="80"/>
      <c r="AH368" s="80" t="str">
        <f>IF(AND(B368&gt;='IN-NX'!$P$3,B368&lt;='IN-NX'!$Q$3,'IN-NX'!$D$7=D368,OR(LEFT(L368,2)="15",AND(LEFT(M368,2)&lt;&gt;"15",LEFT(M368,2)&lt;&gt;"33"))),"x","")</f>
        <v/>
      </c>
      <c r="AI368" s="80" t="str">
        <f>IF(AND(OR(LEFT(TH!O368,2)="15",LEFT(TH!P368,2)="15"),'152-CT'!$J$8=TH!F368),"x","")</f>
        <v/>
      </c>
      <c r="AJ368" s="80" t="str">
        <f>IF(AND(OR(LEFT(TH!O368,2)="15",LEFT(TH!P368,2)="15"),'THE KHO'!$E$7=TH!F368),"x","")</f>
        <v/>
      </c>
      <c r="AK368" s="80" t="str">
        <f>IF(AND(O368="1521",MONTH(C368)='BK NL'!$M$11),"x","")</f>
        <v/>
      </c>
      <c r="AM368" s="352">
        <v>1</v>
      </c>
    </row>
    <row r="369" spans="1:39" ht="15.75" customHeight="1">
      <c r="A369" s="362" t="str">
        <f>IF(B369&lt;&gt;"",IF(AND(B369&gt;=_TM1,B369&lt;=_TM2,OR(TH!O369="1111",TH!P369="1111")),TH!D369,""),"")</f>
        <v>C39</v>
      </c>
      <c r="B369" s="63">
        <f t="shared" si="27"/>
        <v>5</v>
      </c>
      <c r="C369" s="337">
        <f t="shared" si="28"/>
        <v>42521</v>
      </c>
      <c r="D369" s="337" t="s">
        <v>764</v>
      </c>
      <c r="E369" s="337">
        <v>42521</v>
      </c>
      <c r="F369" s="338" t="s">
        <v>913</v>
      </c>
      <c r="G369" s="351" t="s">
        <v>912</v>
      </c>
      <c r="H369" s="339" t="s">
        <v>914</v>
      </c>
      <c r="I369" s="476"/>
      <c r="J369" s="476"/>
      <c r="K369" s="469"/>
      <c r="L369" s="476"/>
      <c r="M369" s="88">
        <v>300000</v>
      </c>
      <c r="N369" s="88"/>
      <c r="O369" s="340" t="s">
        <v>10</v>
      </c>
      <c r="P369" s="340" t="s">
        <v>97</v>
      </c>
      <c r="Q369" s="66" t="str">
        <f>IF(AND('331-CT'!$E$7=TH!H369,OR(O369="331",P369="331")),"x","")</f>
        <v/>
      </c>
      <c r="R369" s="66" t="str">
        <f>IF(AND($B369&gt;='111'!$N$11,$B369&lt;='111'!$O$11,OR($O369=$R$7,$P369=$R$7)),"x","")</f>
        <v/>
      </c>
      <c r="S369" s="66" t="str">
        <f>IF(AND($O369=$R$7,$B369&lt;'111'!$N$11),"x","")</f>
        <v/>
      </c>
      <c r="T369" s="66" t="str">
        <f>IF(AND($P369=$R$7,$B369&lt;'111'!$N$11),"x","")</f>
        <v>x</v>
      </c>
      <c r="U369" s="66" t="str">
        <f>IF(AND($B369&gt;='112'!$M$9,$B369&lt;='112'!$N$9,OR($O369='112'!$I$6,$P369='112'!$I$6)),"x","")</f>
        <v/>
      </c>
      <c r="V369" s="66" t="str">
        <f>IF(AND($O369='112'!$I$6,$B369&lt;'112'!$M$9),"x","")</f>
        <v/>
      </c>
      <c r="W369" s="66" t="str">
        <f>IF(AND($P369='112'!$I$6,$B369&lt;'112'!$M$9),"x","")</f>
        <v/>
      </c>
      <c r="X369" s="66" t="str">
        <f>IF(AND('131-CT'!$H$9=TH!H369,OR(O369="131",P369="131")),"x","")</f>
        <v/>
      </c>
      <c r="Y369" s="80" t="str">
        <f>IF(AND($B369&gt;='1331'!$I$9,$B369&lt;='1331'!$J$9,OR($O369=$Y$7,$P369=$Y$7)),"x","")</f>
        <v/>
      </c>
      <c r="Z369" s="80" t="str">
        <f>IF(AND($O369=$Y$7,$B369&lt;'1331'!$I$9),"x","")</f>
        <v>x</v>
      </c>
      <c r="AA369" s="80" t="str">
        <f>IF(AND($P369=$Y$7,$B369&lt;'1331'!$I$9),"x","")</f>
        <v/>
      </c>
      <c r="AB369" s="80" t="str">
        <f>IF(AND($B369&gt;='1332'!$I$9,$B369&lt;='1332'!$I$9,OR($O369=$AB$7,$P369=$AB$7)),"x","")</f>
        <v/>
      </c>
      <c r="AC369" s="80" t="str">
        <f>IF(AND($O369=$AB$7,$B369&lt;'1332'!$I$9),"x","")</f>
        <v/>
      </c>
      <c r="AD369" s="80" t="str">
        <f>IF(AND($P369=$AB$7,$B369&lt;'1332'!$I$9),"x","")</f>
        <v/>
      </c>
      <c r="AE369" s="80" t="str">
        <f>IF(AND('341-CT'!$H$9=H369,OR(LEFT(O369,3)=$AE$7,LEFT(P369,3)=$AE$7)),"x","")</f>
        <v/>
      </c>
      <c r="AF369" s="80" t="str">
        <f>IF(OR(TH!O369=TH!$AF$7,P369=TH!$AF$7),"x","")</f>
        <v/>
      </c>
      <c r="AG369" s="80"/>
      <c r="AH369" s="80" t="str">
        <f>IF(AND(B369&gt;='IN-NX'!$P$3,B369&lt;='IN-NX'!$Q$3,'IN-NX'!$D$7=D369,OR(LEFT(L369,2)="15",AND(LEFT(M369,2)&lt;&gt;"15",LEFT(M369,2)&lt;&gt;"33"))),"x","")</f>
        <v/>
      </c>
      <c r="AI369" s="80" t="str">
        <f>IF(AND(OR(LEFT(TH!O369,2)="15",LEFT(TH!P369,2)="15"),'152-CT'!$J$8=TH!F369),"x","")</f>
        <v/>
      </c>
      <c r="AJ369" s="80" t="str">
        <f>IF(AND(OR(LEFT(TH!O369,2)="15",LEFT(TH!P369,2)="15"),'THE KHO'!$E$7=TH!F369),"x","")</f>
        <v/>
      </c>
      <c r="AK369" s="80" t="str">
        <f>IF(AND(O369="1521",MONTH(C369)='BK NL'!$M$11),"x","")</f>
        <v/>
      </c>
      <c r="AM369" s="352">
        <v>1</v>
      </c>
    </row>
    <row r="370" spans="1:39" ht="15.75" customHeight="1">
      <c r="A370" s="362" t="str">
        <f>IF(B370&lt;&gt;"",IF(AND(B370&gt;=_TM1,B370&lt;=_TM2,OR(TH!O370="1111",TH!P370="1111")),TH!D370,""),"")</f>
        <v>C40</v>
      </c>
      <c r="B370" s="63">
        <f t="shared" si="27"/>
        <v>5</v>
      </c>
      <c r="C370" s="337">
        <f t="shared" si="28"/>
        <v>42521</v>
      </c>
      <c r="D370" s="337" t="s">
        <v>796</v>
      </c>
      <c r="E370" s="337">
        <v>42521</v>
      </c>
      <c r="F370" s="338" t="s">
        <v>410</v>
      </c>
      <c r="G370" s="1022" t="s">
        <v>798</v>
      </c>
      <c r="H370" s="339" t="s">
        <v>160</v>
      </c>
      <c r="I370" s="476"/>
      <c r="J370" s="476"/>
      <c r="K370" s="469"/>
      <c r="L370" s="476"/>
      <c r="M370" s="65">
        <v>62000000</v>
      </c>
      <c r="N370" s="65"/>
      <c r="O370" s="340" t="s">
        <v>31</v>
      </c>
      <c r="P370" s="340" t="s">
        <v>97</v>
      </c>
      <c r="Q370" s="66" t="str">
        <f>IF(AND('331-CT'!$E$7=TH!H370,OR(O370="331",P370="331")),"x","")</f>
        <v/>
      </c>
      <c r="R370" s="66" t="str">
        <f>IF(AND($B370&gt;='111'!$N$11,$B370&lt;='111'!$O$11,OR($O370=$R$7,$P370=$R$7)),"x","")</f>
        <v/>
      </c>
      <c r="S370" s="66" t="str">
        <f>IF(AND($O370=$R$7,$B370&lt;'111'!$N$11),"x","")</f>
        <v/>
      </c>
      <c r="T370" s="66" t="str">
        <f>IF(AND($P370=$R$7,$B370&lt;'111'!$N$11),"x","")</f>
        <v>x</v>
      </c>
      <c r="U370" s="66" t="str">
        <f>IF(AND($B370&gt;='112'!$M$9,$B370&lt;='112'!$N$9,OR($O370='112'!$I$6,$P370='112'!$I$6)),"x","")</f>
        <v/>
      </c>
      <c r="V370" s="66" t="str">
        <f>IF(AND($O370='112'!$I$6,$B370&lt;'112'!$M$9),"x","")</f>
        <v>x</v>
      </c>
      <c r="W370" s="66" t="str">
        <f>IF(AND($P370='112'!$I$6,$B370&lt;'112'!$M$9),"x","")</f>
        <v/>
      </c>
      <c r="X370" s="66" t="str">
        <f>IF(AND('131-CT'!$H$9=TH!H370,OR(O370="131",P370="131")),"x","")</f>
        <v/>
      </c>
      <c r="Y370" s="80" t="str">
        <f>IF(AND($B370&gt;='1331'!$I$9,$B370&lt;='1331'!$J$9,OR($O370=$Y$7,$P370=$Y$7)),"x","")</f>
        <v/>
      </c>
      <c r="Z370" s="80" t="str">
        <f>IF(AND($O370=$Y$7,$B370&lt;'1331'!$I$9),"x","")</f>
        <v/>
      </c>
      <c r="AA370" s="80" t="str">
        <f>IF(AND($P370=$Y$7,$B370&lt;'1331'!$I$9),"x","")</f>
        <v/>
      </c>
      <c r="AB370" s="80" t="str">
        <f>IF(AND($B370&gt;='1332'!$I$9,$B370&lt;='1332'!$I$9,OR($O370=$AB$7,$P370=$AB$7)),"x","")</f>
        <v/>
      </c>
      <c r="AC370" s="80" t="str">
        <f>IF(AND($O370=$AB$7,$B370&lt;'1332'!$I$9),"x","")</f>
        <v/>
      </c>
      <c r="AD370" s="80" t="str">
        <f>IF(AND($P370=$AB$7,$B370&lt;'1332'!$I$9),"x","")</f>
        <v/>
      </c>
      <c r="AE370" s="80" t="str">
        <f>IF(AND('341-CT'!$H$9=H370,OR(LEFT(O370,3)=$AE$7,LEFT(P370,3)=$AE$7)),"x","")</f>
        <v/>
      </c>
      <c r="AF370" s="80" t="str">
        <f>IF(OR(TH!O370=TH!$AF$7,P370=TH!$AF$7),"x","")</f>
        <v/>
      </c>
      <c r="AG370" s="80"/>
      <c r="AH370" s="80" t="str">
        <f>IF(AND(B370&gt;='IN-NX'!$P$3,B370&lt;='IN-NX'!$Q$3,'IN-NX'!$D$7=D370,OR(LEFT(L370,2)="15",AND(LEFT(M370,2)&lt;&gt;"15",LEFT(M370,2)&lt;&gt;"33"))),"x","")</f>
        <v/>
      </c>
      <c r="AI370" s="80" t="str">
        <f>IF(AND(OR(LEFT(TH!O370,2)="15",LEFT(TH!P370,2)="15"),'152-CT'!$J$8=TH!F370),"x","")</f>
        <v/>
      </c>
      <c r="AJ370" s="80" t="str">
        <f>IF(AND(OR(LEFT(TH!O370,2)="15",LEFT(TH!P370,2)="15"),'THE KHO'!$E$7=TH!F370),"x","")</f>
        <v/>
      </c>
      <c r="AK370" s="80" t="str">
        <f>IF(AND(O370="1521",MONTH(C370)='BK NL'!$M$11),"x","")</f>
        <v/>
      </c>
    </row>
    <row r="371" spans="1:39" ht="15.75" customHeight="1">
      <c r="A371" s="362" t="str">
        <f>IF(B371&lt;&gt;"",IF(AND(B371&gt;=_TM1,B371&lt;=_TM2,OR(TH!O371="1111",TH!P371="1111")),TH!D371,""),"")</f>
        <v/>
      </c>
      <c r="B371" s="63">
        <f t="shared" si="27"/>
        <v>5</v>
      </c>
      <c r="C371" s="337">
        <f t="shared" si="28"/>
        <v>42521</v>
      </c>
      <c r="D371" s="337" t="s">
        <v>8</v>
      </c>
      <c r="E371" s="337">
        <v>42521</v>
      </c>
      <c r="F371" s="338" t="s">
        <v>959</v>
      </c>
      <c r="G371" s="351" t="s">
        <v>798</v>
      </c>
      <c r="H371" s="339" t="s">
        <v>221</v>
      </c>
      <c r="I371" s="476"/>
      <c r="J371" s="476"/>
      <c r="K371" s="469"/>
      <c r="L371" s="476"/>
      <c r="M371" s="65">
        <v>61262630</v>
      </c>
      <c r="N371" s="65"/>
      <c r="O371" s="340" t="s">
        <v>9</v>
      </c>
      <c r="P371" s="340" t="s">
        <v>31</v>
      </c>
      <c r="Q371" s="66" t="str">
        <f>IF(AND('331-CT'!$E$7=TH!H371,OR(O371="331",P371="331")),"x","")</f>
        <v/>
      </c>
      <c r="R371" s="66" t="str">
        <f>IF(AND($B371&gt;='111'!$N$11,$B371&lt;='111'!$O$11,OR($O371=$R$7,$P371=$R$7)),"x","")</f>
        <v/>
      </c>
      <c r="S371" s="66" t="str">
        <f>IF(AND($O371=$R$7,$B371&lt;'111'!$N$11),"x","")</f>
        <v/>
      </c>
      <c r="T371" s="66" t="str">
        <f>IF(AND($P371=$R$7,$B371&lt;'111'!$N$11),"x","")</f>
        <v/>
      </c>
      <c r="U371" s="66" t="str">
        <f>IF(AND($B371&gt;='112'!$M$9,$B371&lt;='112'!$N$9,OR($O371='112'!$I$6,$P371='112'!$I$6)),"x","")</f>
        <v/>
      </c>
      <c r="V371" s="66" t="str">
        <f>IF(AND($O371='112'!$I$6,$B371&lt;'112'!$M$9),"x","")</f>
        <v/>
      </c>
      <c r="W371" s="66" t="str">
        <f>IF(AND($P371='112'!$I$6,$B371&lt;'112'!$M$9),"x","")</f>
        <v>x</v>
      </c>
      <c r="X371" s="66" t="str">
        <f>IF(AND('131-CT'!$H$9=TH!H371,OR(O371="131",P371="131")),"x","")</f>
        <v/>
      </c>
      <c r="Y371" s="80" t="str">
        <f>IF(AND($B371&gt;='1331'!$I$9,$B371&lt;='1331'!$J$9,OR($O371=$Y$7,$P371=$Y$7)),"x","")</f>
        <v/>
      </c>
      <c r="Z371" s="80" t="str">
        <f>IF(AND($O371=$Y$7,$B371&lt;'1331'!$I$9),"x","")</f>
        <v/>
      </c>
      <c r="AA371" s="80" t="str">
        <f>IF(AND($P371=$Y$7,$B371&lt;'1331'!$I$9),"x","")</f>
        <v/>
      </c>
      <c r="AB371" s="80" t="str">
        <f>IF(AND($B371&gt;='1332'!$I$9,$B371&lt;='1332'!$I$9,OR($O371=$AB$7,$P371=$AB$7)),"x","")</f>
        <v/>
      </c>
      <c r="AC371" s="80" t="str">
        <f>IF(AND($O371=$AB$7,$B371&lt;'1332'!$I$9),"x","")</f>
        <v/>
      </c>
      <c r="AD371" s="80" t="str">
        <f>IF(AND($P371=$AB$7,$B371&lt;'1332'!$I$9),"x","")</f>
        <v/>
      </c>
      <c r="AE371" s="80" t="str">
        <f>IF(AND('341-CT'!$H$9=H371,OR(LEFT(O371,3)=$AE$7,LEFT(P371,3)=$AE$7)),"x","")</f>
        <v/>
      </c>
      <c r="AF371" s="80" t="str">
        <f>IF(OR(TH!O371=TH!$AF$7,P371=TH!$AF$7),"x","")</f>
        <v/>
      </c>
      <c r="AG371" s="80"/>
      <c r="AH371" s="80" t="str">
        <f>IF(AND(B371&gt;='IN-NX'!$P$3,B371&lt;='IN-NX'!$Q$3,'IN-NX'!$D$7=D371,OR(LEFT(L371,2)="15",AND(LEFT(M371,2)&lt;&gt;"15",LEFT(M371,2)&lt;&gt;"33"))),"x","")</f>
        <v/>
      </c>
      <c r="AI371" s="80" t="str">
        <f>IF(AND(OR(LEFT(TH!O371,2)="15",LEFT(TH!P371,2)="15"),'152-CT'!$J$8=TH!F371),"x","")</f>
        <v/>
      </c>
      <c r="AJ371" s="80" t="str">
        <f>IF(AND(OR(LEFT(TH!O371,2)="15",LEFT(TH!P371,2)="15"),'THE KHO'!$E$7=TH!F371),"x","")</f>
        <v/>
      </c>
      <c r="AK371" s="80" t="str">
        <f>IF(AND(O371="1521",MONTH(C371)='BK NL'!$M$11),"x","")</f>
        <v/>
      </c>
    </row>
    <row r="372" spans="1:39" ht="15.75" customHeight="1">
      <c r="A372" s="362" t="str">
        <f>IF(B372&lt;&gt;"",IF(AND(B372&gt;=_TM1,B372&lt;=_TM2,OR(TH!O372="1111",TH!P372="1111")),TH!D372,""),"")</f>
        <v/>
      </c>
      <c r="B372" s="63">
        <f t="shared" si="27"/>
        <v>5</v>
      </c>
      <c r="C372" s="337">
        <f t="shared" si="28"/>
        <v>42521</v>
      </c>
      <c r="D372" s="337" t="s">
        <v>8</v>
      </c>
      <c r="E372" s="337">
        <v>42521</v>
      </c>
      <c r="F372" s="338" t="s">
        <v>22</v>
      </c>
      <c r="G372" s="351" t="s">
        <v>798</v>
      </c>
      <c r="H372" s="368"/>
      <c r="I372" s="477"/>
      <c r="J372" s="477"/>
      <c r="K372" s="470"/>
      <c r="L372" s="477"/>
      <c r="M372" s="65">
        <v>50631</v>
      </c>
      <c r="N372" s="65"/>
      <c r="O372" s="340" t="s">
        <v>135</v>
      </c>
      <c r="P372" s="340" t="s">
        <v>31</v>
      </c>
      <c r="Q372" s="66" t="str">
        <f>IF(AND('331-CT'!$E$7=TH!H372,OR(O372="331",P372="331")),"x","")</f>
        <v/>
      </c>
      <c r="R372" s="66" t="str">
        <f>IF(AND($B372&gt;='111'!$N$11,$B372&lt;='111'!$O$11,OR($O372=$R$7,$P372=$R$7)),"x","")</f>
        <v/>
      </c>
      <c r="S372" s="66" t="str">
        <f>IF(AND($O372=$R$7,$B372&lt;'111'!$N$11),"x","")</f>
        <v/>
      </c>
      <c r="T372" s="66" t="str">
        <f>IF(AND($P372=$R$7,$B372&lt;'111'!$N$11),"x","")</f>
        <v/>
      </c>
      <c r="U372" s="66" t="str">
        <f>IF(AND($B372&gt;='112'!$M$9,$B372&lt;='112'!$N$9,OR($O372='112'!$I$6,$P372='112'!$I$6)),"x","")</f>
        <v/>
      </c>
      <c r="V372" s="66" t="str">
        <f>IF(AND($O372='112'!$I$6,$B372&lt;'112'!$M$9),"x","")</f>
        <v/>
      </c>
      <c r="W372" s="66" t="str">
        <f>IF(AND($P372='112'!$I$6,$B372&lt;'112'!$M$9),"x","")</f>
        <v>x</v>
      </c>
      <c r="X372" s="66" t="str">
        <f>IF(AND('131-CT'!$H$9=TH!H372,OR(O372="131",P372="131")),"x","")</f>
        <v/>
      </c>
      <c r="Y372" s="80" t="str">
        <f>IF(AND($B372&gt;='1331'!$I$9,$B372&lt;='1331'!$J$9,OR($O372=$Y$7,$P372=$Y$7)),"x","")</f>
        <v/>
      </c>
      <c r="Z372" s="80" t="str">
        <f>IF(AND($O372=$Y$7,$B372&lt;'1331'!$I$9),"x","")</f>
        <v/>
      </c>
      <c r="AA372" s="80" t="str">
        <f>IF(AND($P372=$Y$7,$B372&lt;'1331'!$I$9),"x","")</f>
        <v/>
      </c>
      <c r="AB372" s="80" t="str">
        <f>IF(AND($B372&gt;='1332'!$I$9,$B372&lt;='1332'!$I$9,OR($O372=$AB$7,$P372=$AB$7)),"x","")</f>
        <v/>
      </c>
      <c r="AC372" s="80" t="str">
        <f>IF(AND($O372=$AB$7,$B372&lt;'1332'!$I$9),"x","")</f>
        <v/>
      </c>
      <c r="AD372" s="80" t="str">
        <f>IF(AND($P372=$AB$7,$B372&lt;'1332'!$I$9),"x","")</f>
        <v/>
      </c>
      <c r="AE372" s="80" t="str">
        <f>IF(AND('341-CT'!$H$9=H372,OR(LEFT(O372,3)=$AE$7,LEFT(P372,3)=$AE$7)),"x","")</f>
        <v/>
      </c>
      <c r="AF372" s="80" t="str">
        <f>IF(OR(TH!O372=TH!$AF$7,P372=TH!$AF$7),"x","")</f>
        <v/>
      </c>
      <c r="AG372" s="80"/>
      <c r="AH372" s="80" t="str">
        <f>IF(AND(B372&gt;='IN-NX'!$P$3,B372&lt;='IN-NX'!$Q$3,'IN-NX'!$D$7=D372,OR(LEFT(L372,2)="15",AND(LEFT(M372,2)&lt;&gt;"15",LEFT(M372,2)&lt;&gt;"33"))),"x","")</f>
        <v/>
      </c>
      <c r="AI372" s="80" t="str">
        <f>IF(AND(OR(LEFT(TH!O372,2)="15",LEFT(TH!P372,2)="15"),'152-CT'!$J$8=TH!F372),"x","")</f>
        <v/>
      </c>
      <c r="AJ372" s="80" t="str">
        <f>IF(AND(OR(LEFT(TH!O372,2)="15",LEFT(TH!P372,2)="15"),'THE KHO'!$E$7=TH!F372),"x","")</f>
        <v/>
      </c>
      <c r="AK372" s="80" t="str">
        <f>IF(AND(O372="1521",MONTH(C372)='BK NL'!$M$11),"x","")</f>
        <v/>
      </c>
      <c r="AM372" s="352">
        <v>1</v>
      </c>
    </row>
    <row r="373" spans="1:39" ht="15.75" customHeight="1">
      <c r="A373" s="362" t="str">
        <f>IF(B373&lt;&gt;"",IF(AND(B373&gt;=_TM1,B373&lt;=_TM2,OR(TH!O373="1111",TH!P373="1111")),TH!D373,""),"")</f>
        <v/>
      </c>
      <c r="B373" s="63">
        <f t="shared" si="27"/>
        <v>5</v>
      </c>
      <c r="C373" s="337">
        <f t="shared" si="28"/>
        <v>42521</v>
      </c>
      <c r="D373" s="337" t="s">
        <v>8</v>
      </c>
      <c r="E373" s="337">
        <v>42521</v>
      </c>
      <c r="F373" s="338" t="s">
        <v>23</v>
      </c>
      <c r="G373" s="351" t="s">
        <v>798</v>
      </c>
      <c r="H373" s="339"/>
      <c r="I373" s="476"/>
      <c r="J373" s="476"/>
      <c r="K373" s="469"/>
      <c r="L373" s="476"/>
      <c r="M373" s="88">
        <v>5063</v>
      </c>
      <c r="N373" s="88"/>
      <c r="O373" s="340" t="s">
        <v>10</v>
      </c>
      <c r="P373" s="340" t="s">
        <v>31</v>
      </c>
      <c r="Q373" s="66" t="str">
        <f>IF(AND('331-CT'!$E$7=TH!H373,OR(O373="331",P373="331")),"x","")</f>
        <v/>
      </c>
      <c r="R373" s="66" t="str">
        <f>IF(AND($B373&gt;='111'!$N$11,$B373&lt;='111'!$O$11,OR($O373=$R$7,$P373=$R$7)),"x","")</f>
        <v/>
      </c>
      <c r="S373" s="66" t="str">
        <f>IF(AND($O373=$R$7,$B373&lt;'111'!$N$11),"x","")</f>
        <v/>
      </c>
      <c r="T373" s="66" t="str">
        <f>IF(AND($P373=$R$7,$B373&lt;'111'!$N$11),"x","")</f>
        <v/>
      </c>
      <c r="U373" s="66" t="str">
        <f>IF(AND($B373&gt;='112'!$M$9,$B373&lt;='112'!$N$9,OR($O373='112'!$I$6,$P373='112'!$I$6)),"x","")</f>
        <v/>
      </c>
      <c r="V373" s="66" t="str">
        <f>IF(AND($O373='112'!$I$6,$B373&lt;'112'!$M$9),"x","")</f>
        <v/>
      </c>
      <c r="W373" s="66" t="str">
        <f>IF(AND($P373='112'!$I$6,$B373&lt;'112'!$M$9),"x","")</f>
        <v>x</v>
      </c>
      <c r="X373" s="66" t="str">
        <f>IF(AND('131-CT'!$H$9=TH!H373,OR(O373="131",P373="131")),"x","")</f>
        <v/>
      </c>
      <c r="Y373" s="80" t="str">
        <f>IF(AND($B373&gt;='1331'!$I$9,$B373&lt;='1331'!$J$9,OR($O373=$Y$7,$P373=$Y$7)),"x","")</f>
        <v/>
      </c>
      <c r="Z373" s="80" t="str">
        <f>IF(AND($O373=$Y$7,$B373&lt;'1331'!$I$9),"x","")</f>
        <v>x</v>
      </c>
      <c r="AA373" s="80" t="str">
        <f>IF(AND($P373=$Y$7,$B373&lt;'1331'!$I$9),"x","")</f>
        <v/>
      </c>
      <c r="AB373" s="80" t="str">
        <f>IF(AND($B373&gt;='1332'!$I$9,$B373&lt;='1332'!$I$9,OR($O373=$AB$7,$P373=$AB$7)),"x","")</f>
        <v/>
      </c>
      <c r="AC373" s="80" t="str">
        <f>IF(AND($O373=$AB$7,$B373&lt;'1332'!$I$9),"x","")</f>
        <v/>
      </c>
      <c r="AD373" s="80" t="str">
        <f>IF(AND($P373=$AB$7,$B373&lt;'1332'!$I$9),"x","")</f>
        <v/>
      </c>
      <c r="AE373" s="80" t="str">
        <f>IF(AND('341-CT'!$H$9=H373,OR(LEFT(O373,3)=$AE$7,LEFT(P373,3)=$AE$7)),"x","")</f>
        <v/>
      </c>
      <c r="AF373" s="80" t="str">
        <f>IF(OR(TH!O373=TH!$AF$7,P373=TH!$AF$7),"x","")</f>
        <v/>
      </c>
      <c r="AG373" s="80"/>
      <c r="AH373" s="80" t="str">
        <f>IF(AND(B373&gt;='IN-NX'!$P$3,B373&lt;='IN-NX'!$Q$3,'IN-NX'!$D$7=D373,OR(LEFT(L373,2)="15",AND(LEFT(M373,2)&lt;&gt;"15",LEFT(M373,2)&lt;&gt;"33"))),"x","")</f>
        <v/>
      </c>
      <c r="AI373" s="80" t="str">
        <f>IF(AND(OR(LEFT(TH!O373,2)="15",LEFT(TH!P373,2)="15"),'152-CT'!$J$8=TH!F373),"x","")</f>
        <v/>
      </c>
      <c r="AJ373" s="80" t="str">
        <f>IF(AND(OR(LEFT(TH!O373,2)="15",LEFT(TH!P373,2)="15"),'THE KHO'!$E$7=TH!F373),"x","")</f>
        <v/>
      </c>
      <c r="AK373" s="80" t="str">
        <f>IF(AND(O373="1521",MONTH(C373)='BK NL'!$M$11),"x","")</f>
        <v/>
      </c>
      <c r="AM373" s="352">
        <v>1</v>
      </c>
    </row>
    <row r="374" spans="1:39" ht="15.75" customHeight="1">
      <c r="A374" s="362" t="str">
        <f>IF(B374&lt;&gt;"",IF(AND(B374&gt;=_TM1,B374&lt;=_TM2,OR(TH!O374="1111",TH!P374="1111")),TH!D374,""),"")</f>
        <v>C41</v>
      </c>
      <c r="B374" s="142">
        <f t="shared" si="27"/>
        <v>6</v>
      </c>
      <c r="C374" s="337">
        <f t="shared" si="28"/>
        <v>42531</v>
      </c>
      <c r="D374" s="337" t="s">
        <v>799</v>
      </c>
      <c r="E374" s="1030">
        <v>42531</v>
      </c>
      <c r="F374" s="1031" t="s">
        <v>399</v>
      </c>
      <c r="G374" s="351" t="s">
        <v>975</v>
      </c>
      <c r="H374" s="339" t="s">
        <v>319</v>
      </c>
      <c r="I374" s="480"/>
      <c r="J374" s="480"/>
      <c r="K374" s="473"/>
      <c r="L374" s="480"/>
      <c r="M374" s="143">
        <f>1503000+1085000</f>
        <v>2588000</v>
      </c>
      <c r="N374" s="143"/>
      <c r="O374" s="1032" t="s">
        <v>242</v>
      </c>
      <c r="P374" s="340" t="s">
        <v>97</v>
      </c>
      <c r="Q374" s="66" t="str">
        <f>IF(AND('331-CT'!$E$7=TH!H374,OR(O374="331",P374="331")),"x","")</f>
        <v/>
      </c>
      <c r="R374" s="66" t="str">
        <f>IF(AND($B374&gt;='111'!$N$11,$B374&lt;='111'!$O$11,OR($O374=$R$7,$P374=$R$7)),"x","")</f>
        <v/>
      </c>
      <c r="S374" s="66" t="str">
        <f>IF(AND($O374=$R$7,$B374&lt;'111'!$N$11),"x","")</f>
        <v/>
      </c>
      <c r="T374" s="66" t="str">
        <f>IF(AND($P374=$R$7,$B374&lt;'111'!$N$11),"x","")</f>
        <v>x</v>
      </c>
      <c r="U374" s="66" t="str">
        <f>IF(AND($B374&gt;='112'!$M$9,$B374&lt;='112'!$N$9,OR($O374='112'!$I$6,$P374='112'!$I$6)),"x","")</f>
        <v/>
      </c>
      <c r="V374" s="66" t="str">
        <f>IF(AND($O374='112'!$I$6,$B374&lt;'112'!$M$9),"x","")</f>
        <v/>
      </c>
      <c r="W374" s="66" t="str">
        <f>IF(AND($P374='112'!$I$6,$B374&lt;'112'!$M$9),"x","")</f>
        <v/>
      </c>
      <c r="X374" s="66" t="str">
        <f>IF(AND('131-CT'!$H$9=TH!H374,OR(O374="131",P374="131")),"x","")</f>
        <v/>
      </c>
      <c r="Y374" s="80" t="str">
        <f>IF(AND($B374&gt;='1331'!$I$9,$B374&lt;='1331'!$J$9,OR($O374=$Y$7,$P374=$Y$7)),"x","")</f>
        <v/>
      </c>
      <c r="Z374" s="80" t="str">
        <f>IF(AND($O374=$Y$7,$B374&lt;'1331'!$I$9),"x","")</f>
        <v/>
      </c>
      <c r="AA374" s="80" t="str">
        <f>IF(AND($P374=$Y$7,$B374&lt;'1331'!$I$9),"x","")</f>
        <v/>
      </c>
      <c r="AB374" s="80" t="str">
        <f>IF(AND($B374&gt;='1332'!$I$9,$B374&lt;='1332'!$I$9,OR($O374=$AB$7,$P374=$AB$7)),"x","")</f>
        <v/>
      </c>
      <c r="AC374" s="80" t="str">
        <f>IF(AND($O374=$AB$7,$B374&lt;'1332'!$I$9),"x","")</f>
        <v/>
      </c>
      <c r="AD374" s="80" t="str">
        <f>IF(AND($P374=$AB$7,$B374&lt;'1332'!$I$9),"x","")</f>
        <v/>
      </c>
      <c r="AE374" s="80" t="str">
        <f>IF(AND('341-CT'!$H$9=H374,OR(LEFT(O374,3)=$AE$7,LEFT(P374,3)=$AE$7)),"x","")</f>
        <v/>
      </c>
      <c r="AF374" s="80" t="str">
        <f>IF(OR(TH!O374=TH!$AF$7,P374=TH!$AF$7),"x","")</f>
        <v/>
      </c>
      <c r="AG374" s="80"/>
      <c r="AH374" s="80" t="str">
        <f>IF(AND(B374&gt;='IN-NX'!$P$3,B374&lt;='IN-NX'!$Q$3,'IN-NX'!$D$7=D374,OR(LEFT(L374,2)="15",AND(LEFT(M374,2)&lt;&gt;"15",LEFT(M374,2)&lt;&gt;"33"))),"x","")</f>
        <v/>
      </c>
      <c r="AI374" s="80" t="str">
        <f>IF(AND(OR(LEFT(TH!O374,2)="15",LEFT(TH!P374,2)="15"),'152-CT'!$J$8=TH!F374),"x","")</f>
        <v/>
      </c>
      <c r="AJ374" s="80" t="str">
        <f>IF(AND(OR(LEFT(TH!O374,2)="15",LEFT(TH!P374,2)="15"),'THE KHO'!$E$7=TH!F374),"x","")</f>
        <v/>
      </c>
      <c r="AK374" s="80" t="str">
        <f>IF(AND(O374="1521",MONTH(C374)='BK NL'!$M$11),"x","")</f>
        <v/>
      </c>
      <c r="AL374" s="371"/>
    </row>
    <row r="375" spans="1:39" ht="15.75" customHeight="1">
      <c r="A375" s="362" t="str">
        <f>IF(B375&lt;&gt;"",IF(AND(B375&gt;=_TM1,B375&lt;=_TM2,OR(TH!O375="1111",TH!P375="1111")),TH!D375,""),"")</f>
        <v>C42</v>
      </c>
      <c r="B375" s="145">
        <f t="shared" si="27"/>
        <v>6</v>
      </c>
      <c r="C375" s="337">
        <f t="shared" si="28"/>
        <v>42531</v>
      </c>
      <c r="D375" s="337" t="s">
        <v>803</v>
      </c>
      <c r="E375" s="1030">
        <v>42531</v>
      </c>
      <c r="F375" s="338" t="s">
        <v>976</v>
      </c>
      <c r="G375" s="351" t="s">
        <v>978</v>
      </c>
      <c r="H375" s="339" t="s">
        <v>315</v>
      </c>
      <c r="I375" s="477"/>
      <c r="J375" s="477"/>
      <c r="K375" s="470"/>
      <c r="L375" s="477"/>
      <c r="M375" s="65">
        <v>7272727</v>
      </c>
      <c r="N375" s="65"/>
      <c r="O375" s="340" t="s">
        <v>135</v>
      </c>
      <c r="P375" s="340" t="s">
        <v>97</v>
      </c>
      <c r="Q375" s="66" t="str">
        <f>IF(AND('331-CT'!$E$7=TH!H375,OR(O375="331",P375="331")),"x","")</f>
        <v/>
      </c>
      <c r="R375" s="66" t="str">
        <f>IF(AND($B375&gt;='111'!$N$11,$B375&lt;='111'!$O$11,OR($O375=$R$7,$P375=$R$7)),"x","")</f>
        <v/>
      </c>
      <c r="S375" s="66" t="str">
        <f>IF(AND($O375=$R$7,$B375&lt;'111'!$N$11),"x","")</f>
        <v/>
      </c>
      <c r="T375" s="66" t="str">
        <f>IF(AND($P375=$R$7,$B375&lt;'111'!$N$11),"x","")</f>
        <v>x</v>
      </c>
      <c r="U375" s="66" t="str">
        <f>IF(AND($B375&gt;='112'!$M$9,$B375&lt;='112'!$N$9,OR($O375='112'!$I$6,$P375='112'!$I$6)),"x","")</f>
        <v/>
      </c>
      <c r="V375" s="66" t="str">
        <f>IF(AND($O375='112'!$I$6,$B375&lt;'112'!$M$9),"x","")</f>
        <v/>
      </c>
      <c r="W375" s="66" t="str">
        <f>IF(AND($P375='112'!$I$6,$B375&lt;'112'!$M$9),"x","")</f>
        <v/>
      </c>
      <c r="X375" s="66" t="str">
        <f>IF(AND('131-CT'!$H$9=TH!H375,OR(O375="131",P375="131")),"x","")</f>
        <v/>
      </c>
      <c r="Y375" s="80" t="str">
        <f>IF(AND($B375&gt;='1331'!$I$9,$B375&lt;='1331'!$J$9,OR($O375=$Y$7,$P375=$Y$7)),"x","")</f>
        <v/>
      </c>
      <c r="Z375" s="80" t="str">
        <f>IF(AND($O375=$Y$7,$B375&lt;'1331'!$I$9),"x","")</f>
        <v/>
      </c>
      <c r="AA375" s="80" t="str">
        <f>IF(AND($P375=$Y$7,$B375&lt;'1331'!$I$9),"x","")</f>
        <v/>
      </c>
      <c r="AB375" s="80" t="str">
        <f>IF(AND($B375&gt;='1332'!$I$9,$B375&lt;='1332'!$I$9,OR($O375=$AB$7,$P375=$AB$7)),"x","")</f>
        <v/>
      </c>
      <c r="AC375" s="80" t="str">
        <f>IF(AND($O375=$AB$7,$B375&lt;'1332'!$I$9),"x","")</f>
        <v/>
      </c>
      <c r="AD375" s="80" t="str">
        <f>IF(AND($P375=$AB$7,$B375&lt;'1332'!$I$9),"x","")</f>
        <v/>
      </c>
      <c r="AE375" s="80" t="str">
        <f>IF(AND('341-CT'!$H$9=H375,OR(LEFT(O375,3)=$AE$7,LEFT(P375,3)=$AE$7)),"x","")</f>
        <v/>
      </c>
      <c r="AF375" s="80" t="str">
        <f>IF(OR(TH!O375=TH!$AF$7,P375=TH!$AF$7),"x","")</f>
        <v/>
      </c>
      <c r="AG375" s="80"/>
      <c r="AH375" s="80" t="str">
        <f>IF(AND(B375&gt;='IN-NX'!$P$3,B375&lt;='IN-NX'!$Q$3,'IN-NX'!$D$7=D375,OR(LEFT(L375,2)="15",AND(LEFT(M375,2)&lt;&gt;"15",LEFT(M375,2)&lt;&gt;"33"))),"x","")</f>
        <v/>
      </c>
      <c r="AI375" s="80" t="str">
        <f>IF(AND(OR(LEFT(TH!O375,2)="15",LEFT(TH!P375,2)="15"),'152-CT'!$J$8=TH!F375),"x","")</f>
        <v/>
      </c>
      <c r="AJ375" s="80" t="str">
        <f>IF(AND(OR(LEFT(TH!O375,2)="15",LEFT(TH!P375,2)="15"),'THE KHO'!$E$7=TH!F375),"x","")</f>
        <v/>
      </c>
      <c r="AK375" s="80" t="str">
        <f>IF(AND(O375="1521",MONTH(C375)='BK NL'!$M$11),"x","")</f>
        <v/>
      </c>
      <c r="AL375" s="372"/>
      <c r="AM375" s="352">
        <v>1</v>
      </c>
    </row>
    <row r="376" spans="1:39" ht="15.75" customHeight="1">
      <c r="A376" s="362" t="str">
        <f>IF(B376&lt;&gt;"",IF(AND(B376&gt;=_TM1,B376&lt;=_TM2,OR(TH!O376="1111",TH!P376="1111")),TH!D376,""),"")</f>
        <v>C42</v>
      </c>
      <c r="B376" s="63">
        <f t="shared" si="27"/>
        <v>6</v>
      </c>
      <c r="C376" s="337">
        <f t="shared" si="28"/>
        <v>42531</v>
      </c>
      <c r="D376" s="337" t="s">
        <v>803</v>
      </c>
      <c r="E376" s="1030">
        <v>42531</v>
      </c>
      <c r="F376" s="338" t="s">
        <v>977</v>
      </c>
      <c r="G376" s="351" t="s">
        <v>978</v>
      </c>
      <c r="H376" s="339" t="s">
        <v>315</v>
      </c>
      <c r="I376" s="477"/>
      <c r="J376" s="477"/>
      <c r="K376" s="470"/>
      <c r="L376" s="477"/>
      <c r="M376" s="88">
        <v>727273</v>
      </c>
      <c r="N376" s="88"/>
      <c r="O376" s="340" t="s">
        <v>10</v>
      </c>
      <c r="P376" s="340" t="s">
        <v>97</v>
      </c>
      <c r="Q376" s="66" t="str">
        <f>IF(AND('331-CT'!$E$7=TH!H376,OR(O376="331",P376="331")),"x","")</f>
        <v/>
      </c>
      <c r="R376" s="66" t="str">
        <f>IF(AND($B376&gt;='111'!$N$11,$B376&lt;='111'!$O$11,OR($O376=$R$7,$P376=$R$7)),"x","")</f>
        <v/>
      </c>
      <c r="S376" s="66" t="str">
        <f>IF(AND($O376=$R$7,$B376&lt;'111'!$N$11),"x","")</f>
        <v/>
      </c>
      <c r="T376" s="66" t="str">
        <f>IF(AND($P376=$R$7,$B376&lt;'111'!$N$11),"x","")</f>
        <v>x</v>
      </c>
      <c r="U376" s="66" t="str">
        <f>IF(AND($B376&gt;='112'!$M$9,$B376&lt;='112'!$N$9,OR($O376='112'!$I$6,$P376='112'!$I$6)),"x","")</f>
        <v/>
      </c>
      <c r="V376" s="66" t="str">
        <f>IF(AND($O376='112'!$I$6,$B376&lt;'112'!$M$9),"x","")</f>
        <v/>
      </c>
      <c r="W376" s="66" t="str">
        <f>IF(AND($P376='112'!$I$6,$B376&lt;'112'!$M$9),"x","")</f>
        <v/>
      </c>
      <c r="X376" s="66" t="str">
        <f>IF(AND('131-CT'!$H$9=TH!H376,OR(O376="131",P376="131")),"x","")</f>
        <v/>
      </c>
      <c r="Y376" s="80" t="str">
        <f>IF(AND($B376&gt;='1331'!$I$9,$B376&lt;='1331'!$J$9,OR($O376=$Y$7,$P376=$Y$7)),"x","")</f>
        <v/>
      </c>
      <c r="Z376" s="80" t="str">
        <f>IF(AND($O376=$Y$7,$B376&lt;'1331'!$I$9),"x","")</f>
        <v>x</v>
      </c>
      <c r="AA376" s="80" t="str">
        <f>IF(AND($P376=$Y$7,$B376&lt;'1331'!$I$9),"x","")</f>
        <v/>
      </c>
      <c r="AB376" s="80" t="str">
        <f>IF(AND($B376&gt;='1332'!$I$9,$B376&lt;='1332'!$I$9,OR($O376=$AB$7,$P376=$AB$7)),"x","")</f>
        <v/>
      </c>
      <c r="AC376" s="80" t="str">
        <f>IF(AND($O376=$AB$7,$B376&lt;'1332'!$I$9),"x","")</f>
        <v/>
      </c>
      <c r="AD376" s="80" t="str">
        <f>IF(AND($P376=$AB$7,$B376&lt;'1332'!$I$9),"x","")</f>
        <v/>
      </c>
      <c r="AE376" s="80" t="str">
        <f>IF(AND('341-CT'!$H$9=H376,OR(LEFT(O376,3)=$AE$7,LEFT(P376,3)=$AE$7)),"x","")</f>
        <v/>
      </c>
      <c r="AF376" s="80" t="str">
        <f>IF(OR(TH!O376=TH!$AF$7,P376=TH!$AF$7),"x","")</f>
        <v/>
      </c>
      <c r="AG376" s="80"/>
      <c r="AH376" s="80" t="str">
        <f>IF(AND(B376&gt;='IN-NX'!$P$3,B376&lt;='IN-NX'!$Q$3,'IN-NX'!$D$7=D376,OR(LEFT(L376,2)="15",AND(LEFT(M376,2)&lt;&gt;"15",LEFT(M376,2)&lt;&gt;"33"))),"x","")</f>
        <v/>
      </c>
      <c r="AI376" s="80" t="str">
        <f>IF(AND(OR(LEFT(TH!O376,2)="15",LEFT(TH!P376,2)="15"),'152-CT'!$J$8=TH!F376),"x","")</f>
        <v/>
      </c>
      <c r="AJ376" s="80" t="str">
        <f>IF(AND(OR(LEFT(TH!O376,2)="15",LEFT(TH!P376,2)="15"),'THE KHO'!$E$7=TH!F376),"x","")</f>
        <v/>
      </c>
      <c r="AK376" s="80" t="str">
        <f>IF(AND(O376="1521",MONTH(C376)='BK NL'!$M$11),"x","")</f>
        <v/>
      </c>
      <c r="AM376" s="352">
        <v>1</v>
      </c>
    </row>
    <row r="377" spans="1:39" ht="15.75" customHeight="1">
      <c r="A377" s="362" t="str">
        <f>IF(B377&lt;&gt;"",IF(AND(B377&gt;=_TM1,B377&lt;=_TM2,OR(TH!O377="1111",TH!P377="1111")),TH!D377,""),"")</f>
        <v>C43</v>
      </c>
      <c r="B377" s="63">
        <f t="shared" si="27"/>
        <v>6</v>
      </c>
      <c r="C377" s="337">
        <f t="shared" si="28"/>
        <v>42537</v>
      </c>
      <c r="D377" s="337" t="s">
        <v>805</v>
      </c>
      <c r="E377" s="337">
        <v>42537</v>
      </c>
      <c r="F377" s="338" t="s">
        <v>971</v>
      </c>
      <c r="G377" s="351" t="s">
        <v>973</v>
      </c>
      <c r="H377" s="339" t="s">
        <v>161</v>
      </c>
      <c r="I377" s="477"/>
      <c r="J377" s="477"/>
      <c r="K377" s="470"/>
      <c r="L377" s="477"/>
      <c r="M377" s="65">
        <f>60000+210000+83304+68352</f>
        <v>421656</v>
      </c>
      <c r="N377" s="65"/>
      <c r="O377" s="340" t="s">
        <v>135</v>
      </c>
      <c r="P377" s="340" t="s">
        <v>97</v>
      </c>
      <c r="Q377" s="66" t="str">
        <f>IF(AND('331-CT'!$E$7=TH!H377,OR(O377="331",P377="331")),"x","")</f>
        <v/>
      </c>
      <c r="R377" s="66" t="str">
        <f>IF(AND($B377&gt;='111'!$N$11,$B377&lt;='111'!$O$11,OR($O377=$R$7,$P377=$R$7)),"x","")</f>
        <v/>
      </c>
      <c r="S377" s="66" t="str">
        <f>IF(AND($O377=$R$7,$B377&lt;'111'!$N$11),"x","")</f>
        <v/>
      </c>
      <c r="T377" s="66" t="str">
        <f>IF(AND($P377=$R$7,$B377&lt;'111'!$N$11),"x","")</f>
        <v>x</v>
      </c>
      <c r="U377" s="66" t="str">
        <f>IF(AND($B377&gt;='112'!$M$9,$B377&lt;='112'!$N$9,OR($O377='112'!$I$6,$P377='112'!$I$6)),"x","")</f>
        <v/>
      </c>
      <c r="V377" s="66" t="str">
        <f>IF(AND($O377='112'!$I$6,$B377&lt;'112'!$M$9),"x","")</f>
        <v/>
      </c>
      <c r="W377" s="66" t="str">
        <f>IF(AND($P377='112'!$I$6,$B377&lt;'112'!$M$9),"x","")</f>
        <v/>
      </c>
      <c r="X377" s="66" t="str">
        <f>IF(AND('131-CT'!$H$9=TH!H377,OR(O377="131",P377="131")),"x","")</f>
        <v/>
      </c>
      <c r="Y377" s="80" t="str">
        <f>IF(AND($B377&gt;='1331'!$I$9,$B377&lt;='1331'!$J$9,OR($O377=$Y$7,$P377=$Y$7)),"x","")</f>
        <v/>
      </c>
      <c r="Z377" s="80" t="str">
        <f>IF(AND($O377=$Y$7,$B377&lt;'1331'!$I$9),"x","")</f>
        <v/>
      </c>
      <c r="AA377" s="80" t="str">
        <f>IF(AND($P377=$Y$7,$B377&lt;'1331'!$I$9),"x","")</f>
        <v/>
      </c>
      <c r="AB377" s="80" t="str">
        <f>IF(AND($B377&gt;='1332'!$I$9,$B377&lt;='1332'!$I$9,OR($O377=$AB$7,$P377=$AB$7)),"x","")</f>
        <v/>
      </c>
      <c r="AC377" s="80" t="str">
        <f>IF(AND($O377=$AB$7,$B377&lt;'1332'!$I$9),"x","")</f>
        <v/>
      </c>
      <c r="AD377" s="80" t="str">
        <f>IF(AND($P377=$AB$7,$B377&lt;'1332'!$I$9),"x","")</f>
        <v/>
      </c>
      <c r="AE377" s="80" t="str">
        <f>IF(AND('341-CT'!$H$9=H377,OR(LEFT(O377,3)=$AE$7,LEFT(P377,3)=$AE$7)),"x","")</f>
        <v/>
      </c>
      <c r="AF377" s="80" t="str">
        <f>IF(OR(TH!O377=TH!$AF$7,P377=TH!$AF$7),"x","")</f>
        <v/>
      </c>
      <c r="AG377" s="80"/>
      <c r="AH377" s="80" t="str">
        <f>IF(AND(B377&gt;='IN-NX'!$P$3,B377&lt;='IN-NX'!$Q$3,'IN-NX'!$D$7=D377,OR(LEFT(L377,2)="15",AND(LEFT(M377,2)&lt;&gt;"15",LEFT(M377,2)&lt;&gt;"33"))),"x","")</f>
        <v/>
      </c>
      <c r="AI377" s="80" t="str">
        <f>IF(AND(OR(LEFT(TH!O377,2)="15",LEFT(TH!P377,2)="15"),'152-CT'!$J$8=TH!F377),"x","")</f>
        <v/>
      </c>
      <c r="AJ377" s="80" t="str">
        <f>IF(AND(OR(LEFT(TH!O377,2)="15",LEFT(TH!P377,2)="15"),'THE KHO'!$E$7=TH!F377),"x","")</f>
        <v/>
      </c>
      <c r="AK377" s="80" t="str">
        <f>IF(AND(O377="1521",MONTH(C377)='BK NL'!$M$11),"x","")</f>
        <v/>
      </c>
    </row>
    <row r="378" spans="1:39" ht="15.75" customHeight="1">
      <c r="A378" s="362" t="str">
        <f>IF(B378&lt;&gt;"",IF(AND(B378&gt;=_TM1,B378&lt;=_TM2,OR(TH!O378="1111",TH!P378="1111")),TH!D378,""),"")</f>
        <v>C43</v>
      </c>
      <c r="B378" s="63">
        <f t="shared" si="27"/>
        <v>6</v>
      </c>
      <c r="C378" s="337">
        <f t="shared" si="28"/>
        <v>42537</v>
      </c>
      <c r="D378" s="337" t="s">
        <v>805</v>
      </c>
      <c r="E378" s="337">
        <v>42537</v>
      </c>
      <c r="F378" s="338" t="s">
        <v>972</v>
      </c>
      <c r="G378" s="351" t="s">
        <v>974</v>
      </c>
      <c r="H378" s="339" t="s">
        <v>161</v>
      </c>
      <c r="I378" s="476"/>
      <c r="J378" s="476"/>
      <c r="K378" s="469"/>
      <c r="L378" s="476"/>
      <c r="M378" s="88">
        <f>6000+21000+8330+6835</f>
        <v>42165</v>
      </c>
      <c r="N378" s="88"/>
      <c r="O378" s="340" t="s">
        <v>10</v>
      </c>
      <c r="P378" s="340" t="s">
        <v>97</v>
      </c>
      <c r="Q378" s="66" t="str">
        <f>IF(AND('331-CT'!$E$7=TH!H378,OR(O378="331",P378="331")),"x","")</f>
        <v/>
      </c>
      <c r="R378" s="66" t="str">
        <f>IF(AND($B378&gt;='111'!$N$11,$B378&lt;='111'!$O$11,OR($O378=$R$7,$P378=$R$7)),"x","")</f>
        <v/>
      </c>
      <c r="S378" s="66" t="str">
        <f>IF(AND($O378=$R$7,$B378&lt;'111'!$N$11),"x","")</f>
        <v/>
      </c>
      <c r="T378" s="66" t="str">
        <f>IF(AND($P378=$R$7,$B378&lt;'111'!$N$11),"x","")</f>
        <v>x</v>
      </c>
      <c r="U378" s="66" t="str">
        <f>IF(AND($B378&gt;='112'!$M$9,$B378&lt;='112'!$N$9,OR($O378='112'!$I$6,$P378='112'!$I$6)),"x","")</f>
        <v/>
      </c>
      <c r="V378" s="66" t="str">
        <f>IF(AND($O378='112'!$I$6,$B378&lt;'112'!$M$9),"x","")</f>
        <v/>
      </c>
      <c r="W378" s="66" t="str">
        <f>IF(AND($P378='112'!$I$6,$B378&lt;'112'!$M$9),"x","")</f>
        <v/>
      </c>
      <c r="X378" s="66" t="str">
        <f>IF(AND('131-CT'!$H$9=TH!H378,OR(O378="131",P378="131")),"x","")</f>
        <v/>
      </c>
      <c r="Y378" s="80" t="str">
        <f>IF(AND($B378&gt;='1331'!$I$9,$B378&lt;='1331'!$J$9,OR($O378=$Y$7,$P378=$Y$7)),"x","")</f>
        <v/>
      </c>
      <c r="Z378" s="80" t="str">
        <f>IF(AND($O378=$Y$7,$B378&lt;'1331'!$I$9),"x","")</f>
        <v>x</v>
      </c>
      <c r="AA378" s="80" t="str">
        <f>IF(AND($P378=$Y$7,$B378&lt;'1331'!$I$9),"x","")</f>
        <v/>
      </c>
      <c r="AB378" s="80" t="str">
        <f>IF(AND($B378&gt;='1332'!$I$9,$B378&lt;='1332'!$I$9,OR($O378=$AB$7,$P378=$AB$7)),"x","")</f>
        <v/>
      </c>
      <c r="AC378" s="80" t="str">
        <f>IF(AND($O378=$AB$7,$B378&lt;'1332'!$I$9),"x","")</f>
        <v/>
      </c>
      <c r="AD378" s="80" t="str">
        <f>IF(AND($P378=$AB$7,$B378&lt;'1332'!$I$9),"x","")</f>
        <v/>
      </c>
      <c r="AE378" s="80" t="str">
        <f>IF(AND('341-CT'!$H$9=H378,OR(LEFT(O378,3)=$AE$7,LEFT(P378,3)=$AE$7)),"x","")</f>
        <v/>
      </c>
      <c r="AF378" s="80" t="str">
        <f>IF(OR(TH!O378=TH!$AF$7,P378=TH!$AF$7),"x","")</f>
        <v/>
      </c>
      <c r="AG378" s="80"/>
      <c r="AH378" s="80" t="str">
        <f>IF(AND(B378&gt;='IN-NX'!$P$3,B378&lt;='IN-NX'!$Q$3,'IN-NX'!$D$7=D378,OR(LEFT(L378,2)="15",AND(LEFT(M378,2)&lt;&gt;"15",LEFT(M378,2)&lt;&gt;"33"))),"x","")</f>
        <v/>
      </c>
      <c r="AI378" s="80" t="str">
        <f>IF(AND(OR(LEFT(TH!O378,2)="15",LEFT(TH!P378,2)="15"),'152-CT'!$J$8=TH!F378),"x","")</f>
        <v/>
      </c>
      <c r="AJ378" s="80" t="str">
        <f>IF(AND(OR(LEFT(TH!O378,2)="15",LEFT(TH!P378,2)="15"),'THE KHO'!$E$7=TH!F378),"x","")</f>
        <v/>
      </c>
      <c r="AK378" s="80" t="str">
        <f>IF(AND(O378="1521",MONTH(C378)='BK NL'!$M$11),"x","")</f>
        <v/>
      </c>
      <c r="AL378" s="373"/>
      <c r="AM378" s="373"/>
    </row>
    <row r="379" spans="1:39" ht="15.75" customHeight="1">
      <c r="A379" s="362" t="str">
        <f>IF(B379&lt;&gt;"",IF(AND(B379&gt;=_TM1,B379&lt;=_TM2,OR(TH!O379="1111",TH!P379="1111")),TH!D379,""),"")</f>
        <v/>
      </c>
      <c r="B379" s="63">
        <f t="shared" si="27"/>
        <v>6</v>
      </c>
      <c r="C379" s="337">
        <f t="shared" si="28"/>
        <v>42538</v>
      </c>
      <c r="D379" s="337" t="s">
        <v>12</v>
      </c>
      <c r="E379" s="337">
        <v>42538</v>
      </c>
      <c r="F379" s="338" t="s">
        <v>960</v>
      </c>
      <c r="G379" s="351" t="s">
        <v>798</v>
      </c>
      <c r="H379" s="369"/>
      <c r="I379" s="479"/>
      <c r="J379" s="479"/>
      <c r="K379" s="472">
        <v>88000</v>
      </c>
      <c r="L379" s="479">
        <v>22305</v>
      </c>
      <c r="M379" s="65">
        <f>ROUND(K379*L379,0)</f>
        <v>1962840000</v>
      </c>
      <c r="N379" s="65"/>
      <c r="O379" s="340" t="s">
        <v>453</v>
      </c>
      <c r="P379" s="340" t="s">
        <v>31</v>
      </c>
      <c r="Q379" s="66" t="str">
        <f>IF(AND('331-CT'!$E$7=TH!H379,OR(O379="331",P379="331")),"x","")</f>
        <v/>
      </c>
      <c r="R379" s="66" t="str">
        <f>IF(AND($B379&gt;='111'!$N$11,$B379&lt;='111'!$O$11,OR($O379=$R$7,$P379=$R$7)),"x","")</f>
        <v/>
      </c>
      <c r="S379" s="66" t="str">
        <f>IF(AND($O379=$R$7,$B379&lt;'111'!$N$11),"x","")</f>
        <v/>
      </c>
      <c r="T379" s="66" t="str">
        <f>IF(AND($P379=$R$7,$B379&lt;'111'!$N$11),"x","")</f>
        <v/>
      </c>
      <c r="U379" s="66" t="str">
        <f>IF(AND($B379&gt;='112'!$M$9,$B379&lt;='112'!$N$9,OR($O379='112'!$I$6,$P379='112'!$I$6)),"x","")</f>
        <v/>
      </c>
      <c r="V379" s="66" t="str">
        <f>IF(AND($O379='112'!$I$6,$B379&lt;'112'!$M$9),"x","")</f>
        <v/>
      </c>
      <c r="W379" s="66" t="str">
        <f>IF(AND($P379='112'!$I$6,$B379&lt;'112'!$M$9),"x","")</f>
        <v>x</v>
      </c>
      <c r="X379" s="66" t="str">
        <f>IF(AND('131-CT'!$H$9=TH!H379,OR(O379="131",P379="131")),"x","")</f>
        <v/>
      </c>
      <c r="Y379" s="80" t="str">
        <f>IF(AND($B379&gt;='1331'!$I$9,$B379&lt;='1331'!$J$9,OR($O379=$Y$7,$P379=$Y$7)),"x","")</f>
        <v/>
      </c>
      <c r="Z379" s="80" t="str">
        <f>IF(AND($O379=$Y$7,$B379&lt;'1331'!$I$9),"x","")</f>
        <v/>
      </c>
      <c r="AA379" s="80" t="str">
        <f>IF(AND($P379=$Y$7,$B379&lt;'1331'!$I$9),"x","")</f>
        <v/>
      </c>
      <c r="AB379" s="80" t="str">
        <f>IF(AND($B379&gt;='1332'!$I$9,$B379&lt;='1332'!$I$9,OR($O379=$AB$7,$P379=$AB$7)),"x","")</f>
        <v/>
      </c>
      <c r="AC379" s="80" t="str">
        <f>IF(AND($O379=$AB$7,$B379&lt;'1332'!$I$9),"x","")</f>
        <v/>
      </c>
      <c r="AD379" s="80" t="str">
        <f>IF(AND($P379=$AB$7,$B379&lt;'1332'!$I$9),"x","")</f>
        <v/>
      </c>
      <c r="AE379" s="80" t="str">
        <f>IF(AND('341-CT'!$H$9=H379,OR(LEFT(O379,3)=$AE$7,LEFT(P379,3)=$AE$7)),"x","")</f>
        <v/>
      </c>
      <c r="AF379" s="80" t="str">
        <f>IF(OR(TH!O379=TH!$AF$7,P379=TH!$AF$7),"x","")</f>
        <v/>
      </c>
      <c r="AG379" s="80"/>
      <c r="AH379" s="80" t="str">
        <f>IF(AND(B379&gt;='IN-NX'!$P$3,B379&lt;='IN-NX'!$Q$3,'IN-NX'!$D$7=D379,OR(LEFT(L379,2)="15",AND(LEFT(M379,2)&lt;&gt;"15",LEFT(M379,2)&lt;&gt;"33"))),"x","")</f>
        <v/>
      </c>
      <c r="AI379" s="80" t="str">
        <f>IF(AND(OR(LEFT(TH!O379,2)="15",LEFT(TH!P379,2)="15"),'152-CT'!$J$8=TH!F379),"x","")</f>
        <v/>
      </c>
      <c r="AJ379" s="80" t="str">
        <f>IF(AND(OR(LEFT(TH!O379,2)="15",LEFT(TH!P379,2)="15"),'THE KHO'!$E$7=TH!F379),"x","")</f>
        <v/>
      </c>
      <c r="AK379" s="80" t="str">
        <f>IF(AND(O379="1521",MONTH(C379)='BK NL'!$M$11),"x","")</f>
        <v/>
      </c>
      <c r="AM379" s="352">
        <v>1</v>
      </c>
    </row>
    <row r="380" spans="1:39" ht="15.75" customHeight="1">
      <c r="A380" s="362" t="str">
        <f>IF(B380&lt;&gt;"",IF(AND(B380&gt;=_TM1,B380&lt;=_TM2,OR(TH!O380="1111",TH!P380="1111")),TH!D380,""),"")</f>
        <v/>
      </c>
      <c r="B380" s="142">
        <f t="shared" ref="B380:B411" si="29">IF(C380&lt;&gt;"",MONTH(C380),"")</f>
        <v>6</v>
      </c>
      <c r="C380" s="337">
        <f t="shared" si="28"/>
        <v>42538</v>
      </c>
      <c r="D380" s="337" t="s">
        <v>12</v>
      </c>
      <c r="E380" s="337">
        <v>42538</v>
      </c>
      <c r="F380" s="338" t="s">
        <v>788</v>
      </c>
      <c r="G380" s="351" t="s">
        <v>798</v>
      </c>
      <c r="H380" s="339" t="s">
        <v>429</v>
      </c>
      <c r="I380" s="476"/>
      <c r="J380" s="476"/>
      <c r="K380" s="469"/>
      <c r="L380" s="476"/>
      <c r="M380" s="65">
        <v>1975000000</v>
      </c>
      <c r="N380" s="65"/>
      <c r="O380" s="340" t="s">
        <v>31</v>
      </c>
      <c r="P380" s="340" t="s">
        <v>24</v>
      </c>
      <c r="Q380" s="66" t="str">
        <f>IF(AND('331-CT'!$E$7=TH!H380,OR(O380="331",P380="331")),"x","")</f>
        <v/>
      </c>
      <c r="R380" s="66" t="str">
        <f>IF(AND($B380&gt;='111'!$N$11,$B380&lt;='111'!$O$11,OR($O380=$R$7,$P380=$R$7)),"x","")</f>
        <v/>
      </c>
      <c r="S380" s="66" t="str">
        <f>IF(AND($O380=$R$7,$B380&lt;'111'!$N$11),"x","")</f>
        <v/>
      </c>
      <c r="T380" s="66" t="str">
        <f>IF(AND($P380=$R$7,$B380&lt;'111'!$N$11),"x","")</f>
        <v/>
      </c>
      <c r="U380" s="66" t="str">
        <f>IF(AND($B380&gt;='112'!$M$9,$B380&lt;='112'!$N$9,OR($O380='112'!$I$6,$P380='112'!$I$6)),"x","")</f>
        <v/>
      </c>
      <c r="V380" s="66" t="str">
        <f>IF(AND($O380='112'!$I$6,$B380&lt;'112'!$M$9),"x","")</f>
        <v>x</v>
      </c>
      <c r="W380" s="66" t="str">
        <f>IF(AND($P380='112'!$I$6,$B380&lt;'112'!$M$9),"x","")</f>
        <v/>
      </c>
      <c r="X380" s="66" t="str">
        <f>IF(AND('131-CT'!$H$9=TH!H380,OR(O380="131",P380="131")),"x","")</f>
        <v/>
      </c>
      <c r="Y380" s="80" t="str">
        <f>IF(AND($B380&gt;='1331'!$I$9,$B380&lt;='1331'!$J$9,OR($O380=$Y$7,$P380=$Y$7)),"x","")</f>
        <v/>
      </c>
      <c r="Z380" s="80" t="str">
        <f>IF(AND($O380=$Y$7,$B380&lt;'1331'!$I$9),"x","")</f>
        <v/>
      </c>
      <c r="AA380" s="80" t="str">
        <f>IF(AND($P380=$Y$7,$B380&lt;'1331'!$I$9),"x","")</f>
        <v/>
      </c>
      <c r="AB380" s="80" t="str">
        <f>IF(AND($B380&gt;='1332'!$I$9,$B380&lt;='1332'!$I$9,OR($O380=$AB$7,$P380=$AB$7)),"x","")</f>
        <v/>
      </c>
      <c r="AC380" s="80" t="str">
        <f>IF(AND($O380=$AB$7,$B380&lt;'1332'!$I$9),"x","")</f>
        <v/>
      </c>
      <c r="AD380" s="80" t="str">
        <f>IF(AND($P380=$AB$7,$B380&lt;'1332'!$I$9),"x","")</f>
        <v/>
      </c>
      <c r="AE380" s="80" t="str">
        <f>IF(AND('341-CT'!$H$9=H380,OR(LEFT(O380,3)=$AE$7,LEFT(P380,3)=$AE$7)),"x","")</f>
        <v/>
      </c>
      <c r="AF380" s="80" t="str">
        <f>IF(OR(TH!O380=TH!$AF$7,P380=TH!$AF$7),"x","")</f>
        <v>x</v>
      </c>
      <c r="AG380" s="80"/>
      <c r="AH380" s="80" t="str">
        <f>IF(AND(B380&gt;='IN-NX'!$P$3,B380&lt;='IN-NX'!$Q$3,'IN-NX'!$D$7=D380,OR(LEFT(L380,2)="15",AND(LEFT(M380,2)&lt;&gt;"15",LEFT(M380,2)&lt;&gt;"33"))),"x","")</f>
        <v/>
      </c>
      <c r="AI380" s="80" t="str">
        <f>IF(AND(OR(LEFT(TH!O380,2)="15",LEFT(TH!P380,2)="15"),'152-CT'!$J$8=TH!F380),"x","")</f>
        <v/>
      </c>
      <c r="AJ380" s="80" t="str">
        <f>IF(AND(OR(LEFT(TH!O380,2)="15",LEFT(TH!P380,2)="15"),'THE KHO'!$E$7=TH!F380),"x","")</f>
        <v/>
      </c>
      <c r="AK380" s="80" t="str">
        <f>IF(AND(O380="1521",MONTH(C380)='BK NL'!$M$11),"x","")</f>
        <v/>
      </c>
      <c r="AL380" s="371"/>
      <c r="AM380" s="352">
        <v>1</v>
      </c>
    </row>
    <row r="381" spans="1:39" ht="15.75" customHeight="1">
      <c r="A381" s="362" t="str">
        <f>IF(B381&lt;&gt;"",IF(AND(B381&gt;=_TM1,B381&lt;=_TM2,OR(TH!O381="1111",TH!P381="1111")),TH!D381,""),"")</f>
        <v/>
      </c>
      <c r="B381" s="63">
        <f t="shared" si="29"/>
        <v>6</v>
      </c>
      <c r="C381" s="337">
        <f t="shared" si="28"/>
        <v>42538</v>
      </c>
      <c r="D381" s="337" t="s">
        <v>8</v>
      </c>
      <c r="E381" s="337">
        <v>42538</v>
      </c>
      <c r="F381" s="338" t="s">
        <v>961</v>
      </c>
      <c r="G381" s="351" t="s">
        <v>798</v>
      </c>
      <c r="H381" s="7" t="s">
        <v>325</v>
      </c>
      <c r="I381" s="479"/>
      <c r="J381" s="479"/>
      <c r="K381" s="472">
        <v>88000</v>
      </c>
      <c r="L381" s="479">
        <v>22305</v>
      </c>
      <c r="M381" s="65">
        <f>ROUND(K381*L381,0)</f>
        <v>1962840000</v>
      </c>
      <c r="N381" s="65"/>
      <c r="O381" s="340" t="s">
        <v>441</v>
      </c>
      <c r="P381" s="340" t="s">
        <v>453</v>
      </c>
      <c r="Q381" s="66" t="str">
        <f>IF(AND('331-CT'!$E$7=TH!H381,OR(O381="331",P381="331")),"x","")</f>
        <v/>
      </c>
      <c r="R381" s="66" t="str">
        <f>IF(AND($B381&gt;='111'!$N$11,$B381&lt;='111'!$O$11,OR($O381=$R$7,$P381=$R$7)),"x","")</f>
        <v/>
      </c>
      <c r="S381" s="66" t="str">
        <f>IF(AND($O381=$R$7,$B381&lt;'111'!$N$11),"x","")</f>
        <v/>
      </c>
      <c r="T381" s="66" t="str">
        <f>IF(AND($P381=$R$7,$B381&lt;'111'!$N$11),"x","")</f>
        <v/>
      </c>
      <c r="U381" s="66" t="str">
        <f>IF(AND($B381&gt;='112'!$M$9,$B381&lt;='112'!$N$9,OR($O381='112'!$I$6,$P381='112'!$I$6)),"x","")</f>
        <v/>
      </c>
      <c r="V381" s="66" t="str">
        <f>IF(AND($O381='112'!$I$6,$B381&lt;'112'!$M$9),"x","")</f>
        <v/>
      </c>
      <c r="W381" s="66" t="str">
        <f>IF(AND($P381='112'!$I$6,$B381&lt;'112'!$M$9),"x","")</f>
        <v/>
      </c>
      <c r="X381" s="66" t="str">
        <f>IF(AND('131-CT'!$H$9=TH!H381,OR(O381="131",P381="131")),"x","")</f>
        <v/>
      </c>
      <c r="Y381" s="80" t="str">
        <f>IF(AND($B381&gt;='1331'!$I$9,$B381&lt;='1331'!$J$9,OR($O381=$Y$7,$P381=$Y$7)),"x","")</f>
        <v/>
      </c>
      <c r="Z381" s="80" t="str">
        <f>IF(AND($O381=$Y$7,$B381&lt;'1331'!$I$9),"x","")</f>
        <v/>
      </c>
      <c r="AA381" s="80" t="str">
        <f>IF(AND($P381=$Y$7,$B381&lt;'1331'!$I$9),"x","")</f>
        <v/>
      </c>
      <c r="AB381" s="80" t="str">
        <f>IF(AND($B381&gt;='1332'!$I$9,$B381&lt;='1332'!$I$9,OR($O381=$AB$7,$P381=$AB$7)),"x","")</f>
        <v/>
      </c>
      <c r="AC381" s="80" t="str">
        <f>IF(AND($O381=$AB$7,$B381&lt;'1332'!$I$9),"x","")</f>
        <v/>
      </c>
      <c r="AD381" s="80" t="str">
        <f>IF(AND($P381=$AB$7,$B381&lt;'1332'!$I$9),"x","")</f>
        <v/>
      </c>
      <c r="AE381" s="80" t="str">
        <f>IF(AND('341-CT'!$H$9=H381,OR(LEFT(O381,3)=$AE$7,LEFT(P381,3)=$AE$7)),"x","")</f>
        <v>x</v>
      </c>
      <c r="AF381" s="80" t="str">
        <f>IF(OR(TH!O381=TH!$AF$7,P381=TH!$AF$7),"x","")</f>
        <v/>
      </c>
      <c r="AG381" s="80"/>
      <c r="AH381" s="80" t="str">
        <f>IF(AND(B381&gt;='IN-NX'!$P$3,B381&lt;='IN-NX'!$Q$3,'IN-NX'!$D$7=D381,OR(LEFT(L381,2)="15",AND(LEFT(M381,2)&lt;&gt;"15",LEFT(M381,2)&lt;&gt;"33"))),"x","")</f>
        <v/>
      </c>
      <c r="AI381" s="80" t="str">
        <f>IF(AND(OR(LEFT(TH!O381,2)="15",LEFT(TH!P381,2)="15"),'152-CT'!$J$8=TH!F381),"x","")</f>
        <v/>
      </c>
      <c r="AJ381" s="80" t="str">
        <f>IF(AND(OR(LEFT(TH!O381,2)="15",LEFT(TH!P381,2)="15"),'THE KHO'!$E$7=TH!F381),"x","")</f>
        <v/>
      </c>
      <c r="AK381" s="80" t="str">
        <f>IF(AND(O381="1521",MONTH(C381)='BK NL'!$M$11),"x","")</f>
        <v/>
      </c>
    </row>
    <row r="382" spans="1:39" ht="15.75" customHeight="1">
      <c r="A382" s="362" t="str">
        <f>IF(B382&lt;&gt;"",IF(AND(B382&gt;=_TM1,B382&lt;=_TM2,OR(TH!O382="1111",TH!P382="1111")),TH!D382,""),"")</f>
        <v/>
      </c>
      <c r="B382" s="63">
        <f t="shared" si="29"/>
        <v>6</v>
      </c>
      <c r="C382" s="337">
        <f t="shared" si="28"/>
        <v>42538</v>
      </c>
      <c r="D382" s="337" t="s">
        <v>8</v>
      </c>
      <c r="E382" s="337">
        <v>42538</v>
      </c>
      <c r="F382" s="338" t="s">
        <v>966</v>
      </c>
      <c r="G382" s="351" t="s">
        <v>798</v>
      </c>
      <c r="H382" s="7" t="s">
        <v>325</v>
      </c>
      <c r="I382" s="476"/>
      <c r="J382" s="476"/>
      <c r="K382" s="469"/>
      <c r="L382" s="476"/>
      <c r="M382" s="65">
        <v>7210682</v>
      </c>
      <c r="N382" s="65"/>
      <c r="O382" s="340" t="s">
        <v>133</v>
      </c>
      <c r="P382" s="340" t="s">
        <v>31</v>
      </c>
      <c r="Q382" s="66" t="str">
        <f>IF(AND('331-CT'!$E$7=TH!H382,OR(O382="331",P382="331")),"x","")</f>
        <v/>
      </c>
      <c r="R382" s="66" t="str">
        <f>IF(AND($B382&gt;='111'!$N$11,$B382&lt;='111'!$O$11,OR($O382=$R$7,$P382=$R$7)),"x","")</f>
        <v/>
      </c>
      <c r="S382" s="66" t="str">
        <f>IF(AND($O382=$R$7,$B382&lt;'111'!$N$11),"x","")</f>
        <v/>
      </c>
      <c r="T382" s="66" t="str">
        <f>IF(AND($P382=$R$7,$B382&lt;'111'!$N$11),"x","")</f>
        <v/>
      </c>
      <c r="U382" s="66" t="str">
        <f>IF(AND($B382&gt;='112'!$M$9,$B382&lt;='112'!$N$9,OR($O382='112'!$I$6,$P382='112'!$I$6)),"x","")</f>
        <v/>
      </c>
      <c r="V382" s="66" t="str">
        <f>IF(AND($O382='112'!$I$6,$B382&lt;'112'!$M$9),"x","")</f>
        <v/>
      </c>
      <c r="W382" s="66" t="str">
        <f>IF(AND($P382='112'!$I$6,$B382&lt;'112'!$M$9),"x","")</f>
        <v>x</v>
      </c>
      <c r="X382" s="66" t="str">
        <f>IF(AND('131-CT'!$H$9=TH!H382,OR(O382="131",P382="131")),"x","")</f>
        <v/>
      </c>
      <c r="Y382" s="80" t="str">
        <f>IF(AND($B382&gt;='1331'!$I$9,$B382&lt;='1331'!$J$9,OR($O382=$Y$7,$P382=$Y$7)),"x","")</f>
        <v/>
      </c>
      <c r="Z382" s="80" t="str">
        <f>IF(AND($O382=$Y$7,$B382&lt;'1331'!$I$9),"x","")</f>
        <v/>
      </c>
      <c r="AA382" s="80" t="str">
        <f>IF(AND($P382=$Y$7,$B382&lt;'1331'!$I$9),"x","")</f>
        <v/>
      </c>
      <c r="AB382" s="80" t="str">
        <f>IF(AND($B382&gt;='1332'!$I$9,$B382&lt;='1332'!$I$9,OR($O382=$AB$7,$P382=$AB$7)),"x","")</f>
        <v/>
      </c>
      <c r="AC382" s="80" t="str">
        <f>IF(AND($O382=$AB$7,$B382&lt;'1332'!$I$9),"x","")</f>
        <v/>
      </c>
      <c r="AD382" s="80" t="str">
        <f>IF(AND($P382=$AB$7,$B382&lt;'1332'!$I$9),"x","")</f>
        <v/>
      </c>
      <c r="AE382" s="80" t="str">
        <f>IF(AND('341-CT'!$H$9=H382,OR(LEFT(O382,3)=$AE$7,LEFT(P382,3)=$AE$7)),"x","")</f>
        <v/>
      </c>
      <c r="AF382" s="80" t="str">
        <f>IF(OR(TH!O382=TH!$AF$7,P382=TH!$AF$7),"x","")</f>
        <v/>
      </c>
      <c r="AG382" s="80"/>
      <c r="AH382" s="80" t="str">
        <f>IF(AND(B382&gt;='IN-NX'!$P$3,B382&lt;='IN-NX'!$Q$3,'IN-NX'!$D$7=D382,OR(LEFT(L382,2)="15",AND(LEFT(M382,2)&lt;&gt;"15",LEFT(M382,2)&lt;&gt;"33"))),"x","")</f>
        <v/>
      </c>
      <c r="AI382" s="80" t="str">
        <f>IF(AND(OR(LEFT(TH!O382,2)="15",LEFT(TH!P382,2)="15"),'152-CT'!$J$8=TH!F382),"x","")</f>
        <v/>
      </c>
      <c r="AJ382" s="80" t="str">
        <f>IF(AND(OR(LEFT(TH!O382,2)="15",LEFT(TH!P382,2)="15"),'THE KHO'!$E$7=TH!F382),"x","")</f>
        <v/>
      </c>
      <c r="AK382" s="80" t="str">
        <f>IF(AND(O382="1521",MONTH(C382)='BK NL'!$M$11),"x","")</f>
        <v/>
      </c>
    </row>
    <row r="383" spans="1:39" ht="15.75" customHeight="1">
      <c r="A383" s="362" t="str">
        <f>IF(B383&lt;&gt;"",IF(AND(B383&gt;=_TM1,B383&lt;=_TM2,OR(TH!O383="1111",TH!P383="1111")),TH!D383,""),"")</f>
        <v>C44</v>
      </c>
      <c r="B383" s="63">
        <f t="shared" si="29"/>
        <v>6</v>
      </c>
      <c r="C383" s="337">
        <f t="shared" si="28"/>
        <v>42542</v>
      </c>
      <c r="D383" s="337" t="s">
        <v>809</v>
      </c>
      <c r="E383" s="337">
        <v>42542</v>
      </c>
      <c r="F383" s="338" t="s">
        <v>410</v>
      </c>
      <c r="G383" s="351" t="s">
        <v>798</v>
      </c>
      <c r="H383" s="339" t="s">
        <v>160</v>
      </c>
      <c r="I383" s="476"/>
      <c r="J383" s="476"/>
      <c r="K383" s="469"/>
      <c r="L383" s="476"/>
      <c r="M383" s="65">
        <v>100000000</v>
      </c>
      <c r="N383" s="65"/>
      <c r="O383" s="340" t="s">
        <v>31</v>
      </c>
      <c r="P383" s="340" t="s">
        <v>97</v>
      </c>
      <c r="Q383" s="66" t="str">
        <f>IF(AND('331-CT'!$E$7=TH!H383,OR(O383="331",P383="331")),"x","")</f>
        <v/>
      </c>
      <c r="R383" s="66" t="str">
        <f>IF(AND($B383&gt;='111'!$N$11,$B383&lt;='111'!$O$11,OR($O383=$R$7,$P383=$R$7)),"x","")</f>
        <v/>
      </c>
      <c r="S383" s="66" t="str">
        <f>IF(AND($O383=$R$7,$B383&lt;'111'!$N$11),"x","")</f>
        <v/>
      </c>
      <c r="T383" s="66" t="str">
        <f>IF(AND($P383=$R$7,$B383&lt;'111'!$N$11),"x","")</f>
        <v>x</v>
      </c>
      <c r="U383" s="66" t="str">
        <f>IF(AND($B383&gt;='112'!$M$9,$B383&lt;='112'!$N$9,OR($O383='112'!$I$6,$P383='112'!$I$6)),"x","")</f>
        <v/>
      </c>
      <c r="V383" s="66" t="str">
        <f>IF(AND($O383='112'!$I$6,$B383&lt;'112'!$M$9),"x","")</f>
        <v>x</v>
      </c>
      <c r="W383" s="66" t="str">
        <f>IF(AND($P383='112'!$I$6,$B383&lt;'112'!$M$9),"x","")</f>
        <v/>
      </c>
      <c r="X383" s="66" t="str">
        <f>IF(AND('131-CT'!$H$9=TH!H383,OR(O383="131",P383="131")),"x","")</f>
        <v/>
      </c>
      <c r="Y383" s="80" t="str">
        <f>IF(AND($B383&gt;='1331'!$I$9,$B383&lt;='1331'!$J$9,OR($O383=$Y$7,$P383=$Y$7)),"x","")</f>
        <v/>
      </c>
      <c r="Z383" s="80" t="str">
        <f>IF(AND($O383=$Y$7,$B383&lt;'1331'!$I$9),"x","")</f>
        <v/>
      </c>
      <c r="AA383" s="80" t="str">
        <f>IF(AND($P383=$Y$7,$B383&lt;'1331'!$I$9),"x","")</f>
        <v/>
      </c>
      <c r="AB383" s="80" t="str">
        <f>IF(AND($B383&gt;='1332'!$I$9,$B383&lt;='1332'!$I$9,OR($O383=$AB$7,$P383=$AB$7)),"x","")</f>
        <v/>
      </c>
      <c r="AC383" s="80" t="str">
        <f>IF(AND($O383=$AB$7,$B383&lt;'1332'!$I$9),"x","")</f>
        <v/>
      </c>
      <c r="AD383" s="80" t="str">
        <f>IF(AND($P383=$AB$7,$B383&lt;'1332'!$I$9),"x","")</f>
        <v/>
      </c>
      <c r="AE383" s="80" t="str">
        <f>IF(AND('341-CT'!$H$9=H383,OR(LEFT(O383,3)=$AE$7,LEFT(P383,3)=$AE$7)),"x","")</f>
        <v/>
      </c>
      <c r="AF383" s="80" t="str">
        <f>IF(OR(TH!O383=TH!$AF$7,P383=TH!$AF$7),"x","")</f>
        <v/>
      </c>
      <c r="AG383" s="80"/>
      <c r="AH383" s="80" t="str">
        <f>IF(AND(B383&gt;='IN-NX'!$P$3,B383&lt;='IN-NX'!$Q$3,'IN-NX'!$D$7=D383,OR(LEFT(L383,2)="15",AND(LEFT(M383,2)&lt;&gt;"15",LEFT(M383,2)&lt;&gt;"33"))),"x","")</f>
        <v/>
      </c>
      <c r="AI383" s="80" t="str">
        <f>IF(AND(OR(LEFT(TH!O383,2)="15",LEFT(TH!P383,2)="15"),'152-CT'!$J$8=TH!F383),"x","")</f>
        <v/>
      </c>
      <c r="AJ383" s="80" t="str">
        <f>IF(AND(OR(LEFT(TH!O383,2)="15",LEFT(TH!P383,2)="15"),'THE KHO'!$E$7=TH!F383),"x","")</f>
        <v/>
      </c>
      <c r="AK383" s="80" t="str">
        <f>IF(AND(O383="1521",MONTH(C383)='BK NL'!$M$11),"x","")</f>
        <v/>
      </c>
    </row>
    <row r="384" spans="1:39" ht="15.75" customHeight="1">
      <c r="A384" s="362" t="str">
        <f>IF(B384&lt;&gt;"",IF(AND(B384&gt;=_TM1,B384&lt;=_TM2,OR(TH!O384="1111",TH!P384="1111")),TH!D384,""),"")</f>
        <v>C44</v>
      </c>
      <c r="B384" s="63">
        <f t="shared" si="29"/>
        <v>6</v>
      </c>
      <c r="C384" s="337">
        <f t="shared" si="28"/>
        <v>42542</v>
      </c>
      <c r="D384" s="337" t="s">
        <v>809</v>
      </c>
      <c r="E384" s="337">
        <v>42542</v>
      </c>
      <c r="F384" s="338" t="s">
        <v>410</v>
      </c>
      <c r="G384" s="351" t="s">
        <v>798</v>
      </c>
      <c r="H384" s="339" t="s">
        <v>160</v>
      </c>
      <c r="I384" s="476"/>
      <c r="J384" s="476"/>
      <c r="K384" s="469"/>
      <c r="L384" s="476"/>
      <c r="M384" s="65">
        <v>70000000</v>
      </c>
      <c r="N384" s="65"/>
      <c r="O384" s="340" t="s">
        <v>31</v>
      </c>
      <c r="P384" s="340" t="s">
        <v>97</v>
      </c>
      <c r="Q384" s="66" t="str">
        <f>IF(AND('331-CT'!$E$7=TH!H384,OR(O384="331",P384="331")),"x","")</f>
        <v/>
      </c>
      <c r="R384" s="66" t="str">
        <f>IF(AND($B384&gt;='111'!$N$11,$B384&lt;='111'!$O$11,OR($O384=$R$7,$P384=$R$7)),"x","")</f>
        <v/>
      </c>
      <c r="S384" s="66" t="str">
        <f>IF(AND($O384=$R$7,$B384&lt;'111'!$N$11),"x","")</f>
        <v/>
      </c>
      <c r="T384" s="66" t="str">
        <f>IF(AND($P384=$R$7,$B384&lt;'111'!$N$11),"x","")</f>
        <v>x</v>
      </c>
      <c r="U384" s="66" t="str">
        <f>IF(AND($B384&gt;='112'!$M$9,$B384&lt;='112'!$N$9,OR($O384='112'!$I$6,$P384='112'!$I$6)),"x","")</f>
        <v/>
      </c>
      <c r="V384" s="66" t="str">
        <f>IF(AND($O384='112'!$I$6,$B384&lt;'112'!$M$9),"x","")</f>
        <v>x</v>
      </c>
      <c r="W384" s="66" t="str">
        <f>IF(AND($P384='112'!$I$6,$B384&lt;'112'!$M$9),"x","")</f>
        <v/>
      </c>
      <c r="X384" s="66" t="str">
        <f>IF(AND('131-CT'!$H$9=TH!H384,OR(O384="131",P384="131")),"x","")</f>
        <v/>
      </c>
      <c r="Y384" s="80" t="str">
        <f>IF(AND($B384&gt;='1331'!$I$9,$B384&lt;='1331'!$J$9,OR($O384=$Y$7,$P384=$Y$7)),"x","")</f>
        <v/>
      </c>
      <c r="Z384" s="80" t="str">
        <f>IF(AND($O384=$Y$7,$B384&lt;'1331'!$I$9),"x","")</f>
        <v/>
      </c>
      <c r="AA384" s="80" t="str">
        <f>IF(AND($P384=$Y$7,$B384&lt;'1331'!$I$9),"x","")</f>
        <v/>
      </c>
      <c r="AB384" s="80" t="str">
        <f>IF(AND($B384&gt;='1332'!$I$9,$B384&lt;='1332'!$I$9,OR($O384=$AB$7,$P384=$AB$7)),"x","")</f>
        <v/>
      </c>
      <c r="AC384" s="80" t="str">
        <f>IF(AND($O384=$AB$7,$B384&lt;'1332'!$I$9),"x","")</f>
        <v/>
      </c>
      <c r="AD384" s="80" t="str">
        <f>IF(AND($P384=$AB$7,$B384&lt;'1332'!$I$9),"x","")</f>
        <v/>
      </c>
      <c r="AE384" s="80" t="str">
        <f>IF(AND('341-CT'!$H$9=H384,OR(LEFT(O384,3)=$AE$7,LEFT(P384,3)=$AE$7)),"x","")</f>
        <v/>
      </c>
      <c r="AF384" s="80" t="str">
        <f>IF(OR(TH!O384=TH!$AF$7,P384=TH!$AF$7),"x","")</f>
        <v/>
      </c>
      <c r="AG384" s="80"/>
      <c r="AH384" s="80" t="str">
        <f>IF(AND(B384&gt;='IN-NX'!$P$3,B384&lt;='IN-NX'!$Q$3,'IN-NX'!$D$7=D384,OR(LEFT(L384,2)="15",AND(LEFT(M384,2)&lt;&gt;"15",LEFT(M384,2)&lt;&gt;"33"))),"x","")</f>
        <v/>
      </c>
      <c r="AI384" s="80" t="str">
        <f>IF(AND(OR(LEFT(TH!O384,2)="15",LEFT(TH!P384,2)="15"),'152-CT'!$J$8=TH!F384),"x","")</f>
        <v/>
      </c>
      <c r="AJ384" s="80" t="str">
        <f>IF(AND(OR(LEFT(TH!O384,2)="15",LEFT(TH!P384,2)="15"),'THE KHO'!$E$7=TH!F384),"x","")</f>
        <v/>
      </c>
      <c r="AK384" s="80" t="str">
        <f>IF(AND(O384="1521",MONTH(C384)='BK NL'!$M$11),"x","")</f>
        <v/>
      </c>
    </row>
    <row r="385" spans="1:39" ht="15.75" customHeight="1">
      <c r="A385" s="362" t="str">
        <f>IF(B385&lt;&gt;"",IF(AND(B385&gt;=_TM1,B385&lt;=_TM2,OR(TH!O385="1111",TH!P385="1111")),TH!D385,""),"")</f>
        <v/>
      </c>
      <c r="B385" s="63">
        <f t="shared" si="29"/>
        <v>6</v>
      </c>
      <c r="C385" s="337">
        <f t="shared" si="28"/>
        <v>42542</v>
      </c>
      <c r="D385" s="337" t="s">
        <v>8</v>
      </c>
      <c r="E385" s="337">
        <v>42542</v>
      </c>
      <c r="F385" s="338" t="s">
        <v>405</v>
      </c>
      <c r="G385" s="351" t="s">
        <v>798</v>
      </c>
      <c r="H385" s="339" t="s">
        <v>166</v>
      </c>
      <c r="I385" s="476"/>
      <c r="J385" s="476"/>
      <c r="K385" s="469"/>
      <c r="L385" s="476"/>
      <c r="M385" s="65">
        <v>8187032</v>
      </c>
      <c r="N385" s="65"/>
      <c r="O385" s="340" t="s">
        <v>133</v>
      </c>
      <c r="P385" s="340" t="s">
        <v>31</v>
      </c>
      <c r="Q385" s="66" t="str">
        <f>IF(AND('331-CT'!$E$7=TH!H385,OR(O385="331",P385="331")),"x","")</f>
        <v/>
      </c>
      <c r="R385" s="66" t="str">
        <f>IF(AND($B385&gt;='111'!$N$11,$B385&lt;='111'!$O$11,OR($O385=$R$7,$P385=$R$7)),"x","")</f>
        <v/>
      </c>
      <c r="S385" s="66" t="str">
        <f>IF(AND($O385=$R$7,$B385&lt;'111'!$N$11),"x","")</f>
        <v/>
      </c>
      <c r="T385" s="66" t="str">
        <f>IF(AND($P385=$R$7,$B385&lt;'111'!$N$11),"x","")</f>
        <v/>
      </c>
      <c r="U385" s="66" t="str">
        <f>IF(AND($B385&gt;='112'!$M$9,$B385&lt;='112'!$N$9,OR($O385='112'!$I$6,$P385='112'!$I$6)),"x","")</f>
        <v/>
      </c>
      <c r="V385" s="66" t="str">
        <f>IF(AND($O385='112'!$I$6,$B385&lt;'112'!$M$9),"x","")</f>
        <v/>
      </c>
      <c r="W385" s="66" t="str">
        <f>IF(AND($P385='112'!$I$6,$B385&lt;'112'!$M$9),"x","")</f>
        <v>x</v>
      </c>
      <c r="X385" s="66" t="str">
        <f>IF(AND('131-CT'!$H$9=TH!H385,OR(O385="131",P385="131")),"x","")</f>
        <v/>
      </c>
      <c r="Y385" s="80" t="str">
        <f>IF(AND($B385&gt;='1331'!$I$9,$B385&lt;='1331'!$J$9,OR($O385=$Y$7,$P385=$Y$7)),"x","")</f>
        <v/>
      </c>
      <c r="Z385" s="80" t="str">
        <f>IF(AND($O385=$Y$7,$B385&lt;'1331'!$I$9),"x","")</f>
        <v/>
      </c>
      <c r="AA385" s="80" t="str">
        <f>IF(AND($P385=$Y$7,$B385&lt;'1331'!$I$9),"x","")</f>
        <v/>
      </c>
      <c r="AB385" s="80" t="str">
        <f>IF(AND($B385&gt;='1332'!$I$9,$B385&lt;='1332'!$I$9,OR($O385=$AB$7,$P385=$AB$7)),"x","")</f>
        <v/>
      </c>
      <c r="AC385" s="80" t="str">
        <f>IF(AND($O385=$AB$7,$B385&lt;'1332'!$I$9),"x","")</f>
        <v/>
      </c>
      <c r="AD385" s="80" t="str">
        <f>IF(AND($P385=$AB$7,$B385&lt;'1332'!$I$9),"x","")</f>
        <v/>
      </c>
      <c r="AE385" s="80" t="str">
        <f>IF(AND('341-CT'!$H$9=H385,OR(LEFT(O385,3)=$AE$7,LEFT(P385,3)=$AE$7)),"x","")</f>
        <v/>
      </c>
      <c r="AF385" s="80" t="str">
        <f>IF(OR(TH!O385=TH!$AF$7,P385=TH!$AF$7),"x","")</f>
        <v/>
      </c>
      <c r="AG385" s="80"/>
      <c r="AH385" s="80" t="str">
        <f>IF(AND(B385&gt;='IN-NX'!$P$3,B385&lt;='IN-NX'!$Q$3,'IN-NX'!$D$7=D385,OR(LEFT(L385,2)="15",AND(LEFT(M385,2)&lt;&gt;"15",LEFT(M385,2)&lt;&gt;"33"))),"x","")</f>
        <v/>
      </c>
      <c r="AI385" s="80" t="str">
        <f>IF(AND(OR(LEFT(TH!O385,2)="15",LEFT(TH!P385,2)="15"),'152-CT'!$J$8=TH!F385),"x","")</f>
        <v/>
      </c>
      <c r="AJ385" s="80" t="str">
        <f>IF(AND(OR(LEFT(TH!O385,2)="15",LEFT(TH!P385,2)="15"),'THE KHO'!$E$7=TH!F385),"x","")</f>
        <v/>
      </c>
      <c r="AK385" s="80" t="str">
        <f>IF(AND(O385="1521",MONTH(C385)='BK NL'!$M$11),"x","")</f>
        <v/>
      </c>
    </row>
    <row r="386" spans="1:39" ht="15.75" customHeight="1">
      <c r="A386" s="362" t="str">
        <f>IF(B386&lt;&gt;"",IF(AND(B386&gt;=_TM1,B386&lt;=_TM2,OR(TH!O386="1111",TH!P386="1111")),TH!D386,""),"")</f>
        <v/>
      </c>
      <c r="B386" s="63">
        <f t="shared" si="29"/>
        <v>6</v>
      </c>
      <c r="C386" s="337">
        <f t="shared" si="28"/>
        <v>42542</v>
      </c>
      <c r="D386" s="337" t="s">
        <v>8</v>
      </c>
      <c r="E386" s="337">
        <v>42542</v>
      </c>
      <c r="F386" s="338" t="s">
        <v>405</v>
      </c>
      <c r="G386" s="351" t="s">
        <v>798</v>
      </c>
      <c r="H386" s="339" t="s">
        <v>167</v>
      </c>
      <c r="I386" s="476"/>
      <c r="J386" s="476"/>
      <c r="K386" s="469"/>
      <c r="L386" s="476"/>
      <c r="M386" s="65">
        <v>16374064</v>
      </c>
      <c r="N386" s="65"/>
      <c r="O386" s="340" t="s">
        <v>133</v>
      </c>
      <c r="P386" s="340" t="s">
        <v>31</v>
      </c>
      <c r="Q386" s="66" t="str">
        <f>IF(AND('331-CT'!$E$7=TH!H386,OR(O386="331",P386="331")),"x","")</f>
        <v/>
      </c>
      <c r="R386" s="66" t="str">
        <f>IF(AND($B386&gt;='111'!$N$11,$B386&lt;='111'!$O$11,OR($O386=$R$7,$P386=$R$7)),"x","")</f>
        <v/>
      </c>
      <c r="S386" s="66" t="str">
        <f>IF(AND($O386=$R$7,$B386&lt;'111'!$N$11),"x","")</f>
        <v/>
      </c>
      <c r="T386" s="66" t="str">
        <f>IF(AND($P386=$R$7,$B386&lt;'111'!$N$11),"x","")</f>
        <v/>
      </c>
      <c r="U386" s="66" t="str">
        <f>IF(AND($B386&gt;='112'!$M$9,$B386&lt;='112'!$N$9,OR($O386='112'!$I$6,$P386='112'!$I$6)),"x","")</f>
        <v/>
      </c>
      <c r="V386" s="66" t="str">
        <f>IF(AND($O386='112'!$I$6,$B386&lt;'112'!$M$9),"x","")</f>
        <v/>
      </c>
      <c r="W386" s="66" t="str">
        <f>IF(AND($P386='112'!$I$6,$B386&lt;'112'!$M$9),"x","")</f>
        <v>x</v>
      </c>
      <c r="X386" s="66" t="str">
        <f>IF(AND('131-CT'!$H$9=TH!H386,OR(O386="131",P386="131")),"x","")</f>
        <v/>
      </c>
      <c r="Y386" s="80" t="str">
        <f>IF(AND($B386&gt;='1331'!$I$9,$B386&lt;='1331'!$J$9,OR($O386=$Y$7,$P386=$Y$7)),"x","")</f>
        <v/>
      </c>
      <c r="Z386" s="80" t="str">
        <f>IF(AND($O386=$Y$7,$B386&lt;'1331'!$I$9),"x","")</f>
        <v/>
      </c>
      <c r="AA386" s="80" t="str">
        <f>IF(AND($P386=$Y$7,$B386&lt;'1331'!$I$9),"x","")</f>
        <v/>
      </c>
      <c r="AB386" s="80" t="str">
        <f>IF(AND($B386&gt;='1332'!$I$9,$B386&lt;='1332'!$I$9,OR($O386=$AB$7,$P386=$AB$7)),"x","")</f>
        <v/>
      </c>
      <c r="AC386" s="80" t="str">
        <f>IF(AND($O386=$AB$7,$B386&lt;'1332'!$I$9),"x","")</f>
        <v/>
      </c>
      <c r="AD386" s="80" t="str">
        <f>IF(AND($P386=$AB$7,$B386&lt;'1332'!$I$9),"x","")</f>
        <v/>
      </c>
      <c r="AE386" s="80" t="str">
        <f>IF(AND('341-CT'!$H$9=H386,OR(LEFT(O386,3)=$AE$7,LEFT(P386,3)=$AE$7)),"x","")</f>
        <v/>
      </c>
      <c r="AF386" s="80" t="str">
        <f>IF(OR(TH!O386=TH!$AF$7,P386=TH!$AF$7),"x","")</f>
        <v/>
      </c>
      <c r="AG386" s="80"/>
      <c r="AH386" s="80" t="str">
        <f>IF(AND(B386&gt;='IN-NX'!$P$3,B386&lt;='IN-NX'!$Q$3,'IN-NX'!$D$7=D386,OR(LEFT(L386,2)="15",AND(LEFT(M386,2)&lt;&gt;"15",LEFT(M386,2)&lt;&gt;"33"))),"x","")</f>
        <v/>
      </c>
      <c r="AI386" s="80" t="str">
        <f>IF(AND(OR(LEFT(TH!O386,2)="15",LEFT(TH!P386,2)="15"),'152-CT'!$J$8=TH!F386),"x","")</f>
        <v/>
      </c>
      <c r="AJ386" s="80" t="str">
        <f>IF(AND(OR(LEFT(TH!O386,2)="15",LEFT(TH!P386,2)="15"),'THE KHO'!$E$7=TH!F386),"x","")</f>
        <v/>
      </c>
      <c r="AK386" s="80" t="str">
        <f>IF(AND(O386="1521",MONTH(C386)='BK NL'!$M$11),"x","")</f>
        <v/>
      </c>
    </row>
    <row r="387" spans="1:39" ht="15.75" customHeight="1">
      <c r="A387" s="362" t="str">
        <f>IF(B387&lt;&gt;"",IF(AND(B387&gt;=_TM1,B387&lt;=_TM2,OR(TH!O387="1111",TH!P387="1111")),TH!D387,""),"")</f>
        <v/>
      </c>
      <c r="B387" s="63">
        <f t="shared" si="29"/>
        <v>6</v>
      </c>
      <c r="C387" s="337">
        <f t="shared" si="28"/>
        <v>42542</v>
      </c>
      <c r="D387" s="337" t="s">
        <v>8</v>
      </c>
      <c r="E387" s="337">
        <v>42542</v>
      </c>
      <c r="F387" s="338" t="s">
        <v>405</v>
      </c>
      <c r="G387" s="351" t="s">
        <v>798</v>
      </c>
      <c r="H387" s="1026" t="s">
        <v>169</v>
      </c>
      <c r="I387" s="476"/>
      <c r="J387" s="476"/>
      <c r="K387" s="469"/>
      <c r="L387" s="476"/>
      <c r="M387" s="65">
        <v>13099251</v>
      </c>
      <c r="N387" s="65"/>
      <c r="O387" s="340" t="s">
        <v>133</v>
      </c>
      <c r="P387" s="340" t="s">
        <v>31</v>
      </c>
      <c r="Q387" s="66" t="str">
        <f>IF(AND('331-CT'!$E$7=TH!H387,OR(O387="331",P387="331")),"x","")</f>
        <v/>
      </c>
      <c r="R387" s="66" t="str">
        <f>IF(AND($B387&gt;='111'!$N$11,$B387&lt;='111'!$O$11,OR($O387=$R$7,$P387=$R$7)),"x","")</f>
        <v/>
      </c>
      <c r="S387" s="66" t="str">
        <f>IF(AND($O387=$R$7,$B387&lt;'111'!$N$11),"x","")</f>
        <v/>
      </c>
      <c r="T387" s="66" t="str">
        <f>IF(AND($P387=$R$7,$B387&lt;'111'!$N$11),"x","")</f>
        <v/>
      </c>
      <c r="U387" s="66" t="str">
        <f>IF(AND($B387&gt;='112'!$M$9,$B387&lt;='112'!$N$9,OR($O387='112'!$I$6,$P387='112'!$I$6)),"x","")</f>
        <v/>
      </c>
      <c r="V387" s="66" t="str">
        <f>IF(AND($O387='112'!$I$6,$B387&lt;'112'!$M$9),"x","")</f>
        <v/>
      </c>
      <c r="W387" s="66" t="str">
        <f>IF(AND($P387='112'!$I$6,$B387&lt;'112'!$M$9),"x","")</f>
        <v>x</v>
      </c>
      <c r="X387" s="66" t="str">
        <f>IF(AND('131-CT'!$H$9=TH!H387,OR(O387="131",P387="131")),"x","")</f>
        <v/>
      </c>
      <c r="Y387" s="80" t="str">
        <f>IF(AND($B387&gt;='1331'!$I$9,$B387&lt;='1331'!$J$9,OR($O387=$Y$7,$P387=$Y$7)),"x","")</f>
        <v/>
      </c>
      <c r="Z387" s="80" t="str">
        <f>IF(AND($O387=$Y$7,$B387&lt;'1331'!$I$9),"x","")</f>
        <v/>
      </c>
      <c r="AA387" s="80" t="str">
        <f>IF(AND($P387=$Y$7,$B387&lt;'1331'!$I$9),"x","")</f>
        <v/>
      </c>
      <c r="AB387" s="80" t="str">
        <f>IF(AND($B387&gt;='1332'!$I$9,$B387&lt;='1332'!$I$9,OR($O387=$AB$7,$P387=$AB$7)),"x","")</f>
        <v/>
      </c>
      <c r="AC387" s="80" t="str">
        <f>IF(AND($O387=$AB$7,$B387&lt;'1332'!$I$9),"x","")</f>
        <v/>
      </c>
      <c r="AD387" s="80" t="str">
        <f>IF(AND($P387=$AB$7,$B387&lt;'1332'!$I$9),"x","")</f>
        <v/>
      </c>
      <c r="AE387" s="80" t="str">
        <f>IF(AND('341-CT'!$H$9=H387,OR(LEFT(O387,3)=$AE$7,LEFT(P387,3)=$AE$7)),"x","")</f>
        <v/>
      </c>
      <c r="AF387" s="80" t="str">
        <f>IF(OR(TH!O387=TH!$AF$7,P387=TH!$AF$7),"x","")</f>
        <v/>
      </c>
      <c r="AG387" s="80"/>
      <c r="AH387" s="80" t="str">
        <f>IF(AND(B387&gt;='IN-NX'!$P$3,B387&lt;='IN-NX'!$Q$3,'IN-NX'!$D$7=D387,OR(LEFT(L387,2)="15",AND(LEFT(M387,2)&lt;&gt;"15",LEFT(M387,2)&lt;&gt;"33"))),"x","")</f>
        <v/>
      </c>
      <c r="AI387" s="80" t="str">
        <f>IF(AND(OR(LEFT(TH!O387,2)="15",LEFT(TH!P387,2)="15"),'152-CT'!$J$8=TH!F387),"x","")</f>
        <v/>
      </c>
      <c r="AJ387" s="80" t="str">
        <f>IF(AND(OR(LEFT(TH!O387,2)="15",LEFT(TH!P387,2)="15"),'THE KHO'!$E$7=TH!F387),"x","")</f>
        <v/>
      </c>
      <c r="AK387" s="80" t="str">
        <f>IF(AND(O387="1521",MONTH(C387)='BK NL'!$M$11),"x","")</f>
        <v/>
      </c>
    </row>
    <row r="388" spans="1:39" ht="15.75" customHeight="1">
      <c r="A388" s="362" t="str">
        <f>IF(B388&lt;&gt;"",IF(AND(B388&gt;=_TM1,B388&lt;=_TM2,OR(TH!O388="1111",TH!P388="1111")),TH!D388,""),"")</f>
        <v/>
      </c>
      <c r="B388" s="63">
        <f t="shared" si="29"/>
        <v>6</v>
      </c>
      <c r="C388" s="337">
        <f t="shared" si="28"/>
        <v>42542</v>
      </c>
      <c r="D388" s="337" t="s">
        <v>8</v>
      </c>
      <c r="E388" s="337">
        <v>42542</v>
      </c>
      <c r="F388" s="338" t="s">
        <v>405</v>
      </c>
      <c r="G388" s="351" t="s">
        <v>798</v>
      </c>
      <c r="H388" s="339" t="s">
        <v>168</v>
      </c>
      <c r="I388" s="476"/>
      <c r="J388" s="476"/>
      <c r="K388" s="469"/>
      <c r="L388" s="476"/>
      <c r="M388" s="65">
        <v>12280547</v>
      </c>
      <c r="N388" s="65"/>
      <c r="O388" s="340" t="s">
        <v>133</v>
      </c>
      <c r="P388" s="340" t="s">
        <v>31</v>
      </c>
      <c r="Q388" s="66" t="str">
        <f>IF(AND('331-CT'!$E$7=TH!H388,OR(O388="331",P388="331")),"x","")</f>
        <v/>
      </c>
      <c r="R388" s="66" t="str">
        <f>IF(AND($B388&gt;='111'!$N$11,$B388&lt;='111'!$O$11,OR($O388=$R$7,$P388=$R$7)),"x","")</f>
        <v/>
      </c>
      <c r="S388" s="66" t="str">
        <f>IF(AND($O388=$R$7,$B388&lt;'111'!$N$11),"x","")</f>
        <v/>
      </c>
      <c r="T388" s="66" t="str">
        <f>IF(AND($P388=$R$7,$B388&lt;'111'!$N$11),"x","")</f>
        <v/>
      </c>
      <c r="U388" s="66" t="str">
        <f>IF(AND($B388&gt;='112'!$M$9,$B388&lt;='112'!$N$9,OR($O388='112'!$I$6,$P388='112'!$I$6)),"x","")</f>
        <v/>
      </c>
      <c r="V388" s="66" t="str">
        <f>IF(AND($O388='112'!$I$6,$B388&lt;'112'!$M$9),"x","")</f>
        <v/>
      </c>
      <c r="W388" s="66" t="str">
        <f>IF(AND($P388='112'!$I$6,$B388&lt;'112'!$M$9),"x","")</f>
        <v>x</v>
      </c>
      <c r="X388" s="66" t="str">
        <f>IF(AND('131-CT'!$H$9=TH!H388,OR(O388="131",P388="131")),"x","")</f>
        <v/>
      </c>
      <c r="Y388" s="80" t="str">
        <f>IF(AND($B388&gt;='1331'!$I$9,$B388&lt;='1331'!$J$9,OR($O388=$Y$7,$P388=$Y$7)),"x","")</f>
        <v/>
      </c>
      <c r="Z388" s="80" t="str">
        <f>IF(AND($O388=$Y$7,$B388&lt;'1331'!$I$9),"x","")</f>
        <v/>
      </c>
      <c r="AA388" s="80" t="str">
        <f>IF(AND($P388=$Y$7,$B388&lt;'1331'!$I$9),"x","")</f>
        <v/>
      </c>
      <c r="AB388" s="80" t="str">
        <f>IF(AND($B388&gt;='1332'!$I$9,$B388&lt;='1332'!$I$9,OR($O388=$AB$7,$P388=$AB$7)),"x","")</f>
        <v/>
      </c>
      <c r="AC388" s="80" t="str">
        <f>IF(AND($O388=$AB$7,$B388&lt;'1332'!$I$9),"x","")</f>
        <v/>
      </c>
      <c r="AD388" s="80" t="str">
        <f>IF(AND($P388=$AB$7,$B388&lt;'1332'!$I$9),"x","")</f>
        <v/>
      </c>
      <c r="AE388" s="80" t="str">
        <f>IF(AND('341-CT'!$H$9=H388,OR(LEFT(O388,3)=$AE$7,LEFT(P388,3)=$AE$7)),"x","")</f>
        <v/>
      </c>
      <c r="AF388" s="80" t="str">
        <f>IF(OR(TH!O388=TH!$AF$7,P388=TH!$AF$7),"x","")</f>
        <v/>
      </c>
      <c r="AG388" s="80"/>
      <c r="AH388" s="80" t="str">
        <f>IF(AND(B388&gt;='IN-NX'!$P$3,B388&lt;='IN-NX'!$Q$3,'IN-NX'!$D$7=D388,OR(LEFT(L388,2)="15",AND(LEFT(M388,2)&lt;&gt;"15",LEFT(M388,2)&lt;&gt;"33"))),"x","")</f>
        <v/>
      </c>
      <c r="AI388" s="80" t="str">
        <f>IF(AND(OR(LEFT(TH!O388,2)="15",LEFT(TH!P388,2)="15"),'152-CT'!$J$8=TH!F388),"x","")</f>
        <v/>
      </c>
      <c r="AJ388" s="80" t="str">
        <f>IF(AND(OR(LEFT(TH!O388,2)="15",LEFT(TH!P388,2)="15"),'THE KHO'!$E$7=TH!F388),"x","")</f>
        <v/>
      </c>
      <c r="AK388" s="80" t="str">
        <f>IF(AND(O388="1521",MONTH(C388)='BK NL'!$M$11),"x","")</f>
        <v/>
      </c>
    </row>
    <row r="389" spans="1:39" ht="15.75" customHeight="1">
      <c r="A389" s="362" t="str">
        <f>IF(B389&lt;&gt;"",IF(AND(B389&gt;=_TM1,B389&lt;=_TM2,OR(TH!O389="1111",TH!P389="1111")),TH!D389,""),"")</f>
        <v/>
      </c>
      <c r="B389" s="63">
        <f t="shared" si="29"/>
        <v>6</v>
      </c>
      <c r="C389" s="337">
        <f t="shared" si="28"/>
        <v>42542</v>
      </c>
      <c r="D389" s="337" t="s">
        <v>8</v>
      </c>
      <c r="E389" s="337">
        <v>42542</v>
      </c>
      <c r="F389" s="338" t="s">
        <v>405</v>
      </c>
      <c r="G389" s="351" t="s">
        <v>798</v>
      </c>
      <c r="H389" s="339" t="s">
        <v>170</v>
      </c>
      <c r="I389" s="476"/>
      <c r="J389" s="476"/>
      <c r="K389" s="469"/>
      <c r="L389" s="476"/>
      <c r="M389" s="65">
        <v>8187032</v>
      </c>
      <c r="N389" s="65"/>
      <c r="O389" s="340" t="s">
        <v>133</v>
      </c>
      <c r="P389" s="340" t="s">
        <v>31</v>
      </c>
      <c r="Q389" s="66" t="str">
        <f>IF(AND('331-CT'!$E$7=TH!H389,OR(O389="331",P389="331")),"x","")</f>
        <v/>
      </c>
      <c r="R389" s="66" t="str">
        <f>IF(AND($B389&gt;='111'!$N$11,$B389&lt;='111'!$O$11,OR($O389=$R$7,$P389=$R$7)),"x","")</f>
        <v/>
      </c>
      <c r="S389" s="66" t="str">
        <f>IF(AND($O389=$R$7,$B389&lt;'111'!$N$11),"x","")</f>
        <v/>
      </c>
      <c r="T389" s="66" t="str">
        <f>IF(AND($P389=$R$7,$B389&lt;'111'!$N$11),"x","")</f>
        <v/>
      </c>
      <c r="U389" s="66" t="str">
        <f>IF(AND($B389&gt;='112'!$M$9,$B389&lt;='112'!$N$9,OR($O389='112'!$I$6,$P389='112'!$I$6)),"x","")</f>
        <v/>
      </c>
      <c r="V389" s="66" t="str">
        <f>IF(AND($O389='112'!$I$6,$B389&lt;'112'!$M$9),"x","")</f>
        <v/>
      </c>
      <c r="W389" s="66" t="str">
        <f>IF(AND($P389='112'!$I$6,$B389&lt;'112'!$M$9),"x","")</f>
        <v>x</v>
      </c>
      <c r="X389" s="66" t="str">
        <f>IF(AND('131-CT'!$H$9=TH!H389,OR(O389="131",P389="131")),"x","")</f>
        <v/>
      </c>
      <c r="Y389" s="80" t="str">
        <f>IF(AND($B389&gt;='1331'!$I$9,$B389&lt;='1331'!$J$9,OR($O389=$Y$7,$P389=$Y$7)),"x","")</f>
        <v/>
      </c>
      <c r="Z389" s="80" t="str">
        <f>IF(AND($O389=$Y$7,$B389&lt;'1331'!$I$9),"x","")</f>
        <v/>
      </c>
      <c r="AA389" s="80" t="str">
        <f>IF(AND($P389=$Y$7,$B389&lt;'1331'!$I$9),"x","")</f>
        <v/>
      </c>
      <c r="AB389" s="80" t="str">
        <f>IF(AND($B389&gt;='1332'!$I$9,$B389&lt;='1332'!$I$9,OR($O389=$AB$7,$P389=$AB$7)),"x","")</f>
        <v/>
      </c>
      <c r="AC389" s="80" t="str">
        <f>IF(AND($O389=$AB$7,$B389&lt;'1332'!$I$9),"x","")</f>
        <v/>
      </c>
      <c r="AD389" s="80" t="str">
        <f>IF(AND($P389=$AB$7,$B389&lt;'1332'!$I$9),"x","")</f>
        <v/>
      </c>
      <c r="AE389" s="80" t="str">
        <f>IF(AND('341-CT'!$H$9=H389,OR(LEFT(O389,3)=$AE$7,LEFT(P389,3)=$AE$7)),"x","")</f>
        <v/>
      </c>
      <c r="AF389" s="80" t="str">
        <f>IF(OR(TH!O389=TH!$AF$7,P389=TH!$AF$7),"x","")</f>
        <v/>
      </c>
      <c r="AG389" s="80"/>
      <c r="AH389" s="80" t="str">
        <f>IF(AND(B389&gt;='IN-NX'!$P$3,B389&lt;='IN-NX'!$Q$3,'IN-NX'!$D$7=D389,OR(LEFT(L389,2)="15",AND(LEFT(M389,2)&lt;&gt;"15",LEFT(M389,2)&lt;&gt;"33"))),"x","")</f>
        <v/>
      </c>
      <c r="AI389" s="80" t="str">
        <f>IF(AND(OR(LEFT(TH!O389,2)="15",LEFT(TH!P389,2)="15"),'152-CT'!$J$8=TH!F389),"x","")</f>
        <v/>
      </c>
      <c r="AJ389" s="80" t="str">
        <f>IF(AND(OR(LEFT(TH!O389,2)="15",LEFT(TH!P389,2)="15"),'THE KHO'!$E$7=TH!F389),"x","")</f>
        <v/>
      </c>
      <c r="AK389" s="80" t="str">
        <f>IF(AND(O389="1521",MONTH(C389)='BK NL'!$M$11),"x","")</f>
        <v/>
      </c>
    </row>
    <row r="390" spans="1:39" ht="15.75" customHeight="1">
      <c r="A390" s="362" t="str">
        <f>IF(B390&lt;&gt;"",IF(AND(B390&gt;=_TM1,B390&lt;=_TM2,OR(TH!O390="1111",TH!P390="1111")),TH!D390,""),"")</f>
        <v/>
      </c>
      <c r="B390" s="63">
        <f t="shared" si="29"/>
        <v>6</v>
      </c>
      <c r="C390" s="337">
        <f t="shared" si="28"/>
        <v>42542</v>
      </c>
      <c r="D390" s="337" t="s">
        <v>8</v>
      </c>
      <c r="E390" s="337">
        <v>42542</v>
      </c>
      <c r="F390" s="338" t="s">
        <v>405</v>
      </c>
      <c r="G390" s="351" t="s">
        <v>798</v>
      </c>
      <c r="H390" s="339" t="s">
        <v>171</v>
      </c>
      <c r="I390" s="476"/>
      <c r="J390" s="476"/>
      <c r="K390" s="469"/>
      <c r="L390" s="476"/>
      <c r="M390" s="65">
        <v>12280547</v>
      </c>
      <c r="N390" s="65"/>
      <c r="O390" s="340" t="s">
        <v>133</v>
      </c>
      <c r="P390" s="340" t="s">
        <v>31</v>
      </c>
      <c r="Q390" s="66" t="str">
        <f>IF(AND('331-CT'!$E$7=TH!H390,OR(O390="331",P390="331")),"x","")</f>
        <v/>
      </c>
      <c r="R390" s="66" t="str">
        <f>IF(AND($B390&gt;='111'!$N$11,$B390&lt;='111'!$O$11,OR($O390=$R$7,$P390=$R$7)),"x","")</f>
        <v/>
      </c>
      <c r="S390" s="66" t="str">
        <f>IF(AND($O390=$R$7,$B390&lt;'111'!$N$11),"x","")</f>
        <v/>
      </c>
      <c r="T390" s="66" t="str">
        <f>IF(AND($P390=$R$7,$B390&lt;'111'!$N$11),"x","")</f>
        <v/>
      </c>
      <c r="U390" s="66" t="str">
        <f>IF(AND($B390&gt;='112'!$M$9,$B390&lt;='112'!$N$9,OR($O390='112'!$I$6,$P390='112'!$I$6)),"x","")</f>
        <v/>
      </c>
      <c r="V390" s="66" t="str">
        <f>IF(AND($O390='112'!$I$6,$B390&lt;'112'!$M$9),"x","")</f>
        <v/>
      </c>
      <c r="W390" s="66" t="str">
        <f>IF(AND($P390='112'!$I$6,$B390&lt;'112'!$M$9),"x","")</f>
        <v>x</v>
      </c>
      <c r="X390" s="66" t="str">
        <f>IF(AND('131-CT'!$H$9=TH!H390,OR(O390="131",P390="131")),"x","")</f>
        <v/>
      </c>
      <c r="Y390" s="80" t="str">
        <f>IF(AND($B390&gt;='1331'!$I$9,$B390&lt;='1331'!$J$9,OR($O390=$Y$7,$P390=$Y$7)),"x","")</f>
        <v/>
      </c>
      <c r="Z390" s="80" t="str">
        <f>IF(AND($O390=$Y$7,$B390&lt;'1331'!$I$9),"x","")</f>
        <v/>
      </c>
      <c r="AA390" s="80" t="str">
        <f>IF(AND($P390=$Y$7,$B390&lt;'1331'!$I$9),"x","")</f>
        <v/>
      </c>
      <c r="AB390" s="80" t="str">
        <f>IF(AND($B390&gt;='1332'!$I$9,$B390&lt;='1332'!$I$9,OR($O390=$AB$7,$P390=$AB$7)),"x","")</f>
        <v/>
      </c>
      <c r="AC390" s="80" t="str">
        <f>IF(AND($O390=$AB$7,$B390&lt;'1332'!$I$9),"x","")</f>
        <v/>
      </c>
      <c r="AD390" s="80" t="str">
        <f>IF(AND($P390=$AB$7,$B390&lt;'1332'!$I$9),"x","")</f>
        <v/>
      </c>
      <c r="AE390" s="80" t="str">
        <f>IF(AND('341-CT'!$H$9=H390,OR(LEFT(O390,3)=$AE$7,LEFT(P390,3)=$AE$7)),"x","")</f>
        <v/>
      </c>
      <c r="AF390" s="80" t="str">
        <f>IF(OR(TH!O390=TH!$AF$7,P390=TH!$AF$7),"x","")</f>
        <v/>
      </c>
      <c r="AG390" s="80"/>
      <c r="AH390" s="80" t="str">
        <f>IF(AND(B390&gt;='IN-NX'!$P$3,B390&lt;='IN-NX'!$Q$3,'IN-NX'!$D$7=D390,OR(LEFT(L390,2)="15",AND(LEFT(M390,2)&lt;&gt;"15",LEFT(M390,2)&lt;&gt;"33"))),"x","")</f>
        <v/>
      </c>
      <c r="AI390" s="80" t="str">
        <f>IF(AND(OR(LEFT(TH!O390,2)="15",LEFT(TH!P390,2)="15"),'152-CT'!$J$8=TH!F390),"x","")</f>
        <v/>
      </c>
      <c r="AJ390" s="80" t="str">
        <f>IF(AND(OR(LEFT(TH!O390,2)="15",LEFT(TH!P390,2)="15"),'THE KHO'!$E$7=TH!F390),"x","")</f>
        <v/>
      </c>
      <c r="AK390" s="80" t="str">
        <f>IF(AND(O390="1521",MONTH(C390)='BK NL'!$M$11),"x","")</f>
        <v/>
      </c>
    </row>
    <row r="391" spans="1:39" ht="15.75" customHeight="1">
      <c r="A391" s="362" t="str">
        <f>IF(B391&lt;&gt;"",IF(AND(B391&gt;=_TM1,B391&lt;=_TM2,OR(TH!O391="1111",TH!P391="1111")),TH!D391,""),"")</f>
        <v/>
      </c>
      <c r="B391" s="63">
        <f t="shared" si="29"/>
        <v>6</v>
      </c>
      <c r="C391" s="337">
        <f t="shared" si="28"/>
        <v>42542</v>
      </c>
      <c r="D391" s="337" t="s">
        <v>8</v>
      </c>
      <c r="E391" s="337">
        <v>42542</v>
      </c>
      <c r="F391" s="338" t="s">
        <v>405</v>
      </c>
      <c r="G391" s="351" t="s">
        <v>798</v>
      </c>
      <c r="H391" s="339" t="s">
        <v>172</v>
      </c>
      <c r="I391" s="476"/>
      <c r="J391" s="476"/>
      <c r="K391" s="469"/>
      <c r="L391" s="476"/>
      <c r="M391" s="65">
        <v>16374064</v>
      </c>
      <c r="N391" s="65"/>
      <c r="O391" s="340" t="s">
        <v>133</v>
      </c>
      <c r="P391" s="340" t="s">
        <v>31</v>
      </c>
      <c r="Q391" s="66" t="str">
        <f>IF(AND('331-CT'!$E$7=TH!H391,OR(O391="331",P391="331")),"x","")</f>
        <v/>
      </c>
      <c r="R391" s="66" t="str">
        <f>IF(AND($B391&gt;='111'!$N$11,$B391&lt;='111'!$O$11,OR($O391=$R$7,$P391=$R$7)),"x","")</f>
        <v/>
      </c>
      <c r="S391" s="66" t="str">
        <f>IF(AND($O391=$R$7,$B391&lt;'111'!$N$11),"x","")</f>
        <v/>
      </c>
      <c r="T391" s="66" t="str">
        <f>IF(AND($P391=$R$7,$B391&lt;'111'!$N$11),"x","")</f>
        <v/>
      </c>
      <c r="U391" s="66" t="str">
        <f>IF(AND($B391&gt;='112'!$M$9,$B391&lt;='112'!$N$9,OR($O391='112'!$I$6,$P391='112'!$I$6)),"x","")</f>
        <v/>
      </c>
      <c r="V391" s="66" t="str">
        <f>IF(AND($O391='112'!$I$6,$B391&lt;'112'!$M$9),"x","")</f>
        <v/>
      </c>
      <c r="W391" s="66" t="str">
        <f>IF(AND($P391='112'!$I$6,$B391&lt;'112'!$M$9),"x","")</f>
        <v>x</v>
      </c>
      <c r="X391" s="66" t="str">
        <f>IF(AND('131-CT'!$H$9=TH!H391,OR(O391="131",P391="131")),"x","")</f>
        <v/>
      </c>
      <c r="Y391" s="80" t="str">
        <f>IF(AND($B391&gt;='1331'!$I$9,$B391&lt;='1331'!$J$9,OR($O391=$Y$7,$P391=$Y$7)),"x","")</f>
        <v/>
      </c>
      <c r="Z391" s="80" t="str">
        <f>IF(AND($O391=$Y$7,$B391&lt;'1331'!$I$9),"x","")</f>
        <v/>
      </c>
      <c r="AA391" s="80" t="str">
        <f>IF(AND($P391=$Y$7,$B391&lt;'1331'!$I$9),"x","")</f>
        <v/>
      </c>
      <c r="AB391" s="80" t="str">
        <f>IF(AND($B391&gt;='1332'!$I$9,$B391&lt;='1332'!$I$9,OR($O391=$AB$7,$P391=$AB$7)),"x","")</f>
        <v/>
      </c>
      <c r="AC391" s="80" t="str">
        <f>IF(AND($O391=$AB$7,$B391&lt;'1332'!$I$9),"x","")</f>
        <v/>
      </c>
      <c r="AD391" s="80" t="str">
        <f>IF(AND($P391=$AB$7,$B391&lt;'1332'!$I$9),"x","")</f>
        <v/>
      </c>
      <c r="AE391" s="80" t="str">
        <f>IF(AND('341-CT'!$H$9=H391,OR(LEFT(O391,3)=$AE$7,LEFT(P391,3)=$AE$7)),"x","")</f>
        <v/>
      </c>
      <c r="AF391" s="80" t="str">
        <f>IF(OR(TH!O391=TH!$AF$7,P391=TH!$AF$7),"x","")</f>
        <v/>
      </c>
      <c r="AG391" s="80"/>
      <c r="AH391" s="80" t="str">
        <f>IF(AND(B391&gt;='IN-NX'!$P$3,B391&lt;='IN-NX'!$Q$3,'IN-NX'!$D$7=D391,OR(LEFT(L391,2)="15",AND(LEFT(M391,2)&lt;&gt;"15",LEFT(M391,2)&lt;&gt;"33"))),"x","")</f>
        <v/>
      </c>
      <c r="AI391" s="80" t="str">
        <f>IF(AND(OR(LEFT(TH!O391,2)="15",LEFT(TH!P391,2)="15"),'152-CT'!$J$8=TH!F391),"x","")</f>
        <v/>
      </c>
      <c r="AJ391" s="80" t="str">
        <f>IF(AND(OR(LEFT(TH!O391,2)="15",LEFT(TH!P391,2)="15"),'THE KHO'!$E$7=TH!F391),"x","")</f>
        <v/>
      </c>
      <c r="AK391" s="80" t="str">
        <f>IF(AND(O391="1521",MONTH(C391)='BK NL'!$M$11),"x","")</f>
        <v/>
      </c>
    </row>
    <row r="392" spans="1:39" ht="15.75" customHeight="1">
      <c r="A392" s="362" t="str">
        <f>IF(B392&lt;&gt;"",IF(AND(B392&gt;=_TM1,B392&lt;=_TM2,OR(TH!O392="1111",TH!P392="1111")),TH!D392,""),"")</f>
        <v/>
      </c>
      <c r="B392" s="63">
        <f t="shared" si="29"/>
        <v>6</v>
      </c>
      <c r="C392" s="337">
        <f t="shared" si="28"/>
        <v>42542</v>
      </c>
      <c r="D392" s="337" t="s">
        <v>8</v>
      </c>
      <c r="E392" s="337">
        <v>42542</v>
      </c>
      <c r="F392" s="338" t="s">
        <v>405</v>
      </c>
      <c r="G392" s="351" t="s">
        <v>798</v>
      </c>
      <c r="H392" s="339" t="s">
        <v>173</v>
      </c>
      <c r="I392" s="476"/>
      <c r="J392" s="476"/>
      <c r="K392" s="469"/>
      <c r="L392" s="476"/>
      <c r="M392" s="65">
        <v>11461845</v>
      </c>
      <c r="N392" s="65"/>
      <c r="O392" s="340" t="s">
        <v>133</v>
      </c>
      <c r="P392" s="340" t="s">
        <v>31</v>
      </c>
      <c r="Q392" s="66" t="str">
        <f>IF(AND('331-CT'!$E$7=TH!H392,OR(O392="331",P392="331")),"x","")</f>
        <v/>
      </c>
      <c r="R392" s="66" t="str">
        <f>IF(AND($B392&gt;='111'!$N$11,$B392&lt;='111'!$O$11,OR($O392=$R$7,$P392=$R$7)),"x","")</f>
        <v/>
      </c>
      <c r="S392" s="66" t="str">
        <f>IF(AND($O392=$R$7,$B392&lt;'111'!$N$11),"x","")</f>
        <v/>
      </c>
      <c r="T392" s="66" t="str">
        <f>IF(AND($P392=$R$7,$B392&lt;'111'!$N$11),"x","")</f>
        <v/>
      </c>
      <c r="U392" s="66" t="str">
        <f>IF(AND($B392&gt;='112'!$M$9,$B392&lt;='112'!$N$9,OR($O392='112'!$I$6,$P392='112'!$I$6)),"x","")</f>
        <v/>
      </c>
      <c r="V392" s="66" t="str">
        <f>IF(AND($O392='112'!$I$6,$B392&lt;'112'!$M$9),"x","")</f>
        <v/>
      </c>
      <c r="W392" s="66" t="str">
        <f>IF(AND($P392='112'!$I$6,$B392&lt;'112'!$M$9),"x","")</f>
        <v>x</v>
      </c>
      <c r="X392" s="66" t="str">
        <f>IF(AND('131-CT'!$H$9=TH!H392,OR(O392="131",P392="131")),"x","")</f>
        <v/>
      </c>
      <c r="Y392" s="80" t="str">
        <f>IF(AND($B392&gt;='1331'!$I$9,$B392&lt;='1331'!$J$9,OR($O392=$Y$7,$P392=$Y$7)),"x","")</f>
        <v/>
      </c>
      <c r="Z392" s="80" t="str">
        <f>IF(AND($O392=$Y$7,$B392&lt;'1331'!$I$9),"x","")</f>
        <v/>
      </c>
      <c r="AA392" s="80" t="str">
        <f>IF(AND($P392=$Y$7,$B392&lt;'1331'!$I$9),"x","")</f>
        <v/>
      </c>
      <c r="AB392" s="80" t="str">
        <f>IF(AND($B392&gt;='1332'!$I$9,$B392&lt;='1332'!$I$9,OR($O392=$AB$7,$P392=$AB$7)),"x","")</f>
        <v/>
      </c>
      <c r="AC392" s="80" t="str">
        <f>IF(AND($O392=$AB$7,$B392&lt;'1332'!$I$9),"x","")</f>
        <v/>
      </c>
      <c r="AD392" s="80" t="str">
        <f>IF(AND($P392=$AB$7,$B392&lt;'1332'!$I$9),"x","")</f>
        <v/>
      </c>
      <c r="AE392" s="80" t="str">
        <f>IF(AND('341-CT'!$H$9=H392,OR(LEFT(O392,3)=$AE$7,LEFT(P392,3)=$AE$7)),"x","")</f>
        <v/>
      </c>
      <c r="AF392" s="80" t="str">
        <f>IF(OR(TH!O392=TH!$AF$7,P392=TH!$AF$7),"x","")</f>
        <v/>
      </c>
      <c r="AG392" s="80"/>
      <c r="AH392" s="80" t="str">
        <f>IF(AND(B392&gt;='IN-NX'!$P$3,B392&lt;='IN-NX'!$Q$3,'IN-NX'!$D$7=D392,OR(LEFT(L392,2)="15",AND(LEFT(M392,2)&lt;&gt;"15",LEFT(M392,2)&lt;&gt;"33"))),"x","")</f>
        <v/>
      </c>
      <c r="AI392" s="80" t="str">
        <f>IF(AND(OR(LEFT(TH!O392,2)="15",LEFT(TH!P392,2)="15"),'152-CT'!$J$8=TH!F392),"x","")</f>
        <v/>
      </c>
      <c r="AJ392" s="80" t="str">
        <f>IF(AND(OR(LEFT(TH!O392,2)="15",LEFT(TH!P392,2)="15"),'THE KHO'!$E$7=TH!F392),"x","")</f>
        <v/>
      </c>
      <c r="AK392" s="80" t="str">
        <f>IF(AND(O392="1521",MONTH(C392)='BK NL'!$M$11),"x","")</f>
        <v/>
      </c>
    </row>
    <row r="393" spans="1:39" ht="15.75" customHeight="1">
      <c r="A393" s="362" t="str">
        <f>IF(B393&lt;&gt;"",IF(AND(B393&gt;=_TM1,B393&lt;=_TM2,OR(TH!O393="1111",TH!P393="1111")),TH!D393,""),"")</f>
        <v/>
      </c>
      <c r="B393" s="63">
        <f t="shared" si="29"/>
        <v>6</v>
      </c>
      <c r="C393" s="337">
        <f t="shared" si="28"/>
        <v>42542</v>
      </c>
      <c r="D393" s="337" t="s">
        <v>8</v>
      </c>
      <c r="E393" s="337">
        <v>42542</v>
      </c>
      <c r="F393" s="338" t="s">
        <v>405</v>
      </c>
      <c r="G393" s="351" t="s">
        <v>798</v>
      </c>
      <c r="H393" s="368" t="s">
        <v>174</v>
      </c>
      <c r="I393" s="476"/>
      <c r="J393" s="476"/>
      <c r="K393" s="469"/>
      <c r="L393" s="476"/>
      <c r="M393" s="65">
        <v>12280547</v>
      </c>
      <c r="N393" s="65"/>
      <c r="O393" s="340" t="s">
        <v>133</v>
      </c>
      <c r="P393" s="340" t="s">
        <v>31</v>
      </c>
      <c r="Q393" s="66" t="str">
        <f>IF(AND('331-CT'!$E$7=TH!H393,OR(O393="331",P393="331")),"x","")</f>
        <v/>
      </c>
      <c r="R393" s="66" t="str">
        <f>IF(AND($B393&gt;='111'!$N$11,$B393&lt;='111'!$O$11,OR($O393=$R$7,$P393=$R$7)),"x","")</f>
        <v/>
      </c>
      <c r="S393" s="66" t="str">
        <f>IF(AND($O393=$R$7,$B393&lt;'111'!$N$11),"x","")</f>
        <v/>
      </c>
      <c r="T393" s="66" t="str">
        <f>IF(AND($P393=$R$7,$B393&lt;'111'!$N$11),"x","")</f>
        <v/>
      </c>
      <c r="U393" s="66" t="str">
        <f>IF(AND($B393&gt;='112'!$M$9,$B393&lt;='112'!$N$9,OR($O393='112'!$I$6,$P393='112'!$I$6)),"x","")</f>
        <v/>
      </c>
      <c r="V393" s="66" t="str">
        <f>IF(AND($O393='112'!$I$6,$B393&lt;'112'!$M$9),"x","")</f>
        <v/>
      </c>
      <c r="W393" s="66" t="str">
        <f>IF(AND($P393='112'!$I$6,$B393&lt;'112'!$M$9),"x","")</f>
        <v>x</v>
      </c>
      <c r="X393" s="66" t="str">
        <f>IF(AND('131-CT'!$H$9=TH!H393,OR(O393="131",P393="131")),"x","")</f>
        <v/>
      </c>
      <c r="Y393" s="80" t="str">
        <f>IF(AND($B393&gt;='1331'!$I$9,$B393&lt;='1331'!$J$9,OR($O393=$Y$7,$P393=$Y$7)),"x","")</f>
        <v/>
      </c>
      <c r="Z393" s="80" t="str">
        <f>IF(AND($O393=$Y$7,$B393&lt;'1331'!$I$9),"x","")</f>
        <v/>
      </c>
      <c r="AA393" s="80" t="str">
        <f>IF(AND($P393=$Y$7,$B393&lt;'1331'!$I$9),"x","")</f>
        <v/>
      </c>
      <c r="AB393" s="80" t="str">
        <f>IF(AND($B393&gt;='1332'!$I$9,$B393&lt;='1332'!$I$9,OR($O393=$AB$7,$P393=$AB$7)),"x","")</f>
        <v/>
      </c>
      <c r="AC393" s="80" t="str">
        <f>IF(AND($O393=$AB$7,$B393&lt;'1332'!$I$9),"x","")</f>
        <v/>
      </c>
      <c r="AD393" s="80" t="str">
        <f>IF(AND($P393=$AB$7,$B393&lt;'1332'!$I$9),"x","")</f>
        <v/>
      </c>
      <c r="AE393" s="80" t="str">
        <f>IF(AND('341-CT'!$H$9=H393,OR(LEFT(O393,3)=$AE$7,LEFT(P393,3)=$AE$7)),"x","")</f>
        <v/>
      </c>
      <c r="AF393" s="80" t="str">
        <f>IF(OR(TH!O393=TH!$AF$7,P393=TH!$AF$7),"x","")</f>
        <v/>
      </c>
      <c r="AG393" s="80"/>
      <c r="AH393" s="80" t="str">
        <f>IF(AND(B393&gt;='IN-NX'!$P$3,B393&lt;='IN-NX'!$Q$3,'IN-NX'!$D$7=D393,OR(LEFT(L393,2)="15",AND(LEFT(M393,2)&lt;&gt;"15",LEFT(M393,2)&lt;&gt;"33"))),"x","")</f>
        <v/>
      </c>
      <c r="AI393" s="80" t="str">
        <f>IF(AND(OR(LEFT(TH!O393,2)="15",LEFT(TH!P393,2)="15"),'152-CT'!$J$8=TH!F393),"x","")</f>
        <v/>
      </c>
      <c r="AJ393" s="80" t="str">
        <f>IF(AND(OR(LEFT(TH!O393,2)="15",LEFT(TH!P393,2)="15"),'THE KHO'!$E$7=TH!F393),"x","")</f>
        <v/>
      </c>
      <c r="AK393" s="80" t="str">
        <f>IF(AND(O393="1521",MONTH(C393)='BK NL'!$M$11),"x","")</f>
        <v/>
      </c>
    </row>
    <row r="394" spans="1:39" ht="15.75" customHeight="1">
      <c r="A394" s="362" t="str">
        <f>IF(B394&lt;&gt;"",IF(AND(B394&gt;=_TM1,B394&lt;=_TM2,OR(TH!O394="1111",TH!P394="1111")),TH!D394,""),"")</f>
        <v/>
      </c>
      <c r="B394" s="63">
        <f t="shared" si="29"/>
        <v>6</v>
      </c>
      <c r="C394" s="337">
        <f t="shared" si="28"/>
        <v>42542</v>
      </c>
      <c r="D394" s="337" t="s">
        <v>8</v>
      </c>
      <c r="E394" s="337">
        <v>42542</v>
      </c>
      <c r="F394" s="338" t="s">
        <v>405</v>
      </c>
      <c r="G394" s="351" t="s">
        <v>798</v>
      </c>
      <c r="H394" s="339" t="s">
        <v>176</v>
      </c>
      <c r="I394" s="476"/>
      <c r="J394" s="476"/>
      <c r="K394" s="469"/>
      <c r="L394" s="476"/>
      <c r="M394" s="65">
        <v>12280547</v>
      </c>
      <c r="N394" s="65"/>
      <c r="O394" s="340" t="s">
        <v>133</v>
      </c>
      <c r="P394" s="340" t="s">
        <v>31</v>
      </c>
      <c r="Q394" s="66" t="str">
        <f>IF(AND('331-CT'!$E$7=TH!H394,OR(O394="331",P394="331")),"x","")</f>
        <v/>
      </c>
      <c r="R394" s="66" t="str">
        <f>IF(AND($B394&gt;='111'!$N$11,$B394&lt;='111'!$O$11,OR($O394=$R$7,$P394=$R$7)),"x","")</f>
        <v/>
      </c>
      <c r="S394" s="66" t="str">
        <f>IF(AND($O394=$R$7,$B394&lt;'111'!$N$11),"x","")</f>
        <v/>
      </c>
      <c r="T394" s="66" t="str">
        <f>IF(AND($P394=$R$7,$B394&lt;'111'!$N$11),"x","")</f>
        <v/>
      </c>
      <c r="U394" s="66" t="str">
        <f>IF(AND($B394&gt;='112'!$M$9,$B394&lt;='112'!$N$9,OR($O394='112'!$I$6,$P394='112'!$I$6)),"x","")</f>
        <v/>
      </c>
      <c r="V394" s="66" t="str">
        <f>IF(AND($O394='112'!$I$6,$B394&lt;'112'!$M$9),"x","")</f>
        <v/>
      </c>
      <c r="W394" s="66" t="str">
        <f>IF(AND($P394='112'!$I$6,$B394&lt;'112'!$M$9),"x","")</f>
        <v>x</v>
      </c>
      <c r="X394" s="66" t="str">
        <f>IF(AND('131-CT'!$H$9=TH!H394,OR(O394="131",P394="131")),"x","")</f>
        <v/>
      </c>
      <c r="Y394" s="80" t="str">
        <f>IF(AND($B394&gt;='1331'!$I$9,$B394&lt;='1331'!$J$9,OR($O394=$Y$7,$P394=$Y$7)),"x","")</f>
        <v/>
      </c>
      <c r="Z394" s="80" t="str">
        <f>IF(AND($O394=$Y$7,$B394&lt;'1331'!$I$9),"x","")</f>
        <v/>
      </c>
      <c r="AA394" s="80" t="str">
        <f>IF(AND($P394=$Y$7,$B394&lt;'1331'!$I$9),"x","")</f>
        <v/>
      </c>
      <c r="AB394" s="80" t="str">
        <f>IF(AND($B394&gt;='1332'!$I$9,$B394&lt;='1332'!$I$9,OR($O394=$AB$7,$P394=$AB$7)),"x","")</f>
        <v/>
      </c>
      <c r="AC394" s="80" t="str">
        <f>IF(AND($O394=$AB$7,$B394&lt;'1332'!$I$9),"x","")</f>
        <v/>
      </c>
      <c r="AD394" s="80" t="str">
        <f>IF(AND($P394=$AB$7,$B394&lt;'1332'!$I$9),"x","")</f>
        <v/>
      </c>
      <c r="AE394" s="80" t="str">
        <f>IF(AND('341-CT'!$H$9=H394,OR(LEFT(O394,3)=$AE$7,LEFT(P394,3)=$AE$7)),"x","")</f>
        <v/>
      </c>
      <c r="AF394" s="80" t="str">
        <f>IF(OR(TH!O394=TH!$AF$7,P394=TH!$AF$7),"x","")</f>
        <v/>
      </c>
      <c r="AG394" s="80"/>
      <c r="AH394" s="80" t="str">
        <f>IF(AND(B394&gt;='IN-NX'!$P$3,B394&lt;='IN-NX'!$Q$3,'IN-NX'!$D$7=D394,OR(LEFT(L394,2)="15",AND(LEFT(M394,2)&lt;&gt;"15",LEFT(M394,2)&lt;&gt;"33"))),"x","")</f>
        <v/>
      </c>
      <c r="AI394" s="80" t="str">
        <f>IF(AND(OR(LEFT(TH!O394,2)="15",LEFT(TH!P394,2)="15"),'152-CT'!$J$8=TH!F394),"x","")</f>
        <v/>
      </c>
      <c r="AJ394" s="80" t="str">
        <f>IF(AND(OR(LEFT(TH!O394,2)="15",LEFT(TH!P394,2)="15"),'THE KHO'!$E$7=TH!F394),"x","")</f>
        <v/>
      </c>
      <c r="AK394" s="80" t="str">
        <f>IF(AND(O394="1521",MONTH(C394)='BK NL'!$M$11),"x","")</f>
        <v/>
      </c>
    </row>
    <row r="395" spans="1:39" ht="15.75" customHeight="1">
      <c r="A395" s="362" t="str">
        <f>IF(B395&lt;&gt;"",IF(AND(B395&gt;=_TM1,B395&lt;=_TM2,OR(TH!O395="1111",TH!P395="1111")),TH!D395,""),"")</f>
        <v/>
      </c>
      <c r="B395" s="63">
        <f t="shared" si="29"/>
        <v>6</v>
      </c>
      <c r="C395" s="337">
        <f t="shared" si="28"/>
        <v>42542</v>
      </c>
      <c r="D395" s="337" t="s">
        <v>8</v>
      </c>
      <c r="E395" s="337">
        <v>42542</v>
      </c>
      <c r="F395" s="338" t="s">
        <v>405</v>
      </c>
      <c r="G395" s="351" t="s">
        <v>798</v>
      </c>
      <c r="H395" s="368" t="s">
        <v>179</v>
      </c>
      <c r="I395" s="480"/>
      <c r="J395" s="480"/>
      <c r="K395" s="473"/>
      <c r="L395" s="480"/>
      <c r="M395" s="65">
        <v>12280547</v>
      </c>
      <c r="N395" s="65"/>
      <c r="O395" s="340" t="s">
        <v>133</v>
      </c>
      <c r="P395" s="340" t="s">
        <v>31</v>
      </c>
      <c r="Q395" s="66" t="str">
        <f>IF(AND('331-CT'!$E$7=TH!H395,OR(O395="331",P395="331")),"x","")</f>
        <v/>
      </c>
      <c r="R395" s="66" t="str">
        <f>IF(AND($B395&gt;='111'!$N$11,$B395&lt;='111'!$O$11,OR($O395=$R$7,$P395=$R$7)),"x","")</f>
        <v/>
      </c>
      <c r="S395" s="66" t="str">
        <f>IF(AND($O395=$R$7,$B395&lt;'111'!$N$11),"x","")</f>
        <v/>
      </c>
      <c r="T395" s="66" t="str">
        <f>IF(AND($P395=$R$7,$B395&lt;'111'!$N$11),"x","")</f>
        <v/>
      </c>
      <c r="U395" s="66" t="str">
        <f>IF(AND($B395&gt;='112'!$M$9,$B395&lt;='112'!$N$9,OR($O395='112'!$I$6,$P395='112'!$I$6)),"x","")</f>
        <v/>
      </c>
      <c r="V395" s="66" t="str">
        <f>IF(AND($O395='112'!$I$6,$B395&lt;'112'!$M$9),"x","")</f>
        <v/>
      </c>
      <c r="W395" s="66" t="str">
        <f>IF(AND($P395='112'!$I$6,$B395&lt;'112'!$M$9),"x","")</f>
        <v>x</v>
      </c>
      <c r="X395" s="66" t="str">
        <f>IF(AND('131-CT'!$H$9=TH!H395,OR(O395="131",P395="131")),"x","")</f>
        <v/>
      </c>
      <c r="Y395" s="80" t="str">
        <f>IF(AND($B395&gt;='1331'!$I$9,$B395&lt;='1331'!$J$9,OR($O395=$Y$7,$P395=$Y$7)),"x","")</f>
        <v/>
      </c>
      <c r="Z395" s="80" t="str">
        <f>IF(AND($O395=$Y$7,$B395&lt;'1331'!$I$9),"x","")</f>
        <v/>
      </c>
      <c r="AA395" s="80" t="str">
        <f>IF(AND($P395=$Y$7,$B395&lt;'1331'!$I$9),"x","")</f>
        <v/>
      </c>
      <c r="AB395" s="80" t="str">
        <f>IF(AND($B395&gt;='1332'!$I$9,$B395&lt;='1332'!$I$9,OR($O395=$AB$7,$P395=$AB$7)),"x","")</f>
        <v/>
      </c>
      <c r="AC395" s="80" t="str">
        <f>IF(AND($O395=$AB$7,$B395&lt;'1332'!$I$9),"x","")</f>
        <v/>
      </c>
      <c r="AD395" s="80" t="str">
        <f>IF(AND($P395=$AB$7,$B395&lt;'1332'!$I$9),"x","")</f>
        <v/>
      </c>
      <c r="AE395" s="80" t="str">
        <f>IF(AND('341-CT'!$H$9=H395,OR(LEFT(O395,3)=$AE$7,LEFT(P395,3)=$AE$7)),"x","")</f>
        <v/>
      </c>
      <c r="AF395" s="80" t="str">
        <f>IF(OR(TH!O395=TH!$AF$7,P395=TH!$AF$7),"x","")</f>
        <v/>
      </c>
      <c r="AG395" s="80"/>
      <c r="AH395" s="80" t="str">
        <f>IF(AND(B395&gt;='IN-NX'!$P$3,B395&lt;='IN-NX'!$Q$3,'IN-NX'!$D$7=D395,OR(LEFT(L395,2)="15",AND(LEFT(M395,2)&lt;&gt;"15",LEFT(M395,2)&lt;&gt;"33"))),"x","")</f>
        <v/>
      </c>
      <c r="AI395" s="80" t="str">
        <f>IF(AND(OR(LEFT(TH!O395,2)="15",LEFT(TH!P395,2)="15"),'152-CT'!$J$8=TH!F395),"x","")</f>
        <v/>
      </c>
      <c r="AJ395" s="80" t="str">
        <f>IF(AND(OR(LEFT(TH!O395,2)="15",LEFT(TH!P395,2)="15"),'THE KHO'!$E$7=TH!F395),"x","")</f>
        <v/>
      </c>
      <c r="AK395" s="80" t="str">
        <f>IF(AND(O395="1521",MONTH(C395)='BK NL'!$M$11),"x","")</f>
        <v/>
      </c>
    </row>
    <row r="396" spans="1:39" ht="15.75" customHeight="1">
      <c r="A396" s="362" t="str">
        <f>IF(B396&lt;&gt;"",IF(AND(B396&gt;=_TM1,B396&lt;=_TM2,OR(TH!O396="1111",TH!P396="1111")),TH!D396,""),"")</f>
        <v/>
      </c>
      <c r="B396" s="63">
        <f t="shared" si="29"/>
        <v>6</v>
      </c>
      <c r="C396" s="337">
        <f t="shared" si="28"/>
        <v>42542</v>
      </c>
      <c r="D396" s="337" t="s">
        <v>8</v>
      </c>
      <c r="E396" s="337">
        <v>42542</v>
      </c>
      <c r="F396" s="338" t="s">
        <v>405</v>
      </c>
      <c r="G396" s="351" t="s">
        <v>798</v>
      </c>
      <c r="H396" s="339" t="s">
        <v>180</v>
      </c>
      <c r="I396" s="476"/>
      <c r="J396" s="476"/>
      <c r="K396" s="469"/>
      <c r="L396" s="476"/>
      <c r="M396" s="65">
        <v>8187032</v>
      </c>
      <c r="N396" s="65"/>
      <c r="O396" s="340" t="s">
        <v>133</v>
      </c>
      <c r="P396" s="340" t="s">
        <v>31</v>
      </c>
      <c r="Q396" s="66" t="str">
        <f>IF(AND('331-CT'!$E$7=TH!H396,OR(O396="331",P396="331")),"x","")</f>
        <v/>
      </c>
      <c r="R396" s="66" t="str">
        <f>IF(AND($B396&gt;='111'!$N$11,$B396&lt;='111'!$O$11,OR($O396=$R$7,$P396=$R$7)),"x","")</f>
        <v/>
      </c>
      <c r="S396" s="66" t="str">
        <f>IF(AND($O396=$R$7,$B396&lt;'111'!$N$11),"x","")</f>
        <v/>
      </c>
      <c r="T396" s="66" t="str">
        <f>IF(AND($P396=$R$7,$B396&lt;'111'!$N$11),"x","")</f>
        <v/>
      </c>
      <c r="U396" s="66" t="str">
        <f>IF(AND($B396&gt;='112'!$M$9,$B396&lt;='112'!$N$9,OR($O396='112'!$I$6,$P396='112'!$I$6)),"x","")</f>
        <v/>
      </c>
      <c r="V396" s="66" t="str">
        <f>IF(AND($O396='112'!$I$6,$B396&lt;'112'!$M$9),"x","")</f>
        <v/>
      </c>
      <c r="W396" s="66" t="str">
        <f>IF(AND($P396='112'!$I$6,$B396&lt;'112'!$M$9),"x","")</f>
        <v>x</v>
      </c>
      <c r="X396" s="66" t="str">
        <f>IF(AND('131-CT'!$H$9=TH!H396,OR(O396="131",P396="131")),"x","")</f>
        <v/>
      </c>
      <c r="Y396" s="80" t="str">
        <f>IF(AND($B396&gt;='1331'!$I$9,$B396&lt;='1331'!$J$9,OR($O396=$Y$7,$P396=$Y$7)),"x","")</f>
        <v/>
      </c>
      <c r="Z396" s="80" t="str">
        <f>IF(AND($O396=$Y$7,$B396&lt;'1331'!$I$9),"x","")</f>
        <v/>
      </c>
      <c r="AA396" s="80" t="str">
        <f>IF(AND($P396=$Y$7,$B396&lt;'1331'!$I$9),"x","")</f>
        <v/>
      </c>
      <c r="AB396" s="80" t="str">
        <f>IF(AND($B396&gt;='1332'!$I$9,$B396&lt;='1332'!$I$9,OR($O396=$AB$7,$P396=$AB$7)),"x","")</f>
        <v/>
      </c>
      <c r="AC396" s="80" t="str">
        <f>IF(AND($O396=$AB$7,$B396&lt;'1332'!$I$9),"x","")</f>
        <v/>
      </c>
      <c r="AD396" s="80" t="str">
        <f>IF(AND($P396=$AB$7,$B396&lt;'1332'!$I$9),"x","")</f>
        <v/>
      </c>
      <c r="AE396" s="80" t="str">
        <f>IF(AND('341-CT'!$H$9=H396,OR(LEFT(O396,3)=$AE$7,LEFT(P396,3)=$AE$7)),"x","")</f>
        <v/>
      </c>
      <c r="AF396" s="80" t="str">
        <f>IF(OR(TH!O396=TH!$AF$7,P396=TH!$AF$7),"x","")</f>
        <v/>
      </c>
      <c r="AG396" s="80"/>
      <c r="AH396" s="80" t="str">
        <f>IF(AND(B396&gt;='IN-NX'!$P$3,B396&lt;='IN-NX'!$Q$3,'IN-NX'!$D$7=D396,OR(LEFT(L396,2)="15",AND(LEFT(M396,2)&lt;&gt;"15",LEFT(M396,2)&lt;&gt;"33"))),"x","")</f>
        <v/>
      </c>
      <c r="AI396" s="80" t="str">
        <f>IF(AND(OR(LEFT(TH!O396,2)="15",LEFT(TH!P396,2)="15"),'152-CT'!$J$8=TH!F396),"x","")</f>
        <v/>
      </c>
      <c r="AJ396" s="80" t="str">
        <f>IF(AND(OR(LEFT(TH!O396,2)="15",LEFT(TH!P396,2)="15"),'THE KHO'!$E$7=TH!F396),"x","")</f>
        <v/>
      </c>
      <c r="AK396" s="80" t="str">
        <f>IF(AND(O396="1521",MONTH(C396)='BK NL'!$M$11),"x","")</f>
        <v/>
      </c>
    </row>
    <row r="397" spans="1:39" ht="15.75" customHeight="1">
      <c r="A397" s="362" t="str">
        <f>IF(B397&lt;&gt;"",IF(AND(B397&gt;=_TM1,B397&lt;=_TM2,OR(TH!O397="1111",TH!P397="1111")),TH!D397,""),"")</f>
        <v/>
      </c>
      <c r="B397" s="63">
        <f t="shared" si="29"/>
        <v>6</v>
      </c>
      <c r="C397" s="337">
        <f t="shared" si="28"/>
        <v>42542</v>
      </c>
      <c r="D397" s="337" t="s">
        <v>8</v>
      </c>
      <c r="E397" s="337">
        <v>42542</v>
      </c>
      <c r="F397" s="338" t="s">
        <v>405</v>
      </c>
      <c r="G397" s="351" t="s">
        <v>798</v>
      </c>
      <c r="H397" s="339" t="s">
        <v>184</v>
      </c>
      <c r="I397" s="476"/>
      <c r="J397" s="476"/>
      <c r="K397" s="469"/>
      <c r="L397" s="476"/>
      <c r="M397" s="65">
        <v>8187032</v>
      </c>
      <c r="N397" s="65"/>
      <c r="O397" s="340" t="s">
        <v>133</v>
      </c>
      <c r="P397" s="340" t="s">
        <v>31</v>
      </c>
      <c r="Q397" s="66" t="str">
        <f>IF(AND('331-CT'!$E$7=TH!H397,OR(O397="331",P397="331")),"x","")</f>
        <v/>
      </c>
      <c r="R397" s="66" t="str">
        <f>IF(AND($B397&gt;='111'!$N$11,$B397&lt;='111'!$O$11,OR($O397=$R$7,$P397=$R$7)),"x","")</f>
        <v/>
      </c>
      <c r="S397" s="66" t="str">
        <f>IF(AND($O397=$R$7,$B397&lt;'111'!$N$11),"x","")</f>
        <v/>
      </c>
      <c r="T397" s="66" t="str">
        <f>IF(AND($P397=$R$7,$B397&lt;'111'!$N$11),"x","")</f>
        <v/>
      </c>
      <c r="U397" s="66" t="str">
        <f>IF(AND($B397&gt;='112'!$M$9,$B397&lt;='112'!$N$9,OR($O397='112'!$I$6,$P397='112'!$I$6)),"x","")</f>
        <v/>
      </c>
      <c r="V397" s="66" t="str">
        <f>IF(AND($O397='112'!$I$6,$B397&lt;'112'!$M$9),"x","")</f>
        <v/>
      </c>
      <c r="W397" s="66" t="str">
        <f>IF(AND($P397='112'!$I$6,$B397&lt;'112'!$M$9),"x","")</f>
        <v>x</v>
      </c>
      <c r="X397" s="66" t="str">
        <f>IF(AND('131-CT'!$H$9=TH!H397,OR(O397="131",P397="131")),"x","")</f>
        <v/>
      </c>
      <c r="Y397" s="80" t="str">
        <f>IF(AND($B397&gt;='1331'!$I$9,$B397&lt;='1331'!$J$9,OR($O397=$Y$7,$P397=$Y$7)),"x","")</f>
        <v/>
      </c>
      <c r="Z397" s="80" t="str">
        <f>IF(AND($O397=$Y$7,$B397&lt;'1331'!$I$9),"x","")</f>
        <v/>
      </c>
      <c r="AA397" s="80" t="str">
        <f>IF(AND($P397=$Y$7,$B397&lt;'1331'!$I$9),"x","")</f>
        <v/>
      </c>
      <c r="AB397" s="80" t="str">
        <f>IF(AND($B397&gt;='1332'!$I$9,$B397&lt;='1332'!$I$9,OR($O397=$AB$7,$P397=$AB$7)),"x","")</f>
        <v/>
      </c>
      <c r="AC397" s="80" t="str">
        <f>IF(AND($O397=$AB$7,$B397&lt;'1332'!$I$9),"x","")</f>
        <v/>
      </c>
      <c r="AD397" s="80" t="str">
        <f>IF(AND($P397=$AB$7,$B397&lt;'1332'!$I$9),"x","")</f>
        <v/>
      </c>
      <c r="AE397" s="80" t="str">
        <f>IF(AND('341-CT'!$H$9=H397,OR(LEFT(O397,3)=$AE$7,LEFT(P397,3)=$AE$7)),"x","")</f>
        <v/>
      </c>
      <c r="AF397" s="80" t="str">
        <f>IF(OR(TH!O397=TH!$AF$7,P397=TH!$AF$7),"x","")</f>
        <v/>
      </c>
      <c r="AG397" s="80"/>
      <c r="AH397" s="80" t="str">
        <f>IF(AND(B397&gt;='IN-NX'!$P$3,B397&lt;='IN-NX'!$Q$3,'IN-NX'!$D$7=D397,OR(LEFT(L397,2)="15",AND(LEFT(M397,2)&lt;&gt;"15",LEFT(M397,2)&lt;&gt;"33"))),"x","")</f>
        <v/>
      </c>
      <c r="AI397" s="80" t="str">
        <f>IF(AND(OR(LEFT(TH!O397,2)="15",LEFT(TH!P397,2)="15"),'152-CT'!$J$8=TH!F397),"x","")</f>
        <v/>
      </c>
      <c r="AJ397" s="80" t="str">
        <f>IF(AND(OR(LEFT(TH!O397,2)="15",LEFT(TH!P397,2)="15"),'THE KHO'!$E$7=TH!F397),"x","")</f>
        <v/>
      </c>
      <c r="AK397" s="80" t="str">
        <f>IF(AND(O397="1521",MONTH(C397)='BK NL'!$M$11),"x","")</f>
        <v/>
      </c>
    </row>
    <row r="398" spans="1:39" ht="15.75" customHeight="1">
      <c r="A398" s="362" t="str">
        <f>IF(B398&lt;&gt;"",IF(AND(B398&gt;=_TM1,B398&lt;=_TM2,OR(TH!O398="1111",TH!P398="1111")),TH!D398,""),"")</f>
        <v/>
      </c>
      <c r="B398" s="142">
        <f t="shared" si="29"/>
        <v>6</v>
      </c>
      <c r="C398" s="337">
        <f t="shared" si="28"/>
        <v>42543</v>
      </c>
      <c r="D398" s="337" t="s">
        <v>12</v>
      </c>
      <c r="E398" s="337">
        <v>42543</v>
      </c>
      <c r="F398" s="338" t="s">
        <v>964</v>
      </c>
      <c r="G398" s="351" t="s">
        <v>798</v>
      </c>
      <c r="H398" s="369" t="s">
        <v>965</v>
      </c>
      <c r="I398" s="479"/>
      <c r="J398" s="479"/>
      <c r="K398" s="472">
        <v>88000</v>
      </c>
      <c r="L398" s="479">
        <v>22290</v>
      </c>
      <c r="M398" s="65">
        <f>ROUND(K398*L398,0)</f>
        <v>1961520000</v>
      </c>
      <c r="N398" s="65"/>
      <c r="O398" s="340" t="s">
        <v>31</v>
      </c>
      <c r="P398" s="340" t="s">
        <v>441</v>
      </c>
      <c r="Q398" s="66" t="str">
        <f>IF(AND('331-CT'!$E$7=TH!H398,OR(O398="331",P398="331")),"x","")</f>
        <v/>
      </c>
      <c r="R398" s="66" t="str">
        <f>IF(AND($B398&gt;='111'!$N$11,$B398&lt;='111'!$O$11,OR($O398=$R$7,$P398=$R$7)),"x","")</f>
        <v/>
      </c>
      <c r="S398" s="66" t="str">
        <f>IF(AND($O398=$R$7,$B398&lt;'111'!$N$11),"x","")</f>
        <v/>
      </c>
      <c r="T398" s="66" t="str">
        <f>IF(AND($P398=$R$7,$B398&lt;'111'!$N$11),"x","")</f>
        <v/>
      </c>
      <c r="U398" s="66" t="str">
        <f>IF(AND($B398&gt;='112'!$M$9,$B398&lt;='112'!$N$9,OR($O398='112'!$I$6,$P398='112'!$I$6)),"x","")</f>
        <v/>
      </c>
      <c r="V398" s="66" t="str">
        <f>IF(AND($O398='112'!$I$6,$B398&lt;'112'!$M$9),"x","")</f>
        <v>x</v>
      </c>
      <c r="W398" s="66" t="str">
        <f>IF(AND($P398='112'!$I$6,$B398&lt;'112'!$M$9),"x","")</f>
        <v/>
      </c>
      <c r="X398" s="66" t="str">
        <f>IF(AND('131-CT'!$H$9=TH!H398,OR(O398="131",P398="131")),"x","")</f>
        <v/>
      </c>
      <c r="Y398" s="80" t="str">
        <f>IF(AND($B398&gt;='1331'!$I$9,$B398&lt;='1331'!$J$9,OR($O398=$Y$7,$P398=$Y$7)),"x","")</f>
        <v/>
      </c>
      <c r="Z398" s="80" t="str">
        <f>IF(AND($O398=$Y$7,$B398&lt;'1331'!$I$9),"x","")</f>
        <v/>
      </c>
      <c r="AA398" s="80" t="str">
        <f>IF(AND($P398=$Y$7,$B398&lt;'1331'!$I$9),"x","")</f>
        <v/>
      </c>
      <c r="AB398" s="80" t="str">
        <f>IF(AND($B398&gt;='1332'!$I$9,$B398&lt;='1332'!$I$9,OR($O398=$AB$7,$P398=$AB$7)),"x","")</f>
        <v/>
      </c>
      <c r="AC398" s="80" t="str">
        <f>IF(AND($O398=$AB$7,$B398&lt;'1332'!$I$9),"x","")</f>
        <v/>
      </c>
      <c r="AD398" s="80" t="str">
        <f>IF(AND($P398=$AB$7,$B398&lt;'1332'!$I$9),"x","")</f>
        <v/>
      </c>
      <c r="AE398" s="80" t="str">
        <f>IF(AND('341-CT'!$H$9=H398,OR(LEFT(O398,3)=$AE$7,LEFT(P398,3)=$AE$7)),"x","")</f>
        <v/>
      </c>
      <c r="AF398" s="80" t="str">
        <f>IF(OR(TH!O398=TH!$AF$7,P398=TH!$AF$7),"x","")</f>
        <v/>
      </c>
      <c r="AG398" s="80"/>
      <c r="AH398" s="80" t="str">
        <f>IF(AND(B398&gt;='IN-NX'!$P$3,B398&lt;='IN-NX'!$Q$3,'IN-NX'!$D$7=D398,OR(LEFT(L398,2)="15",AND(LEFT(M398,2)&lt;&gt;"15",LEFT(M398,2)&lt;&gt;"33"))),"x","")</f>
        <v/>
      </c>
      <c r="AI398" s="80" t="str">
        <f>IF(AND(OR(LEFT(TH!O398,2)="15",LEFT(TH!P398,2)="15"),'152-CT'!$J$8=TH!F398),"x","")</f>
        <v/>
      </c>
      <c r="AJ398" s="80" t="str">
        <f>IF(AND(OR(LEFT(TH!O398,2)="15",LEFT(TH!P398,2)="15"),'THE KHO'!$E$7=TH!F398),"x","")</f>
        <v/>
      </c>
      <c r="AK398" s="80" t="str">
        <f>IF(AND(O398="1521",MONTH(C398)='BK NL'!$M$11),"x","")</f>
        <v/>
      </c>
      <c r="AL398" s="371"/>
    </row>
    <row r="399" spans="1:39" s="371" customFormat="1" ht="15.75" customHeight="1">
      <c r="A399" s="362" t="str">
        <f>IF(B399&lt;&gt;"",IF(AND(B399&gt;=_TM1,B399&lt;=_TM2,OR(TH!O399="1111",TH!P399="1111")),TH!D399,""),"")</f>
        <v/>
      </c>
      <c r="B399" s="63">
        <f t="shared" si="29"/>
        <v>6</v>
      </c>
      <c r="C399" s="337">
        <f t="shared" si="28"/>
        <v>42543</v>
      </c>
      <c r="D399" s="337" t="s">
        <v>8</v>
      </c>
      <c r="E399" s="337">
        <v>42543</v>
      </c>
      <c r="F399" s="338" t="s">
        <v>405</v>
      </c>
      <c r="G399" s="351" t="s">
        <v>798</v>
      </c>
      <c r="H399" s="339" t="s">
        <v>175</v>
      </c>
      <c r="I399" s="474"/>
      <c r="J399" s="474"/>
      <c r="K399" s="467"/>
      <c r="L399" s="474"/>
      <c r="M399" s="65">
        <v>12280547</v>
      </c>
      <c r="N399" s="65"/>
      <c r="O399" s="340" t="s">
        <v>133</v>
      </c>
      <c r="P399" s="340" t="s">
        <v>31</v>
      </c>
      <c r="Q399" s="66" t="str">
        <f>IF(AND('331-CT'!$E$7=TH!H399,OR(O399="331",P399="331")),"x","")</f>
        <v/>
      </c>
      <c r="R399" s="66" t="str">
        <f>IF(AND($B399&gt;='111'!$N$11,$B399&lt;='111'!$O$11,OR($O399=$R$7,$P399=$R$7)),"x","")</f>
        <v/>
      </c>
      <c r="S399" s="66" t="str">
        <f>IF(AND($O399=$R$7,$B399&lt;'111'!$N$11),"x","")</f>
        <v/>
      </c>
      <c r="T399" s="66" t="str">
        <f>IF(AND($P399=$R$7,$B399&lt;'111'!$N$11),"x","")</f>
        <v/>
      </c>
      <c r="U399" s="66" t="str">
        <f>IF(AND($B399&gt;='112'!$M$9,$B399&lt;='112'!$N$9,OR($O399='112'!$I$6,$P399='112'!$I$6)),"x","")</f>
        <v/>
      </c>
      <c r="V399" s="66" t="str">
        <f>IF(AND($O399='112'!$I$6,$B399&lt;'112'!$M$9),"x","")</f>
        <v/>
      </c>
      <c r="W399" s="66" t="str">
        <f>IF(AND($P399='112'!$I$6,$B399&lt;'112'!$M$9),"x","")</f>
        <v>x</v>
      </c>
      <c r="X399" s="66" t="str">
        <f>IF(AND('131-CT'!$H$9=TH!H399,OR(O399="131",P399="131")),"x","")</f>
        <v/>
      </c>
      <c r="Y399" s="80" t="str">
        <f>IF(AND($B399&gt;='1331'!$I$9,$B399&lt;='1331'!$J$9,OR($O399=$Y$7,$P399=$Y$7)),"x","")</f>
        <v/>
      </c>
      <c r="Z399" s="80" t="str">
        <f>IF(AND($O399=$Y$7,$B399&lt;'1331'!$I$9),"x","")</f>
        <v/>
      </c>
      <c r="AA399" s="80" t="str">
        <f>IF(AND($P399=$Y$7,$B399&lt;'1331'!$I$9),"x","")</f>
        <v/>
      </c>
      <c r="AB399" s="80" t="str">
        <f>IF(AND($B399&gt;='1332'!$I$9,$B399&lt;='1332'!$I$9,OR($O399=$AB$7,$P399=$AB$7)),"x","")</f>
        <v/>
      </c>
      <c r="AC399" s="80" t="str">
        <f>IF(AND($O399=$AB$7,$B399&lt;'1332'!$I$9),"x","")</f>
        <v/>
      </c>
      <c r="AD399" s="80" t="str">
        <f>IF(AND($P399=$AB$7,$B399&lt;'1332'!$I$9),"x","")</f>
        <v/>
      </c>
      <c r="AE399" s="80" t="str">
        <f>IF(AND('341-CT'!$H$9=H399,OR(LEFT(O399,3)=$AE$7,LEFT(P399,3)=$AE$7)),"x","")</f>
        <v/>
      </c>
      <c r="AF399" s="80" t="str">
        <f>IF(OR(TH!O399=TH!$AF$7,P399=TH!$AF$7),"x","")</f>
        <v/>
      </c>
      <c r="AG399" s="80"/>
      <c r="AH399" s="80" t="str">
        <f>IF(AND(B399&gt;='IN-NX'!$P$3,B399&lt;='IN-NX'!$Q$3,'IN-NX'!$D$7=D399,OR(LEFT(L399,2)="15",AND(LEFT(M399,2)&lt;&gt;"15",LEFT(M399,2)&lt;&gt;"33"))),"x","")</f>
        <v/>
      </c>
      <c r="AI399" s="80" t="str">
        <f>IF(AND(OR(LEFT(TH!O399,2)="15",LEFT(TH!P399,2)="15"),'152-CT'!$J$8=TH!F399),"x","")</f>
        <v/>
      </c>
      <c r="AJ399" s="80" t="str">
        <f>IF(AND(OR(LEFT(TH!O399,2)="15",LEFT(TH!P399,2)="15"),'THE KHO'!$E$7=TH!F399),"x","")</f>
        <v/>
      </c>
      <c r="AK399" s="80" t="str">
        <f>IF(AND(O399="1521",MONTH(C399)='BK NL'!$M$11),"x","")</f>
        <v/>
      </c>
      <c r="AL399" s="352"/>
      <c r="AM399" s="352"/>
    </row>
    <row r="400" spans="1:39" ht="15.75" customHeight="1">
      <c r="A400" s="362" t="str">
        <f>IF(B400&lt;&gt;"",IF(AND(B400&gt;=_TM1,B400&lt;=_TM2,OR(TH!O400="1111",TH!P400="1111")),TH!D400,""),"")</f>
        <v/>
      </c>
      <c r="B400" s="63">
        <f t="shared" si="29"/>
        <v>6</v>
      </c>
      <c r="C400" s="337">
        <f t="shared" si="28"/>
        <v>42543</v>
      </c>
      <c r="D400" s="337" t="s">
        <v>8</v>
      </c>
      <c r="E400" s="337">
        <v>42543</v>
      </c>
      <c r="F400" s="338" t="s">
        <v>1008</v>
      </c>
      <c r="G400" s="351" t="s">
        <v>798</v>
      </c>
      <c r="H400" s="339" t="s">
        <v>429</v>
      </c>
      <c r="I400" s="476"/>
      <c r="J400" s="476"/>
      <c r="K400" s="469"/>
      <c r="L400" s="476"/>
      <c r="M400" s="65">
        <v>8000000</v>
      </c>
      <c r="N400" s="65"/>
      <c r="O400" s="340" t="s">
        <v>24</v>
      </c>
      <c r="P400" s="340" t="s">
        <v>31</v>
      </c>
      <c r="Q400" s="66" t="str">
        <f>IF(AND('331-CT'!$E$7=TH!H400,OR(O400="331",P400="331")),"x","")</f>
        <v/>
      </c>
      <c r="R400" s="66" t="str">
        <f>IF(AND($B400&gt;='111'!$N$11,$B400&lt;='111'!$O$11,OR($O400=$R$7,$P400=$R$7)),"x","")</f>
        <v/>
      </c>
      <c r="S400" s="66" t="str">
        <f>IF(AND($O400=$R$7,$B400&lt;'111'!$N$11),"x","")</f>
        <v/>
      </c>
      <c r="T400" s="66" t="str">
        <f>IF(AND($P400=$R$7,$B400&lt;'111'!$N$11),"x","")</f>
        <v/>
      </c>
      <c r="U400" s="66" t="str">
        <f>IF(AND($B400&gt;='112'!$M$9,$B400&lt;='112'!$N$9,OR($O400='112'!$I$6,$P400='112'!$I$6)),"x","")</f>
        <v/>
      </c>
      <c r="V400" s="66" t="str">
        <f>IF(AND($O400='112'!$I$6,$B400&lt;'112'!$M$9),"x","")</f>
        <v/>
      </c>
      <c r="W400" s="66" t="str">
        <f>IF(AND($P400='112'!$I$6,$B400&lt;'112'!$M$9),"x","")</f>
        <v>x</v>
      </c>
      <c r="X400" s="66" t="str">
        <f>IF(AND('131-CT'!$H$9=TH!H400,OR(O400="131",P400="131")),"x","")</f>
        <v/>
      </c>
      <c r="Y400" s="80" t="str">
        <f>IF(AND($B400&gt;='1331'!$I$9,$B400&lt;='1331'!$J$9,OR($O400=$Y$7,$P400=$Y$7)),"x","")</f>
        <v/>
      </c>
      <c r="Z400" s="80" t="str">
        <f>IF(AND($O400=$Y$7,$B400&lt;'1331'!$I$9),"x","")</f>
        <v/>
      </c>
      <c r="AA400" s="80" t="str">
        <f>IF(AND($P400=$Y$7,$B400&lt;'1331'!$I$9),"x","")</f>
        <v/>
      </c>
      <c r="AB400" s="80" t="str">
        <f>IF(AND($B400&gt;='1332'!$I$9,$B400&lt;='1332'!$I$9,OR($O400=$AB$7,$P400=$AB$7)),"x","")</f>
        <v/>
      </c>
      <c r="AC400" s="80" t="str">
        <f>IF(AND($O400=$AB$7,$B400&lt;'1332'!$I$9),"x","")</f>
        <v/>
      </c>
      <c r="AD400" s="80" t="str">
        <f>IF(AND($P400=$AB$7,$B400&lt;'1332'!$I$9),"x","")</f>
        <v/>
      </c>
      <c r="AE400" s="80" t="str">
        <f>IF(AND('341-CT'!$H$9=H400,OR(LEFT(O400,3)=$AE$7,LEFT(P400,3)=$AE$7)),"x","")</f>
        <v/>
      </c>
      <c r="AF400" s="80" t="str">
        <f>IF(OR(TH!O400=TH!$AF$7,P400=TH!$AF$7),"x","")</f>
        <v>x</v>
      </c>
      <c r="AG400" s="80"/>
      <c r="AH400" s="80" t="str">
        <f>IF(AND(B400&gt;='IN-NX'!$P$3,B400&lt;='IN-NX'!$Q$3,'IN-NX'!$D$7=D400,OR(LEFT(L400,2)="15",AND(LEFT(M400,2)&lt;&gt;"15",LEFT(M400,2)&lt;&gt;"33"))),"x","")</f>
        <v/>
      </c>
      <c r="AI400" s="80" t="str">
        <f>IF(AND(OR(LEFT(TH!O400,2)="15",LEFT(TH!P400,2)="15"),'152-CT'!$J$8=TH!F400),"x","")</f>
        <v/>
      </c>
      <c r="AJ400" s="80" t="str">
        <f>IF(AND(OR(LEFT(TH!O400,2)="15",LEFT(TH!P400,2)="15"),'THE KHO'!$E$7=TH!F400),"x","")</f>
        <v/>
      </c>
      <c r="AK400" s="80" t="str">
        <f>IF(AND(O400="1521",MONTH(C400)='BK NL'!$M$11),"x","")</f>
        <v/>
      </c>
    </row>
    <row r="401" spans="1:39" ht="15.75" customHeight="1">
      <c r="A401" s="362" t="str">
        <f>IF(B401&lt;&gt;"",IF(AND(B401&gt;=_TM1,B401&lt;=_TM2,OR(TH!O401="1111",TH!P401="1111")),TH!D401,""),"")</f>
        <v/>
      </c>
      <c r="B401" s="63">
        <f t="shared" si="29"/>
        <v>6</v>
      </c>
      <c r="C401" s="337">
        <f t="shared" si="28"/>
        <v>42543</v>
      </c>
      <c r="D401" s="337" t="s">
        <v>8</v>
      </c>
      <c r="E401" s="337">
        <v>42543</v>
      </c>
      <c r="F401" s="338" t="s">
        <v>1008</v>
      </c>
      <c r="G401" s="351" t="s">
        <v>798</v>
      </c>
      <c r="H401" s="339" t="s">
        <v>429</v>
      </c>
      <c r="I401" s="476"/>
      <c r="J401" s="476"/>
      <c r="K401" s="469"/>
      <c r="L401" s="476"/>
      <c r="M401" s="65">
        <v>7000000</v>
      </c>
      <c r="N401" s="65"/>
      <c r="O401" s="340" t="s">
        <v>24</v>
      </c>
      <c r="P401" s="340" t="s">
        <v>31</v>
      </c>
      <c r="Q401" s="66" t="str">
        <f>IF(AND('331-CT'!$E$7=TH!H401,OR(O401="331",P401="331")),"x","")</f>
        <v/>
      </c>
      <c r="R401" s="66" t="str">
        <f>IF(AND($B401&gt;='111'!$N$11,$B401&lt;='111'!$O$11,OR($O401=$R$7,$P401=$R$7)),"x","")</f>
        <v/>
      </c>
      <c r="S401" s="66" t="str">
        <f>IF(AND($O401=$R$7,$B401&lt;'111'!$N$11),"x","")</f>
        <v/>
      </c>
      <c r="T401" s="66" t="str">
        <f>IF(AND($P401=$R$7,$B401&lt;'111'!$N$11),"x","")</f>
        <v/>
      </c>
      <c r="U401" s="66" t="str">
        <f>IF(AND($B401&gt;='112'!$M$9,$B401&lt;='112'!$N$9,OR($O401='112'!$I$6,$P401='112'!$I$6)),"x","")</f>
        <v/>
      </c>
      <c r="V401" s="66" t="str">
        <f>IF(AND($O401='112'!$I$6,$B401&lt;'112'!$M$9),"x","")</f>
        <v/>
      </c>
      <c r="W401" s="66" t="str">
        <f>IF(AND($P401='112'!$I$6,$B401&lt;'112'!$M$9),"x","")</f>
        <v>x</v>
      </c>
      <c r="X401" s="66" t="str">
        <f>IF(AND('131-CT'!$H$9=TH!H401,OR(O401="131",P401="131")),"x","")</f>
        <v/>
      </c>
      <c r="Y401" s="80" t="str">
        <f>IF(AND($B401&gt;='1331'!$I$9,$B401&lt;='1331'!$J$9,OR($O401=$Y$7,$P401=$Y$7)),"x","")</f>
        <v/>
      </c>
      <c r="Z401" s="80" t="str">
        <f>IF(AND($O401=$Y$7,$B401&lt;'1331'!$I$9),"x","")</f>
        <v/>
      </c>
      <c r="AA401" s="80" t="str">
        <f>IF(AND($P401=$Y$7,$B401&lt;'1331'!$I$9),"x","")</f>
        <v/>
      </c>
      <c r="AB401" s="80" t="str">
        <f>IF(AND($B401&gt;='1332'!$I$9,$B401&lt;='1332'!$I$9,OR($O401=$AB$7,$P401=$AB$7)),"x","")</f>
        <v/>
      </c>
      <c r="AC401" s="80" t="str">
        <f>IF(AND($O401=$AB$7,$B401&lt;'1332'!$I$9),"x","")</f>
        <v/>
      </c>
      <c r="AD401" s="80" t="str">
        <f>IF(AND($P401=$AB$7,$B401&lt;'1332'!$I$9),"x","")</f>
        <v/>
      </c>
      <c r="AE401" s="80" t="str">
        <f>IF(AND('341-CT'!$H$9=H401,OR(LEFT(O401,3)=$AE$7,LEFT(P401,3)=$AE$7)),"x","")</f>
        <v/>
      </c>
      <c r="AF401" s="80" t="str">
        <f>IF(OR(TH!O401=TH!$AF$7,P401=TH!$AF$7),"x","")</f>
        <v>x</v>
      </c>
      <c r="AG401" s="80"/>
      <c r="AH401" s="80" t="str">
        <f>IF(AND(B401&gt;='IN-NX'!$P$3,B401&lt;='IN-NX'!$Q$3,'IN-NX'!$D$7=D401,OR(LEFT(L401,2)="15",AND(LEFT(M401,2)&lt;&gt;"15",LEFT(M401,2)&lt;&gt;"33"))),"x","")</f>
        <v/>
      </c>
      <c r="AI401" s="80" t="str">
        <f>IF(AND(OR(LEFT(TH!O401,2)="15",LEFT(TH!P401,2)="15"),'152-CT'!$J$8=TH!F401),"x","")</f>
        <v/>
      </c>
      <c r="AJ401" s="80" t="str">
        <f>IF(AND(OR(LEFT(TH!O401,2)="15",LEFT(TH!P401,2)="15"),'THE KHO'!$E$7=TH!F401),"x","")</f>
        <v/>
      </c>
      <c r="AK401" s="80" t="str">
        <f>IF(AND(O401="1521",MONTH(C401)='BK NL'!$M$11),"x","")</f>
        <v/>
      </c>
    </row>
    <row r="402" spans="1:39" s="370" customFormat="1" ht="15.75" customHeight="1">
      <c r="A402" s="362" t="str">
        <f>IF(B402&lt;&gt;"",IF(AND(B402&gt;=_TM1,B402&lt;=_TM2,OR(TH!O402="1111",TH!P402="1111")),TH!D402,""),"")</f>
        <v/>
      </c>
      <c r="B402" s="77">
        <f t="shared" si="29"/>
        <v>6</v>
      </c>
      <c r="C402" s="337">
        <f t="shared" si="28"/>
        <v>42543</v>
      </c>
      <c r="D402" s="337" t="s">
        <v>8</v>
      </c>
      <c r="E402" s="337">
        <v>42543</v>
      </c>
      <c r="F402" s="338" t="s">
        <v>790</v>
      </c>
      <c r="G402" s="351" t="s">
        <v>798</v>
      </c>
      <c r="H402" s="339"/>
      <c r="I402" s="476"/>
      <c r="J402" s="476"/>
      <c r="K402" s="469"/>
      <c r="L402" s="476"/>
      <c r="M402" s="65">
        <v>20000</v>
      </c>
      <c r="N402" s="65"/>
      <c r="O402" s="340" t="s">
        <v>135</v>
      </c>
      <c r="P402" s="340" t="s">
        <v>31</v>
      </c>
      <c r="Q402" s="66" t="str">
        <f>IF(AND('331-CT'!$E$7=TH!H402,OR(O402="331",P402="331")),"x","")</f>
        <v/>
      </c>
      <c r="R402" s="66" t="str">
        <f>IF(AND($B402&gt;='111'!$N$11,$B402&lt;='111'!$O$11,OR($O402=$R$7,$P402=$R$7)),"x","")</f>
        <v/>
      </c>
      <c r="S402" s="66" t="str">
        <f>IF(AND($O402=$R$7,$B402&lt;'111'!$N$11),"x","")</f>
        <v/>
      </c>
      <c r="T402" s="66" t="str">
        <f>IF(AND($P402=$R$7,$B402&lt;'111'!$N$11),"x","")</f>
        <v/>
      </c>
      <c r="U402" s="66" t="str">
        <f>IF(AND($B402&gt;='112'!$M$9,$B402&lt;='112'!$N$9,OR($O402='112'!$I$6,$P402='112'!$I$6)),"x","")</f>
        <v/>
      </c>
      <c r="V402" s="66" t="str">
        <f>IF(AND($O402='112'!$I$6,$B402&lt;'112'!$M$9),"x","")</f>
        <v/>
      </c>
      <c r="W402" s="66" t="str">
        <f>IF(AND($P402='112'!$I$6,$B402&lt;'112'!$M$9),"x","")</f>
        <v>x</v>
      </c>
      <c r="X402" s="66" t="str">
        <f>IF(AND('131-CT'!$H$9=TH!H402,OR(O402="131",P402="131")),"x","")</f>
        <v/>
      </c>
      <c r="Y402" s="80" t="str">
        <f>IF(AND($B402&gt;='1331'!$I$9,$B402&lt;='1331'!$J$9,OR($O402=$Y$7,$P402=$Y$7)),"x","")</f>
        <v/>
      </c>
      <c r="Z402" s="80" t="str">
        <f>IF(AND($O402=$Y$7,$B402&lt;'1331'!$I$9),"x","")</f>
        <v/>
      </c>
      <c r="AA402" s="80" t="str">
        <f>IF(AND($P402=$Y$7,$B402&lt;'1331'!$I$9),"x","")</f>
        <v/>
      </c>
      <c r="AB402" s="80" t="str">
        <f>IF(AND($B402&gt;='1332'!$I$9,$B402&lt;='1332'!$I$9,OR($O402=$AB$7,$P402=$AB$7)),"x","")</f>
        <v/>
      </c>
      <c r="AC402" s="80" t="str">
        <f>IF(AND($O402=$AB$7,$B402&lt;'1332'!$I$9),"x","")</f>
        <v/>
      </c>
      <c r="AD402" s="80" t="str">
        <f>IF(AND($P402=$AB$7,$B402&lt;'1332'!$I$9),"x","")</f>
        <v/>
      </c>
      <c r="AE402" s="80" t="str">
        <f>IF(AND('341-CT'!$H$9=H402,OR(LEFT(O402,3)=$AE$7,LEFT(P402,3)=$AE$7)),"x","")</f>
        <v/>
      </c>
      <c r="AF402" s="80" t="str">
        <f>IF(OR(TH!O402=TH!$AF$7,P402=TH!$AF$7),"x","")</f>
        <v/>
      </c>
      <c r="AG402" s="80"/>
      <c r="AH402" s="80" t="str">
        <f>IF(AND(B402&gt;='IN-NX'!$P$3,B402&lt;='IN-NX'!$Q$3,'IN-NX'!$D$7=D402,OR(LEFT(L402,2)="15",AND(LEFT(M402,2)&lt;&gt;"15",LEFT(M402,2)&lt;&gt;"33"))),"x","")</f>
        <v/>
      </c>
      <c r="AI402" s="80" t="str">
        <f>IF(AND(OR(LEFT(TH!O402,2)="15",LEFT(TH!P402,2)="15"),'152-CT'!$J$8=TH!F402),"x","")</f>
        <v/>
      </c>
      <c r="AJ402" s="80" t="str">
        <f>IF(AND(OR(LEFT(TH!O402,2)="15",LEFT(TH!P402,2)="15"),'THE KHO'!$E$7=TH!F402),"x","")</f>
        <v/>
      </c>
      <c r="AK402" s="80" t="str">
        <f>IF(AND(O402="1521",MONTH(C402)='BK NL'!$M$11),"x","")</f>
        <v/>
      </c>
      <c r="AM402" s="352"/>
    </row>
    <row r="403" spans="1:39" ht="15.75" customHeight="1">
      <c r="A403" s="362" t="str">
        <f>IF(B403&lt;&gt;"",IF(AND(B403&gt;=_TM1,B403&lt;=_TM2,OR(TH!O403="1111",TH!P403="1111")),TH!D403,""),"")</f>
        <v/>
      </c>
      <c r="B403" s="63">
        <f t="shared" si="29"/>
        <v>6</v>
      </c>
      <c r="C403" s="337">
        <f t="shared" si="28"/>
        <v>42543</v>
      </c>
      <c r="D403" s="337" t="s">
        <v>8</v>
      </c>
      <c r="E403" s="337">
        <v>42543</v>
      </c>
      <c r="F403" s="338" t="s">
        <v>791</v>
      </c>
      <c r="G403" s="351" t="s">
        <v>798</v>
      </c>
      <c r="H403" s="339"/>
      <c r="I403" s="476"/>
      <c r="J403" s="476"/>
      <c r="K403" s="469"/>
      <c r="L403" s="476"/>
      <c r="M403" s="88">
        <v>2000</v>
      </c>
      <c r="N403" s="88"/>
      <c r="O403" s="340" t="s">
        <v>10</v>
      </c>
      <c r="P403" s="340" t="s">
        <v>31</v>
      </c>
      <c r="Q403" s="66" t="str">
        <f>IF(AND('331-CT'!$E$7=TH!H403,OR(O403="331",P403="331")),"x","")</f>
        <v/>
      </c>
      <c r="R403" s="66" t="str">
        <f>IF(AND($B403&gt;='111'!$N$11,$B403&lt;='111'!$O$11,OR($O403=$R$7,$P403=$R$7)),"x","")</f>
        <v/>
      </c>
      <c r="S403" s="66" t="str">
        <f>IF(AND($O403=$R$7,$B403&lt;'111'!$N$11),"x","")</f>
        <v/>
      </c>
      <c r="T403" s="66" t="str">
        <f>IF(AND($P403=$R$7,$B403&lt;'111'!$N$11),"x","")</f>
        <v/>
      </c>
      <c r="U403" s="66" t="str">
        <f>IF(AND($B403&gt;='112'!$M$9,$B403&lt;='112'!$N$9,OR($O403='112'!$I$6,$P403='112'!$I$6)),"x","")</f>
        <v/>
      </c>
      <c r="V403" s="66" t="str">
        <f>IF(AND($O403='112'!$I$6,$B403&lt;'112'!$M$9),"x","")</f>
        <v/>
      </c>
      <c r="W403" s="66" t="str">
        <f>IF(AND($P403='112'!$I$6,$B403&lt;'112'!$M$9),"x","")</f>
        <v>x</v>
      </c>
      <c r="X403" s="66" t="str">
        <f>IF(AND('131-CT'!$H$9=TH!H403,OR(O403="131",P403="131")),"x","")</f>
        <v/>
      </c>
      <c r="Y403" s="80" t="str">
        <f>IF(AND($B403&gt;='1331'!$I$9,$B403&lt;='1331'!$J$9,OR($O403=$Y$7,$P403=$Y$7)),"x","")</f>
        <v/>
      </c>
      <c r="Z403" s="80" t="str">
        <f>IF(AND($O403=$Y$7,$B403&lt;'1331'!$I$9),"x","")</f>
        <v>x</v>
      </c>
      <c r="AA403" s="80" t="str">
        <f>IF(AND($P403=$Y$7,$B403&lt;'1331'!$I$9),"x","")</f>
        <v/>
      </c>
      <c r="AB403" s="80" t="str">
        <f>IF(AND($B403&gt;='1332'!$I$9,$B403&lt;='1332'!$I$9,OR($O403=$AB$7,$P403=$AB$7)),"x","")</f>
        <v/>
      </c>
      <c r="AC403" s="80" t="str">
        <f>IF(AND($O403=$AB$7,$B403&lt;'1332'!$I$9),"x","")</f>
        <v/>
      </c>
      <c r="AD403" s="80" t="str">
        <f>IF(AND($P403=$AB$7,$B403&lt;'1332'!$I$9),"x","")</f>
        <v/>
      </c>
      <c r="AE403" s="80" t="str">
        <f>IF(AND('341-CT'!$H$9=H403,OR(LEFT(O403,3)=$AE$7,LEFT(P403,3)=$AE$7)),"x","")</f>
        <v/>
      </c>
      <c r="AF403" s="80" t="str">
        <f>IF(OR(TH!O403=TH!$AF$7,P403=TH!$AF$7),"x","")</f>
        <v/>
      </c>
      <c r="AG403" s="80"/>
      <c r="AH403" s="80" t="str">
        <f>IF(AND(B403&gt;='IN-NX'!$P$3,B403&lt;='IN-NX'!$Q$3,'IN-NX'!$D$7=D403,OR(LEFT(L403,2)="15",AND(LEFT(M403,2)&lt;&gt;"15",LEFT(M403,2)&lt;&gt;"33"))),"x","")</f>
        <v/>
      </c>
      <c r="AI403" s="80" t="str">
        <f>IF(AND(OR(LEFT(TH!O403,2)="15",LEFT(TH!P403,2)="15"),'152-CT'!$J$8=TH!F403),"x","")</f>
        <v/>
      </c>
      <c r="AJ403" s="80" t="str">
        <f>IF(AND(OR(LEFT(TH!O403,2)="15",LEFT(TH!P403,2)="15"),'THE KHO'!$E$7=TH!F403),"x","")</f>
        <v/>
      </c>
      <c r="AK403" s="80" t="str">
        <f>IF(AND(O403="1521",MONTH(C403)='BK NL'!$M$11),"x","")</f>
        <v/>
      </c>
    </row>
    <row r="404" spans="1:39" ht="15.75" customHeight="1">
      <c r="A404" s="362" t="str">
        <f>IF(B404&lt;&gt;"",IF(AND(B404&gt;=_TM1,B404&lt;=_TM2,OR(TH!O404="1111",TH!P404="1111")),TH!D404,""),"")</f>
        <v>C45</v>
      </c>
      <c r="B404" s="63">
        <f t="shared" si="29"/>
        <v>6</v>
      </c>
      <c r="C404" s="337">
        <f t="shared" si="28"/>
        <v>42544</v>
      </c>
      <c r="D404" s="337" t="s">
        <v>836</v>
      </c>
      <c r="E404" s="337">
        <v>42544</v>
      </c>
      <c r="F404" s="338" t="s">
        <v>967</v>
      </c>
      <c r="G404" s="351" t="s">
        <v>798</v>
      </c>
      <c r="H404" s="339" t="s">
        <v>429</v>
      </c>
      <c r="I404" s="476"/>
      <c r="J404" s="476"/>
      <c r="K404" s="469"/>
      <c r="L404" s="476"/>
      <c r="M404" s="65">
        <v>1960000000</v>
      </c>
      <c r="N404" s="65"/>
      <c r="O404" s="340" t="s">
        <v>24</v>
      </c>
      <c r="P404" s="340" t="s">
        <v>97</v>
      </c>
      <c r="Q404" s="66" t="str">
        <f>IF(AND('331-CT'!$E$7=TH!H404,OR(O404="331",P404="331")),"x","")</f>
        <v/>
      </c>
      <c r="R404" s="66" t="str">
        <f>IF(AND($B404&gt;='111'!$N$11,$B404&lt;='111'!$O$11,OR($O404=$R$7,$P404=$R$7)),"x","")</f>
        <v/>
      </c>
      <c r="S404" s="66" t="str">
        <f>IF(AND($O404=$R$7,$B404&lt;'111'!$N$11),"x","")</f>
        <v/>
      </c>
      <c r="T404" s="66" t="str">
        <f>IF(AND($P404=$R$7,$B404&lt;'111'!$N$11),"x","")</f>
        <v>x</v>
      </c>
      <c r="U404" s="66" t="str">
        <f>IF(AND($B404&gt;='112'!$M$9,$B404&lt;='112'!$N$9,OR($O404='112'!$I$6,$P404='112'!$I$6)),"x","")</f>
        <v/>
      </c>
      <c r="V404" s="66" t="str">
        <f>IF(AND($O404='112'!$I$6,$B404&lt;'112'!$M$9),"x","")</f>
        <v/>
      </c>
      <c r="W404" s="66" t="str">
        <f>IF(AND($P404='112'!$I$6,$B404&lt;'112'!$M$9),"x","")</f>
        <v/>
      </c>
      <c r="X404" s="66" t="str">
        <f>IF(AND('131-CT'!$H$9=TH!H404,OR(O404="131",P404="131")),"x","")</f>
        <v/>
      </c>
      <c r="Y404" s="80" t="str">
        <f>IF(AND($B404&gt;='1331'!$I$9,$B404&lt;='1331'!$J$9,OR($O404=$Y$7,$P404=$Y$7)),"x","")</f>
        <v/>
      </c>
      <c r="Z404" s="80" t="str">
        <f>IF(AND($O404=$Y$7,$B404&lt;'1331'!$I$9),"x","")</f>
        <v/>
      </c>
      <c r="AA404" s="80" t="str">
        <f>IF(AND($P404=$Y$7,$B404&lt;'1331'!$I$9),"x","")</f>
        <v/>
      </c>
      <c r="AB404" s="80" t="str">
        <f>IF(AND($B404&gt;='1332'!$I$9,$B404&lt;='1332'!$I$9,OR($O404=$AB$7,$P404=$AB$7)),"x","")</f>
        <v/>
      </c>
      <c r="AC404" s="80" t="str">
        <f>IF(AND($O404=$AB$7,$B404&lt;'1332'!$I$9),"x","")</f>
        <v/>
      </c>
      <c r="AD404" s="80" t="str">
        <f>IF(AND($P404=$AB$7,$B404&lt;'1332'!$I$9),"x","")</f>
        <v/>
      </c>
      <c r="AE404" s="80" t="str">
        <f>IF(AND('341-CT'!$H$9=H404,OR(LEFT(O404,3)=$AE$7,LEFT(P404,3)=$AE$7)),"x","")</f>
        <v/>
      </c>
      <c r="AF404" s="80" t="str">
        <f>IF(OR(TH!O404=TH!$AF$7,P404=TH!$AF$7),"x","")</f>
        <v>x</v>
      </c>
      <c r="AG404" s="80"/>
      <c r="AH404" s="80" t="str">
        <f>IF(AND(B404&gt;='IN-NX'!$P$3,B404&lt;='IN-NX'!$Q$3,'IN-NX'!$D$7=D404,OR(LEFT(L404,2)="15",AND(LEFT(M404,2)&lt;&gt;"15",LEFT(M404,2)&lt;&gt;"33"))),"x","")</f>
        <v/>
      </c>
      <c r="AI404" s="80" t="str">
        <f>IF(AND(OR(LEFT(TH!O404,2)="15",LEFT(TH!P404,2)="15"),'152-CT'!$J$8=TH!F404),"x","")</f>
        <v/>
      </c>
      <c r="AJ404" s="80" t="str">
        <f>IF(AND(OR(LEFT(TH!O404,2)="15",LEFT(TH!P404,2)="15"),'THE KHO'!$E$7=TH!F404),"x","")</f>
        <v/>
      </c>
      <c r="AK404" s="80" t="str">
        <f>IF(AND(O404="1521",MONTH(C404)='BK NL'!$M$11),"x","")</f>
        <v/>
      </c>
    </row>
    <row r="405" spans="1:39" ht="15.75" customHeight="1">
      <c r="A405" s="362" t="str">
        <f>IF(B405&lt;&gt;"",IF(AND(B405&gt;=_TM1,B405&lt;=_TM2,OR(TH!O405="1111",TH!P405="1111")),TH!D405,""),"")</f>
        <v>C46</v>
      </c>
      <c r="B405" s="63">
        <f t="shared" si="29"/>
        <v>6</v>
      </c>
      <c r="C405" s="337">
        <v>42544</v>
      </c>
      <c r="D405" s="337" t="s">
        <v>842</v>
      </c>
      <c r="E405" s="337">
        <v>42544</v>
      </c>
      <c r="F405" s="338" t="s">
        <v>986</v>
      </c>
      <c r="G405" s="1025" t="s">
        <v>990</v>
      </c>
      <c r="H405" s="7" t="s">
        <v>319</v>
      </c>
      <c r="I405" s="476"/>
      <c r="J405" s="476"/>
      <c r="K405" s="469"/>
      <c r="L405" s="476"/>
      <c r="M405" s="65">
        <v>419000</v>
      </c>
      <c r="N405" s="65"/>
      <c r="O405" s="340" t="s">
        <v>135</v>
      </c>
      <c r="P405" s="340" t="s">
        <v>97</v>
      </c>
      <c r="Q405" s="66" t="str">
        <f>IF(AND('331-CT'!$E$7=TH!H405,OR(O405="331",P405="331")),"x","")</f>
        <v/>
      </c>
      <c r="R405" s="66" t="str">
        <f>IF(AND($B405&gt;='111'!$N$11,$B405&lt;='111'!$O$11,OR($O405=$R$7,$P405=$R$7)),"x","")</f>
        <v/>
      </c>
      <c r="S405" s="66" t="str">
        <f>IF(AND($O405=$R$7,$B405&lt;'111'!$N$11),"x","")</f>
        <v/>
      </c>
      <c r="T405" s="66" t="str">
        <f>IF(AND($P405=$R$7,$B405&lt;'111'!$N$11),"x","")</f>
        <v>x</v>
      </c>
      <c r="U405" s="66" t="str">
        <f>IF(AND($B405&gt;='112'!$M$9,$B405&lt;='112'!$N$9,OR($O405='112'!$I$6,$P405='112'!$I$6)),"x","")</f>
        <v/>
      </c>
      <c r="V405" s="66" t="str">
        <f>IF(AND($O405='112'!$I$6,$B405&lt;'112'!$M$9),"x","")</f>
        <v/>
      </c>
      <c r="W405" s="66" t="str">
        <f>IF(AND($P405='112'!$I$6,$B405&lt;'112'!$M$9),"x","")</f>
        <v/>
      </c>
      <c r="X405" s="66" t="str">
        <f>IF(AND('131-CT'!$H$9=TH!H405,OR(O405="131",P405="131")),"x","")</f>
        <v/>
      </c>
      <c r="Y405" s="80" t="str">
        <f>IF(AND($B405&gt;='1331'!$I$9,$B405&lt;='1331'!$J$9,OR($O405=$Y$7,$P405=$Y$7)),"x","")</f>
        <v/>
      </c>
      <c r="Z405" s="80" t="str">
        <f>IF(AND($O405=$Y$7,$B405&lt;'1331'!$I$9),"x","")</f>
        <v/>
      </c>
      <c r="AA405" s="80" t="str">
        <f>IF(AND($P405=$Y$7,$B405&lt;'1331'!$I$9),"x","")</f>
        <v/>
      </c>
      <c r="AB405" s="80" t="str">
        <f>IF(AND($B405&gt;='1332'!$I$9,$B405&lt;='1332'!$I$9,OR($O405=$AB$7,$P405=$AB$7)),"x","")</f>
        <v/>
      </c>
      <c r="AC405" s="80" t="str">
        <f>IF(AND($O405=$AB$7,$B405&lt;'1332'!$I$9),"x","")</f>
        <v/>
      </c>
      <c r="AD405" s="80" t="str">
        <f>IF(AND($P405=$AB$7,$B405&lt;'1332'!$I$9),"x","")</f>
        <v/>
      </c>
      <c r="AE405" s="80" t="str">
        <f>IF(AND('341-CT'!$H$9=H405,OR(LEFT(O405,3)=$AE$7,LEFT(P405,3)=$AE$7)),"x","")</f>
        <v/>
      </c>
      <c r="AF405" s="80" t="str">
        <f>IF(OR(TH!O405=TH!$AF$7,P405=TH!$AF$7),"x","")</f>
        <v/>
      </c>
      <c r="AG405" s="80"/>
      <c r="AH405" s="80" t="str">
        <f>IF(AND(B405&gt;='IN-NX'!$P$3,B405&lt;='IN-NX'!$Q$3,'IN-NX'!$D$7=D405,OR(LEFT(L405,2)="15",AND(LEFT(M405,2)&lt;&gt;"15",LEFT(M405,2)&lt;&gt;"33"))),"x","")</f>
        <v/>
      </c>
      <c r="AI405" s="80" t="str">
        <f>IF(AND(OR(LEFT(TH!O405,2)="15",LEFT(TH!P405,2)="15"),'152-CT'!$J$8=TH!F405),"x","")</f>
        <v/>
      </c>
      <c r="AJ405" s="80" t="str">
        <f>IF(AND(OR(LEFT(TH!O405,2)="15",LEFT(TH!P405,2)="15"),'THE KHO'!$E$7=TH!F405),"x","")</f>
        <v/>
      </c>
      <c r="AK405" s="80" t="str">
        <f>IF(AND(O405="1521",MONTH(C405)='BK NL'!$M$11),"x","")</f>
        <v/>
      </c>
      <c r="AM405" s="352">
        <v>1</v>
      </c>
    </row>
    <row r="406" spans="1:39" ht="15.75" customHeight="1">
      <c r="A406" s="362" t="str">
        <f>IF(B406&lt;&gt;"",IF(AND(B406&gt;=_TM1,B406&lt;=_TM2,OR(TH!O406="1111",TH!P406="1111")),TH!D406,""),"")</f>
        <v>T02</v>
      </c>
      <c r="B406" s="63">
        <f t="shared" si="29"/>
        <v>6</v>
      </c>
      <c r="C406" s="337">
        <f>E406</f>
        <v>42544</v>
      </c>
      <c r="D406" s="337" t="s">
        <v>314</v>
      </c>
      <c r="E406" s="337">
        <v>42544</v>
      </c>
      <c r="F406" s="338" t="s">
        <v>388</v>
      </c>
      <c r="G406" s="351" t="s">
        <v>798</v>
      </c>
      <c r="H406" s="339" t="s">
        <v>160</v>
      </c>
      <c r="I406" s="476"/>
      <c r="J406" s="476"/>
      <c r="K406" s="469"/>
      <c r="L406" s="476"/>
      <c r="M406" s="65">
        <v>1960000000</v>
      </c>
      <c r="N406" s="65"/>
      <c r="O406" s="340" t="s">
        <v>97</v>
      </c>
      <c r="P406" s="340" t="s">
        <v>31</v>
      </c>
      <c r="Q406" s="66" t="str">
        <f>IF(AND('331-CT'!$E$7=TH!H406,OR(O406="331",P406="331")),"x","")</f>
        <v/>
      </c>
      <c r="R406" s="66" t="str">
        <f>IF(AND($B406&gt;='111'!$N$11,$B406&lt;='111'!$O$11,OR($O406=$R$7,$P406=$R$7)),"x","")</f>
        <v/>
      </c>
      <c r="S406" s="66" t="str">
        <f>IF(AND($O406=$R$7,$B406&lt;'111'!$N$11),"x","")</f>
        <v>x</v>
      </c>
      <c r="T406" s="66" t="str">
        <f>IF(AND($P406=$R$7,$B406&lt;'111'!$N$11),"x","")</f>
        <v/>
      </c>
      <c r="U406" s="66" t="str">
        <f>IF(AND($B406&gt;='112'!$M$9,$B406&lt;='112'!$N$9,OR($O406='112'!$I$6,$P406='112'!$I$6)),"x","")</f>
        <v/>
      </c>
      <c r="V406" s="66" t="str">
        <f>IF(AND($O406='112'!$I$6,$B406&lt;'112'!$M$9),"x","")</f>
        <v/>
      </c>
      <c r="W406" s="66" t="str">
        <f>IF(AND($P406='112'!$I$6,$B406&lt;'112'!$M$9),"x","")</f>
        <v>x</v>
      </c>
      <c r="X406" s="66" t="str">
        <f>IF(AND('131-CT'!$H$9=TH!H406,OR(O406="131",P406="131")),"x","")</f>
        <v/>
      </c>
      <c r="Y406" s="80" t="str">
        <f>IF(AND($B406&gt;='1331'!$I$9,$B406&lt;='1331'!$J$9,OR($O406=$Y$7,$P406=$Y$7)),"x","")</f>
        <v/>
      </c>
      <c r="Z406" s="80" t="str">
        <f>IF(AND($O406=$Y$7,$B406&lt;'1331'!$I$9),"x","")</f>
        <v/>
      </c>
      <c r="AA406" s="80" t="str">
        <f>IF(AND($P406=$Y$7,$B406&lt;'1331'!$I$9),"x","")</f>
        <v/>
      </c>
      <c r="AB406" s="80" t="str">
        <f>IF(AND($B406&gt;='1332'!$I$9,$B406&lt;='1332'!$I$9,OR($O406=$AB$7,$P406=$AB$7)),"x","")</f>
        <v/>
      </c>
      <c r="AC406" s="80" t="str">
        <f>IF(AND($O406=$AB$7,$B406&lt;'1332'!$I$9),"x","")</f>
        <v/>
      </c>
      <c r="AD406" s="80" t="str">
        <f>IF(AND($P406=$AB$7,$B406&lt;'1332'!$I$9),"x","")</f>
        <v/>
      </c>
      <c r="AE406" s="80" t="str">
        <f>IF(AND('341-CT'!$H$9=H406,OR(LEFT(O406,3)=$AE$7,LEFT(P406,3)=$AE$7)),"x","")</f>
        <v/>
      </c>
      <c r="AF406" s="80" t="str">
        <f>IF(OR(TH!O406=TH!$AF$7,P406=TH!$AF$7),"x","")</f>
        <v/>
      </c>
      <c r="AG406" s="80"/>
      <c r="AH406" s="80" t="str">
        <f>IF(AND(B406&gt;='IN-NX'!$P$3,B406&lt;='IN-NX'!$Q$3,'IN-NX'!$D$7=D406,OR(LEFT(L406,2)="15",AND(LEFT(M406,2)&lt;&gt;"15",LEFT(M406,2)&lt;&gt;"33"))),"x","")</f>
        <v/>
      </c>
      <c r="AI406" s="80" t="str">
        <f>IF(AND(OR(LEFT(TH!O406,2)="15",LEFT(TH!P406,2)="15"),'152-CT'!$J$8=TH!F406),"x","")</f>
        <v/>
      </c>
      <c r="AJ406" s="80" t="str">
        <f>IF(AND(OR(LEFT(TH!O406,2)="15",LEFT(TH!P406,2)="15"),'THE KHO'!$E$7=TH!F406),"x","")</f>
        <v/>
      </c>
      <c r="AK406" s="80" t="str">
        <f>IF(AND(O406="1521",MONTH(C406)='BK NL'!$M$11),"x","")</f>
        <v/>
      </c>
      <c r="AM406" s="352">
        <v>1</v>
      </c>
    </row>
    <row r="407" spans="1:39" ht="15.75" customHeight="1">
      <c r="A407" s="362" t="str">
        <f>IF(B407&lt;&gt;"",IF(AND(B407&gt;=_TM1,B407&lt;=_TM2,OR(TH!O407="1111",TH!P407="1111")),TH!D407,""),"")</f>
        <v>C47</v>
      </c>
      <c r="B407" s="63">
        <f t="shared" si="29"/>
        <v>6</v>
      </c>
      <c r="C407" s="337">
        <v>42545</v>
      </c>
      <c r="D407" s="337" t="s">
        <v>843</v>
      </c>
      <c r="E407" s="337">
        <v>42545</v>
      </c>
      <c r="F407" s="338" t="s">
        <v>987</v>
      </c>
      <c r="G407" s="1025" t="s">
        <v>991</v>
      </c>
      <c r="H407" s="7" t="s">
        <v>319</v>
      </c>
      <c r="I407" s="476"/>
      <c r="J407" s="476"/>
      <c r="K407" s="469"/>
      <c r="L407" s="476"/>
      <c r="M407" s="65">
        <v>1235000</v>
      </c>
      <c r="N407" s="65"/>
      <c r="O407" s="340" t="s">
        <v>135</v>
      </c>
      <c r="P407" s="340" t="s">
        <v>97</v>
      </c>
      <c r="Q407" s="66" t="str">
        <f>IF(AND('331-CT'!$E$7=TH!H407,OR(O407="331",P407="331")),"x","")</f>
        <v/>
      </c>
      <c r="R407" s="66" t="str">
        <f>IF(AND($B407&gt;='111'!$N$11,$B407&lt;='111'!$O$11,OR($O407=$R$7,$P407=$R$7)),"x","")</f>
        <v/>
      </c>
      <c r="S407" s="66" t="str">
        <f>IF(AND($O407=$R$7,$B407&lt;'111'!$N$11),"x","")</f>
        <v/>
      </c>
      <c r="T407" s="66" t="str">
        <f>IF(AND($P407=$R$7,$B407&lt;'111'!$N$11),"x","")</f>
        <v>x</v>
      </c>
      <c r="U407" s="66" t="str">
        <f>IF(AND($B407&gt;='112'!$M$9,$B407&lt;='112'!$N$9,OR($O407='112'!$I$6,$P407='112'!$I$6)),"x","")</f>
        <v/>
      </c>
      <c r="V407" s="66" t="str">
        <f>IF(AND($O407='112'!$I$6,$B407&lt;'112'!$M$9),"x","")</f>
        <v/>
      </c>
      <c r="W407" s="66" t="str">
        <f>IF(AND($P407='112'!$I$6,$B407&lt;'112'!$M$9),"x","")</f>
        <v/>
      </c>
      <c r="X407" s="66" t="str">
        <f>IF(AND('131-CT'!$H$9=TH!H407,OR(O407="131",P407="131")),"x","")</f>
        <v/>
      </c>
      <c r="Y407" s="80" t="str">
        <f>IF(AND($B407&gt;='1331'!$I$9,$B407&lt;='1331'!$J$9,OR($O407=$Y$7,$P407=$Y$7)),"x","")</f>
        <v/>
      </c>
      <c r="Z407" s="80" t="str">
        <f>IF(AND($O407=$Y$7,$B407&lt;'1331'!$I$9),"x","")</f>
        <v/>
      </c>
      <c r="AA407" s="80" t="str">
        <f>IF(AND($P407=$Y$7,$B407&lt;'1331'!$I$9),"x","")</f>
        <v/>
      </c>
      <c r="AB407" s="80" t="str">
        <f>IF(AND($B407&gt;='1332'!$I$9,$B407&lt;='1332'!$I$9,OR($O407=$AB$7,$P407=$AB$7)),"x","")</f>
        <v/>
      </c>
      <c r="AC407" s="80" t="str">
        <f>IF(AND($O407=$AB$7,$B407&lt;'1332'!$I$9),"x","")</f>
        <v/>
      </c>
      <c r="AD407" s="80" t="str">
        <f>IF(AND($P407=$AB$7,$B407&lt;'1332'!$I$9),"x","")</f>
        <v/>
      </c>
      <c r="AE407" s="80" t="str">
        <f>IF(AND('341-CT'!$H$9=H407,OR(LEFT(O407,3)=$AE$7,LEFT(P407,3)=$AE$7)),"x","")</f>
        <v/>
      </c>
      <c r="AF407" s="80" t="str">
        <f>IF(OR(TH!O407=TH!$AF$7,P407=TH!$AF$7),"x","")</f>
        <v/>
      </c>
      <c r="AG407" s="80"/>
      <c r="AH407" s="80" t="str">
        <f>IF(AND(B407&gt;='IN-NX'!$P$3,B407&lt;='IN-NX'!$Q$3,'IN-NX'!$D$7=D407,OR(LEFT(L407,2)="15",AND(LEFT(M407,2)&lt;&gt;"15",LEFT(M407,2)&lt;&gt;"33"))),"x","")</f>
        <v/>
      </c>
      <c r="AI407" s="80" t="str">
        <f>IF(AND(OR(LEFT(TH!O407,2)="15",LEFT(TH!P407,2)="15"),'152-CT'!$J$8=TH!F407),"x","")</f>
        <v/>
      </c>
      <c r="AJ407" s="80" t="str">
        <f>IF(AND(OR(LEFT(TH!O407,2)="15",LEFT(TH!P407,2)="15"),'THE KHO'!$E$7=TH!F407),"x","")</f>
        <v/>
      </c>
      <c r="AK407" s="80" t="str">
        <f>IF(AND(O407="1521",MONTH(C407)='BK NL'!$M$11),"x","")</f>
        <v/>
      </c>
    </row>
    <row r="408" spans="1:39" ht="15.75" customHeight="1">
      <c r="A408" s="362" t="str">
        <f>IF(B408&lt;&gt;"",IF(AND(B408&gt;=_TM1,B408&lt;=_TM2,OR(TH!O408="1111",TH!P408="1111")),TH!D408,""),"")</f>
        <v>C48</v>
      </c>
      <c r="B408" s="63">
        <f t="shared" si="29"/>
        <v>6</v>
      </c>
      <c r="C408" s="337">
        <v>42545</v>
      </c>
      <c r="D408" s="337" t="s">
        <v>890</v>
      </c>
      <c r="E408" s="337">
        <v>42545</v>
      </c>
      <c r="F408" s="338" t="s">
        <v>988</v>
      </c>
      <c r="G408" s="1025" t="s">
        <v>992</v>
      </c>
      <c r="H408" s="7" t="s">
        <v>322</v>
      </c>
      <c r="I408" s="476"/>
      <c r="J408" s="476"/>
      <c r="K408" s="469"/>
      <c r="L408" s="476"/>
      <c r="M408" s="65">
        <v>550000</v>
      </c>
      <c r="N408" s="65"/>
      <c r="O408" s="340" t="s">
        <v>135</v>
      </c>
      <c r="P408" s="340" t="s">
        <v>97</v>
      </c>
      <c r="Q408" s="66" t="str">
        <f>IF(AND('331-CT'!$E$7=TH!H408,OR(O408="331",P408="331")),"x","")</f>
        <v/>
      </c>
      <c r="R408" s="66" t="str">
        <f>IF(AND($B408&gt;='111'!$N$11,$B408&lt;='111'!$O$11,OR($O408=$R$7,$P408=$R$7)),"x","")</f>
        <v/>
      </c>
      <c r="S408" s="66" t="str">
        <f>IF(AND($O408=$R$7,$B408&lt;'111'!$N$11),"x","")</f>
        <v/>
      </c>
      <c r="T408" s="66" t="str">
        <f>IF(AND($P408=$R$7,$B408&lt;'111'!$N$11),"x","")</f>
        <v>x</v>
      </c>
      <c r="U408" s="66" t="str">
        <f>IF(AND($B408&gt;='112'!$M$9,$B408&lt;='112'!$N$9,OR($O408='112'!$I$6,$P408='112'!$I$6)),"x","")</f>
        <v/>
      </c>
      <c r="V408" s="66" t="str">
        <f>IF(AND($O408='112'!$I$6,$B408&lt;'112'!$M$9),"x","")</f>
        <v/>
      </c>
      <c r="W408" s="66" t="str">
        <f>IF(AND($P408='112'!$I$6,$B408&lt;'112'!$M$9),"x","")</f>
        <v/>
      </c>
      <c r="X408" s="66" t="str">
        <f>IF(AND('131-CT'!$H$9=TH!H408,OR(O408="131",P408="131")),"x","")</f>
        <v/>
      </c>
      <c r="Y408" s="80" t="str">
        <f>IF(AND($B408&gt;='1331'!$I$9,$B408&lt;='1331'!$J$9,OR($O408=$Y$7,$P408=$Y$7)),"x","")</f>
        <v/>
      </c>
      <c r="Z408" s="80" t="str">
        <f>IF(AND($O408=$Y$7,$B408&lt;'1331'!$I$9),"x","")</f>
        <v/>
      </c>
      <c r="AA408" s="80" t="str">
        <f>IF(AND($P408=$Y$7,$B408&lt;'1331'!$I$9),"x","")</f>
        <v/>
      </c>
      <c r="AB408" s="80" t="str">
        <f>IF(AND($B408&gt;='1332'!$I$9,$B408&lt;='1332'!$I$9,OR($O408=$AB$7,$P408=$AB$7)),"x","")</f>
        <v/>
      </c>
      <c r="AC408" s="80" t="str">
        <f>IF(AND($O408=$AB$7,$B408&lt;'1332'!$I$9),"x","")</f>
        <v/>
      </c>
      <c r="AD408" s="80" t="str">
        <f>IF(AND($P408=$AB$7,$B408&lt;'1332'!$I$9),"x","")</f>
        <v/>
      </c>
      <c r="AE408" s="80" t="str">
        <f>IF(AND('341-CT'!$H$9=H408,OR(LEFT(O408,3)=$AE$7,LEFT(P408,3)=$AE$7)),"x","")</f>
        <v/>
      </c>
      <c r="AF408" s="80" t="str">
        <f>IF(OR(TH!O408=TH!$AF$7,P408=TH!$AF$7),"x","")</f>
        <v/>
      </c>
      <c r="AG408" s="80"/>
      <c r="AH408" s="80" t="str">
        <f>IF(AND(B408&gt;='IN-NX'!$P$3,B408&lt;='IN-NX'!$Q$3,'IN-NX'!$D$7=D408,OR(LEFT(L408,2)="15",AND(LEFT(M408,2)&lt;&gt;"15",LEFT(M408,2)&lt;&gt;"33"))),"x","")</f>
        <v/>
      </c>
      <c r="AI408" s="80" t="str">
        <f>IF(AND(OR(LEFT(TH!O408,2)="15",LEFT(TH!P408,2)="15"),'152-CT'!$J$8=TH!F408),"x","")</f>
        <v/>
      </c>
      <c r="AJ408" s="80" t="str">
        <f>IF(AND(OR(LEFT(TH!O408,2)="15",LEFT(TH!P408,2)="15"),'THE KHO'!$E$7=TH!F408),"x","")</f>
        <v/>
      </c>
      <c r="AK408" s="80" t="str">
        <f>IF(AND(O408="1521",MONTH(C408)='BK NL'!$M$11),"x","")</f>
        <v/>
      </c>
    </row>
    <row r="409" spans="1:39" ht="15.75" customHeight="1">
      <c r="A409" s="362" t="str">
        <f>IF(B409&lt;&gt;"",IF(AND(B409&gt;=_TM1,B409&lt;=_TM2,OR(TH!O409="1111",TH!P409="1111")),TH!D409,""),"")</f>
        <v/>
      </c>
      <c r="B409" s="63">
        <f t="shared" si="29"/>
        <v>6</v>
      </c>
      <c r="C409" s="337">
        <f t="shared" ref="C409:C426" si="30">E409</f>
        <v>42545</v>
      </c>
      <c r="D409" s="337" t="s">
        <v>12</v>
      </c>
      <c r="E409" s="337">
        <v>42545</v>
      </c>
      <c r="F409" s="338" t="s">
        <v>827</v>
      </c>
      <c r="G409" s="1022" t="s">
        <v>798</v>
      </c>
      <c r="H409" s="339"/>
      <c r="I409" s="476"/>
      <c r="J409" s="476"/>
      <c r="K409" s="469"/>
      <c r="L409" s="476"/>
      <c r="M409" s="65">
        <v>17669</v>
      </c>
      <c r="N409" s="65"/>
      <c r="O409" s="340" t="s">
        <v>31</v>
      </c>
      <c r="P409" s="340" t="s">
        <v>58</v>
      </c>
      <c r="Q409" s="66" t="str">
        <f>IF(AND('331-CT'!$E$7=TH!H409,OR(O409="331",P409="331")),"x","")</f>
        <v/>
      </c>
      <c r="R409" s="66" t="str">
        <f>IF(AND($B409&gt;='111'!$N$11,$B409&lt;='111'!$O$11,OR($O409=$R$7,$P409=$R$7)),"x","")</f>
        <v/>
      </c>
      <c r="S409" s="66" t="str">
        <f>IF(AND($O409=$R$7,$B409&lt;'111'!$N$11),"x","")</f>
        <v/>
      </c>
      <c r="T409" s="66" t="str">
        <f>IF(AND($P409=$R$7,$B409&lt;'111'!$N$11),"x","")</f>
        <v/>
      </c>
      <c r="U409" s="66" t="str">
        <f>IF(AND($B409&gt;='112'!$M$9,$B409&lt;='112'!$N$9,OR($O409='112'!$I$6,$P409='112'!$I$6)),"x","")</f>
        <v/>
      </c>
      <c r="V409" s="66" t="str">
        <f>IF(AND($O409='112'!$I$6,$B409&lt;'112'!$M$9),"x","")</f>
        <v>x</v>
      </c>
      <c r="W409" s="66" t="str">
        <f>IF(AND($P409='112'!$I$6,$B409&lt;'112'!$M$9),"x","")</f>
        <v/>
      </c>
      <c r="X409" s="66" t="str">
        <f>IF(AND('131-CT'!$H$9=TH!H409,OR(O409="131",P409="131")),"x","")</f>
        <v/>
      </c>
      <c r="Y409" s="80" t="str">
        <f>IF(AND($B409&gt;='1331'!$I$9,$B409&lt;='1331'!$J$9,OR($O409=$Y$7,$P409=$Y$7)),"x","")</f>
        <v/>
      </c>
      <c r="Z409" s="80" t="str">
        <f>IF(AND($O409=$Y$7,$B409&lt;'1331'!$I$9),"x","")</f>
        <v/>
      </c>
      <c r="AA409" s="80" t="str">
        <f>IF(AND($P409=$Y$7,$B409&lt;'1331'!$I$9),"x","")</f>
        <v/>
      </c>
      <c r="AB409" s="80" t="str">
        <f>IF(AND($B409&gt;='1332'!$I$9,$B409&lt;='1332'!$I$9,OR($O409=$AB$7,$P409=$AB$7)),"x","")</f>
        <v/>
      </c>
      <c r="AC409" s="80" t="str">
        <f>IF(AND($O409=$AB$7,$B409&lt;'1332'!$I$9),"x","")</f>
        <v/>
      </c>
      <c r="AD409" s="80" t="str">
        <f>IF(AND($P409=$AB$7,$B409&lt;'1332'!$I$9),"x","")</f>
        <v/>
      </c>
      <c r="AE409" s="80" t="str">
        <f>IF(AND('341-CT'!$H$9=H409,OR(LEFT(O409,3)=$AE$7,LEFT(P409,3)=$AE$7)),"x","")</f>
        <v/>
      </c>
      <c r="AF409" s="80" t="str">
        <f>IF(OR(TH!O409=TH!$AF$7,P409=TH!$AF$7),"x","")</f>
        <v/>
      </c>
      <c r="AG409" s="80"/>
      <c r="AH409" s="80" t="str">
        <f>IF(AND(B409&gt;='IN-NX'!$P$3,B409&lt;='IN-NX'!$Q$3,'IN-NX'!$D$7=D409,OR(LEFT(L409,2)="15",AND(LEFT(M409,2)&lt;&gt;"15",LEFT(M409,2)&lt;&gt;"33"))),"x","")</f>
        <v/>
      </c>
      <c r="AI409" s="80" t="str">
        <f>IF(AND(OR(LEFT(TH!O409,2)="15",LEFT(TH!P409,2)="15"),'152-CT'!$J$8=TH!F409),"x","")</f>
        <v/>
      </c>
      <c r="AJ409" s="80" t="str">
        <f>IF(AND(OR(LEFT(TH!O409,2)="15",LEFT(TH!P409,2)="15"),'THE KHO'!$E$7=TH!F409),"x","")</f>
        <v/>
      </c>
      <c r="AK409" s="80" t="str">
        <f>IF(AND(O409="1521",MONTH(C409)='BK NL'!$M$11),"x","")</f>
        <v/>
      </c>
      <c r="AL409" s="374"/>
      <c r="AM409" s="1011">
        <v>1</v>
      </c>
    </row>
    <row r="410" spans="1:39" ht="15.75" customHeight="1">
      <c r="A410" s="362" t="str">
        <f>IF(B410&lt;&gt;"",IF(AND(B410&gt;=_TM1,B410&lt;=_TM2,OR(TH!O410="1111",TH!P410="1111")),TH!D410,""),"")</f>
        <v>T03</v>
      </c>
      <c r="B410" s="63">
        <f t="shared" si="29"/>
        <v>6</v>
      </c>
      <c r="C410" s="337">
        <f t="shared" si="30"/>
        <v>42545</v>
      </c>
      <c r="D410" s="337" t="s">
        <v>795</v>
      </c>
      <c r="E410" s="337">
        <v>42545</v>
      </c>
      <c r="F410" s="338" t="s">
        <v>1002</v>
      </c>
      <c r="G410" s="1022" t="s">
        <v>798</v>
      </c>
      <c r="H410" s="339" t="s">
        <v>160</v>
      </c>
      <c r="I410" s="476"/>
      <c r="J410" s="476"/>
      <c r="K410" s="469"/>
      <c r="L410" s="476"/>
      <c r="M410" s="65">
        <v>2000000</v>
      </c>
      <c r="N410" s="65"/>
      <c r="O410" s="340" t="s">
        <v>97</v>
      </c>
      <c r="P410" s="340" t="s">
        <v>31</v>
      </c>
      <c r="Q410" s="66" t="str">
        <f>IF(AND('331-CT'!$E$7=TH!H410,OR(O410="331",P410="331")),"x","")</f>
        <v/>
      </c>
      <c r="R410" s="66" t="str">
        <f>IF(AND($B410&gt;='111'!$N$11,$B410&lt;='111'!$O$11,OR($O410=$R$7,$P410=$R$7)),"x","")</f>
        <v/>
      </c>
      <c r="S410" s="66" t="str">
        <f>IF(AND($O410=$R$7,$B410&lt;'111'!$N$11),"x","")</f>
        <v>x</v>
      </c>
      <c r="T410" s="66" t="str">
        <f>IF(AND($P410=$R$7,$B410&lt;'111'!$N$11),"x","")</f>
        <v/>
      </c>
      <c r="U410" s="66" t="str">
        <f>IF(AND($B410&gt;='112'!$M$9,$B410&lt;='112'!$N$9,OR($O410='112'!$I$6,$P410='112'!$I$6)),"x","")</f>
        <v/>
      </c>
      <c r="V410" s="66" t="str">
        <f>IF(AND($O410='112'!$I$6,$B410&lt;'112'!$M$9),"x","")</f>
        <v/>
      </c>
      <c r="W410" s="66" t="str">
        <f>IF(AND($P410='112'!$I$6,$B410&lt;'112'!$M$9),"x","")</f>
        <v>x</v>
      </c>
      <c r="X410" s="66" t="str">
        <f>IF(AND('131-CT'!$H$9=TH!H410,OR(O410="131",P410="131")),"x","")</f>
        <v/>
      </c>
      <c r="Y410" s="80" t="str">
        <f>IF(AND($B410&gt;='1331'!$I$9,$B410&lt;='1331'!$J$9,OR($O410=$Y$7,$P410=$Y$7)),"x","")</f>
        <v/>
      </c>
      <c r="Z410" s="80" t="str">
        <f>IF(AND($O410=$Y$7,$B410&lt;'1331'!$I$9),"x","")</f>
        <v/>
      </c>
      <c r="AA410" s="80" t="str">
        <f>IF(AND($P410=$Y$7,$B410&lt;'1331'!$I$9),"x","")</f>
        <v/>
      </c>
      <c r="AB410" s="80" t="str">
        <f>IF(AND($B410&gt;='1332'!$I$9,$B410&lt;='1332'!$I$9,OR($O410=$AB$7,$P410=$AB$7)),"x","")</f>
        <v/>
      </c>
      <c r="AC410" s="80" t="str">
        <f>IF(AND($O410=$AB$7,$B410&lt;'1332'!$I$9),"x","")</f>
        <v/>
      </c>
      <c r="AD410" s="80" t="str">
        <f>IF(AND($P410=$AB$7,$B410&lt;'1332'!$I$9),"x","")</f>
        <v/>
      </c>
      <c r="AE410" s="80" t="str">
        <f>IF(AND('341-CT'!$H$9=H410,OR(LEFT(O410,3)=$AE$7,LEFT(P410,3)=$AE$7)),"x","")</f>
        <v/>
      </c>
      <c r="AF410" s="80" t="str">
        <f>IF(OR(TH!O410=TH!$AF$7,P410=TH!$AF$7),"x","")</f>
        <v/>
      </c>
      <c r="AG410" s="80"/>
      <c r="AH410" s="80" t="str">
        <f>IF(AND(B410&gt;='IN-NX'!$P$3,B410&lt;='IN-NX'!$Q$3,'IN-NX'!$D$7=D410,OR(LEFT(L410,2)="15",AND(LEFT(M410,2)&lt;&gt;"15",LEFT(M410,2)&lt;&gt;"33"))),"x","")</f>
        <v/>
      </c>
      <c r="AI410" s="80" t="str">
        <f>IF(AND(OR(LEFT(TH!O410,2)="15",LEFT(TH!P410,2)="15"),'152-CT'!$J$8=TH!F410),"x","")</f>
        <v/>
      </c>
      <c r="AJ410" s="80" t="str">
        <f>IF(AND(OR(LEFT(TH!O410,2)="15",LEFT(TH!P410,2)="15"),'THE KHO'!$E$7=TH!F410),"x","")</f>
        <v/>
      </c>
      <c r="AK410" s="80" t="str">
        <f>IF(AND(O410="1521",MONTH(C410)='BK NL'!$M$11),"x","")</f>
        <v/>
      </c>
      <c r="AL410" s="374"/>
      <c r="AM410" s="1011">
        <v>1</v>
      </c>
    </row>
    <row r="411" spans="1:39" ht="15.75" customHeight="1">
      <c r="A411" s="362" t="str">
        <f>IF(B411&lt;&gt;"",IF(AND(B411&gt;=_TM1,B411&lt;=_TM2,OR(TH!O411="1111",TH!P411="1111")),TH!D411,""),"")</f>
        <v/>
      </c>
      <c r="B411" s="63">
        <f t="shared" si="29"/>
        <v>6</v>
      </c>
      <c r="C411" s="337">
        <f t="shared" si="30"/>
        <v>42546</v>
      </c>
      <c r="D411" s="337" t="s">
        <v>8</v>
      </c>
      <c r="E411" s="337">
        <v>42546</v>
      </c>
      <c r="F411" s="338" t="s">
        <v>822</v>
      </c>
      <c r="G411" s="351" t="s">
        <v>798</v>
      </c>
      <c r="H411" s="339"/>
      <c r="I411" s="476"/>
      <c r="J411" s="476"/>
      <c r="K411" s="469"/>
      <c r="L411" s="476"/>
      <c r="M411" s="65">
        <v>50000</v>
      </c>
      <c r="N411" s="65"/>
      <c r="O411" s="340" t="s">
        <v>135</v>
      </c>
      <c r="P411" s="340" t="s">
        <v>31</v>
      </c>
      <c r="Q411" s="66" t="str">
        <f>IF(AND('331-CT'!$E$7=TH!H411,OR(O411="331",P411="331")),"x","")</f>
        <v/>
      </c>
      <c r="R411" s="66" t="str">
        <f>IF(AND($B411&gt;='111'!$N$11,$B411&lt;='111'!$O$11,OR($O411=$R$7,$P411=$R$7)),"x","")</f>
        <v/>
      </c>
      <c r="S411" s="66" t="str">
        <f>IF(AND($O411=$R$7,$B411&lt;'111'!$N$11),"x","")</f>
        <v/>
      </c>
      <c r="T411" s="66" t="str">
        <f>IF(AND($P411=$R$7,$B411&lt;'111'!$N$11),"x","")</f>
        <v/>
      </c>
      <c r="U411" s="66" t="str">
        <f>IF(AND($B411&gt;='112'!$M$9,$B411&lt;='112'!$N$9,OR($O411='112'!$I$6,$P411='112'!$I$6)),"x","")</f>
        <v/>
      </c>
      <c r="V411" s="66" t="str">
        <f>IF(AND($O411='112'!$I$6,$B411&lt;'112'!$M$9),"x","")</f>
        <v/>
      </c>
      <c r="W411" s="66" t="str">
        <f>IF(AND($P411='112'!$I$6,$B411&lt;'112'!$M$9),"x","")</f>
        <v>x</v>
      </c>
      <c r="X411" s="66" t="str">
        <f>IF(AND('131-CT'!$H$9=TH!H411,OR(O411="131",P411="131")),"x","")</f>
        <v/>
      </c>
      <c r="Y411" s="80" t="str">
        <f>IF(AND($B411&gt;='1331'!$I$9,$B411&lt;='1331'!$J$9,OR($O411=$Y$7,$P411=$Y$7)),"x","")</f>
        <v/>
      </c>
      <c r="Z411" s="80" t="str">
        <f>IF(AND($O411=$Y$7,$B411&lt;'1331'!$I$9),"x","")</f>
        <v/>
      </c>
      <c r="AA411" s="80" t="str">
        <f>IF(AND($P411=$Y$7,$B411&lt;'1331'!$I$9),"x","")</f>
        <v/>
      </c>
      <c r="AB411" s="80" t="str">
        <f>IF(AND($B411&gt;='1332'!$I$9,$B411&lt;='1332'!$I$9,OR($O411=$AB$7,$P411=$AB$7)),"x","")</f>
        <v/>
      </c>
      <c r="AC411" s="80" t="str">
        <f>IF(AND($O411=$AB$7,$B411&lt;'1332'!$I$9),"x","")</f>
        <v/>
      </c>
      <c r="AD411" s="80" t="str">
        <f>IF(AND($P411=$AB$7,$B411&lt;'1332'!$I$9),"x","")</f>
        <v/>
      </c>
      <c r="AE411" s="80" t="str">
        <f>IF(AND('341-CT'!$H$9=H411,OR(LEFT(O411,3)=$AE$7,LEFT(P411,3)=$AE$7)),"x","")</f>
        <v/>
      </c>
      <c r="AF411" s="80" t="str">
        <f>IF(OR(TH!O411=TH!$AF$7,P411=TH!$AF$7),"x","")</f>
        <v/>
      </c>
      <c r="AG411" s="80"/>
      <c r="AH411" s="80" t="str">
        <f>IF(AND(B411&gt;='IN-NX'!$P$3,B411&lt;='IN-NX'!$Q$3,'IN-NX'!$D$7=D411,OR(LEFT(L411,2)="15",AND(LEFT(M411,2)&lt;&gt;"15",LEFT(M411,2)&lt;&gt;"33"))),"x","")</f>
        <v/>
      </c>
      <c r="AI411" s="80" t="str">
        <f>IF(AND(OR(LEFT(TH!O411,2)="15",LEFT(TH!P411,2)="15"),'152-CT'!$J$8=TH!F411),"x","")</f>
        <v/>
      </c>
      <c r="AJ411" s="80" t="str">
        <f>IF(AND(OR(LEFT(TH!O411,2)="15",LEFT(TH!P411,2)="15"),'THE KHO'!$E$7=TH!F411),"x","")</f>
        <v/>
      </c>
      <c r="AK411" s="80" t="str">
        <f>IF(AND(O411="1521",MONTH(C411)='BK NL'!$M$11),"x","")</f>
        <v/>
      </c>
      <c r="AL411" s="374"/>
      <c r="AM411" s="1011">
        <v>1</v>
      </c>
    </row>
    <row r="412" spans="1:39" s="371" customFormat="1" ht="15.75" customHeight="1">
      <c r="A412" s="362" t="str">
        <f>IF(B412&lt;&gt;"",IF(AND(B412&gt;=_TM1,B412&lt;=_TM2,OR(TH!O412="1111",TH!P412="1111")),TH!D412,""),"")</f>
        <v/>
      </c>
      <c r="B412" s="63">
        <f t="shared" ref="B412:B437" si="31">IF(C412&lt;&gt;"",MONTH(C412),"")</f>
        <v>6</v>
      </c>
      <c r="C412" s="337">
        <f t="shared" si="30"/>
        <v>42546</v>
      </c>
      <c r="D412" s="337" t="s">
        <v>8</v>
      </c>
      <c r="E412" s="337">
        <v>42546</v>
      </c>
      <c r="F412" s="338" t="s">
        <v>824</v>
      </c>
      <c r="G412" s="351" t="s">
        <v>798</v>
      </c>
      <c r="H412" s="368"/>
      <c r="I412" s="477"/>
      <c r="J412" s="477"/>
      <c r="K412" s="470"/>
      <c r="L412" s="477"/>
      <c r="M412" s="88">
        <v>5000</v>
      </c>
      <c r="N412" s="88"/>
      <c r="O412" s="340" t="s">
        <v>10</v>
      </c>
      <c r="P412" s="340" t="s">
        <v>31</v>
      </c>
      <c r="Q412" s="66" t="str">
        <f>IF(AND('331-CT'!$E$7=TH!H412,OR(O412="331",P412="331")),"x","")</f>
        <v/>
      </c>
      <c r="R412" s="66" t="str">
        <f>IF(AND($B412&gt;='111'!$N$11,$B412&lt;='111'!$O$11,OR($O412=$R$7,$P412=$R$7)),"x","")</f>
        <v/>
      </c>
      <c r="S412" s="66" t="str">
        <f>IF(AND($O412=$R$7,$B412&lt;'111'!$N$11),"x","")</f>
        <v/>
      </c>
      <c r="T412" s="66" t="str">
        <f>IF(AND($P412=$R$7,$B412&lt;'111'!$N$11),"x","")</f>
        <v/>
      </c>
      <c r="U412" s="66" t="str">
        <f>IF(AND($B412&gt;='112'!$M$9,$B412&lt;='112'!$N$9,OR($O412='112'!$I$6,$P412='112'!$I$6)),"x","")</f>
        <v/>
      </c>
      <c r="V412" s="66" t="str">
        <f>IF(AND($O412='112'!$I$6,$B412&lt;'112'!$M$9),"x","")</f>
        <v/>
      </c>
      <c r="W412" s="66" t="str">
        <f>IF(AND($P412='112'!$I$6,$B412&lt;'112'!$M$9),"x","")</f>
        <v>x</v>
      </c>
      <c r="X412" s="66" t="str">
        <f>IF(AND('131-CT'!$H$9=TH!H412,OR(O412="131",P412="131")),"x","")</f>
        <v/>
      </c>
      <c r="Y412" s="80" t="str">
        <f>IF(AND($B412&gt;='1331'!$I$9,$B412&lt;='1331'!$J$9,OR($O412=$Y$7,$P412=$Y$7)),"x","")</f>
        <v/>
      </c>
      <c r="Z412" s="80" t="str">
        <f>IF(AND($O412=$Y$7,$B412&lt;'1331'!$I$9),"x","")</f>
        <v>x</v>
      </c>
      <c r="AA412" s="80" t="str">
        <f>IF(AND($P412=$Y$7,$B412&lt;'1331'!$I$9),"x","")</f>
        <v/>
      </c>
      <c r="AB412" s="80" t="str">
        <f>IF(AND($B412&gt;='1332'!$I$9,$B412&lt;='1332'!$I$9,OR($O412=$AB$7,$P412=$AB$7)),"x","")</f>
        <v/>
      </c>
      <c r="AC412" s="80" t="str">
        <f>IF(AND($O412=$AB$7,$B412&lt;'1332'!$I$9),"x","")</f>
        <v/>
      </c>
      <c r="AD412" s="80" t="str">
        <f>IF(AND($P412=$AB$7,$B412&lt;'1332'!$I$9),"x","")</f>
        <v/>
      </c>
      <c r="AE412" s="80" t="str">
        <f>IF(AND('341-CT'!$H$9=H412,OR(LEFT(O412,3)=$AE$7,LEFT(P412,3)=$AE$7)),"x","")</f>
        <v/>
      </c>
      <c r="AF412" s="80" t="str">
        <f>IF(OR(TH!O412=TH!$AF$7,P412=TH!$AF$7),"x","")</f>
        <v/>
      </c>
      <c r="AG412" s="80"/>
      <c r="AH412" s="80" t="str">
        <f>IF(AND(B412&gt;='IN-NX'!$P$3,B412&lt;='IN-NX'!$Q$3,'IN-NX'!$D$7=D412,OR(LEFT(L412,2)="15",AND(LEFT(M412,2)&lt;&gt;"15",LEFT(M412,2)&lt;&gt;"33"))),"x","")</f>
        <v/>
      </c>
      <c r="AI412" s="80" t="str">
        <f>IF(AND(OR(LEFT(TH!O412,2)="15",LEFT(TH!P412,2)="15"),'152-CT'!$J$8=TH!F412),"x","")</f>
        <v/>
      </c>
      <c r="AJ412" s="80" t="str">
        <f>IF(AND(OR(LEFT(TH!O412,2)="15",LEFT(TH!P412,2)="15"),'THE KHO'!$E$7=TH!F412),"x","")</f>
        <v/>
      </c>
      <c r="AK412" s="80" t="str">
        <f>IF(AND(O412="1521",MONTH(C412)='BK NL'!$M$11),"x","")</f>
        <v/>
      </c>
      <c r="AL412" s="374"/>
      <c r="AM412" s="1011">
        <v>1</v>
      </c>
    </row>
    <row r="413" spans="1:39" s="371" customFormat="1" ht="15.75" customHeight="1">
      <c r="A413" s="362" t="str">
        <f>IF(B413&lt;&gt;"",IF(AND(B413&gt;=_TM1,B413&lt;=_TM2,OR(TH!O413="1111",TH!P413="1111")),TH!D413,""),"")</f>
        <v/>
      </c>
      <c r="B413" s="63">
        <f t="shared" si="31"/>
        <v>6</v>
      </c>
      <c r="C413" s="337">
        <f t="shared" si="30"/>
        <v>42546</v>
      </c>
      <c r="D413" s="337" t="s">
        <v>8</v>
      </c>
      <c r="E413" s="337">
        <v>42546</v>
      </c>
      <c r="F413" s="338" t="s">
        <v>823</v>
      </c>
      <c r="G413" s="351" t="s">
        <v>798</v>
      </c>
      <c r="H413" s="368"/>
      <c r="I413" s="477"/>
      <c r="J413" s="477"/>
      <c r="K413" s="470"/>
      <c r="L413" s="477"/>
      <c r="M413" s="65">
        <v>50000</v>
      </c>
      <c r="N413" s="65"/>
      <c r="O413" s="340" t="s">
        <v>135</v>
      </c>
      <c r="P413" s="340" t="s">
        <v>31</v>
      </c>
      <c r="Q413" s="66" t="str">
        <f>IF(AND('331-CT'!$E$7=TH!H413,OR(O413="331",P413="331")),"x","")</f>
        <v/>
      </c>
      <c r="R413" s="66" t="str">
        <f>IF(AND($B413&gt;='111'!$N$11,$B413&lt;='111'!$O$11,OR($O413=$R$7,$P413=$R$7)),"x","")</f>
        <v/>
      </c>
      <c r="S413" s="66" t="str">
        <f>IF(AND($O413=$R$7,$B413&lt;'111'!$N$11),"x","")</f>
        <v/>
      </c>
      <c r="T413" s="66" t="str">
        <f>IF(AND($P413=$R$7,$B413&lt;'111'!$N$11),"x","")</f>
        <v/>
      </c>
      <c r="U413" s="66" t="str">
        <f>IF(AND($B413&gt;='112'!$M$9,$B413&lt;='112'!$N$9,OR($O413='112'!$I$6,$P413='112'!$I$6)),"x","")</f>
        <v/>
      </c>
      <c r="V413" s="66" t="str">
        <f>IF(AND($O413='112'!$I$6,$B413&lt;'112'!$M$9),"x","")</f>
        <v/>
      </c>
      <c r="W413" s="66" t="str">
        <f>IF(AND($P413='112'!$I$6,$B413&lt;'112'!$M$9),"x","")</f>
        <v>x</v>
      </c>
      <c r="X413" s="66" t="str">
        <f>IF(AND('131-CT'!$H$9=TH!H413,OR(O413="131",P413="131")),"x","")</f>
        <v/>
      </c>
      <c r="Y413" s="80" t="str">
        <f>IF(AND($B413&gt;='1331'!$I$9,$B413&lt;='1331'!$J$9,OR($O413=$Y$7,$P413=$Y$7)),"x","")</f>
        <v/>
      </c>
      <c r="Z413" s="80" t="str">
        <f>IF(AND($O413=$Y$7,$B413&lt;'1331'!$I$9),"x","")</f>
        <v/>
      </c>
      <c r="AA413" s="80" t="str">
        <f>IF(AND($P413=$Y$7,$B413&lt;'1331'!$I$9),"x","")</f>
        <v/>
      </c>
      <c r="AB413" s="80" t="str">
        <f>IF(AND($B413&gt;='1332'!$I$9,$B413&lt;='1332'!$I$9,OR($O413=$AB$7,$P413=$AB$7)),"x","")</f>
        <v/>
      </c>
      <c r="AC413" s="80" t="str">
        <f>IF(AND($O413=$AB$7,$B413&lt;'1332'!$I$9),"x","")</f>
        <v/>
      </c>
      <c r="AD413" s="80" t="str">
        <f>IF(AND($P413=$AB$7,$B413&lt;'1332'!$I$9),"x","")</f>
        <v/>
      </c>
      <c r="AE413" s="80" t="str">
        <f>IF(AND('341-CT'!$H$9=H413,OR(LEFT(O413,3)=$AE$7,LEFT(P413,3)=$AE$7)),"x","")</f>
        <v/>
      </c>
      <c r="AF413" s="80" t="str">
        <f>IF(OR(TH!O413=TH!$AF$7,P413=TH!$AF$7),"x","")</f>
        <v/>
      </c>
      <c r="AG413" s="80"/>
      <c r="AH413" s="80" t="str">
        <f>IF(AND(B413&gt;='IN-NX'!$P$3,B413&lt;='IN-NX'!$Q$3,'IN-NX'!$D$7=D413,OR(LEFT(L413,2)="15",AND(LEFT(M413,2)&lt;&gt;"15",LEFT(M413,2)&lt;&gt;"33"))),"x","")</f>
        <v/>
      </c>
      <c r="AI413" s="80" t="str">
        <f>IF(AND(OR(LEFT(TH!O413,2)="15",LEFT(TH!P413,2)="15"),'152-CT'!$J$8=TH!F413),"x","")</f>
        <v/>
      </c>
      <c r="AJ413" s="80" t="str">
        <f>IF(AND(OR(LEFT(TH!O413,2)="15",LEFT(TH!P413,2)="15"),'THE KHO'!$E$7=TH!F413),"x","")</f>
        <v/>
      </c>
      <c r="AK413" s="80" t="str">
        <f>IF(AND(O413="1521",MONTH(C413)='BK NL'!$M$11),"x","")</f>
        <v/>
      </c>
      <c r="AL413" s="374"/>
      <c r="AM413" s="1011">
        <v>1</v>
      </c>
    </row>
    <row r="414" spans="1:39" s="1011" customFormat="1" ht="15.75" customHeight="1">
      <c r="A414" s="362" t="str">
        <f>IF(B414&lt;&gt;"",IF(AND(B414&gt;=_TM1,B414&lt;=_TM2,OR(TH!O414="1111",TH!P414="1111")),TH!D414,""),"")</f>
        <v/>
      </c>
      <c r="B414" s="63">
        <f t="shared" si="31"/>
        <v>6</v>
      </c>
      <c r="C414" s="337">
        <f t="shared" si="30"/>
        <v>42546</v>
      </c>
      <c r="D414" s="337" t="s">
        <v>8</v>
      </c>
      <c r="E414" s="337">
        <v>42546</v>
      </c>
      <c r="F414" s="338" t="s">
        <v>824</v>
      </c>
      <c r="G414" s="351" t="s">
        <v>798</v>
      </c>
      <c r="H414" s="339"/>
      <c r="I414" s="476"/>
      <c r="J414" s="476"/>
      <c r="K414" s="469"/>
      <c r="L414" s="476"/>
      <c r="M414" s="88">
        <v>5000</v>
      </c>
      <c r="N414" s="88"/>
      <c r="O414" s="340" t="s">
        <v>10</v>
      </c>
      <c r="P414" s="340" t="s">
        <v>31</v>
      </c>
      <c r="Q414" s="66" t="str">
        <f>IF(AND('331-CT'!$E$7=TH!H414,OR(O414="331",P414="331")),"x","")</f>
        <v/>
      </c>
      <c r="R414" s="66" t="str">
        <f>IF(AND($B414&gt;='111'!$N$11,$B414&lt;='111'!$O$11,OR($O414=$R$7,$P414=$R$7)),"x","")</f>
        <v/>
      </c>
      <c r="S414" s="66" t="str">
        <f>IF(AND($O414=$R$7,$B414&lt;'111'!$N$11),"x","")</f>
        <v/>
      </c>
      <c r="T414" s="66" t="str">
        <f>IF(AND($P414=$R$7,$B414&lt;'111'!$N$11),"x","")</f>
        <v/>
      </c>
      <c r="U414" s="66" t="str">
        <f>IF(AND($B414&gt;='112'!$M$9,$B414&lt;='112'!$N$9,OR($O414='112'!$I$6,$P414='112'!$I$6)),"x","")</f>
        <v/>
      </c>
      <c r="V414" s="66" t="str">
        <f>IF(AND($O414='112'!$I$6,$B414&lt;'112'!$M$9),"x","")</f>
        <v/>
      </c>
      <c r="W414" s="66" t="str">
        <f>IF(AND($P414='112'!$I$6,$B414&lt;'112'!$M$9),"x","")</f>
        <v>x</v>
      </c>
      <c r="X414" s="66" t="str">
        <f>IF(AND('131-CT'!$H$9=TH!H414,OR(O414="131",P414="131")),"x","")</f>
        <v/>
      </c>
      <c r="Y414" s="80" t="str">
        <f>IF(AND($B414&gt;='1331'!$I$9,$B414&lt;='1331'!$J$9,OR($O414=$Y$7,$P414=$Y$7)),"x","")</f>
        <v/>
      </c>
      <c r="Z414" s="80" t="str">
        <f>IF(AND($O414=$Y$7,$B414&lt;'1331'!$I$9),"x","")</f>
        <v>x</v>
      </c>
      <c r="AA414" s="80" t="str">
        <f>IF(AND($P414=$Y$7,$B414&lt;'1331'!$I$9),"x","")</f>
        <v/>
      </c>
      <c r="AB414" s="80" t="str">
        <f>IF(AND($B414&gt;='1332'!$I$9,$B414&lt;='1332'!$I$9,OR($O414=$AB$7,$P414=$AB$7)),"x","")</f>
        <v/>
      </c>
      <c r="AC414" s="80" t="str">
        <f>IF(AND($O414=$AB$7,$B414&lt;'1332'!$I$9),"x","")</f>
        <v/>
      </c>
      <c r="AD414" s="80" t="str">
        <f>IF(AND($P414=$AB$7,$B414&lt;'1332'!$I$9),"x","")</f>
        <v/>
      </c>
      <c r="AE414" s="80" t="str">
        <f>IF(AND('341-CT'!$H$9=H414,OR(LEFT(O414,3)=$AE$7,LEFT(P414,3)=$AE$7)),"x","")</f>
        <v/>
      </c>
      <c r="AF414" s="80" t="str">
        <f>IF(OR(TH!O414=TH!$AF$7,P414=TH!$AF$7),"x","")</f>
        <v/>
      </c>
      <c r="AG414" s="80"/>
      <c r="AH414" s="80" t="str">
        <f>IF(AND(B414&gt;='IN-NX'!$P$3,B414&lt;='IN-NX'!$Q$3,'IN-NX'!$D$7=D414,OR(LEFT(L414,2)="15",AND(LEFT(M414,2)&lt;&gt;"15",LEFT(M414,2)&lt;&gt;"33"))),"x","")</f>
        <v/>
      </c>
      <c r="AI414" s="80" t="str">
        <f>IF(AND(OR(LEFT(TH!O414,2)="15",LEFT(TH!P414,2)="15"),'152-CT'!$J$8=TH!F414),"x","")</f>
        <v/>
      </c>
      <c r="AJ414" s="80" t="str">
        <f>IF(AND(OR(LEFT(TH!O414,2)="15",LEFT(TH!P414,2)="15"),'THE KHO'!$E$7=TH!F414),"x","")</f>
        <v/>
      </c>
      <c r="AK414" s="80" t="str">
        <f>IF(AND(O414="1521",MONTH(C414)='BK NL'!$M$11),"x","")</f>
        <v/>
      </c>
      <c r="AL414" s="352"/>
      <c r="AM414" s="352"/>
    </row>
    <row r="415" spans="1:39" s="1011" customFormat="1" ht="15.75" customHeight="1">
      <c r="A415" s="362" t="str">
        <f>IF(B415&lt;&gt;"",IF(AND(B415&gt;=_TM1,B415&lt;=_TM2,OR(TH!O415="1111",TH!P415="1111")),TH!D415,""),"")</f>
        <v>C49</v>
      </c>
      <c r="B415" s="63">
        <f t="shared" si="31"/>
        <v>6</v>
      </c>
      <c r="C415" s="337">
        <f t="shared" si="30"/>
        <v>42549</v>
      </c>
      <c r="D415" s="337" t="s">
        <v>891</v>
      </c>
      <c r="E415" s="337">
        <v>42549</v>
      </c>
      <c r="F415" s="338" t="s">
        <v>1000</v>
      </c>
      <c r="G415" s="1022" t="s">
        <v>798</v>
      </c>
      <c r="H415" s="339" t="s">
        <v>429</v>
      </c>
      <c r="I415" s="476"/>
      <c r="J415" s="476"/>
      <c r="K415" s="469"/>
      <c r="L415" s="476"/>
      <c r="M415" s="65">
        <v>31000000</v>
      </c>
      <c r="N415" s="65"/>
      <c r="O415" s="340" t="s">
        <v>24</v>
      </c>
      <c r="P415" s="340" t="s">
        <v>97</v>
      </c>
      <c r="Q415" s="66" t="str">
        <f>IF(AND('331-CT'!$E$7=TH!H415,OR(O415="331",P415="331")),"x","")</f>
        <v/>
      </c>
      <c r="R415" s="66" t="str">
        <f>IF(AND($B415&gt;='111'!$N$11,$B415&lt;='111'!$O$11,OR($O415=$R$7,$P415=$R$7)),"x","")</f>
        <v/>
      </c>
      <c r="S415" s="66" t="str">
        <f>IF(AND($O415=$R$7,$B415&lt;'111'!$N$11),"x","")</f>
        <v/>
      </c>
      <c r="T415" s="66" t="str">
        <f>IF(AND($P415=$R$7,$B415&lt;'111'!$N$11),"x","")</f>
        <v>x</v>
      </c>
      <c r="U415" s="66" t="str">
        <f>IF(AND($B415&gt;='112'!$M$9,$B415&lt;='112'!$N$9,OR($O415='112'!$I$6,$P415='112'!$I$6)),"x","")</f>
        <v/>
      </c>
      <c r="V415" s="66" t="str">
        <f>IF(AND($O415='112'!$I$6,$B415&lt;'112'!$M$9),"x","")</f>
        <v/>
      </c>
      <c r="W415" s="66" t="str">
        <f>IF(AND($P415='112'!$I$6,$B415&lt;'112'!$M$9),"x","")</f>
        <v/>
      </c>
      <c r="X415" s="66" t="str">
        <f>IF(AND('131-CT'!$H$9=TH!H415,OR(O415="131",P415="131")),"x","")</f>
        <v/>
      </c>
      <c r="Y415" s="80" t="str">
        <f>IF(AND($B415&gt;='1331'!$I$9,$B415&lt;='1331'!$J$9,OR($O415=$Y$7,$P415=$Y$7)),"x","")</f>
        <v/>
      </c>
      <c r="Z415" s="80" t="str">
        <f>IF(AND($O415=$Y$7,$B415&lt;'1331'!$I$9),"x","")</f>
        <v/>
      </c>
      <c r="AA415" s="80" t="str">
        <f>IF(AND($P415=$Y$7,$B415&lt;'1331'!$I$9),"x","")</f>
        <v/>
      </c>
      <c r="AB415" s="80" t="str">
        <f>IF(AND($B415&gt;='1332'!$I$9,$B415&lt;='1332'!$I$9,OR($O415=$AB$7,$P415=$AB$7)),"x","")</f>
        <v/>
      </c>
      <c r="AC415" s="80" t="str">
        <f>IF(AND($O415=$AB$7,$B415&lt;'1332'!$I$9),"x","")</f>
        <v/>
      </c>
      <c r="AD415" s="80" t="str">
        <f>IF(AND($P415=$AB$7,$B415&lt;'1332'!$I$9),"x","")</f>
        <v/>
      </c>
      <c r="AE415" s="80" t="str">
        <f>IF(AND('341-CT'!$H$9=H415,OR(LEFT(O415,3)=$AE$7,LEFT(P415,3)=$AE$7)),"x","")</f>
        <v/>
      </c>
      <c r="AF415" s="80" t="str">
        <f>IF(OR(TH!O415=TH!$AF$7,P415=TH!$AF$7),"x","")</f>
        <v>x</v>
      </c>
      <c r="AG415" s="80"/>
      <c r="AH415" s="80" t="str">
        <f>IF(AND(B415&gt;='IN-NX'!$P$3,B415&lt;='IN-NX'!$Q$3,'IN-NX'!$D$7=D415,OR(LEFT(L415,2)="15",AND(LEFT(M415,2)&lt;&gt;"15",LEFT(M415,2)&lt;&gt;"33"))),"x","")</f>
        <v/>
      </c>
      <c r="AI415" s="80" t="str">
        <f>IF(AND(OR(LEFT(TH!O415,2)="15",LEFT(TH!P415,2)="15"),'152-CT'!$J$8=TH!F415),"x","")</f>
        <v/>
      </c>
      <c r="AJ415" s="80" t="str">
        <f>IF(AND(OR(LEFT(TH!O415,2)="15",LEFT(TH!P415,2)="15"),'THE KHO'!$E$7=TH!F415),"x","")</f>
        <v/>
      </c>
      <c r="AK415" s="80" t="str">
        <f>IF(AND(O415="1521",MONTH(C415)='BK NL'!$M$11),"x","")</f>
        <v/>
      </c>
      <c r="AL415" s="352"/>
      <c r="AM415" s="352"/>
    </row>
    <row r="416" spans="1:39" s="1011" customFormat="1" ht="15.75" customHeight="1">
      <c r="A416" s="362" t="str">
        <f>IF(B416&lt;&gt;"",IF(AND(B416&gt;=_TM1,B416&lt;=_TM2,OR(TH!O416="1111",TH!P416="1111")),TH!D416,""),"")</f>
        <v/>
      </c>
      <c r="B416" s="63">
        <f t="shared" si="31"/>
        <v>6</v>
      </c>
      <c r="C416" s="337">
        <f t="shared" si="30"/>
        <v>42549</v>
      </c>
      <c r="D416" s="337" t="s">
        <v>12</v>
      </c>
      <c r="E416" s="337">
        <v>42549</v>
      </c>
      <c r="F416" s="338" t="s">
        <v>788</v>
      </c>
      <c r="G416" s="1022" t="s">
        <v>798</v>
      </c>
      <c r="H416" s="339" t="s">
        <v>429</v>
      </c>
      <c r="I416" s="476"/>
      <c r="J416" s="476"/>
      <c r="K416" s="469"/>
      <c r="L416" s="476"/>
      <c r="M416" s="65">
        <v>31000000</v>
      </c>
      <c r="N416" s="65"/>
      <c r="O416" s="340" t="s">
        <v>31</v>
      </c>
      <c r="P416" s="340" t="s">
        <v>24</v>
      </c>
      <c r="Q416" s="66" t="str">
        <f>IF(AND('331-CT'!$E$7=TH!H416,OR(O416="331",P416="331")),"x","")</f>
        <v/>
      </c>
      <c r="R416" s="66" t="str">
        <f>IF(AND($B416&gt;='111'!$N$11,$B416&lt;='111'!$O$11,OR($O416=$R$7,$P416=$R$7)),"x","")</f>
        <v/>
      </c>
      <c r="S416" s="66" t="str">
        <f>IF(AND($O416=$R$7,$B416&lt;'111'!$N$11),"x","")</f>
        <v/>
      </c>
      <c r="T416" s="66" t="str">
        <f>IF(AND($P416=$R$7,$B416&lt;'111'!$N$11),"x","")</f>
        <v/>
      </c>
      <c r="U416" s="66" t="str">
        <f>IF(AND($B416&gt;='112'!$M$9,$B416&lt;='112'!$N$9,OR($O416='112'!$I$6,$P416='112'!$I$6)),"x","")</f>
        <v/>
      </c>
      <c r="V416" s="66" t="str">
        <f>IF(AND($O416='112'!$I$6,$B416&lt;'112'!$M$9),"x","")</f>
        <v>x</v>
      </c>
      <c r="W416" s="66" t="str">
        <f>IF(AND($P416='112'!$I$6,$B416&lt;'112'!$M$9),"x","")</f>
        <v/>
      </c>
      <c r="X416" s="66" t="str">
        <f>IF(AND('131-CT'!$H$9=TH!H416,OR(O416="131",P416="131")),"x","")</f>
        <v/>
      </c>
      <c r="Y416" s="80" t="str">
        <f>IF(AND($B416&gt;='1331'!$I$9,$B416&lt;='1331'!$J$9,OR($O416=$Y$7,$P416=$Y$7)),"x","")</f>
        <v/>
      </c>
      <c r="Z416" s="80" t="str">
        <f>IF(AND($O416=$Y$7,$B416&lt;'1331'!$I$9),"x","")</f>
        <v/>
      </c>
      <c r="AA416" s="80" t="str">
        <f>IF(AND($P416=$Y$7,$B416&lt;'1331'!$I$9),"x","")</f>
        <v/>
      </c>
      <c r="AB416" s="80" t="str">
        <f>IF(AND($B416&gt;='1332'!$I$9,$B416&lt;='1332'!$I$9,OR($O416=$AB$7,$P416=$AB$7)),"x","")</f>
        <v/>
      </c>
      <c r="AC416" s="80" t="str">
        <f>IF(AND($O416=$AB$7,$B416&lt;'1332'!$I$9),"x","")</f>
        <v/>
      </c>
      <c r="AD416" s="80" t="str">
        <f>IF(AND($P416=$AB$7,$B416&lt;'1332'!$I$9),"x","")</f>
        <v/>
      </c>
      <c r="AE416" s="80" t="str">
        <f>IF(AND('341-CT'!$H$9=H416,OR(LEFT(O416,3)=$AE$7,LEFT(P416,3)=$AE$7)),"x","")</f>
        <v/>
      </c>
      <c r="AF416" s="80" t="str">
        <f>IF(OR(TH!O416=TH!$AF$7,P416=TH!$AF$7),"x","")</f>
        <v>x</v>
      </c>
      <c r="AG416" s="80"/>
      <c r="AH416" s="80" t="str">
        <f>IF(AND(B416&gt;='IN-NX'!$P$3,B416&lt;='IN-NX'!$Q$3,'IN-NX'!$D$7=D416,OR(LEFT(L416,2)="15",AND(LEFT(M416,2)&lt;&gt;"15",LEFT(M416,2)&lt;&gt;"33"))),"x","")</f>
        <v/>
      </c>
      <c r="AI416" s="80" t="str">
        <f>IF(AND(OR(LEFT(TH!O416,2)="15",LEFT(TH!P416,2)="15"),'152-CT'!$J$8=TH!F416),"x","")</f>
        <v/>
      </c>
      <c r="AJ416" s="80" t="str">
        <f>IF(AND(OR(LEFT(TH!O416,2)="15",LEFT(TH!P416,2)="15"),'THE KHO'!$E$7=TH!F416),"x","")</f>
        <v/>
      </c>
      <c r="AK416" s="80" t="str">
        <f>IF(AND(O416="1521",MONTH(C416)='BK NL'!$M$11),"x","")</f>
        <v/>
      </c>
      <c r="AL416" s="373"/>
      <c r="AM416" s="373">
        <v>1</v>
      </c>
    </row>
    <row r="417" spans="1:39" s="1011" customFormat="1" ht="15.75" customHeight="1">
      <c r="A417" s="362" t="str">
        <f>IF(B417&lt;&gt;"",IF(AND(B417&gt;=_TM1,B417&lt;=_TM2,OR(TH!O417="1111",TH!P417="1111")),TH!D417,""),"")</f>
        <v/>
      </c>
      <c r="B417" s="63">
        <f t="shared" si="31"/>
        <v>6</v>
      </c>
      <c r="C417" s="337">
        <f t="shared" si="30"/>
        <v>42549</v>
      </c>
      <c r="D417" s="337" t="s">
        <v>8</v>
      </c>
      <c r="E417" s="337">
        <v>42549</v>
      </c>
      <c r="F417" s="338" t="s">
        <v>1003</v>
      </c>
      <c r="G417" s="1022" t="s">
        <v>798</v>
      </c>
      <c r="H417" s="7" t="s">
        <v>49</v>
      </c>
      <c r="I417" s="476"/>
      <c r="J417" s="476"/>
      <c r="K417" s="469"/>
      <c r="L417" s="476"/>
      <c r="M417" s="65">
        <v>30360000</v>
      </c>
      <c r="N417" s="65"/>
      <c r="O417" s="340" t="s">
        <v>9</v>
      </c>
      <c r="P417" s="340" t="s">
        <v>31</v>
      </c>
      <c r="Q417" s="66" t="str">
        <f>IF(AND('331-CT'!$E$7=TH!H417,OR(O417="331",P417="331")),"x","")</f>
        <v/>
      </c>
      <c r="R417" s="66" t="str">
        <f>IF(AND($B417&gt;='111'!$N$11,$B417&lt;='111'!$O$11,OR($O417=$R$7,$P417=$R$7)),"x","")</f>
        <v/>
      </c>
      <c r="S417" s="66" t="str">
        <f>IF(AND($O417=$R$7,$B417&lt;'111'!$N$11),"x","")</f>
        <v/>
      </c>
      <c r="T417" s="66" t="str">
        <f>IF(AND($P417=$R$7,$B417&lt;'111'!$N$11),"x","")</f>
        <v/>
      </c>
      <c r="U417" s="66" t="str">
        <f>IF(AND($B417&gt;='112'!$M$9,$B417&lt;='112'!$N$9,OR($O417='112'!$I$6,$P417='112'!$I$6)),"x","")</f>
        <v/>
      </c>
      <c r="V417" s="66" t="str">
        <f>IF(AND($O417='112'!$I$6,$B417&lt;'112'!$M$9),"x","")</f>
        <v/>
      </c>
      <c r="W417" s="66" t="str">
        <f>IF(AND($P417='112'!$I$6,$B417&lt;'112'!$M$9),"x","")</f>
        <v>x</v>
      </c>
      <c r="X417" s="66" t="str">
        <f>IF(AND('131-CT'!$H$9=TH!H417,OR(O417="131",P417="131")),"x","")</f>
        <v/>
      </c>
      <c r="Y417" s="80" t="str">
        <f>IF(AND($B417&gt;='1331'!$I$9,$B417&lt;='1331'!$J$9,OR($O417=$Y$7,$P417=$Y$7)),"x","")</f>
        <v/>
      </c>
      <c r="Z417" s="80" t="str">
        <f>IF(AND($O417=$Y$7,$B417&lt;'1331'!$I$9),"x","")</f>
        <v/>
      </c>
      <c r="AA417" s="80" t="str">
        <f>IF(AND($P417=$Y$7,$B417&lt;'1331'!$I$9),"x","")</f>
        <v/>
      </c>
      <c r="AB417" s="80" t="str">
        <f>IF(AND($B417&gt;='1332'!$I$9,$B417&lt;='1332'!$I$9,OR($O417=$AB$7,$P417=$AB$7)),"x","")</f>
        <v/>
      </c>
      <c r="AC417" s="80" t="str">
        <f>IF(AND($O417=$AB$7,$B417&lt;'1332'!$I$9),"x","")</f>
        <v/>
      </c>
      <c r="AD417" s="80" t="str">
        <f>IF(AND($P417=$AB$7,$B417&lt;'1332'!$I$9),"x","")</f>
        <v/>
      </c>
      <c r="AE417" s="80" t="str">
        <f>IF(AND('341-CT'!$H$9=H417,OR(LEFT(O417,3)=$AE$7,LEFT(P417,3)=$AE$7)),"x","")</f>
        <v/>
      </c>
      <c r="AF417" s="80" t="str">
        <f>IF(OR(TH!O417=TH!$AF$7,P417=TH!$AF$7),"x","")</f>
        <v/>
      </c>
      <c r="AG417" s="80"/>
      <c r="AH417" s="80" t="str">
        <f>IF(AND(B417&gt;='IN-NX'!$P$3,B417&lt;='IN-NX'!$Q$3,'IN-NX'!$D$7=D417,OR(LEFT(L417,2)="15",AND(LEFT(M417,2)&lt;&gt;"15",LEFT(M417,2)&lt;&gt;"33"))),"x","")</f>
        <v/>
      </c>
      <c r="AI417" s="80" t="str">
        <f>IF(AND(OR(LEFT(TH!O417,2)="15",LEFT(TH!P417,2)="15"),'152-CT'!$J$8=TH!F417),"x","")</f>
        <v/>
      </c>
      <c r="AJ417" s="80" t="str">
        <f>IF(AND(OR(LEFT(TH!O417,2)="15",LEFT(TH!P417,2)="15"),'THE KHO'!$E$7=TH!F417),"x","")</f>
        <v/>
      </c>
      <c r="AK417" s="80" t="str">
        <f>IF(AND(O417="1521",MONTH(C417)='BK NL'!$M$11),"x","")</f>
        <v/>
      </c>
      <c r="AL417" s="352"/>
      <c r="AM417" s="352">
        <v>1</v>
      </c>
    </row>
    <row r="418" spans="1:39" s="1011" customFormat="1" ht="15.75" customHeight="1">
      <c r="A418" s="362" t="str">
        <f>IF(B418&lt;&gt;"",IF(AND(B418&gt;=_TM1,B418&lt;=_TM2,OR(TH!O418="1111",TH!P418="1111")),TH!D418,""),"")</f>
        <v/>
      </c>
      <c r="B418" s="63">
        <f t="shared" si="31"/>
        <v>6</v>
      </c>
      <c r="C418" s="337">
        <f t="shared" si="30"/>
        <v>42549</v>
      </c>
      <c r="D418" s="337" t="s">
        <v>8</v>
      </c>
      <c r="E418" s="337">
        <v>42549</v>
      </c>
      <c r="F418" s="338" t="s">
        <v>22</v>
      </c>
      <c r="G418" s="1022" t="s">
        <v>798</v>
      </c>
      <c r="H418" s="339"/>
      <c r="I418" s="476"/>
      <c r="J418" s="476"/>
      <c r="K418" s="469"/>
      <c r="L418" s="476"/>
      <c r="M418" s="65">
        <v>25000</v>
      </c>
      <c r="N418" s="65"/>
      <c r="O418" s="340" t="s">
        <v>135</v>
      </c>
      <c r="P418" s="340" t="s">
        <v>31</v>
      </c>
      <c r="Q418" s="66" t="str">
        <f>IF(AND('331-CT'!$E$7=TH!H418,OR(O418="331",P418="331")),"x","")</f>
        <v/>
      </c>
      <c r="R418" s="66" t="str">
        <f>IF(AND($B418&gt;='111'!$N$11,$B418&lt;='111'!$O$11,OR($O418=$R$7,$P418=$R$7)),"x","")</f>
        <v/>
      </c>
      <c r="S418" s="66" t="str">
        <f>IF(AND($O418=$R$7,$B418&lt;'111'!$N$11),"x","")</f>
        <v/>
      </c>
      <c r="T418" s="66" t="str">
        <f>IF(AND($P418=$R$7,$B418&lt;'111'!$N$11),"x","")</f>
        <v/>
      </c>
      <c r="U418" s="66" t="str">
        <f>IF(AND($B418&gt;='112'!$M$9,$B418&lt;='112'!$N$9,OR($O418='112'!$I$6,$P418='112'!$I$6)),"x","")</f>
        <v/>
      </c>
      <c r="V418" s="66" t="str">
        <f>IF(AND($O418='112'!$I$6,$B418&lt;'112'!$M$9),"x","")</f>
        <v/>
      </c>
      <c r="W418" s="66" t="str">
        <f>IF(AND($P418='112'!$I$6,$B418&lt;'112'!$M$9),"x","")</f>
        <v>x</v>
      </c>
      <c r="X418" s="66" t="str">
        <f>IF(AND('131-CT'!$H$9=TH!H418,OR(O418="131",P418="131")),"x","")</f>
        <v/>
      </c>
      <c r="Y418" s="80" t="str">
        <f>IF(AND($B418&gt;='1331'!$I$9,$B418&lt;='1331'!$J$9,OR($O418=$Y$7,$P418=$Y$7)),"x","")</f>
        <v/>
      </c>
      <c r="Z418" s="80" t="str">
        <f>IF(AND($O418=$Y$7,$B418&lt;'1331'!$I$9),"x","")</f>
        <v/>
      </c>
      <c r="AA418" s="80" t="str">
        <f>IF(AND($P418=$Y$7,$B418&lt;'1331'!$I$9),"x","")</f>
        <v/>
      </c>
      <c r="AB418" s="80" t="str">
        <f>IF(AND($B418&gt;='1332'!$I$9,$B418&lt;='1332'!$I$9,OR($O418=$AB$7,$P418=$AB$7)),"x","")</f>
        <v/>
      </c>
      <c r="AC418" s="80" t="str">
        <f>IF(AND($O418=$AB$7,$B418&lt;'1332'!$I$9),"x","")</f>
        <v/>
      </c>
      <c r="AD418" s="80" t="str">
        <f>IF(AND($P418=$AB$7,$B418&lt;'1332'!$I$9),"x","")</f>
        <v/>
      </c>
      <c r="AE418" s="80" t="str">
        <f>IF(AND('341-CT'!$H$9=H418,OR(LEFT(O418,3)=$AE$7,LEFT(P418,3)=$AE$7)),"x","")</f>
        <v/>
      </c>
      <c r="AF418" s="80" t="str">
        <f>IF(OR(TH!O418=TH!$AF$7,P418=TH!$AF$7),"x","")</f>
        <v/>
      </c>
      <c r="AG418" s="80"/>
      <c r="AH418" s="80" t="str">
        <f>IF(AND(B418&gt;='IN-NX'!$P$3,B418&lt;='IN-NX'!$Q$3,'IN-NX'!$D$7=D418,OR(LEFT(L418,2)="15",AND(LEFT(M418,2)&lt;&gt;"15",LEFT(M418,2)&lt;&gt;"33"))),"x","")</f>
        <v/>
      </c>
      <c r="AI418" s="80" t="str">
        <f>IF(AND(OR(LEFT(TH!O418,2)="15",LEFT(TH!P418,2)="15"),'152-CT'!$J$8=TH!F418),"x","")</f>
        <v/>
      </c>
      <c r="AJ418" s="80" t="str">
        <f>IF(AND(OR(LEFT(TH!O418,2)="15",LEFT(TH!P418,2)="15"),'THE KHO'!$E$7=TH!F418),"x","")</f>
        <v/>
      </c>
      <c r="AK418" s="80" t="str">
        <f>IF(AND(O418="1521",MONTH(C418)='BK NL'!$M$11),"x","")</f>
        <v/>
      </c>
      <c r="AL418" s="352"/>
      <c r="AM418" s="352">
        <v>1</v>
      </c>
    </row>
    <row r="419" spans="1:39" s="372" customFormat="1" ht="15.75" customHeight="1">
      <c r="A419" s="362" t="str">
        <f>IF(B419&lt;&gt;"",IF(AND(B419&gt;=_TM1,B419&lt;=_TM2,OR(TH!O419="1111",TH!P419="1111")),TH!D419,""),"")</f>
        <v/>
      </c>
      <c r="B419" s="63">
        <f t="shared" si="31"/>
        <v>6</v>
      </c>
      <c r="C419" s="337">
        <f t="shared" si="30"/>
        <v>42549</v>
      </c>
      <c r="D419" s="337" t="s">
        <v>8</v>
      </c>
      <c r="E419" s="337">
        <v>42549</v>
      </c>
      <c r="F419" s="338" t="s">
        <v>23</v>
      </c>
      <c r="G419" s="1022" t="s">
        <v>798</v>
      </c>
      <c r="H419" s="339"/>
      <c r="I419" s="476"/>
      <c r="J419" s="476"/>
      <c r="K419" s="469"/>
      <c r="L419" s="476"/>
      <c r="M419" s="65">
        <v>2500</v>
      </c>
      <c r="N419" s="65"/>
      <c r="O419" s="340" t="s">
        <v>10</v>
      </c>
      <c r="P419" s="340" t="s">
        <v>31</v>
      </c>
      <c r="Q419" s="66" t="str">
        <f>IF(AND('331-CT'!$E$7=TH!H419,OR(O419="331",P419="331")),"x","")</f>
        <v/>
      </c>
      <c r="R419" s="66" t="str">
        <f>IF(AND($B419&gt;='111'!$N$11,$B419&lt;='111'!$O$11,OR($O419=$R$7,$P419=$R$7)),"x","")</f>
        <v/>
      </c>
      <c r="S419" s="66" t="str">
        <f>IF(AND($O419=$R$7,$B419&lt;'111'!$N$11),"x","")</f>
        <v/>
      </c>
      <c r="T419" s="66" t="str">
        <f>IF(AND($P419=$R$7,$B419&lt;'111'!$N$11),"x","")</f>
        <v/>
      </c>
      <c r="U419" s="66" t="str">
        <f>IF(AND($B419&gt;='112'!$M$9,$B419&lt;='112'!$N$9,OR($O419='112'!$I$6,$P419='112'!$I$6)),"x","")</f>
        <v/>
      </c>
      <c r="V419" s="66" t="str">
        <f>IF(AND($O419='112'!$I$6,$B419&lt;'112'!$M$9),"x","")</f>
        <v/>
      </c>
      <c r="W419" s="66" t="str">
        <f>IF(AND($P419='112'!$I$6,$B419&lt;'112'!$M$9),"x","")</f>
        <v>x</v>
      </c>
      <c r="X419" s="66" t="str">
        <f>IF(AND('131-CT'!$H$9=TH!H419,OR(O419="131",P419="131")),"x","")</f>
        <v/>
      </c>
      <c r="Y419" s="80" t="str">
        <f>IF(AND($B419&gt;='1331'!$I$9,$B419&lt;='1331'!$J$9,OR($O419=$Y$7,$P419=$Y$7)),"x","")</f>
        <v/>
      </c>
      <c r="Z419" s="80" t="str">
        <f>IF(AND($O419=$Y$7,$B419&lt;'1331'!$I$9),"x","")</f>
        <v>x</v>
      </c>
      <c r="AA419" s="80" t="str">
        <f>IF(AND($P419=$Y$7,$B419&lt;'1331'!$I$9),"x","")</f>
        <v/>
      </c>
      <c r="AB419" s="80" t="str">
        <f>IF(AND($B419&gt;='1332'!$I$9,$B419&lt;='1332'!$I$9,OR($O419=$AB$7,$P419=$AB$7)),"x","")</f>
        <v/>
      </c>
      <c r="AC419" s="80" t="str">
        <f>IF(AND($O419=$AB$7,$B419&lt;'1332'!$I$9),"x","")</f>
        <v/>
      </c>
      <c r="AD419" s="80" t="str">
        <f>IF(AND($P419=$AB$7,$B419&lt;'1332'!$I$9),"x","")</f>
        <v/>
      </c>
      <c r="AE419" s="80" t="str">
        <f>IF(AND('341-CT'!$H$9=H419,OR(LEFT(O419,3)=$AE$7,LEFT(P419,3)=$AE$7)),"x","")</f>
        <v/>
      </c>
      <c r="AF419" s="80" t="str">
        <f>IF(OR(TH!O419=TH!$AF$7,P419=TH!$AF$7),"x","")</f>
        <v/>
      </c>
      <c r="AG419" s="80"/>
      <c r="AH419" s="80" t="str">
        <f>IF(AND(B419&gt;='IN-NX'!$P$3,B419&lt;='IN-NX'!$Q$3,'IN-NX'!$D$7=D419,OR(LEFT(L419,2)="15",AND(LEFT(M419,2)&lt;&gt;"15",LEFT(M419,2)&lt;&gt;"33"))),"x","")</f>
        <v/>
      </c>
      <c r="AI419" s="80" t="str">
        <f>IF(AND(OR(LEFT(TH!O419,2)="15",LEFT(TH!P419,2)="15"),'152-CT'!$J$8=TH!F419),"x","")</f>
        <v/>
      </c>
      <c r="AJ419" s="80" t="str">
        <f>IF(AND(OR(LEFT(TH!O419,2)="15",LEFT(TH!P419,2)="15"),'THE KHO'!$E$7=TH!F419),"x","")</f>
        <v/>
      </c>
      <c r="AK419" s="80" t="str">
        <f>IF(AND(O419="1521",MONTH(C419)='BK NL'!$M$11),"x","")</f>
        <v/>
      </c>
      <c r="AL419" s="352"/>
      <c r="AM419" s="352">
        <v>1</v>
      </c>
    </row>
    <row r="420" spans="1:39" ht="15.75" customHeight="1">
      <c r="A420" s="362" t="str">
        <f>IF(B420&lt;&gt;"",IF(AND(B420&gt;=_TM1,B420&lt;=_TM2,OR(TH!O420="1111",TH!P420="1111")),TH!D420,""),"")</f>
        <v>C50</v>
      </c>
      <c r="B420" s="87">
        <f t="shared" si="31"/>
        <v>6</v>
      </c>
      <c r="C420" s="337">
        <f t="shared" si="30"/>
        <v>42551</v>
      </c>
      <c r="D420" s="337" t="s">
        <v>985</v>
      </c>
      <c r="E420" s="337">
        <v>42551</v>
      </c>
      <c r="F420" s="338" t="s">
        <v>854</v>
      </c>
      <c r="G420" s="351"/>
      <c r="H420" s="339" t="s">
        <v>182</v>
      </c>
      <c r="I420" s="476"/>
      <c r="J420" s="476"/>
      <c r="K420" s="469"/>
      <c r="L420" s="476"/>
      <c r="M420" s="65">
        <f>ROUND((30000*36+40000*26)/1.1,0)</f>
        <v>1927273</v>
      </c>
      <c r="N420" s="65"/>
      <c r="O420" s="340" t="s">
        <v>135</v>
      </c>
      <c r="P420" s="340" t="s">
        <v>97</v>
      </c>
      <c r="Q420" s="66" t="str">
        <f>IF(AND('331-CT'!$E$7=TH!H420,OR(O420="331",P420="331")),"x","")</f>
        <v/>
      </c>
      <c r="R420" s="66" t="str">
        <f>IF(AND($B420&gt;='111'!$N$11,$B420&lt;='111'!$O$11,OR($O420=$R$7,$P420=$R$7)),"x","")</f>
        <v/>
      </c>
      <c r="S420" s="66" t="str">
        <f>IF(AND($O420=$R$7,$B420&lt;'111'!$N$11),"x","")</f>
        <v/>
      </c>
      <c r="T420" s="66" t="str">
        <f>IF(AND($P420=$R$7,$B420&lt;'111'!$N$11),"x","")</f>
        <v>x</v>
      </c>
      <c r="U420" s="66" t="str">
        <f>IF(AND($B420&gt;='112'!$M$9,$B420&lt;='112'!$N$9,OR($O420='112'!$I$6,$P420='112'!$I$6)),"x","")</f>
        <v/>
      </c>
      <c r="V420" s="66" t="str">
        <f>IF(AND($O420='112'!$I$6,$B420&lt;'112'!$M$9),"x","")</f>
        <v/>
      </c>
      <c r="W420" s="66" t="str">
        <f>IF(AND($P420='112'!$I$6,$B420&lt;'112'!$M$9),"x","")</f>
        <v/>
      </c>
      <c r="X420" s="66" t="str">
        <f>IF(AND('131-CT'!$H$9=TH!H420,OR(O420="131",P420="131")),"x","")</f>
        <v/>
      </c>
      <c r="Y420" s="80" t="str">
        <f>IF(AND($B420&gt;='1331'!$I$9,$B420&lt;='1331'!$J$9,OR($O420=$Y$7,$P420=$Y$7)),"x","")</f>
        <v/>
      </c>
      <c r="Z420" s="80" t="str">
        <f>IF(AND($O420=$Y$7,$B420&lt;'1331'!$I$9),"x","")</f>
        <v/>
      </c>
      <c r="AA420" s="80" t="str">
        <f>IF(AND($P420=$Y$7,$B420&lt;'1331'!$I$9),"x","")</f>
        <v/>
      </c>
      <c r="AB420" s="80" t="str">
        <f>IF(AND($B420&gt;='1332'!$I$9,$B420&lt;='1332'!$I$9,OR($O420=$AB$7,$P420=$AB$7)),"x","")</f>
        <v/>
      </c>
      <c r="AC420" s="80" t="str">
        <f>IF(AND($O420=$AB$7,$B420&lt;'1332'!$I$9),"x","")</f>
        <v/>
      </c>
      <c r="AD420" s="80" t="str">
        <f>IF(AND($P420=$AB$7,$B420&lt;'1332'!$I$9),"x","")</f>
        <v/>
      </c>
      <c r="AE420" s="80" t="str">
        <f>IF(AND('341-CT'!$H$9=H420,OR(LEFT(O420,3)=$AE$7,LEFT(P420,3)=$AE$7)),"x","")</f>
        <v/>
      </c>
      <c r="AF420" s="80" t="str">
        <f>IF(OR(TH!O420=TH!$AF$7,P420=TH!$AF$7),"x","")</f>
        <v/>
      </c>
      <c r="AG420" s="80"/>
      <c r="AH420" s="80" t="str">
        <f>IF(AND(B420&gt;='IN-NX'!$P$3,B420&lt;='IN-NX'!$Q$3,'IN-NX'!$D$7=D420,OR(LEFT(L420,2)="15",AND(LEFT(M420,2)&lt;&gt;"15",LEFT(M420,2)&lt;&gt;"33"))),"x","")</f>
        <v/>
      </c>
      <c r="AI420" s="80" t="str">
        <f>IF(AND(OR(LEFT(TH!O420,2)="15",LEFT(TH!P420,2)="15"),'152-CT'!$J$8=TH!F420),"x","")</f>
        <v/>
      </c>
      <c r="AJ420" s="80" t="str">
        <f>IF(AND(OR(LEFT(TH!O420,2)="15",LEFT(TH!P420,2)="15"),'THE KHO'!$E$7=TH!F420),"x","")</f>
        <v/>
      </c>
      <c r="AK420" s="80" t="str">
        <f>IF(AND(O420="1521",MONTH(C420)='BK NL'!$M$11),"x","")</f>
        <v/>
      </c>
      <c r="AM420" s="352">
        <v>1</v>
      </c>
    </row>
    <row r="421" spans="1:39" ht="15.75" customHeight="1">
      <c r="A421" s="362" t="str">
        <f>IF(B421&lt;&gt;"",IF(AND(B421&gt;=_TM1,B421&lt;=_TM2,OR(TH!O421="1111",TH!P421="1111")),TH!D421,""),"")</f>
        <v>C50</v>
      </c>
      <c r="B421" s="87">
        <f t="shared" si="31"/>
        <v>6</v>
      </c>
      <c r="C421" s="337">
        <f t="shared" si="30"/>
        <v>42551</v>
      </c>
      <c r="D421" s="337" t="s">
        <v>985</v>
      </c>
      <c r="E421" s="337">
        <v>42551</v>
      </c>
      <c r="F421" s="338" t="s">
        <v>855</v>
      </c>
      <c r="G421" s="351"/>
      <c r="H421" s="339" t="s">
        <v>182</v>
      </c>
      <c r="I421" s="476"/>
      <c r="J421" s="476"/>
      <c r="K421" s="469"/>
      <c r="L421" s="476"/>
      <c r="M421" s="88">
        <f>ROUND(M420*0.1,0)</f>
        <v>192727</v>
      </c>
      <c r="N421" s="88"/>
      <c r="O421" s="340" t="s">
        <v>10</v>
      </c>
      <c r="P421" s="340" t="s">
        <v>97</v>
      </c>
      <c r="Q421" s="66" t="str">
        <f>IF(AND('331-CT'!$E$7=TH!H421,OR(O421="331",P421="331")),"x","")</f>
        <v/>
      </c>
      <c r="R421" s="66" t="str">
        <f>IF(AND($B421&gt;='111'!$N$11,$B421&lt;='111'!$O$11,OR($O421=$R$7,$P421=$R$7)),"x","")</f>
        <v/>
      </c>
      <c r="S421" s="66" t="str">
        <f>IF(AND($O421=$R$7,$B421&lt;'111'!$N$11),"x","")</f>
        <v/>
      </c>
      <c r="T421" s="66" t="str">
        <f>IF(AND($P421=$R$7,$B421&lt;'111'!$N$11),"x","")</f>
        <v>x</v>
      </c>
      <c r="U421" s="66" t="str">
        <f>IF(AND($B421&gt;='112'!$M$9,$B421&lt;='112'!$N$9,OR($O421='112'!$I$6,$P421='112'!$I$6)),"x","")</f>
        <v/>
      </c>
      <c r="V421" s="66" t="str">
        <f>IF(AND($O421='112'!$I$6,$B421&lt;'112'!$M$9),"x","")</f>
        <v/>
      </c>
      <c r="W421" s="66" t="str">
        <f>IF(AND($P421='112'!$I$6,$B421&lt;'112'!$M$9),"x","")</f>
        <v/>
      </c>
      <c r="X421" s="66" t="str">
        <f>IF(AND('131-CT'!$H$9=TH!H421,OR(O421="131",P421="131")),"x","")</f>
        <v/>
      </c>
      <c r="Y421" s="80" t="str">
        <f>IF(AND($B421&gt;='1331'!$I$9,$B421&lt;='1331'!$J$9,OR($O421=$Y$7,$P421=$Y$7)),"x","")</f>
        <v/>
      </c>
      <c r="Z421" s="80" t="str">
        <f>IF(AND($O421=$Y$7,$B421&lt;'1331'!$I$9),"x","")</f>
        <v>x</v>
      </c>
      <c r="AA421" s="80" t="str">
        <f>IF(AND($P421=$Y$7,$B421&lt;'1331'!$I$9),"x","")</f>
        <v/>
      </c>
      <c r="AB421" s="80" t="str">
        <f>IF(AND($B421&gt;='1332'!$I$9,$B421&lt;='1332'!$I$9,OR($O421=$AB$7,$P421=$AB$7)),"x","")</f>
        <v/>
      </c>
      <c r="AC421" s="80" t="str">
        <f>IF(AND($O421=$AB$7,$B421&lt;'1332'!$I$9),"x","")</f>
        <v/>
      </c>
      <c r="AD421" s="80" t="str">
        <f>IF(AND($P421=$AB$7,$B421&lt;'1332'!$I$9),"x","")</f>
        <v/>
      </c>
      <c r="AE421" s="80" t="str">
        <f>IF(AND('341-CT'!$H$9=H421,OR(LEFT(O421,3)=$AE$7,LEFT(P421,3)=$AE$7)),"x","")</f>
        <v/>
      </c>
      <c r="AF421" s="80" t="str">
        <f>IF(OR(TH!O421=TH!$AF$7,P421=TH!$AF$7),"x","")</f>
        <v/>
      </c>
      <c r="AG421" s="80"/>
      <c r="AH421" s="80" t="str">
        <f>IF(AND(B421&gt;='IN-NX'!$P$3,B421&lt;='IN-NX'!$Q$3,'IN-NX'!$D$7=D421,OR(LEFT(L421,2)="15",AND(LEFT(M421,2)&lt;&gt;"15",LEFT(M421,2)&lt;&gt;"33"))),"x","")</f>
        <v/>
      </c>
      <c r="AI421" s="80" t="str">
        <f>IF(AND(OR(LEFT(TH!O421,2)="15",LEFT(TH!P421,2)="15"),'152-CT'!$J$8=TH!F421),"x","")</f>
        <v/>
      </c>
      <c r="AJ421" s="80" t="str">
        <f>IF(AND(OR(LEFT(TH!O421,2)="15",LEFT(TH!P421,2)="15"),'THE KHO'!$E$7=TH!F421),"x","")</f>
        <v/>
      </c>
      <c r="AK421" s="80" t="str">
        <f>IF(AND(O421="1521",MONTH(C421)='BK NL'!$M$11),"x","")</f>
        <v/>
      </c>
      <c r="AM421" s="352">
        <v>1</v>
      </c>
    </row>
    <row r="422" spans="1:39" s="373" customFormat="1" ht="15.75" customHeight="1">
      <c r="A422" s="362" t="str">
        <f>IF(B422&lt;&gt;"",IF(AND(B422&gt;=_TM1,B422&lt;=_TM2,OR(TH!O422="1111",TH!P422="1111")),TH!D422,""),"")</f>
        <v>C51</v>
      </c>
      <c r="B422" s="63">
        <f t="shared" si="31"/>
        <v>6</v>
      </c>
      <c r="C422" s="337">
        <f t="shared" si="30"/>
        <v>42551</v>
      </c>
      <c r="D422" s="337" t="s">
        <v>1009</v>
      </c>
      <c r="E422" s="337">
        <v>42551</v>
      </c>
      <c r="F422" s="338" t="s">
        <v>1001</v>
      </c>
      <c r="G422" s="1022" t="s">
        <v>798</v>
      </c>
      <c r="H422" s="339" t="s">
        <v>160</v>
      </c>
      <c r="I422" s="476"/>
      <c r="J422" s="476"/>
      <c r="K422" s="469"/>
      <c r="L422" s="476"/>
      <c r="M422" s="65">
        <v>55000000</v>
      </c>
      <c r="N422" s="65"/>
      <c r="O422" s="340" t="s">
        <v>31</v>
      </c>
      <c r="P422" s="340" t="s">
        <v>97</v>
      </c>
      <c r="Q422" s="66" t="str">
        <f>IF(AND('331-CT'!$E$7=TH!H422,OR(O422="331",P422="331")),"x","")</f>
        <v/>
      </c>
      <c r="R422" s="66" t="str">
        <f>IF(AND($B422&gt;='111'!$N$11,$B422&lt;='111'!$O$11,OR($O422=$R$7,$P422=$R$7)),"x","")</f>
        <v/>
      </c>
      <c r="S422" s="66" t="str">
        <f>IF(AND($O422=$R$7,$B422&lt;'111'!$N$11),"x","")</f>
        <v/>
      </c>
      <c r="T422" s="66" t="str">
        <f>IF(AND($P422=$R$7,$B422&lt;'111'!$N$11),"x","")</f>
        <v>x</v>
      </c>
      <c r="U422" s="66" t="str">
        <f>IF(AND($B422&gt;='112'!$M$9,$B422&lt;='112'!$N$9,OR($O422='112'!$I$6,$P422='112'!$I$6)),"x","")</f>
        <v/>
      </c>
      <c r="V422" s="66" t="str">
        <f>IF(AND($O422='112'!$I$6,$B422&lt;'112'!$M$9),"x","")</f>
        <v>x</v>
      </c>
      <c r="W422" s="66" t="str">
        <f>IF(AND($P422='112'!$I$6,$B422&lt;'112'!$M$9),"x","")</f>
        <v/>
      </c>
      <c r="X422" s="66" t="str">
        <f>IF(AND('131-CT'!$H$9=TH!H422,OR(O422="131",P422="131")),"x","")</f>
        <v/>
      </c>
      <c r="Y422" s="80" t="str">
        <f>IF(AND($B422&gt;='1331'!$I$9,$B422&lt;='1331'!$J$9,OR($O422=$Y$7,$P422=$Y$7)),"x","")</f>
        <v/>
      </c>
      <c r="Z422" s="80" t="str">
        <f>IF(AND($O422=$Y$7,$B422&lt;'1331'!$I$9),"x","")</f>
        <v/>
      </c>
      <c r="AA422" s="80" t="str">
        <f>IF(AND($P422=$Y$7,$B422&lt;'1331'!$I$9),"x","")</f>
        <v/>
      </c>
      <c r="AB422" s="80" t="str">
        <f>IF(AND($B422&gt;='1332'!$I$9,$B422&lt;='1332'!$I$9,OR($O422=$AB$7,$P422=$AB$7)),"x","")</f>
        <v/>
      </c>
      <c r="AC422" s="80" t="str">
        <f>IF(AND($O422=$AB$7,$B422&lt;'1332'!$I$9),"x","")</f>
        <v/>
      </c>
      <c r="AD422" s="80" t="str">
        <f>IF(AND($P422=$AB$7,$B422&lt;'1332'!$I$9),"x","")</f>
        <v/>
      </c>
      <c r="AE422" s="80" t="str">
        <f>IF(AND('341-CT'!$H$9=H422,OR(LEFT(O422,3)=$AE$7,LEFT(P422,3)=$AE$7)),"x","")</f>
        <v/>
      </c>
      <c r="AF422" s="80" t="str">
        <f>IF(OR(TH!O422=TH!$AF$7,P422=TH!$AF$7),"x","")</f>
        <v/>
      </c>
      <c r="AG422" s="80"/>
      <c r="AH422" s="80" t="str">
        <f>IF(AND(B422&gt;='IN-NX'!$P$3,B422&lt;='IN-NX'!$Q$3,'IN-NX'!$D$7=D422,OR(LEFT(L422,2)="15",AND(LEFT(M422,2)&lt;&gt;"15",LEFT(M422,2)&lt;&gt;"33"))),"x","")</f>
        <v/>
      </c>
      <c r="AI422" s="80" t="str">
        <f>IF(AND(OR(LEFT(TH!O422,2)="15",LEFT(TH!P422,2)="15"),'152-CT'!$J$8=TH!F422),"x","")</f>
        <v/>
      </c>
      <c r="AJ422" s="80" t="str">
        <f>IF(AND(OR(LEFT(TH!O422,2)="15",LEFT(TH!P422,2)="15"),'THE KHO'!$E$7=TH!F422),"x","")</f>
        <v/>
      </c>
      <c r="AK422" s="80" t="str">
        <f>IF(AND(O422="1521",MONTH(C422)='BK NL'!$M$11),"x","")</f>
        <v/>
      </c>
      <c r="AL422" s="352"/>
      <c r="AM422" s="352"/>
    </row>
    <row r="423" spans="1:39" s="373" customFormat="1" ht="15.75" customHeight="1">
      <c r="A423" s="362" t="str">
        <f>IF(B423&lt;&gt;"",IF(AND(B423&gt;=_TM1,B423&lt;=_TM2,OR(TH!O423="1111",TH!P423="1111")),TH!D423,""),"")</f>
        <v>C52</v>
      </c>
      <c r="B423" s="63">
        <f t="shared" si="31"/>
        <v>6</v>
      </c>
      <c r="C423" s="1033">
        <f t="shared" si="30"/>
        <v>42551</v>
      </c>
      <c r="D423" s="1033" t="s">
        <v>989</v>
      </c>
      <c r="E423" s="1033">
        <v>42551</v>
      </c>
      <c r="F423" s="1034" t="s">
        <v>1019</v>
      </c>
      <c r="G423" s="1035"/>
      <c r="H423" s="1036"/>
      <c r="I423" s="1037"/>
      <c r="J423" s="1037"/>
      <c r="K423" s="1038"/>
      <c r="L423" s="1037"/>
      <c r="M423" s="1039">
        <f>13844030+23919905+185472900</f>
        <v>223236835</v>
      </c>
      <c r="N423" s="1039"/>
      <c r="O423" s="1029" t="s">
        <v>1020</v>
      </c>
      <c r="P423" s="1029" t="s">
        <v>97</v>
      </c>
      <c r="Q423" s="66" t="str">
        <f>IF(AND('331-CT'!$E$7=TH!H423,OR(O423="331",P423="331")),"x","")</f>
        <v/>
      </c>
      <c r="R423" s="66" t="str">
        <f>IF(AND($B423&gt;='111'!$N$11,$B423&lt;='111'!$O$11,OR($O423=$R$7,$P423=$R$7)),"x","")</f>
        <v/>
      </c>
      <c r="S423" s="66" t="str">
        <f>IF(AND($O423=$R$7,$B423&lt;'111'!$N$11),"x","")</f>
        <v/>
      </c>
      <c r="T423" s="66" t="str">
        <f>IF(AND($P423=$R$7,$B423&lt;'111'!$N$11),"x","")</f>
        <v>x</v>
      </c>
      <c r="U423" s="66" t="str">
        <f>IF(AND($B423&gt;='112'!$M$9,$B423&lt;='112'!$N$9,OR($O423='112'!$I$6,$P423='112'!$I$6)),"x","")</f>
        <v/>
      </c>
      <c r="V423" s="66" t="str">
        <f>IF(AND($O423='112'!$I$6,$B423&lt;'112'!$M$9),"x","")</f>
        <v/>
      </c>
      <c r="W423" s="66" t="str">
        <f>IF(AND($P423='112'!$I$6,$B423&lt;'112'!$M$9),"x","")</f>
        <v/>
      </c>
      <c r="X423" s="66" t="str">
        <f>IF(AND('131-CT'!$H$9=TH!H423,OR(O423="131",P423="131")),"x","")</f>
        <v/>
      </c>
      <c r="Y423" s="80" t="str">
        <f>IF(AND($B423&gt;='1331'!$I$9,$B423&lt;='1331'!$J$9,OR($O423=$Y$7,$P423=$Y$7)),"x","")</f>
        <v/>
      </c>
      <c r="Z423" s="80" t="str">
        <f>IF(AND($O423=$Y$7,$B423&lt;'1331'!$I$9),"x","")</f>
        <v/>
      </c>
      <c r="AA423" s="80" t="str">
        <f>IF(AND($P423=$Y$7,$B423&lt;'1331'!$I$9),"x","")</f>
        <v/>
      </c>
      <c r="AB423" s="80" t="str">
        <f>IF(AND($B423&gt;='1332'!$I$9,$B423&lt;='1332'!$I$9,OR($O423=$AB$7,$P423=$AB$7)),"x","")</f>
        <v/>
      </c>
      <c r="AC423" s="80" t="str">
        <f>IF(AND($O423=$AB$7,$B423&lt;'1332'!$I$9),"x","")</f>
        <v/>
      </c>
      <c r="AD423" s="80" t="str">
        <f>IF(AND($P423=$AB$7,$B423&lt;'1332'!$I$9),"x","")</f>
        <v/>
      </c>
      <c r="AE423" s="80" t="str">
        <f>IF(AND('341-CT'!$H$9=H423,OR(LEFT(O423,3)=$AE$7,LEFT(P423,3)=$AE$7)),"x","")</f>
        <v/>
      </c>
      <c r="AF423" s="80" t="str">
        <f>IF(OR(TH!O423=TH!$AF$7,P423=TH!$AF$7),"x","")</f>
        <v/>
      </c>
      <c r="AG423" s="80"/>
      <c r="AH423" s="80" t="str">
        <f>IF(AND(B423&gt;='IN-NX'!$P$3,B423&lt;='IN-NX'!$Q$3,'IN-NX'!$D$7=D423,OR(LEFT(L423,2)="15",AND(LEFT(M423,2)&lt;&gt;"15",LEFT(M423,2)&lt;&gt;"33"))),"x","")</f>
        <v/>
      </c>
      <c r="AI423" s="80" t="str">
        <f>IF(AND(OR(LEFT(TH!O423,2)="15",LEFT(TH!P423,2)="15"),'152-CT'!$J$8=TH!F423),"x","")</f>
        <v/>
      </c>
      <c r="AJ423" s="80" t="str">
        <f>IF(AND(OR(LEFT(TH!O423,2)="15",LEFT(TH!P423,2)="15"),'THE KHO'!$E$7=TH!F423),"x","")</f>
        <v/>
      </c>
      <c r="AK423" s="80" t="str">
        <f>IF(AND(O423="1521",MONTH(C423)='BK NL'!$M$11),"x","")</f>
        <v/>
      </c>
      <c r="AL423" s="352"/>
      <c r="AM423" s="352"/>
    </row>
    <row r="424" spans="1:39" ht="15.75" customHeight="1">
      <c r="A424" s="362" t="str">
        <f>IF(B424&lt;&gt;"",IF(AND(B424&gt;=_TM1,B424&lt;=_TM2,OR(TH!O424="1111",TH!P424="1111")),TH!D424,""),"")</f>
        <v/>
      </c>
      <c r="B424" s="63">
        <f t="shared" si="31"/>
        <v>6</v>
      </c>
      <c r="C424" s="337">
        <f t="shared" si="30"/>
        <v>42551</v>
      </c>
      <c r="D424" s="337" t="s">
        <v>8</v>
      </c>
      <c r="E424" s="337">
        <v>42551</v>
      </c>
      <c r="F424" s="338" t="s">
        <v>1004</v>
      </c>
      <c r="G424" s="351" t="s">
        <v>798</v>
      </c>
      <c r="H424" s="339" t="s">
        <v>221</v>
      </c>
      <c r="I424" s="476"/>
      <c r="J424" s="476"/>
      <c r="K424" s="469"/>
      <c r="L424" s="476"/>
      <c r="M424" s="65">
        <v>54254970</v>
      </c>
      <c r="N424" s="65"/>
      <c r="O424" s="340" t="s">
        <v>9</v>
      </c>
      <c r="P424" s="340" t="s">
        <v>31</v>
      </c>
      <c r="Q424" s="66" t="str">
        <f>IF(AND('331-CT'!$E$7=TH!H424,OR(O424="331",P424="331")),"x","")</f>
        <v/>
      </c>
      <c r="R424" s="66" t="str">
        <f>IF(AND($B424&gt;='111'!$N$11,$B424&lt;='111'!$O$11,OR($O424=$R$7,$P424=$R$7)),"x","")</f>
        <v/>
      </c>
      <c r="S424" s="66" t="str">
        <f>IF(AND($O424=$R$7,$B424&lt;'111'!$N$11),"x","")</f>
        <v/>
      </c>
      <c r="T424" s="66" t="str">
        <f>IF(AND($P424=$R$7,$B424&lt;'111'!$N$11),"x","")</f>
        <v/>
      </c>
      <c r="U424" s="66" t="str">
        <f>IF(AND($B424&gt;='112'!$M$9,$B424&lt;='112'!$N$9,OR($O424='112'!$I$6,$P424='112'!$I$6)),"x","")</f>
        <v/>
      </c>
      <c r="V424" s="66" t="str">
        <f>IF(AND($O424='112'!$I$6,$B424&lt;'112'!$M$9),"x","")</f>
        <v/>
      </c>
      <c r="W424" s="66" t="str">
        <f>IF(AND($P424='112'!$I$6,$B424&lt;'112'!$M$9),"x","")</f>
        <v>x</v>
      </c>
      <c r="X424" s="66" t="str">
        <f>IF(AND('131-CT'!$H$9=TH!H424,OR(O424="131",P424="131")),"x","")</f>
        <v/>
      </c>
      <c r="Y424" s="80" t="str">
        <f>IF(AND($B424&gt;='1331'!$I$9,$B424&lt;='1331'!$J$9,OR($O424=$Y$7,$P424=$Y$7)),"x","")</f>
        <v/>
      </c>
      <c r="Z424" s="80" t="str">
        <f>IF(AND($O424=$Y$7,$B424&lt;'1331'!$I$9),"x","")</f>
        <v/>
      </c>
      <c r="AA424" s="80" t="str">
        <f>IF(AND($P424=$Y$7,$B424&lt;'1331'!$I$9),"x","")</f>
        <v/>
      </c>
      <c r="AB424" s="80" t="str">
        <f>IF(AND($B424&gt;='1332'!$I$9,$B424&lt;='1332'!$I$9,OR($O424=$AB$7,$P424=$AB$7)),"x","")</f>
        <v/>
      </c>
      <c r="AC424" s="80" t="str">
        <f>IF(AND($O424=$AB$7,$B424&lt;'1332'!$I$9),"x","")</f>
        <v/>
      </c>
      <c r="AD424" s="80" t="str">
        <f>IF(AND($P424=$AB$7,$B424&lt;'1332'!$I$9),"x","")</f>
        <v/>
      </c>
      <c r="AE424" s="80" t="str">
        <f>IF(AND('341-CT'!$H$9=H424,OR(LEFT(O424,3)=$AE$7,LEFT(P424,3)=$AE$7)),"x","")</f>
        <v/>
      </c>
      <c r="AF424" s="80" t="str">
        <f>IF(OR(TH!O424=TH!$AF$7,P424=TH!$AF$7),"x","")</f>
        <v/>
      </c>
      <c r="AG424" s="80"/>
      <c r="AH424" s="80" t="str">
        <f>IF(AND(B424&gt;='IN-NX'!$P$3,B424&lt;='IN-NX'!$Q$3,'IN-NX'!$D$7=D424,OR(LEFT(L424,2)="15",AND(LEFT(M424,2)&lt;&gt;"15",LEFT(M424,2)&lt;&gt;"33"))),"x","")</f>
        <v/>
      </c>
      <c r="AI424" s="80" t="str">
        <f>IF(AND(OR(LEFT(TH!O424,2)="15",LEFT(TH!P424,2)="15"),'152-CT'!$J$8=TH!F424),"x","")</f>
        <v/>
      </c>
      <c r="AJ424" s="80" t="str">
        <f>IF(AND(OR(LEFT(TH!O424,2)="15",LEFT(TH!P424,2)="15"),'THE KHO'!$E$7=TH!F424),"x","")</f>
        <v/>
      </c>
      <c r="AK424" s="80" t="str">
        <f>IF(AND(O424="1521",MONTH(C424)='BK NL'!$M$11),"x","")</f>
        <v/>
      </c>
    </row>
    <row r="425" spans="1:39" ht="15.75" customHeight="1">
      <c r="A425" s="362" t="str">
        <f>IF(B425&lt;&gt;"",IF(AND(B425&gt;=_TM1,B425&lt;=_TM2,OR(TH!O425="1111",TH!P425="1111")),TH!D425,""),"")</f>
        <v/>
      </c>
      <c r="B425" s="63">
        <f t="shared" si="31"/>
        <v>6</v>
      </c>
      <c r="C425" s="337">
        <f t="shared" si="30"/>
        <v>42551</v>
      </c>
      <c r="D425" s="337" t="s">
        <v>8</v>
      </c>
      <c r="E425" s="337">
        <v>42551</v>
      </c>
      <c r="F425" s="338" t="s">
        <v>22</v>
      </c>
      <c r="G425" s="351" t="s">
        <v>798</v>
      </c>
      <c r="H425" s="368"/>
      <c r="I425" s="477"/>
      <c r="J425" s="477"/>
      <c r="K425" s="470"/>
      <c r="L425" s="477"/>
      <c r="M425" s="65">
        <v>47127</v>
      </c>
      <c r="N425" s="65"/>
      <c r="O425" s="340" t="s">
        <v>135</v>
      </c>
      <c r="P425" s="340" t="s">
        <v>31</v>
      </c>
      <c r="Q425" s="66" t="str">
        <f>IF(AND('331-CT'!$E$7=TH!H425,OR(O425="331",P425="331")),"x","")</f>
        <v/>
      </c>
      <c r="R425" s="66" t="str">
        <f>IF(AND($B425&gt;='111'!$N$11,$B425&lt;='111'!$O$11,OR($O425=$R$7,$P425=$R$7)),"x","")</f>
        <v/>
      </c>
      <c r="S425" s="66" t="str">
        <f>IF(AND($O425=$R$7,$B425&lt;'111'!$N$11),"x","")</f>
        <v/>
      </c>
      <c r="T425" s="66" t="str">
        <f>IF(AND($P425=$R$7,$B425&lt;'111'!$N$11),"x","")</f>
        <v/>
      </c>
      <c r="U425" s="66" t="str">
        <f>IF(AND($B425&gt;='112'!$M$9,$B425&lt;='112'!$N$9,OR($O425='112'!$I$6,$P425='112'!$I$6)),"x","")</f>
        <v/>
      </c>
      <c r="V425" s="66" t="str">
        <f>IF(AND($O425='112'!$I$6,$B425&lt;'112'!$M$9),"x","")</f>
        <v/>
      </c>
      <c r="W425" s="66" t="str">
        <f>IF(AND($P425='112'!$I$6,$B425&lt;'112'!$M$9),"x","")</f>
        <v>x</v>
      </c>
      <c r="X425" s="66" t="str">
        <f>IF(AND('131-CT'!$H$9=TH!H425,OR(O425="131",P425="131")),"x","")</f>
        <v/>
      </c>
      <c r="Y425" s="80" t="str">
        <f>IF(AND($B425&gt;='1331'!$I$9,$B425&lt;='1331'!$J$9,OR($O425=$Y$7,$P425=$Y$7)),"x","")</f>
        <v/>
      </c>
      <c r="Z425" s="80" t="str">
        <f>IF(AND($O425=$Y$7,$B425&lt;'1331'!$I$9),"x","")</f>
        <v/>
      </c>
      <c r="AA425" s="80" t="str">
        <f>IF(AND($P425=$Y$7,$B425&lt;'1331'!$I$9),"x","")</f>
        <v/>
      </c>
      <c r="AB425" s="80" t="str">
        <f>IF(AND($B425&gt;='1332'!$I$9,$B425&lt;='1332'!$I$9,OR($O425=$AB$7,$P425=$AB$7)),"x","")</f>
        <v/>
      </c>
      <c r="AC425" s="80" t="str">
        <f>IF(AND($O425=$AB$7,$B425&lt;'1332'!$I$9),"x","")</f>
        <v/>
      </c>
      <c r="AD425" s="80" t="str">
        <f>IF(AND($P425=$AB$7,$B425&lt;'1332'!$I$9),"x","")</f>
        <v/>
      </c>
      <c r="AE425" s="80" t="str">
        <f>IF(AND('341-CT'!$H$9=H425,OR(LEFT(O425,3)=$AE$7,LEFT(P425,3)=$AE$7)),"x","")</f>
        <v/>
      </c>
      <c r="AF425" s="80" t="str">
        <f>IF(OR(TH!O425=TH!$AF$7,P425=TH!$AF$7),"x","")</f>
        <v/>
      </c>
      <c r="AG425" s="80"/>
      <c r="AH425" s="80" t="str">
        <f>IF(AND(B425&gt;='IN-NX'!$P$3,B425&lt;='IN-NX'!$Q$3,'IN-NX'!$D$7=D425,OR(LEFT(L425,2)="15",AND(LEFT(M425,2)&lt;&gt;"15",LEFT(M425,2)&lt;&gt;"33"))),"x","")</f>
        <v/>
      </c>
      <c r="AI425" s="80" t="str">
        <f>IF(AND(OR(LEFT(TH!O425,2)="15",LEFT(TH!P425,2)="15"),'152-CT'!$J$8=TH!F425),"x","")</f>
        <v/>
      </c>
      <c r="AJ425" s="80" t="str">
        <f>IF(AND(OR(LEFT(TH!O425,2)="15",LEFT(TH!P425,2)="15"),'THE KHO'!$E$7=TH!F425),"x","")</f>
        <v/>
      </c>
      <c r="AK425" s="80" t="str">
        <f>IF(AND(O425="1521",MONTH(C425)='BK NL'!$M$11),"x","")</f>
        <v/>
      </c>
      <c r="AM425" s="352">
        <v>1</v>
      </c>
    </row>
    <row r="426" spans="1:39" ht="15.75" customHeight="1">
      <c r="A426" s="362" t="str">
        <f>IF(B426&lt;&gt;"",IF(AND(B426&gt;=_TM1,B426&lt;=_TM2,OR(TH!O426="1111",TH!P426="1111")),TH!D426,""),"")</f>
        <v/>
      </c>
      <c r="B426" s="63">
        <f t="shared" si="31"/>
        <v>6</v>
      </c>
      <c r="C426" s="337">
        <f t="shared" si="30"/>
        <v>42551</v>
      </c>
      <c r="D426" s="337" t="s">
        <v>8</v>
      </c>
      <c r="E426" s="337">
        <v>42551</v>
      </c>
      <c r="F426" s="338" t="s">
        <v>23</v>
      </c>
      <c r="G426" s="351" t="s">
        <v>798</v>
      </c>
      <c r="H426" s="339"/>
      <c r="I426" s="476"/>
      <c r="J426" s="476"/>
      <c r="K426" s="469"/>
      <c r="L426" s="476"/>
      <c r="M426" s="88">
        <v>4713</v>
      </c>
      <c r="N426" s="88"/>
      <c r="O426" s="340" t="s">
        <v>10</v>
      </c>
      <c r="P426" s="340" t="s">
        <v>31</v>
      </c>
      <c r="Q426" s="66" t="str">
        <f>IF(AND('331-CT'!$E$7=TH!H426,OR(O426="331",P426="331")),"x","")</f>
        <v/>
      </c>
      <c r="R426" s="66" t="str">
        <f>IF(AND($B426&gt;='111'!$N$11,$B426&lt;='111'!$O$11,OR($O426=$R$7,$P426=$R$7)),"x","")</f>
        <v/>
      </c>
      <c r="S426" s="66" t="str">
        <f>IF(AND($O426=$R$7,$B426&lt;'111'!$N$11),"x","")</f>
        <v/>
      </c>
      <c r="T426" s="66" t="str">
        <f>IF(AND($P426=$R$7,$B426&lt;'111'!$N$11),"x","")</f>
        <v/>
      </c>
      <c r="U426" s="66" t="str">
        <f>IF(AND($B426&gt;='112'!$M$9,$B426&lt;='112'!$N$9,OR($O426='112'!$I$6,$P426='112'!$I$6)),"x","")</f>
        <v/>
      </c>
      <c r="V426" s="66" t="str">
        <f>IF(AND($O426='112'!$I$6,$B426&lt;'112'!$M$9),"x","")</f>
        <v/>
      </c>
      <c r="W426" s="66" t="str">
        <f>IF(AND($P426='112'!$I$6,$B426&lt;'112'!$M$9),"x","")</f>
        <v>x</v>
      </c>
      <c r="X426" s="66" t="str">
        <f>IF(AND('131-CT'!$H$9=TH!H426,OR(O426="131",P426="131")),"x","")</f>
        <v/>
      </c>
      <c r="Y426" s="80" t="str">
        <f>IF(AND($B426&gt;='1331'!$I$9,$B426&lt;='1331'!$J$9,OR($O426=$Y$7,$P426=$Y$7)),"x","")</f>
        <v/>
      </c>
      <c r="Z426" s="80" t="str">
        <f>IF(AND($O426=$Y$7,$B426&lt;'1331'!$I$9),"x","")</f>
        <v>x</v>
      </c>
      <c r="AA426" s="80" t="str">
        <f>IF(AND($P426=$Y$7,$B426&lt;'1331'!$I$9),"x","")</f>
        <v/>
      </c>
      <c r="AB426" s="80" t="str">
        <f>IF(AND($B426&gt;='1332'!$I$9,$B426&lt;='1332'!$I$9,OR($O426=$AB$7,$P426=$AB$7)),"x","")</f>
        <v/>
      </c>
      <c r="AC426" s="80" t="str">
        <f>IF(AND($O426=$AB$7,$B426&lt;'1332'!$I$9),"x","")</f>
        <v/>
      </c>
      <c r="AD426" s="80" t="str">
        <f>IF(AND($P426=$AB$7,$B426&lt;'1332'!$I$9),"x","")</f>
        <v/>
      </c>
      <c r="AE426" s="80" t="str">
        <f>IF(AND('341-CT'!$H$9=H426,OR(LEFT(O426,3)=$AE$7,LEFT(P426,3)=$AE$7)),"x","")</f>
        <v/>
      </c>
      <c r="AF426" s="80" t="str">
        <f>IF(OR(TH!O426=TH!$AF$7,P426=TH!$AF$7),"x","")</f>
        <v/>
      </c>
      <c r="AG426" s="80"/>
      <c r="AH426" s="80" t="str">
        <f>IF(AND(B426&gt;='IN-NX'!$P$3,B426&lt;='IN-NX'!$Q$3,'IN-NX'!$D$7=D426,OR(LEFT(L426,2)="15",AND(LEFT(M426,2)&lt;&gt;"15",LEFT(M426,2)&lt;&gt;"33"))),"x","")</f>
        <v/>
      </c>
      <c r="AI426" s="80" t="str">
        <f>IF(AND(OR(LEFT(TH!O426,2)="15",LEFT(TH!P426,2)="15"),'152-CT'!$J$8=TH!F426),"x","")</f>
        <v/>
      </c>
      <c r="AJ426" s="80" t="str">
        <f>IF(AND(OR(LEFT(TH!O426,2)="15",LEFT(TH!P426,2)="15"),'THE KHO'!$E$7=TH!F426),"x","")</f>
        <v/>
      </c>
      <c r="AK426" s="80" t="str">
        <f>IF(AND(O426="1521",MONTH(C426)='BK NL'!$M$11),"x","")</f>
        <v/>
      </c>
      <c r="AM426" s="352">
        <v>1</v>
      </c>
    </row>
    <row r="427" spans="1:39" ht="15.75" customHeight="1">
      <c r="A427" s="362" t="str">
        <f>IF(B427&lt;&gt;"",IF(AND(B427&gt;=_TM1,B427&lt;=_TM2,OR(TH!O427="1111",TH!P427="1111")),TH!D427,""),"")</f>
        <v/>
      </c>
      <c r="B427" s="63">
        <f t="shared" si="31"/>
        <v>6</v>
      </c>
      <c r="C427" s="337">
        <v>42551</v>
      </c>
      <c r="D427" s="337" t="s">
        <v>1021</v>
      </c>
      <c r="E427" s="337">
        <v>42515</v>
      </c>
      <c r="F427" s="338" t="s">
        <v>308</v>
      </c>
      <c r="G427" s="351" t="s">
        <v>929</v>
      </c>
      <c r="H427" s="7" t="s">
        <v>309</v>
      </c>
      <c r="I427" s="476"/>
      <c r="J427" s="476"/>
      <c r="K427" s="469"/>
      <c r="L427" s="476"/>
      <c r="M427" s="65">
        <v>7403520</v>
      </c>
      <c r="N427" s="65"/>
      <c r="O427" s="340" t="s">
        <v>135</v>
      </c>
      <c r="P427" s="340" t="s">
        <v>9</v>
      </c>
      <c r="Q427" s="66" t="str">
        <f>IF(AND('331-CT'!$E$7=TH!H427,OR(O427="331",P427="331")),"x","")</f>
        <v/>
      </c>
      <c r="R427" s="66" t="str">
        <f>IF(AND($B427&gt;='111'!$N$11,$B427&lt;='111'!$O$11,OR($O427=$R$7,$P427=$R$7)),"x","")</f>
        <v/>
      </c>
      <c r="S427" s="66" t="str">
        <f>IF(AND($O427=$R$7,$B427&lt;'111'!$N$11),"x","")</f>
        <v/>
      </c>
      <c r="T427" s="66" t="str">
        <f>IF(AND($P427=$R$7,$B427&lt;'111'!$N$11),"x","")</f>
        <v/>
      </c>
      <c r="U427" s="66" t="str">
        <f>IF(AND($B427&gt;='112'!$M$9,$B427&lt;='112'!$N$9,OR($O427='112'!$I$6,$P427='112'!$I$6)),"x","")</f>
        <v/>
      </c>
      <c r="V427" s="66" t="str">
        <f>IF(AND($O427='112'!$I$6,$B427&lt;'112'!$M$9),"x","")</f>
        <v/>
      </c>
      <c r="W427" s="66" t="str">
        <f>IF(AND($P427='112'!$I$6,$B427&lt;'112'!$M$9),"x","")</f>
        <v/>
      </c>
      <c r="X427" s="66" t="str">
        <f>IF(AND('131-CT'!$H$9=TH!H427,OR(O427="131",P427="131")),"x","")</f>
        <v/>
      </c>
      <c r="Y427" s="80" t="str">
        <f>IF(AND($B427&gt;='1331'!$I$9,$B427&lt;='1331'!$J$9,OR($O427=$Y$7,$P427=$Y$7)),"x","")</f>
        <v/>
      </c>
      <c r="Z427" s="80" t="str">
        <f>IF(AND($O427=$Y$7,$B427&lt;'1331'!$I$9),"x","")</f>
        <v/>
      </c>
      <c r="AA427" s="80" t="str">
        <f>IF(AND($P427=$Y$7,$B427&lt;'1331'!$I$9),"x","")</f>
        <v/>
      </c>
      <c r="AB427" s="80" t="str">
        <f>IF(AND($B427&gt;='1332'!$I$9,$B427&lt;='1332'!$I$9,OR($O427=$AB$7,$P427=$AB$7)),"x","")</f>
        <v/>
      </c>
      <c r="AC427" s="80" t="str">
        <f>IF(AND($O427=$AB$7,$B427&lt;'1332'!$I$9),"x","")</f>
        <v/>
      </c>
      <c r="AD427" s="80" t="str">
        <f>IF(AND($P427=$AB$7,$B427&lt;'1332'!$I$9),"x","")</f>
        <v/>
      </c>
      <c r="AE427" s="80" t="str">
        <f>IF(AND('341-CT'!$H$9=H427,OR(LEFT(O427,3)=$AE$7,LEFT(P427,3)=$AE$7)),"x","")</f>
        <v/>
      </c>
      <c r="AF427" s="80" t="str">
        <f>IF(OR(TH!O427=TH!$AF$7,P427=TH!$AF$7),"x","")</f>
        <v/>
      </c>
      <c r="AG427" s="80"/>
      <c r="AH427" s="80" t="str">
        <f>IF(AND(B427&gt;='IN-NX'!$P$3,B427&lt;='IN-NX'!$Q$3,'IN-NX'!$D$7=D427,OR(LEFT(L427,2)="15",AND(LEFT(M427,2)&lt;&gt;"15",LEFT(M427,2)&lt;&gt;"33"))),"x","")</f>
        <v/>
      </c>
      <c r="AI427" s="80" t="str">
        <f>IF(AND(OR(LEFT(TH!O427,2)="15",LEFT(TH!P427,2)="15"),'152-CT'!$J$8=TH!F427),"x","")</f>
        <v/>
      </c>
      <c r="AJ427" s="80" t="str">
        <f>IF(AND(OR(LEFT(TH!O427,2)="15",LEFT(TH!P427,2)="15"),'THE KHO'!$E$7=TH!F427),"x","")</f>
        <v/>
      </c>
      <c r="AK427" s="80" t="str">
        <f>IF(AND(O427="1521",MONTH(C427)='BK NL'!$M$11),"x","")</f>
        <v/>
      </c>
      <c r="AM427" s="371">
        <v>1</v>
      </c>
    </row>
    <row r="428" spans="1:39" ht="15.75" customHeight="1">
      <c r="A428" s="362" t="str">
        <f>IF(B428&lt;&gt;"",IF(AND(B428&gt;=_TM1,B428&lt;=_TM2,OR(TH!O428="1111",TH!P428="1111")),TH!D428,""),"")</f>
        <v/>
      </c>
      <c r="B428" s="63">
        <f t="shared" si="31"/>
        <v>6</v>
      </c>
      <c r="C428" s="337">
        <v>42551</v>
      </c>
      <c r="D428" s="337" t="s">
        <v>1021</v>
      </c>
      <c r="E428" s="337">
        <v>42515</v>
      </c>
      <c r="F428" s="338" t="s">
        <v>310</v>
      </c>
      <c r="G428" s="351" t="s">
        <v>929</v>
      </c>
      <c r="H428" s="7" t="s">
        <v>309</v>
      </c>
      <c r="I428" s="476"/>
      <c r="J428" s="476"/>
      <c r="K428" s="469"/>
      <c r="L428" s="476"/>
      <c r="M428" s="88">
        <v>740352</v>
      </c>
      <c r="N428" s="88"/>
      <c r="O428" s="340" t="s">
        <v>10</v>
      </c>
      <c r="P428" s="340" t="s">
        <v>9</v>
      </c>
      <c r="Q428" s="66" t="str">
        <f>IF(AND('331-CT'!$E$7=TH!H428,OR(O428="331",P428="331")),"x","")</f>
        <v/>
      </c>
      <c r="R428" s="66" t="str">
        <f>IF(AND($B428&gt;='111'!$N$11,$B428&lt;='111'!$O$11,OR($O428=$R$7,$P428=$R$7)),"x","")</f>
        <v/>
      </c>
      <c r="S428" s="66" t="str">
        <f>IF(AND($O428=$R$7,$B428&lt;'111'!$N$11),"x","")</f>
        <v/>
      </c>
      <c r="T428" s="66" t="str">
        <f>IF(AND($P428=$R$7,$B428&lt;'111'!$N$11),"x","")</f>
        <v/>
      </c>
      <c r="U428" s="66" t="str">
        <f>IF(AND($B428&gt;='112'!$M$9,$B428&lt;='112'!$N$9,OR($O428='112'!$I$6,$P428='112'!$I$6)),"x","")</f>
        <v/>
      </c>
      <c r="V428" s="66" t="str">
        <f>IF(AND($O428='112'!$I$6,$B428&lt;'112'!$M$9),"x","")</f>
        <v/>
      </c>
      <c r="W428" s="66" t="str">
        <f>IF(AND($P428='112'!$I$6,$B428&lt;'112'!$M$9),"x","")</f>
        <v/>
      </c>
      <c r="X428" s="66" t="str">
        <f>IF(AND('131-CT'!$H$9=TH!H428,OR(O428="131",P428="131")),"x","")</f>
        <v/>
      </c>
      <c r="Y428" s="80" t="str">
        <f>IF(AND($B428&gt;='1331'!$I$9,$B428&lt;='1331'!$J$9,OR($O428=$Y$7,$P428=$Y$7)),"x","")</f>
        <v/>
      </c>
      <c r="Z428" s="80" t="str">
        <f>IF(AND($O428=$Y$7,$B428&lt;'1331'!$I$9),"x","")</f>
        <v>x</v>
      </c>
      <c r="AA428" s="80" t="str">
        <f>IF(AND($P428=$Y$7,$B428&lt;'1331'!$I$9),"x","")</f>
        <v/>
      </c>
      <c r="AB428" s="80" t="str">
        <f>IF(AND($B428&gt;='1332'!$I$9,$B428&lt;='1332'!$I$9,OR($O428=$AB$7,$P428=$AB$7)),"x","")</f>
        <v/>
      </c>
      <c r="AC428" s="80" t="str">
        <f>IF(AND($O428=$AB$7,$B428&lt;'1332'!$I$9),"x","")</f>
        <v/>
      </c>
      <c r="AD428" s="80" t="str">
        <f>IF(AND($P428=$AB$7,$B428&lt;'1332'!$I$9),"x","")</f>
        <v/>
      </c>
      <c r="AE428" s="80" t="str">
        <f>IF(AND('341-CT'!$H$9=H428,OR(LEFT(O428,3)=$AE$7,LEFT(P428,3)=$AE$7)),"x","")</f>
        <v/>
      </c>
      <c r="AF428" s="80" t="str">
        <f>IF(OR(TH!O428=TH!$AF$7,P428=TH!$AF$7),"x","")</f>
        <v/>
      </c>
      <c r="AG428" s="80"/>
      <c r="AH428" s="80" t="str">
        <f>IF(AND(B428&gt;='IN-NX'!$P$3,B428&lt;='IN-NX'!$Q$3,'IN-NX'!$D$7=D428,OR(LEFT(L428,2)="15",AND(LEFT(M428,2)&lt;&gt;"15",LEFT(M428,2)&lt;&gt;"33"))),"x","")</f>
        <v/>
      </c>
      <c r="AI428" s="80" t="str">
        <f>IF(AND(OR(LEFT(TH!O428,2)="15",LEFT(TH!P428,2)="15"),'152-CT'!$J$8=TH!F428),"x","")</f>
        <v/>
      </c>
      <c r="AJ428" s="80" t="str">
        <f>IF(AND(OR(LEFT(TH!O428,2)="15",LEFT(TH!P428,2)="15"),'THE KHO'!$E$7=TH!F428),"x","")</f>
        <v/>
      </c>
      <c r="AK428" s="80" t="str">
        <f>IF(AND(O428="1521",MONTH(C428)='BK NL'!$M$11),"x","")</f>
        <v/>
      </c>
      <c r="AM428" s="352">
        <v>1</v>
      </c>
    </row>
    <row r="429" spans="1:39" ht="15.75" customHeight="1">
      <c r="A429" s="362" t="str">
        <f>IF(B429&lt;&gt;"",IF(AND(B429&gt;=_TM1,B429&lt;=_TM2,OR(TH!O429="1111",TH!P429="1111")),TH!D429,""),"")</f>
        <v/>
      </c>
      <c r="B429" s="63">
        <f t="shared" si="31"/>
        <v>6</v>
      </c>
      <c r="C429" s="337">
        <v>42551</v>
      </c>
      <c r="D429" s="337" t="s">
        <v>1021</v>
      </c>
      <c r="E429" s="337">
        <v>42528</v>
      </c>
      <c r="F429" s="338" t="s">
        <v>931</v>
      </c>
      <c r="G429" s="351" t="s">
        <v>930</v>
      </c>
      <c r="H429" s="339" t="s">
        <v>159</v>
      </c>
      <c r="I429" s="476"/>
      <c r="J429" s="476"/>
      <c r="K429" s="469"/>
      <c r="L429" s="476"/>
      <c r="M429" s="65">
        <v>2172148100</v>
      </c>
      <c r="N429" s="65"/>
      <c r="O429" s="340" t="s">
        <v>242</v>
      </c>
      <c r="P429" s="340" t="s">
        <v>9</v>
      </c>
      <c r="Q429" s="66" t="str">
        <f>IF(AND('331-CT'!$E$7=TH!H429,OR(O429="331",P429="331")),"x","")</f>
        <v/>
      </c>
      <c r="R429" s="66" t="str">
        <f>IF(AND($B429&gt;='111'!$N$11,$B429&lt;='111'!$O$11,OR($O429=$R$7,$P429=$R$7)),"x","")</f>
        <v/>
      </c>
      <c r="S429" s="66" t="str">
        <f>IF(AND($O429=$R$7,$B429&lt;'111'!$N$11),"x","")</f>
        <v/>
      </c>
      <c r="T429" s="66" t="str">
        <f>IF(AND($P429=$R$7,$B429&lt;'111'!$N$11),"x","")</f>
        <v/>
      </c>
      <c r="U429" s="66" t="str">
        <f>IF(AND($B429&gt;='112'!$M$9,$B429&lt;='112'!$N$9,OR($O429='112'!$I$6,$P429='112'!$I$6)),"x","")</f>
        <v/>
      </c>
      <c r="V429" s="66" t="str">
        <f>IF(AND($O429='112'!$I$6,$B429&lt;'112'!$M$9),"x","")</f>
        <v/>
      </c>
      <c r="W429" s="66" t="str">
        <f>IF(AND($P429='112'!$I$6,$B429&lt;'112'!$M$9),"x","")</f>
        <v/>
      </c>
      <c r="X429" s="66" t="str">
        <f>IF(AND('131-CT'!$H$9=TH!H429,OR(O429="131",P429="131")),"x","")</f>
        <v/>
      </c>
      <c r="Y429" s="80" t="str">
        <f>IF(AND($B429&gt;='1331'!$I$9,$B429&lt;='1331'!$J$9,OR($O429=$Y$7,$P429=$Y$7)),"x","")</f>
        <v/>
      </c>
      <c r="Z429" s="80" t="str">
        <f>IF(AND($O429=$Y$7,$B429&lt;'1331'!$I$9),"x","")</f>
        <v/>
      </c>
      <c r="AA429" s="80" t="str">
        <f>IF(AND($P429=$Y$7,$B429&lt;'1331'!$I$9),"x","")</f>
        <v/>
      </c>
      <c r="AB429" s="80" t="str">
        <f>IF(AND($B429&gt;='1332'!$I$9,$B429&lt;='1332'!$I$9,OR($O429=$AB$7,$P429=$AB$7)),"x","")</f>
        <v/>
      </c>
      <c r="AC429" s="80" t="str">
        <f>IF(AND($O429=$AB$7,$B429&lt;'1332'!$I$9),"x","")</f>
        <v/>
      </c>
      <c r="AD429" s="80" t="str">
        <f>IF(AND($P429=$AB$7,$B429&lt;'1332'!$I$9),"x","")</f>
        <v/>
      </c>
      <c r="AE429" s="80" t="str">
        <f>IF(AND('341-CT'!$H$9=H429,OR(LEFT(O429,3)=$AE$7,LEFT(P429,3)=$AE$7)),"x","")</f>
        <v/>
      </c>
      <c r="AF429" s="80" t="str">
        <f>IF(OR(TH!O429=TH!$AF$7,P429=TH!$AF$7),"x","")</f>
        <v/>
      </c>
      <c r="AG429" s="80"/>
      <c r="AH429" s="80" t="str">
        <f>IF(AND(B429&gt;='IN-NX'!$P$3,B429&lt;='IN-NX'!$Q$3,'IN-NX'!$D$7=D429,OR(LEFT(L429,2)="15",AND(LEFT(M429,2)&lt;&gt;"15",LEFT(M429,2)&lt;&gt;"33"))),"x","")</f>
        <v/>
      </c>
      <c r="AI429" s="80" t="str">
        <f>IF(AND(OR(LEFT(TH!O429,2)="15",LEFT(TH!P429,2)="15"),'152-CT'!$J$8=TH!F429),"x","")</f>
        <v/>
      </c>
      <c r="AJ429" s="80" t="str">
        <f>IF(AND(OR(LEFT(TH!O429,2)="15",LEFT(TH!P429,2)="15"),'THE KHO'!$E$7=TH!F429),"x","")</f>
        <v/>
      </c>
      <c r="AK429" s="80" t="str">
        <f>IF(AND(O429="1521",MONTH(C429)='BK NL'!$M$11),"x","")</f>
        <v/>
      </c>
      <c r="AM429" s="352">
        <v>2</v>
      </c>
    </row>
    <row r="430" spans="1:39" ht="15.75" customHeight="1">
      <c r="A430" s="362" t="str">
        <f>IF(B430&lt;&gt;"",IF(AND(B430&gt;=_TM1,B430&lt;=_TM2,OR(TH!O430="1111",TH!P430="1111")),TH!D430,""),"")</f>
        <v/>
      </c>
      <c r="B430" s="63">
        <f t="shared" si="31"/>
        <v>6</v>
      </c>
      <c r="C430" s="337">
        <v>42551</v>
      </c>
      <c r="D430" s="337" t="s">
        <v>1021</v>
      </c>
      <c r="E430" s="337">
        <v>42528</v>
      </c>
      <c r="F430" s="338" t="s">
        <v>932</v>
      </c>
      <c r="G430" s="351" t="s">
        <v>930</v>
      </c>
      <c r="H430" s="339" t="s">
        <v>159</v>
      </c>
      <c r="I430" s="476"/>
      <c r="J430" s="476"/>
      <c r="K430" s="469"/>
      <c r="L430" s="476"/>
      <c r="M430" s="79">
        <v>217214810</v>
      </c>
      <c r="N430" s="79"/>
      <c r="O430" s="340" t="s">
        <v>981</v>
      </c>
      <c r="P430" s="340" t="s">
        <v>9</v>
      </c>
      <c r="Q430" s="66" t="str">
        <f>IF(AND('331-CT'!$E$7=TH!H430,OR(O430="331",P430="331")),"x","")</f>
        <v/>
      </c>
      <c r="R430" s="66" t="str">
        <f>IF(AND($B430&gt;='111'!$N$11,$B430&lt;='111'!$O$11,OR($O430=$R$7,$P430=$R$7)),"x","")</f>
        <v/>
      </c>
      <c r="S430" s="66" t="str">
        <f>IF(AND($O430=$R$7,$B430&lt;'111'!$N$11),"x","")</f>
        <v/>
      </c>
      <c r="T430" s="66" t="str">
        <f>IF(AND($P430=$R$7,$B430&lt;'111'!$N$11),"x","")</f>
        <v/>
      </c>
      <c r="U430" s="66" t="str">
        <f>IF(AND($B430&gt;='112'!$M$9,$B430&lt;='112'!$N$9,OR($O430='112'!$I$6,$P430='112'!$I$6)),"x","")</f>
        <v/>
      </c>
      <c r="V430" s="66" t="str">
        <f>IF(AND($O430='112'!$I$6,$B430&lt;'112'!$M$9),"x","")</f>
        <v/>
      </c>
      <c r="W430" s="66" t="str">
        <f>IF(AND($P430='112'!$I$6,$B430&lt;'112'!$M$9),"x","")</f>
        <v/>
      </c>
      <c r="X430" s="66" t="str">
        <f>IF(AND('131-CT'!$H$9=TH!H430,OR(O430="131",P430="131")),"x","")</f>
        <v/>
      </c>
      <c r="Y430" s="80" t="str">
        <f>IF(AND($B430&gt;='1331'!$I$9,$B430&lt;='1331'!$J$9,OR($O430=$Y$7,$P430=$Y$7)),"x","")</f>
        <v/>
      </c>
      <c r="Z430" s="80" t="str">
        <f>IF(AND($O430=$Y$7,$B430&lt;'1331'!$I$9),"x","")</f>
        <v/>
      </c>
      <c r="AA430" s="80" t="str">
        <f>IF(AND($P430=$Y$7,$B430&lt;'1331'!$I$9),"x","")</f>
        <v/>
      </c>
      <c r="AB430" s="80" t="str">
        <f>IF(AND($B430&gt;='1332'!$I$9,$B430&lt;='1332'!$I$9,OR($O430=$AB$7,$P430=$AB$7)),"x","")</f>
        <v/>
      </c>
      <c r="AC430" s="80" t="str">
        <f>IF(AND($O430=$AB$7,$B430&lt;'1332'!$I$9),"x","")</f>
        <v>x</v>
      </c>
      <c r="AD430" s="80" t="str">
        <f>IF(AND($P430=$AB$7,$B430&lt;'1332'!$I$9),"x","")</f>
        <v/>
      </c>
      <c r="AE430" s="80" t="str">
        <f>IF(AND('341-CT'!$H$9=H430,OR(LEFT(O430,3)=$AE$7,LEFT(P430,3)=$AE$7)),"x","")</f>
        <v/>
      </c>
      <c r="AF430" s="80" t="str">
        <f>IF(OR(TH!O430=TH!$AF$7,P430=TH!$AF$7),"x","")</f>
        <v/>
      </c>
      <c r="AG430" s="80"/>
      <c r="AH430" s="80" t="str">
        <f>IF(AND(B430&gt;='IN-NX'!$P$3,B430&lt;='IN-NX'!$Q$3,'IN-NX'!$D$7=D430,OR(LEFT(L430,2)="15",AND(LEFT(M430,2)&lt;&gt;"15",LEFT(M430,2)&lt;&gt;"33"))),"x","")</f>
        <v/>
      </c>
      <c r="AI430" s="80" t="str">
        <f>IF(AND(OR(LEFT(TH!O430,2)="15",LEFT(TH!P430,2)="15"),'152-CT'!$J$8=TH!F430),"x","")</f>
        <v/>
      </c>
      <c r="AJ430" s="80" t="str">
        <f>IF(AND(OR(LEFT(TH!O430,2)="15",LEFT(TH!P430,2)="15"),'THE KHO'!$E$7=TH!F430),"x","")</f>
        <v/>
      </c>
      <c r="AK430" s="80" t="str">
        <f>IF(AND(O430="1521",MONTH(C430)='BK NL'!$M$11),"x","")</f>
        <v/>
      </c>
      <c r="AM430" s="370">
        <v>2</v>
      </c>
    </row>
    <row r="431" spans="1:39" ht="15.75" customHeight="1">
      <c r="A431" s="362" t="str">
        <f>IF(B431&lt;&gt;"",IF(AND(B431&gt;=_TM1,B431&lt;=_TM2,OR(TH!O431="1111",TH!P431="1111")),TH!D431,""),"")</f>
        <v/>
      </c>
      <c r="B431" s="63">
        <f t="shared" si="31"/>
        <v>6</v>
      </c>
      <c r="C431" s="337">
        <v>42551</v>
      </c>
      <c r="D431" s="337" t="s">
        <v>1021</v>
      </c>
      <c r="E431" s="337">
        <v>42531</v>
      </c>
      <c r="F431" s="338" t="s">
        <v>945</v>
      </c>
      <c r="G431" s="351" t="s">
        <v>947</v>
      </c>
      <c r="H431" s="7" t="s">
        <v>66</v>
      </c>
      <c r="I431" s="476"/>
      <c r="J431" s="476"/>
      <c r="K431" s="469"/>
      <c r="L431" s="476"/>
      <c r="M431" s="65">
        <v>1515073526</v>
      </c>
      <c r="N431" s="65"/>
      <c r="O431" s="340" t="s">
        <v>242</v>
      </c>
      <c r="P431" s="340" t="s">
        <v>9</v>
      </c>
      <c r="Q431" s="66" t="str">
        <f>IF(AND('331-CT'!$E$7=TH!H431,OR(O431="331",P431="331")),"x","")</f>
        <v/>
      </c>
      <c r="R431" s="66" t="str">
        <f>IF(AND($B431&gt;='111'!$N$11,$B431&lt;='111'!$O$11,OR($O431=$R$7,$P431=$R$7)),"x","")</f>
        <v/>
      </c>
      <c r="S431" s="66" t="str">
        <f>IF(AND($O431=$R$7,$B431&lt;'111'!$N$11),"x","")</f>
        <v/>
      </c>
      <c r="T431" s="66" t="str">
        <f>IF(AND($P431=$R$7,$B431&lt;'111'!$N$11),"x","")</f>
        <v/>
      </c>
      <c r="U431" s="66" t="str">
        <f>IF(AND($B431&gt;='112'!$M$9,$B431&lt;='112'!$N$9,OR($O431='112'!$I$6,$P431='112'!$I$6)),"x","")</f>
        <v/>
      </c>
      <c r="V431" s="66" t="str">
        <f>IF(AND($O431='112'!$I$6,$B431&lt;'112'!$M$9),"x","")</f>
        <v/>
      </c>
      <c r="W431" s="66" t="str">
        <f>IF(AND($P431='112'!$I$6,$B431&lt;'112'!$M$9),"x","")</f>
        <v/>
      </c>
      <c r="X431" s="66" t="str">
        <f>IF(AND('131-CT'!$H$9=TH!H431,OR(O431="131",P431="131")),"x","")</f>
        <v/>
      </c>
      <c r="Y431" s="80" t="str">
        <f>IF(AND($B431&gt;='1331'!$I$9,$B431&lt;='1331'!$J$9,OR($O431=$Y$7,$P431=$Y$7)),"x","")</f>
        <v/>
      </c>
      <c r="Z431" s="80" t="str">
        <f>IF(AND($O431=$Y$7,$B431&lt;'1331'!$I$9),"x","")</f>
        <v/>
      </c>
      <c r="AA431" s="80" t="str">
        <f>IF(AND($P431=$Y$7,$B431&lt;'1331'!$I$9),"x","")</f>
        <v/>
      </c>
      <c r="AB431" s="80" t="str">
        <f>IF(AND($B431&gt;='1332'!$I$9,$B431&lt;='1332'!$I$9,OR($O431=$AB$7,$P431=$AB$7)),"x","")</f>
        <v/>
      </c>
      <c r="AC431" s="80" t="str">
        <f>IF(AND($O431=$AB$7,$B431&lt;'1332'!$I$9),"x","")</f>
        <v/>
      </c>
      <c r="AD431" s="80" t="str">
        <f>IF(AND($P431=$AB$7,$B431&lt;'1332'!$I$9),"x","")</f>
        <v/>
      </c>
      <c r="AE431" s="80" t="str">
        <f>IF(AND('341-CT'!$H$9=H431,OR(LEFT(O431,3)=$AE$7,LEFT(P431,3)=$AE$7)),"x","")</f>
        <v/>
      </c>
      <c r="AF431" s="80" t="str">
        <f>IF(OR(TH!O431=TH!$AF$7,P431=TH!$AF$7),"x","")</f>
        <v/>
      </c>
      <c r="AG431" s="80"/>
      <c r="AH431" s="80" t="str">
        <f>IF(AND(B431&gt;='IN-NX'!$P$3,B431&lt;='IN-NX'!$Q$3,'IN-NX'!$D$7=D431,OR(LEFT(L431,2)="15",AND(LEFT(M431,2)&lt;&gt;"15",LEFT(M431,2)&lt;&gt;"33"))),"x","")</f>
        <v/>
      </c>
      <c r="AI431" s="80" t="str">
        <f>IF(AND(OR(LEFT(TH!O431,2)="15",LEFT(TH!P431,2)="15"),'152-CT'!$J$8=TH!F431),"x","")</f>
        <v/>
      </c>
      <c r="AJ431" s="80" t="str">
        <f>IF(AND(OR(LEFT(TH!O431,2)="15",LEFT(TH!P431,2)="15"),'THE KHO'!$E$7=TH!F431),"x","")</f>
        <v/>
      </c>
      <c r="AK431" s="80" t="str">
        <f>IF(AND(O431="1521",MONTH(C431)='BK NL'!$M$11),"x","")</f>
        <v/>
      </c>
      <c r="AM431" s="352">
        <v>2</v>
      </c>
    </row>
    <row r="432" spans="1:39" ht="15.75" customHeight="1">
      <c r="A432" s="362" t="str">
        <f>IF(B432&lt;&gt;"",IF(AND(B432&gt;=_TM1,B432&lt;=_TM2,OR(TH!O432="1111",TH!P432="1111")),TH!D432,""),"")</f>
        <v/>
      </c>
      <c r="B432" s="63">
        <f t="shared" si="31"/>
        <v>6</v>
      </c>
      <c r="C432" s="337">
        <v>42551</v>
      </c>
      <c r="D432" s="337" t="s">
        <v>1021</v>
      </c>
      <c r="E432" s="337">
        <v>42531</v>
      </c>
      <c r="F432" s="338" t="s">
        <v>946</v>
      </c>
      <c r="G432" s="351" t="s">
        <v>947</v>
      </c>
      <c r="H432" s="7" t="s">
        <v>66</v>
      </c>
      <c r="I432" s="476"/>
      <c r="J432" s="476"/>
      <c r="K432" s="469"/>
      <c r="L432" s="476"/>
      <c r="M432" s="79">
        <v>151507353</v>
      </c>
      <c r="N432" s="79"/>
      <c r="O432" s="340" t="s">
        <v>981</v>
      </c>
      <c r="P432" s="340" t="s">
        <v>9</v>
      </c>
      <c r="Q432" s="66" t="str">
        <f>IF(AND('331-CT'!$E$7=TH!H432,OR(O432="331",P432="331")),"x","")</f>
        <v/>
      </c>
      <c r="R432" s="66" t="str">
        <f>IF(AND($B432&gt;='111'!$N$11,$B432&lt;='111'!$O$11,OR($O432=$R$7,$P432=$R$7)),"x","")</f>
        <v/>
      </c>
      <c r="S432" s="66" t="str">
        <f>IF(AND($O432=$R$7,$B432&lt;'111'!$N$11),"x","")</f>
        <v/>
      </c>
      <c r="T432" s="66" t="str">
        <f>IF(AND($P432=$R$7,$B432&lt;'111'!$N$11),"x","")</f>
        <v/>
      </c>
      <c r="U432" s="66" t="str">
        <f>IF(AND($B432&gt;='112'!$M$9,$B432&lt;='112'!$N$9,OR($O432='112'!$I$6,$P432='112'!$I$6)),"x","")</f>
        <v/>
      </c>
      <c r="V432" s="66" t="str">
        <f>IF(AND($O432='112'!$I$6,$B432&lt;'112'!$M$9),"x","")</f>
        <v/>
      </c>
      <c r="W432" s="66" t="str">
        <f>IF(AND($P432='112'!$I$6,$B432&lt;'112'!$M$9),"x","")</f>
        <v/>
      </c>
      <c r="X432" s="66" t="str">
        <f>IF(AND('131-CT'!$H$9=TH!H432,OR(O432="131",P432="131")),"x","")</f>
        <v/>
      </c>
      <c r="Y432" s="80" t="str">
        <f>IF(AND($B432&gt;='1331'!$I$9,$B432&lt;='1331'!$J$9,OR($O432=$Y$7,$P432=$Y$7)),"x","")</f>
        <v/>
      </c>
      <c r="Z432" s="80" t="str">
        <f>IF(AND($O432=$Y$7,$B432&lt;'1331'!$I$9),"x","")</f>
        <v/>
      </c>
      <c r="AA432" s="80" t="str">
        <f>IF(AND($P432=$Y$7,$B432&lt;'1331'!$I$9),"x","")</f>
        <v/>
      </c>
      <c r="AB432" s="80" t="str">
        <f>IF(AND($B432&gt;='1332'!$I$9,$B432&lt;='1332'!$I$9,OR($O432=$AB$7,$P432=$AB$7)),"x","")</f>
        <v/>
      </c>
      <c r="AC432" s="80" t="str">
        <f>IF(AND($O432=$AB$7,$B432&lt;'1332'!$I$9),"x","")</f>
        <v>x</v>
      </c>
      <c r="AD432" s="80" t="str">
        <f>IF(AND($P432=$AB$7,$B432&lt;'1332'!$I$9),"x","")</f>
        <v/>
      </c>
      <c r="AE432" s="80" t="str">
        <f>IF(AND('341-CT'!$H$9=H432,OR(LEFT(O432,3)=$AE$7,LEFT(P432,3)=$AE$7)),"x","")</f>
        <v/>
      </c>
      <c r="AF432" s="80" t="str">
        <f>IF(OR(TH!O432=TH!$AF$7,P432=TH!$AF$7),"x","")</f>
        <v/>
      </c>
      <c r="AG432" s="80"/>
      <c r="AH432" s="80" t="str">
        <f>IF(AND(B432&gt;='IN-NX'!$P$3,B432&lt;='IN-NX'!$Q$3,'IN-NX'!$D$7=D432,OR(LEFT(L432,2)="15",AND(LEFT(M432,2)&lt;&gt;"15",LEFT(M432,2)&lt;&gt;"33"))),"x","")</f>
        <v/>
      </c>
      <c r="AI432" s="80" t="str">
        <f>IF(AND(OR(LEFT(TH!O432,2)="15",LEFT(TH!P432,2)="15"),'152-CT'!$J$8=TH!F432),"x","")</f>
        <v/>
      </c>
      <c r="AJ432" s="80" t="str">
        <f>IF(AND(OR(LEFT(TH!O432,2)="15",LEFT(TH!P432,2)="15"),'THE KHO'!$E$7=TH!F432),"x","")</f>
        <v/>
      </c>
      <c r="AK432" s="80" t="str">
        <f>IF(AND(O432="1521",MONTH(C432)='BK NL'!$M$11),"x","")</f>
        <v/>
      </c>
      <c r="AM432" s="352">
        <v>2</v>
      </c>
    </row>
    <row r="433" spans="1:39" ht="15.75" customHeight="1">
      <c r="A433" s="362" t="str">
        <f>IF(B433&lt;&gt;"",IF(AND(B433&gt;=_TM1,B433&lt;=_TM2,OR(TH!O433="1111",TH!P433="1111")),TH!D433,""),"")</f>
        <v/>
      </c>
      <c r="B433" s="63">
        <f t="shared" si="31"/>
        <v>6</v>
      </c>
      <c r="C433" s="337">
        <v>42551</v>
      </c>
      <c r="D433" s="337" t="s">
        <v>1021</v>
      </c>
      <c r="E433" s="337">
        <v>42538</v>
      </c>
      <c r="F433" s="338" t="s">
        <v>962</v>
      </c>
      <c r="G433" s="351" t="s">
        <v>798</v>
      </c>
      <c r="H433" s="7" t="s">
        <v>325</v>
      </c>
      <c r="I433" s="476"/>
      <c r="J433" s="476"/>
      <c r="K433" s="469"/>
      <c r="L433" s="476"/>
      <c r="M433" s="65">
        <v>19800000</v>
      </c>
      <c r="N433" s="65"/>
      <c r="O433" s="340" t="s">
        <v>441</v>
      </c>
      <c r="P433" s="340" t="s">
        <v>58</v>
      </c>
      <c r="Q433" s="66" t="str">
        <f>IF(AND('331-CT'!$E$7=TH!H433,OR(O433="331",P433="331")),"x","")</f>
        <v/>
      </c>
      <c r="R433" s="66" t="str">
        <f>IF(AND($B433&gt;='111'!$N$11,$B433&lt;='111'!$O$11,OR($O433=$R$7,$P433=$R$7)),"x","")</f>
        <v/>
      </c>
      <c r="S433" s="66" t="str">
        <f>IF(AND($O433=$R$7,$B433&lt;'111'!$N$11),"x","")</f>
        <v/>
      </c>
      <c r="T433" s="66" t="str">
        <f>IF(AND($P433=$R$7,$B433&lt;'111'!$N$11),"x","")</f>
        <v/>
      </c>
      <c r="U433" s="66" t="str">
        <f>IF(AND($B433&gt;='112'!$M$9,$B433&lt;='112'!$N$9,OR($O433='112'!$I$6,$P433='112'!$I$6)),"x","")</f>
        <v/>
      </c>
      <c r="V433" s="66" t="str">
        <f>IF(AND($O433='112'!$I$6,$B433&lt;'112'!$M$9),"x","")</f>
        <v/>
      </c>
      <c r="W433" s="66" t="str">
        <f>IF(AND($P433='112'!$I$6,$B433&lt;'112'!$M$9),"x","")</f>
        <v/>
      </c>
      <c r="X433" s="66" t="str">
        <f>IF(AND('131-CT'!$H$9=TH!H433,OR(O433="131",P433="131")),"x","")</f>
        <v/>
      </c>
      <c r="Y433" s="80" t="str">
        <f>IF(AND($B433&gt;='1331'!$I$9,$B433&lt;='1331'!$J$9,OR($O433=$Y$7,$P433=$Y$7)),"x","")</f>
        <v/>
      </c>
      <c r="Z433" s="80" t="str">
        <f>IF(AND($O433=$Y$7,$B433&lt;'1331'!$I$9),"x","")</f>
        <v/>
      </c>
      <c r="AA433" s="80" t="str">
        <f>IF(AND($P433=$Y$7,$B433&lt;'1331'!$I$9),"x","")</f>
        <v/>
      </c>
      <c r="AB433" s="80" t="str">
        <f>IF(AND($B433&gt;='1332'!$I$9,$B433&lt;='1332'!$I$9,OR($O433=$AB$7,$P433=$AB$7)),"x","")</f>
        <v/>
      </c>
      <c r="AC433" s="80" t="str">
        <f>IF(AND($O433=$AB$7,$B433&lt;'1332'!$I$9),"x","")</f>
        <v/>
      </c>
      <c r="AD433" s="80" t="str">
        <f>IF(AND($P433=$AB$7,$B433&lt;'1332'!$I$9),"x","")</f>
        <v/>
      </c>
      <c r="AE433" s="80" t="str">
        <f>IF(AND('341-CT'!$H$9=H433,OR(LEFT(O433,3)=$AE$7,LEFT(P433,3)=$AE$7)),"x","")</f>
        <v>x</v>
      </c>
      <c r="AF433" s="80" t="str">
        <f>IF(OR(TH!O433=TH!$AF$7,P433=TH!$AF$7),"x","")</f>
        <v/>
      </c>
      <c r="AG433" s="80"/>
      <c r="AH433" s="80" t="str">
        <f>IF(AND(B433&gt;='IN-NX'!$P$3,B433&lt;='IN-NX'!$Q$3,'IN-NX'!$D$7=D433,OR(LEFT(L433,2)="15",AND(LEFT(M433,2)&lt;&gt;"15",LEFT(M433,2)&lt;&gt;"33"))),"x","")</f>
        <v/>
      </c>
      <c r="AI433" s="80" t="str">
        <f>IF(AND(OR(LEFT(TH!O433,2)="15",LEFT(TH!P433,2)="15"),'152-CT'!$J$8=TH!F433),"x","")</f>
        <v/>
      </c>
      <c r="AJ433" s="80" t="str">
        <f>IF(AND(OR(LEFT(TH!O433,2)="15",LEFT(TH!P433,2)="15"),'THE KHO'!$E$7=TH!F433),"x","")</f>
        <v/>
      </c>
      <c r="AK433" s="80" t="str">
        <f>IF(AND(O433="1521",MONTH(C433)='BK NL'!$M$11),"x","")</f>
        <v/>
      </c>
      <c r="AM433" s="352">
        <v>1</v>
      </c>
    </row>
    <row r="434" spans="1:39" ht="15.75" customHeight="1">
      <c r="A434" s="362" t="str">
        <f>IF(B434&lt;&gt;"",IF(AND(B434&gt;=_TM1,B434&lt;=_TM2,OR(TH!O434="1111",TH!P434="1111")),TH!D434,""),"")</f>
        <v/>
      </c>
      <c r="B434" s="63">
        <f t="shared" si="31"/>
        <v>6</v>
      </c>
      <c r="C434" s="337">
        <v>42551</v>
      </c>
      <c r="D434" s="337" t="s">
        <v>1021</v>
      </c>
      <c r="E434" s="337">
        <v>42545</v>
      </c>
      <c r="F434" s="338" t="s">
        <v>917</v>
      </c>
      <c r="G434" s="1025" t="s">
        <v>993</v>
      </c>
      <c r="H434" s="368" t="s">
        <v>920</v>
      </c>
      <c r="I434" s="476"/>
      <c r="J434" s="476"/>
      <c r="K434" s="469"/>
      <c r="L434" s="476"/>
      <c r="M434" s="65">
        <v>10681818</v>
      </c>
      <c r="N434" s="65"/>
      <c r="O434" s="340" t="s">
        <v>135</v>
      </c>
      <c r="P434" s="340" t="s">
        <v>9</v>
      </c>
      <c r="Q434" s="66" t="str">
        <f>IF(AND('331-CT'!$E$7=TH!H434,OR(O434="331",P434="331")),"x","")</f>
        <v/>
      </c>
      <c r="R434" s="66" t="str">
        <f>IF(AND($B434&gt;='111'!$N$11,$B434&lt;='111'!$O$11,OR($O434=$R$7,$P434=$R$7)),"x","")</f>
        <v/>
      </c>
      <c r="S434" s="66" t="str">
        <f>IF(AND($O434=$R$7,$B434&lt;'111'!$N$11),"x","")</f>
        <v/>
      </c>
      <c r="T434" s="66" t="str">
        <f>IF(AND($P434=$R$7,$B434&lt;'111'!$N$11),"x","")</f>
        <v/>
      </c>
      <c r="U434" s="66" t="str">
        <f>IF(AND($B434&gt;='112'!$M$9,$B434&lt;='112'!$N$9,OR($O434='112'!$I$6,$P434='112'!$I$6)),"x","")</f>
        <v/>
      </c>
      <c r="V434" s="66" t="str">
        <f>IF(AND($O434='112'!$I$6,$B434&lt;'112'!$M$9),"x","")</f>
        <v/>
      </c>
      <c r="W434" s="66" t="str">
        <f>IF(AND($P434='112'!$I$6,$B434&lt;'112'!$M$9),"x","")</f>
        <v/>
      </c>
      <c r="X434" s="66" t="str">
        <f>IF(AND('131-CT'!$H$9=TH!H434,OR(O434="131",P434="131")),"x","")</f>
        <v/>
      </c>
      <c r="Y434" s="80" t="str">
        <f>IF(AND($B434&gt;='1331'!$I$9,$B434&lt;='1331'!$J$9,OR($O434=$Y$7,$P434=$Y$7)),"x","")</f>
        <v/>
      </c>
      <c r="Z434" s="80" t="str">
        <f>IF(AND($O434=$Y$7,$B434&lt;'1331'!$I$9),"x","")</f>
        <v/>
      </c>
      <c r="AA434" s="80" t="str">
        <f>IF(AND($P434=$Y$7,$B434&lt;'1331'!$I$9),"x","")</f>
        <v/>
      </c>
      <c r="AB434" s="80" t="str">
        <f>IF(AND($B434&gt;='1332'!$I$9,$B434&lt;='1332'!$I$9,OR($O434=$AB$7,$P434=$AB$7)),"x","")</f>
        <v/>
      </c>
      <c r="AC434" s="80" t="str">
        <f>IF(AND($O434=$AB$7,$B434&lt;'1332'!$I$9),"x","")</f>
        <v/>
      </c>
      <c r="AD434" s="80" t="str">
        <f>IF(AND($P434=$AB$7,$B434&lt;'1332'!$I$9),"x","")</f>
        <v/>
      </c>
      <c r="AE434" s="80" t="str">
        <f>IF(AND('341-CT'!$H$9=H434,OR(LEFT(O434,3)=$AE$7,LEFT(P434,3)=$AE$7)),"x","")</f>
        <v/>
      </c>
      <c r="AF434" s="80" t="str">
        <f>IF(OR(TH!O434=TH!$AF$7,P434=TH!$AF$7),"x","")</f>
        <v/>
      </c>
      <c r="AG434" s="80"/>
      <c r="AH434" s="80" t="str">
        <f>IF(AND(B434&gt;='IN-NX'!$P$3,B434&lt;='IN-NX'!$Q$3,'IN-NX'!$D$7=D434,OR(LEFT(L434,2)="15",AND(LEFT(M434,2)&lt;&gt;"15",LEFT(M434,2)&lt;&gt;"33"))),"x","")</f>
        <v/>
      </c>
      <c r="AI434" s="80" t="str">
        <f>IF(AND(OR(LEFT(TH!O434,2)="15",LEFT(TH!P434,2)="15"),'152-CT'!$J$8=TH!F434),"x","")</f>
        <v/>
      </c>
      <c r="AJ434" s="80" t="str">
        <f>IF(AND(OR(LEFT(TH!O434,2)="15",LEFT(TH!P434,2)="15"),'THE KHO'!$E$7=TH!F434),"x","")</f>
        <v/>
      </c>
      <c r="AK434" s="80" t="str">
        <f>IF(AND(O434="1521",MONTH(C434)='BK NL'!$M$11),"x","")</f>
        <v/>
      </c>
    </row>
    <row r="435" spans="1:39" ht="15.75" customHeight="1">
      <c r="A435" s="362" t="str">
        <f>IF(B435&lt;&gt;"",IF(AND(B435&gt;=_TM1,B435&lt;=_TM2,OR(TH!O435="1111",TH!P435="1111")),TH!D435,""),"")</f>
        <v/>
      </c>
      <c r="B435" s="63">
        <f t="shared" si="31"/>
        <v>6</v>
      </c>
      <c r="C435" s="337">
        <v>42551</v>
      </c>
      <c r="D435" s="337" t="s">
        <v>1021</v>
      </c>
      <c r="E435" s="337">
        <v>42545</v>
      </c>
      <c r="F435" s="338" t="s">
        <v>918</v>
      </c>
      <c r="G435" s="1025" t="s">
        <v>993</v>
      </c>
      <c r="H435" s="368" t="s">
        <v>920</v>
      </c>
      <c r="I435" s="476"/>
      <c r="J435" s="476"/>
      <c r="K435" s="469"/>
      <c r="L435" s="476"/>
      <c r="M435" s="65">
        <v>1068182</v>
      </c>
      <c r="N435" s="65"/>
      <c r="O435" s="340" t="s">
        <v>10</v>
      </c>
      <c r="P435" s="340" t="s">
        <v>9</v>
      </c>
      <c r="Q435" s="66" t="str">
        <f>IF(AND('331-CT'!$E$7=TH!H435,OR(O435="331",P435="331")),"x","")</f>
        <v/>
      </c>
      <c r="R435" s="66" t="str">
        <f>IF(AND($B435&gt;='111'!$N$11,$B435&lt;='111'!$O$11,OR($O435=$R$7,$P435=$R$7)),"x","")</f>
        <v/>
      </c>
      <c r="S435" s="66" t="str">
        <f>IF(AND($O435=$R$7,$B435&lt;'111'!$N$11),"x","")</f>
        <v/>
      </c>
      <c r="T435" s="66" t="str">
        <f>IF(AND($P435=$R$7,$B435&lt;'111'!$N$11),"x","")</f>
        <v/>
      </c>
      <c r="U435" s="66" t="str">
        <f>IF(AND($B435&gt;='112'!$M$9,$B435&lt;='112'!$N$9,OR($O435='112'!$I$6,$P435='112'!$I$6)),"x","")</f>
        <v/>
      </c>
      <c r="V435" s="66" t="str">
        <f>IF(AND($O435='112'!$I$6,$B435&lt;'112'!$M$9),"x","")</f>
        <v/>
      </c>
      <c r="W435" s="66" t="str">
        <f>IF(AND($P435='112'!$I$6,$B435&lt;'112'!$M$9),"x","")</f>
        <v/>
      </c>
      <c r="X435" s="66" t="str">
        <f>IF(AND('131-CT'!$H$9=TH!H435,OR(O435="131",P435="131")),"x","")</f>
        <v/>
      </c>
      <c r="Y435" s="80" t="str">
        <f>IF(AND($B435&gt;='1331'!$I$9,$B435&lt;='1331'!$J$9,OR($O435=$Y$7,$P435=$Y$7)),"x","")</f>
        <v/>
      </c>
      <c r="Z435" s="80" t="str">
        <f>IF(AND($O435=$Y$7,$B435&lt;'1331'!$I$9),"x","")</f>
        <v>x</v>
      </c>
      <c r="AA435" s="80" t="str">
        <f>IF(AND($P435=$Y$7,$B435&lt;'1331'!$I$9),"x","")</f>
        <v/>
      </c>
      <c r="AB435" s="80" t="str">
        <f>IF(AND($B435&gt;='1332'!$I$9,$B435&lt;='1332'!$I$9,OR($O435=$AB$7,$P435=$AB$7)),"x","")</f>
        <v/>
      </c>
      <c r="AC435" s="80" t="str">
        <f>IF(AND($O435=$AB$7,$B435&lt;'1332'!$I$9),"x","")</f>
        <v/>
      </c>
      <c r="AD435" s="80" t="str">
        <f>IF(AND($P435=$AB$7,$B435&lt;'1332'!$I$9),"x","")</f>
        <v/>
      </c>
      <c r="AE435" s="80" t="str">
        <f>IF(AND('341-CT'!$H$9=H435,OR(LEFT(O435,3)=$AE$7,LEFT(P435,3)=$AE$7)),"x","")</f>
        <v/>
      </c>
      <c r="AF435" s="80" t="str">
        <f>IF(OR(TH!O435=TH!$AF$7,P435=TH!$AF$7),"x","")</f>
        <v/>
      </c>
      <c r="AG435" s="80"/>
      <c r="AH435" s="80" t="str">
        <f>IF(AND(B435&gt;='IN-NX'!$P$3,B435&lt;='IN-NX'!$Q$3,'IN-NX'!$D$7=D435,OR(LEFT(L435,2)="15",AND(LEFT(M435,2)&lt;&gt;"15",LEFT(M435,2)&lt;&gt;"33"))),"x","")</f>
        <v/>
      </c>
      <c r="AI435" s="80" t="str">
        <f>IF(AND(OR(LEFT(TH!O435,2)="15",LEFT(TH!P435,2)="15"),'152-CT'!$J$8=TH!F435),"x","")</f>
        <v/>
      </c>
      <c r="AJ435" s="80" t="str">
        <f>IF(AND(OR(LEFT(TH!O435,2)="15",LEFT(TH!P435,2)="15"),'THE KHO'!$E$7=TH!F435),"x","")</f>
        <v/>
      </c>
      <c r="AK435" s="80" t="str">
        <f>IF(AND(O435="1521",MONTH(C435)='BK NL'!$M$11),"x","")</f>
        <v/>
      </c>
    </row>
    <row r="436" spans="1:39" ht="15.75" customHeight="1">
      <c r="A436" s="362" t="str">
        <f>IF(B436&lt;&gt;"",IF(AND(B436&gt;=_TM1,B436&lt;=_TM2,OR(TH!O436="1111",TH!P436="1111")),TH!D436,""),"")</f>
        <v/>
      </c>
      <c r="B436" s="63">
        <f t="shared" si="31"/>
        <v>6</v>
      </c>
      <c r="C436" s="337">
        <v>42551</v>
      </c>
      <c r="D436" s="337" t="s">
        <v>1021</v>
      </c>
      <c r="E436" s="337">
        <v>42546</v>
      </c>
      <c r="F436" s="338" t="s">
        <v>996</v>
      </c>
      <c r="G436" s="351" t="s">
        <v>999</v>
      </c>
      <c r="H436" s="339" t="s">
        <v>221</v>
      </c>
      <c r="I436" s="479"/>
      <c r="J436" s="479"/>
      <c r="K436" s="472"/>
      <c r="L436" s="479"/>
      <c r="M436" s="65">
        <v>23344500</v>
      </c>
      <c r="N436" s="65"/>
      <c r="O436" s="340" t="s">
        <v>135</v>
      </c>
      <c r="P436" s="340" t="s">
        <v>9</v>
      </c>
      <c r="Q436" s="66" t="str">
        <f>IF(AND('331-CT'!$E$7=TH!H436,OR(O436="331",P436="331")),"x","")</f>
        <v/>
      </c>
      <c r="R436" s="66" t="str">
        <f>IF(AND($B436&gt;='111'!$N$11,$B436&lt;='111'!$O$11,OR($O436=$R$7,$P436=$R$7)),"x","")</f>
        <v/>
      </c>
      <c r="S436" s="66" t="str">
        <f>IF(AND($O436=$R$7,$B436&lt;'111'!$N$11),"x","")</f>
        <v/>
      </c>
      <c r="T436" s="66" t="str">
        <f>IF(AND($P436=$R$7,$B436&lt;'111'!$N$11),"x","")</f>
        <v/>
      </c>
      <c r="U436" s="66" t="str">
        <f>IF(AND($B436&gt;='112'!$M$9,$B436&lt;='112'!$N$9,OR($O436='112'!$I$6,$P436='112'!$I$6)),"x","")</f>
        <v/>
      </c>
      <c r="V436" s="66" t="str">
        <f>IF(AND($O436='112'!$I$6,$B436&lt;'112'!$M$9),"x","")</f>
        <v/>
      </c>
      <c r="W436" s="66" t="str">
        <f>IF(AND($P436='112'!$I$6,$B436&lt;'112'!$M$9),"x","")</f>
        <v/>
      </c>
      <c r="X436" s="66" t="str">
        <f>IF(AND('131-CT'!$H$9=TH!H436,OR(O436="131",P436="131")),"x","")</f>
        <v/>
      </c>
      <c r="Y436" s="80" t="str">
        <f>IF(AND($B436&gt;='1331'!$I$9,$B436&lt;='1331'!$J$9,OR($O436=$Y$7,$P436=$Y$7)),"x","")</f>
        <v/>
      </c>
      <c r="Z436" s="80" t="str">
        <f>IF(AND($O436=$Y$7,$B436&lt;'1331'!$I$9),"x","")</f>
        <v/>
      </c>
      <c r="AA436" s="80" t="str">
        <f>IF(AND($P436=$Y$7,$B436&lt;'1331'!$I$9),"x","")</f>
        <v/>
      </c>
      <c r="AB436" s="80" t="str">
        <f>IF(AND($B436&gt;='1332'!$I$9,$B436&lt;='1332'!$I$9,OR($O436=$AB$7,$P436=$AB$7)),"x","")</f>
        <v/>
      </c>
      <c r="AC436" s="80" t="str">
        <f>IF(AND($O436=$AB$7,$B436&lt;'1332'!$I$9),"x","")</f>
        <v/>
      </c>
      <c r="AD436" s="80" t="str">
        <f>IF(AND($P436=$AB$7,$B436&lt;'1332'!$I$9),"x","")</f>
        <v/>
      </c>
      <c r="AE436" s="80" t="str">
        <f>IF(AND('341-CT'!$H$9=H436,OR(LEFT(O436,3)=$AE$7,LEFT(P436,3)=$AE$7)),"x","")</f>
        <v/>
      </c>
      <c r="AF436" s="80" t="str">
        <f>IF(OR(TH!O436=TH!$AF$7,P436=TH!$AF$7),"x","")</f>
        <v/>
      </c>
      <c r="AG436" s="80"/>
      <c r="AH436" s="80" t="str">
        <f>IF(AND(B436&gt;='IN-NX'!$P$3,B436&lt;='IN-NX'!$Q$3,'IN-NX'!$D$7=D436,OR(LEFT(L436,2)="15",AND(LEFT(M436,2)&lt;&gt;"15",LEFT(M436,2)&lt;&gt;"33"))),"x","")</f>
        <v/>
      </c>
      <c r="AI436" s="80" t="str">
        <f>IF(AND(OR(LEFT(TH!O436,2)="15",LEFT(TH!P436,2)="15"),'152-CT'!$J$8=TH!F436),"x","")</f>
        <v/>
      </c>
      <c r="AJ436" s="80" t="str">
        <f>IF(AND(OR(LEFT(TH!O436,2)="15",LEFT(TH!P436,2)="15"),'THE KHO'!$E$7=TH!F436),"x","")</f>
        <v/>
      </c>
      <c r="AK436" s="80" t="str">
        <f>IF(AND(O436="1521",MONTH(C436)='BK NL'!$M$11),"x","")</f>
        <v/>
      </c>
      <c r="AM436" s="352">
        <v>1</v>
      </c>
    </row>
    <row r="437" spans="1:39" ht="15.75" customHeight="1">
      <c r="A437" s="362" t="str">
        <f>IF(B437&lt;&gt;"",IF(AND(B437&gt;=_TM1,B437&lt;=_TM2,OR(TH!O437="1111",TH!P437="1111")),TH!D437,""),"")</f>
        <v/>
      </c>
      <c r="B437" s="63">
        <f t="shared" si="31"/>
        <v>6</v>
      </c>
      <c r="C437" s="337">
        <v>42551</v>
      </c>
      <c r="D437" s="337" t="s">
        <v>1021</v>
      </c>
      <c r="E437" s="337">
        <v>42546</v>
      </c>
      <c r="F437" s="338" t="s">
        <v>997</v>
      </c>
      <c r="G437" s="351" t="s">
        <v>999</v>
      </c>
      <c r="H437" s="339" t="s">
        <v>221</v>
      </c>
      <c r="I437" s="476"/>
      <c r="J437" s="476"/>
      <c r="K437" s="469"/>
      <c r="L437" s="476"/>
      <c r="M437" s="65">
        <v>2334450</v>
      </c>
      <c r="N437" s="65"/>
      <c r="O437" s="340" t="s">
        <v>10</v>
      </c>
      <c r="P437" s="340" t="s">
        <v>9</v>
      </c>
      <c r="Q437" s="66" t="str">
        <f>IF(AND('331-CT'!$E$7=TH!H437,OR(O437="331",P437="331")),"x","")</f>
        <v/>
      </c>
      <c r="R437" s="66" t="str">
        <f>IF(AND($B437&gt;='111'!$N$11,$B437&lt;='111'!$O$11,OR($O437=$R$7,$P437=$R$7)),"x","")</f>
        <v/>
      </c>
      <c r="S437" s="66" t="str">
        <f>IF(AND($O437=$R$7,$B437&lt;'111'!$N$11),"x","")</f>
        <v/>
      </c>
      <c r="T437" s="66" t="str">
        <f>IF(AND($P437=$R$7,$B437&lt;'111'!$N$11),"x","")</f>
        <v/>
      </c>
      <c r="U437" s="66" t="str">
        <f>IF(AND($B437&gt;='112'!$M$9,$B437&lt;='112'!$N$9,OR($O437='112'!$I$6,$P437='112'!$I$6)),"x","")</f>
        <v/>
      </c>
      <c r="V437" s="66" t="str">
        <f>IF(AND($O437='112'!$I$6,$B437&lt;'112'!$M$9),"x","")</f>
        <v/>
      </c>
      <c r="W437" s="66" t="str">
        <f>IF(AND($P437='112'!$I$6,$B437&lt;'112'!$M$9),"x","")</f>
        <v/>
      </c>
      <c r="X437" s="66" t="str">
        <f>IF(AND('131-CT'!$H$9=TH!H437,OR(O437="131",P437="131")),"x","")</f>
        <v/>
      </c>
      <c r="Y437" s="80" t="str">
        <f>IF(AND($B437&gt;='1331'!$I$9,$B437&lt;='1331'!$J$9,OR($O437=$Y$7,$P437=$Y$7)),"x","")</f>
        <v/>
      </c>
      <c r="Z437" s="80" t="str">
        <f>IF(AND($O437=$Y$7,$B437&lt;'1331'!$I$9),"x","")</f>
        <v>x</v>
      </c>
      <c r="AA437" s="80" t="str">
        <f>IF(AND($P437=$Y$7,$B437&lt;'1331'!$I$9),"x","")</f>
        <v/>
      </c>
      <c r="AB437" s="80" t="str">
        <f>IF(AND($B437&gt;='1332'!$I$9,$B437&lt;='1332'!$I$9,OR($O437=$AB$7,$P437=$AB$7)),"x","")</f>
        <v/>
      </c>
      <c r="AC437" s="80" t="str">
        <f>IF(AND($O437=$AB$7,$B437&lt;'1332'!$I$9),"x","")</f>
        <v/>
      </c>
      <c r="AD437" s="80" t="str">
        <f>IF(AND($P437=$AB$7,$B437&lt;'1332'!$I$9),"x","")</f>
        <v/>
      </c>
      <c r="AE437" s="80" t="str">
        <f>IF(AND('341-CT'!$H$9=H437,OR(LEFT(O437,3)=$AE$7,LEFT(P437,3)=$AE$7)),"x","")</f>
        <v/>
      </c>
      <c r="AF437" s="80" t="str">
        <f>IF(OR(TH!O437=TH!$AF$7,P437=TH!$AF$7),"x","")</f>
        <v/>
      </c>
      <c r="AG437" s="80"/>
      <c r="AH437" s="80" t="str">
        <f>IF(AND(B437&gt;='IN-NX'!$P$3,B437&lt;='IN-NX'!$Q$3,'IN-NX'!$D$7=D437,OR(LEFT(L437,2)="15",AND(LEFT(M437,2)&lt;&gt;"15",LEFT(M437,2)&lt;&gt;"33"))),"x","")</f>
        <v/>
      </c>
      <c r="AI437" s="80" t="str">
        <f>IF(AND(OR(LEFT(TH!O437,2)="15",LEFT(TH!P437,2)="15"),'152-CT'!$J$8=TH!F437),"x","")</f>
        <v/>
      </c>
      <c r="AJ437" s="80" t="str">
        <f>IF(AND(OR(LEFT(TH!O437,2)="15",LEFT(TH!P437,2)="15"),'THE KHO'!$E$7=TH!F437),"x","")</f>
        <v/>
      </c>
      <c r="AK437" s="80" t="str">
        <f>IF(AND(O437="1521",MONTH(C437)='BK NL'!$M$11),"x","")</f>
        <v/>
      </c>
      <c r="AM437" s="352">
        <v>1</v>
      </c>
    </row>
    <row r="438" spans="1:39" s="374" customFormat="1" ht="15.75" customHeight="1">
      <c r="A438" s="362" t="str">
        <f>IF(B438&lt;&gt;"",IF(AND(B438&gt;=_TM1,B438&lt;=_TM2,OR(TH!O438="1111",TH!P438="1111")),TH!D438,""),"")</f>
        <v/>
      </c>
      <c r="B438" s="63">
        <f t="shared" ref="B438:B490" si="32">IF(C438&lt;&gt;"",MONTH(C438),"")</f>
        <v>6</v>
      </c>
      <c r="C438" s="337">
        <v>42551</v>
      </c>
      <c r="D438" s="337" t="s">
        <v>1021</v>
      </c>
      <c r="E438" s="1041">
        <f>C438</f>
        <v>42551</v>
      </c>
      <c r="F438" s="1042" t="s">
        <v>873</v>
      </c>
      <c r="G438" s="1043"/>
      <c r="H438" s="1006" t="s">
        <v>874</v>
      </c>
      <c r="I438" s="474"/>
      <c r="J438" s="474"/>
      <c r="K438" s="467"/>
      <c r="L438" s="474"/>
      <c r="M438" s="79">
        <v>1219554047</v>
      </c>
      <c r="N438" s="79"/>
      <c r="O438" s="1044" t="s">
        <v>106</v>
      </c>
      <c r="P438" s="1044" t="s">
        <v>981</v>
      </c>
      <c r="Q438" s="66" t="str">
        <f>IF(AND('331-CT'!$E$7=TH!H438,OR(O438="331",P438="331")),"x","")</f>
        <v/>
      </c>
      <c r="R438" s="66" t="str">
        <f>IF(AND($B438&gt;='111'!$N$11,$B438&lt;='111'!$O$11,OR($O438=$R$7,$P438=$R$7)),"x","")</f>
        <v/>
      </c>
      <c r="S438" s="66" t="str">
        <f>IF(AND($O438=$R$7,$B438&lt;'111'!$N$11),"x","")</f>
        <v/>
      </c>
      <c r="T438" s="66" t="str">
        <f>IF(AND($P438=$R$7,$B438&lt;'111'!$N$11),"x","")</f>
        <v/>
      </c>
      <c r="U438" s="66" t="str">
        <f>IF(AND($B438&gt;='112'!$M$9,$B438&lt;='112'!$N$9,OR($O438='112'!$I$6,$P438='112'!$I$6)),"x","")</f>
        <v/>
      </c>
      <c r="V438" s="66" t="str">
        <f>IF(AND($O438='112'!$I$6,$B438&lt;'112'!$M$9),"x","")</f>
        <v/>
      </c>
      <c r="W438" s="66" t="str">
        <f>IF(AND($P438='112'!$I$6,$B438&lt;'112'!$M$9),"x","")</f>
        <v/>
      </c>
      <c r="X438" s="66" t="str">
        <f>IF(AND('131-CT'!$H$9=TH!H438,OR(O438="131",P438="131")),"x","")</f>
        <v/>
      </c>
      <c r="Y438" s="80" t="str">
        <f>IF(AND($B438&gt;='1331'!$I$9,$B438&lt;='1331'!$J$9,OR($O438=$Y$7,$P438=$Y$7)),"x","")</f>
        <v/>
      </c>
      <c r="Z438" s="80" t="str">
        <f>IF(AND($O438=$Y$7,$B438&lt;'1331'!$I$9),"x","")</f>
        <v/>
      </c>
      <c r="AA438" s="80" t="str">
        <f>IF(AND($P438=$Y$7,$B438&lt;'1331'!$I$9),"x","")</f>
        <v/>
      </c>
      <c r="AB438" s="80" t="str">
        <f>IF(AND($B438&gt;='1332'!$I$9,$B438&lt;='1332'!$I$9,OR($O438=$AB$7,$P438=$AB$7)),"x","")</f>
        <v/>
      </c>
      <c r="AC438" s="80" t="str">
        <f>IF(AND($O438=$AB$7,$B438&lt;'1332'!$I$9),"x","")</f>
        <v/>
      </c>
      <c r="AD438" s="80" t="str">
        <f>IF(AND($P438=$AB$7,$B438&lt;'1332'!$I$9),"x","")</f>
        <v>x</v>
      </c>
      <c r="AE438" s="80" t="str">
        <f>IF(AND('341-CT'!$H$9=H438,OR(LEFT(O438,3)=$AE$7,LEFT(P438,3)=$AE$7)),"x","")</f>
        <v/>
      </c>
      <c r="AF438" s="80" t="str">
        <f>IF(OR(TH!O438=TH!$AF$7,P438=TH!$AF$7),"x","")</f>
        <v/>
      </c>
      <c r="AG438" s="80"/>
      <c r="AH438" s="80" t="str">
        <f>IF(AND(B438&gt;='IN-NX'!$P$3,B438&lt;='IN-NX'!$Q$3,'IN-NX'!$D$7=D438,OR(LEFT(L438,2)="15",AND(LEFT(M438,2)&lt;&gt;"15",LEFT(M438,2)&lt;&gt;"33"))),"x","")</f>
        <v/>
      </c>
      <c r="AI438" s="80" t="str">
        <f>IF(AND(OR(LEFT(TH!O438,2)="15",LEFT(TH!P438,2)="15"),'152-CT'!$J$8=TH!F438),"x","")</f>
        <v/>
      </c>
      <c r="AJ438" s="80" t="str">
        <f>IF(AND(OR(LEFT(TH!O438,2)="15",LEFT(TH!P438,2)="15"),'THE KHO'!$E$7=TH!F438),"x","")</f>
        <v/>
      </c>
      <c r="AK438" s="80" t="str">
        <f>IF(AND(O438="1521",MONTH(C438)='BK NL'!$M$11),"x","")</f>
        <v/>
      </c>
    </row>
    <row r="439" spans="1:39" s="374" customFormat="1" ht="15.75" customHeight="1">
      <c r="A439" s="362" t="str">
        <f>IF(B439&lt;&gt;"",IF(AND(B439&gt;=_TM1,B439&lt;=_TM2,OR(TH!O439="1111",TH!P439="1111")),TH!D439,""),"")</f>
        <v/>
      </c>
      <c r="B439" s="63">
        <f t="shared" si="32"/>
        <v>6</v>
      </c>
      <c r="C439" s="1045">
        <f t="shared" ref="C439:C451" si="33">E439</f>
        <v>42551</v>
      </c>
      <c r="D439" s="337" t="s">
        <v>1021</v>
      </c>
      <c r="E439" s="1045">
        <v>42551</v>
      </c>
      <c r="F439" s="1046" t="s">
        <v>1022</v>
      </c>
      <c r="G439" s="1047"/>
      <c r="H439" s="1048"/>
      <c r="I439" s="1049"/>
      <c r="J439" s="1049"/>
      <c r="K439" s="1050"/>
      <c r="L439" s="1049"/>
      <c r="M439" s="1051">
        <f>1560000+2730000</f>
        <v>4290000</v>
      </c>
      <c r="N439" s="1051"/>
      <c r="O439" s="1052" t="s">
        <v>135</v>
      </c>
      <c r="P439" s="1052" t="s">
        <v>1020</v>
      </c>
      <c r="Q439" s="66" t="str">
        <f>IF(AND('331-CT'!$E$7=TH!H439,OR(O439="331",P439="331")),"x","")</f>
        <v/>
      </c>
      <c r="R439" s="66" t="str">
        <f>IF(AND($B439&gt;='111'!$N$11,$B439&lt;='111'!$O$11,OR($O439=$R$7,$P439=$R$7)),"x","")</f>
        <v/>
      </c>
      <c r="S439" s="66" t="str">
        <f>IF(AND($O439=$R$7,$B439&lt;'111'!$N$11),"x","")</f>
        <v/>
      </c>
      <c r="T439" s="66" t="str">
        <f>IF(AND($P439=$R$7,$B439&lt;'111'!$N$11),"x","")</f>
        <v/>
      </c>
      <c r="U439" s="66" t="str">
        <f>IF(AND($B439&gt;='112'!$M$9,$B439&lt;='112'!$N$9,OR($O439='112'!$I$6,$P439='112'!$I$6)),"x","")</f>
        <v/>
      </c>
      <c r="V439" s="66" t="str">
        <f>IF(AND($O439='112'!$I$6,$B439&lt;'112'!$M$9),"x","")</f>
        <v/>
      </c>
      <c r="W439" s="66" t="str">
        <f>IF(AND($P439='112'!$I$6,$B439&lt;'112'!$M$9),"x","")</f>
        <v/>
      </c>
      <c r="X439" s="66" t="str">
        <f>IF(AND('131-CT'!$H$9=TH!H439,OR(O439="131",P439="131")),"x","")</f>
        <v/>
      </c>
      <c r="Y439" s="80" t="str">
        <f>IF(AND($B439&gt;='1331'!$I$9,$B439&lt;='1331'!$J$9,OR($O439=$Y$7,$P439=$Y$7)),"x","")</f>
        <v/>
      </c>
      <c r="Z439" s="80" t="str">
        <f>IF(AND($O439=$Y$7,$B439&lt;'1331'!$I$9),"x","")</f>
        <v/>
      </c>
      <c r="AA439" s="80" t="str">
        <f>IF(AND($P439=$Y$7,$B439&lt;'1331'!$I$9),"x","")</f>
        <v/>
      </c>
      <c r="AB439" s="80" t="str">
        <f>IF(AND($B439&gt;='1332'!$I$9,$B439&lt;='1332'!$I$9,OR($O439=$AB$7,$P439=$AB$7)),"x","")</f>
        <v/>
      </c>
      <c r="AC439" s="80" t="str">
        <f>IF(AND($O439=$AB$7,$B439&lt;'1332'!$I$9),"x","")</f>
        <v/>
      </c>
      <c r="AD439" s="80" t="str">
        <f>IF(AND($P439=$AB$7,$B439&lt;'1332'!$I$9),"x","")</f>
        <v/>
      </c>
      <c r="AE439" s="80" t="str">
        <f>IF(AND('341-CT'!$H$9=H439,OR(LEFT(O439,3)=$AE$7,LEFT(P439,3)=$AE$7)),"x","")</f>
        <v/>
      </c>
      <c r="AF439" s="80" t="str">
        <f>IF(OR(TH!O439=TH!$AF$7,P439=TH!$AF$7),"x","")</f>
        <v/>
      </c>
      <c r="AG439" s="80"/>
      <c r="AH439" s="80" t="str">
        <f>IF(AND(B439&gt;='IN-NX'!$P$3,B439&lt;='IN-NX'!$Q$3,'IN-NX'!$D$7=D439,OR(LEFT(L439,2)="15",AND(LEFT(M439,2)&lt;&gt;"15",LEFT(M439,2)&lt;&gt;"33"))),"x","")</f>
        <v/>
      </c>
      <c r="AI439" s="80" t="str">
        <f>IF(AND(OR(LEFT(TH!O439,2)="15",LEFT(TH!P439,2)="15"),'152-CT'!$J$8=TH!F439),"x","")</f>
        <v/>
      </c>
      <c r="AJ439" s="80" t="str">
        <f>IF(AND(OR(LEFT(TH!O439,2)="15",LEFT(TH!P439,2)="15"),'THE KHO'!$E$7=TH!F439),"x","")</f>
        <v/>
      </c>
      <c r="AK439" s="80" t="str">
        <f>IF(AND(O439="1521",MONTH(C439)='BK NL'!$M$11),"x","")</f>
        <v/>
      </c>
    </row>
    <row r="440" spans="1:39" s="374" customFormat="1" ht="15.75" customHeight="1">
      <c r="A440" s="362" t="str">
        <f>IF(B440&lt;&gt;"",IF(AND(B440&gt;=_TM1,B440&lt;=_TM2,OR(TH!O440="1111",TH!P440="1111")),TH!D440,""),"")</f>
        <v/>
      </c>
      <c r="B440" s="87">
        <f t="shared" si="32"/>
        <v>6</v>
      </c>
      <c r="C440" s="1045">
        <f t="shared" si="33"/>
        <v>42551</v>
      </c>
      <c r="D440" s="337" t="s">
        <v>1021</v>
      </c>
      <c r="E440" s="1045">
        <v>42551</v>
      </c>
      <c r="F440" s="1046" t="s">
        <v>1023</v>
      </c>
      <c r="G440" s="1047"/>
      <c r="H440" s="1048"/>
      <c r="I440" s="1049"/>
      <c r="J440" s="1049"/>
      <c r="K440" s="1050"/>
      <c r="L440" s="1049"/>
      <c r="M440" s="1051">
        <f>13663520+23569520</f>
        <v>37233040</v>
      </c>
      <c r="N440" s="1051"/>
      <c r="O440" s="1052" t="s">
        <v>135</v>
      </c>
      <c r="P440" s="1052" t="s">
        <v>1020</v>
      </c>
      <c r="Q440" s="66" t="str">
        <f>IF(AND('331-CT'!$E$7=TH!H440,OR(O440="331",P440="331")),"x","")</f>
        <v/>
      </c>
      <c r="R440" s="66" t="str">
        <f>IF(AND($B440&gt;='111'!$N$11,$B440&lt;='111'!$O$11,OR($O440=$R$7,$P440=$R$7)),"x","")</f>
        <v/>
      </c>
      <c r="S440" s="66" t="str">
        <f>IF(AND($O440=$R$7,$B440&lt;'111'!$N$11),"x","")</f>
        <v/>
      </c>
      <c r="T440" s="66" t="str">
        <f>IF(AND($P440=$R$7,$B440&lt;'111'!$N$11),"x","")</f>
        <v/>
      </c>
      <c r="U440" s="66" t="str">
        <f>IF(AND($B440&gt;='112'!$M$9,$B440&lt;='112'!$N$9,OR($O440='112'!$I$6,$P440='112'!$I$6)),"x","")</f>
        <v/>
      </c>
      <c r="V440" s="66" t="str">
        <f>IF(AND($O440='112'!$I$6,$B440&lt;'112'!$M$9),"x","")</f>
        <v/>
      </c>
      <c r="W440" s="66" t="str">
        <f>IF(AND($P440='112'!$I$6,$B440&lt;'112'!$M$9),"x","")</f>
        <v/>
      </c>
      <c r="X440" s="66" t="str">
        <f>IF(AND('131-CT'!$H$9=TH!H440,OR(O440="131",P440="131")),"x","")</f>
        <v/>
      </c>
      <c r="Y440" s="80" t="str">
        <f>IF(AND($B440&gt;='1331'!$I$9,$B440&lt;='1331'!$J$9,OR($O440=$Y$7,$P440=$Y$7)),"x","")</f>
        <v/>
      </c>
      <c r="Z440" s="80" t="str">
        <f>IF(AND($O440=$Y$7,$B440&lt;'1331'!$I$9),"x","")</f>
        <v/>
      </c>
      <c r="AA440" s="80" t="str">
        <f>IF(AND($P440=$Y$7,$B440&lt;'1331'!$I$9),"x","")</f>
        <v/>
      </c>
      <c r="AB440" s="80" t="str">
        <f>IF(AND($B440&gt;='1332'!$I$9,$B440&lt;='1332'!$I$9,OR($O440=$AB$7,$P440=$AB$7)),"x","")</f>
        <v/>
      </c>
      <c r="AC440" s="80" t="str">
        <f>IF(AND($O440=$AB$7,$B440&lt;'1332'!$I$9),"x","")</f>
        <v/>
      </c>
      <c r="AD440" s="80" t="str">
        <f>IF(AND($P440=$AB$7,$B440&lt;'1332'!$I$9),"x","")</f>
        <v/>
      </c>
      <c r="AE440" s="80" t="str">
        <f>IF(AND('341-CT'!$H$9=H440,OR(LEFT(O440,3)=$AE$7,LEFT(P440,3)=$AE$7)),"x","")</f>
        <v/>
      </c>
      <c r="AF440" s="80" t="str">
        <f>IF(OR(TH!O440=TH!$AF$7,P440=TH!$AF$7),"x","")</f>
        <v/>
      </c>
      <c r="AG440" s="80"/>
      <c r="AH440" s="80" t="str">
        <f>IF(AND(B440&gt;='IN-NX'!$P$3,B440&lt;='IN-NX'!$Q$3,'IN-NX'!$D$7=D440,OR(LEFT(L440,2)="15",AND(LEFT(M440,2)&lt;&gt;"15",LEFT(M440,2)&lt;&gt;"33"))),"x","")</f>
        <v/>
      </c>
      <c r="AI440" s="80" t="str">
        <f>IF(AND(OR(LEFT(TH!O440,2)="15",LEFT(TH!P440,2)="15"),'152-CT'!$J$8=TH!F440),"x","")</f>
        <v/>
      </c>
      <c r="AJ440" s="80" t="str">
        <f>IF(AND(OR(LEFT(TH!O440,2)="15",LEFT(TH!P440,2)="15"),'THE KHO'!$E$7=TH!F440),"x","")</f>
        <v/>
      </c>
      <c r="AK440" s="80" t="str">
        <f>IF(AND(O440="1521",MONTH(C440)='BK NL'!$M$11),"x","")</f>
        <v/>
      </c>
    </row>
    <row r="441" spans="1:39" s="374" customFormat="1" ht="15.75" customHeight="1">
      <c r="A441" s="362" t="str">
        <f>IF(B441&lt;&gt;"",IF(AND(B441&gt;=_TM1,B441&lt;=_TM2,OR(TH!O441="1111",TH!P441="1111")),TH!D441,""),"")</f>
        <v/>
      </c>
      <c r="B441" s="87">
        <f t="shared" si="32"/>
        <v>6</v>
      </c>
      <c r="C441" s="1045">
        <f t="shared" si="33"/>
        <v>42551</v>
      </c>
      <c r="D441" s="337" t="s">
        <v>1021</v>
      </c>
      <c r="E441" s="1045">
        <v>42551</v>
      </c>
      <c r="F441" s="1046" t="s">
        <v>1024</v>
      </c>
      <c r="G441" s="1047"/>
      <c r="H441" s="1048"/>
      <c r="I441" s="1049"/>
      <c r="J441" s="1049"/>
      <c r="K441" s="1050"/>
      <c r="L441" s="1049"/>
      <c r="M441" s="1051">
        <f>23400000</f>
        <v>23400000</v>
      </c>
      <c r="N441" s="1051"/>
      <c r="O441" s="1052" t="s">
        <v>468</v>
      </c>
      <c r="P441" s="1052" t="s">
        <v>1020</v>
      </c>
      <c r="Q441" s="66" t="str">
        <f>IF(AND('331-CT'!$E$7=TH!H441,OR(O441="331",P441="331")),"x","")</f>
        <v/>
      </c>
      <c r="R441" s="66" t="str">
        <f>IF(AND($B441&gt;='111'!$N$11,$B441&lt;='111'!$O$11,OR($O441=$R$7,$P441=$R$7)),"x","")</f>
        <v/>
      </c>
      <c r="S441" s="66" t="str">
        <f>IF(AND($O441=$R$7,$B441&lt;'111'!$N$11),"x","")</f>
        <v/>
      </c>
      <c r="T441" s="66" t="str">
        <f>IF(AND($P441=$R$7,$B441&lt;'111'!$N$11),"x","")</f>
        <v/>
      </c>
      <c r="U441" s="66" t="str">
        <f>IF(AND($B441&gt;='112'!$M$9,$B441&lt;='112'!$N$9,OR($O441='112'!$I$6,$P441='112'!$I$6)),"x","")</f>
        <v/>
      </c>
      <c r="V441" s="66" t="str">
        <f>IF(AND($O441='112'!$I$6,$B441&lt;'112'!$M$9),"x","")</f>
        <v/>
      </c>
      <c r="W441" s="66" t="str">
        <f>IF(AND($P441='112'!$I$6,$B441&lt;'112'!$M$9),"x","")</f>
        <v/>
      </c>
      <c r="X441" s="66" t="str">
        <f>IF(AND('131-CT'!$H$9=TH!H441,OR(O441="131",P441="131")),"x","")</f>
        <v/>
      </c>
      <c r="Y441" s="80" t="str">
        <f>IF(AND($B441&gt;='1331'!$I$9,$B441&lt;='1331'!$J$9,OR($O441=$Y$7,$P441=$Y$7)),"x","")</f>
        <v/>
      </c>
      <c r="Z441" s="80" t="str">
        <f>IF(AND($O441=$Y$7,$B441&lt;'1331'!$I$9),"x","")</f>
        <v/>
      </c>
      <c r="AA441" s="80" t="str">
        <f>IF(AND($P441=$Y$7,$B441&lt;'1331'!$I$9),"x","")</f>
        <v/>
      </c>
      <c r="AB441" s="80" t="str">
        <f>IF(AND($B441&gt;='1332'!$I$9,$B441&lt;='1332'!$I$9,OR($O441=$AB$7,$P441=$AB$7)),"x","")</f>
        <v/>
      </c>
      <c r="AC441" s="80" t="str">
        <f>IF(AND($O441=$AB$7,$B441&lt;'1332'!$I$9),"x","")</f>
        <v/>
      </c>
      <c r="AD441" s="80" t="str">
        <f>IF(AND($P441=$AB$7,$B441&lt;'1332'!$I$9),"x","")</f>
        <v/>
      </c>
      <c r="AE441" s="80" t="str">
        <f>IF(AND('341-CT'!$H$9=H441,OR(LEFT(O441,3)=$AE$7,LEFT(P441,3)=$AE$7)),"x","")</f>
        <v/>
      </c>
      <c r="AF441" s="80" t="str">
        <f>IF(OR(TH!O441=TH!$AF$7,P441=TH!$AF$7),"x","")</f>
        <v/>
      </c>
      <c r="AG441" s="80"/>
      <c r="AH441" s="80" t="str">
        <f>IF(AND(B441&gt;='IN-NX'!$P$3,B441&lt;='IN-NX'!$Q$3,'IN-NX'!$D$7=D441,OR(LEFT(L441,2)="15",AND(LEFT(M441,2)&lt;&gt;"15",LEFT(M441,2)&lt;&gt;"33"))),"x","")</f>
        <v/>
      </c>
      <c r="AI441" s="80" t="str">
        <f>IF(AND(OR(LEFT(TH!O441,2)="15",LEFT(TH!P441,2)="15"),'152-CT'!$J$8=TH!F441),"x","")</f>
        <v/>
      </c>
      <c r="AJ441" s="80" t="str">
        <f>IF(AND(OR(LEFT(TH!O441,2)="15",LEFT(TH!P441,2)="15"),'THE KHO'!$E$7=TH!F441),"x","")</f>
        <v/>
      </c>
      <c r="AK441" s="80" t="str">
        <f>IF(AND(O441="1521",MONTH(C441)='BK NL'!$M$11),"x","")</f>
        <v/>
      </c>
    </row>
    <row r="442" spans="1:39" s="374" customFormat="1" ht="15.75" customHeight="1">
      <c r="A442" s="362" t="str">
        <f>IF(B442&lt;&gt;"",IF(AND(B442&gt;=_TM1,B442&lt;=_TM2,OR(TH!O442="1111",TH!P442="1111")),TH!D442,""),"")</f>
        <v/>
      </c>
      <c r="B442" s="63">
        <f t="shared" si="32"/>
        <v>6</v>
      </c>
      <c r="C442" s="1045">
        <f t="shared" si="33"/>
        <v>42551</v>
      </c>
      <c r="D442" s="337" t="s">
        <v>1021</v>
      </c>
      <c r="E442" s="1045">
        <v>42551</v>
      </c>
      <c r="F442" s="1046" t="s">
        <v>1025</v>
      </c>
      <c r="G442" s="1047"/>
      <c r="H442" s="1048"/>
      <c r="I442" s="1049"/>
      <c r="J442" s="1049"/>
      <c r="K442" s="1050"/>
      <c r="L442" s="1049"/>
      <c r="M442" s="1051">
        <v>180273600</v>
      </c>
      <c r="N442" s="1051"/>
      <c r="O442" s="1052" t="s">
        <v>468</v>
      </c>
      <c r="P442" s="1052" t="s">
        <v>1020</v>
      </c>
      <c r="Q442" s="66" t="str">
        <f>IF(AND('331-CT'!$E$7=TH!H442,OR(O442="331",P442="331")),"x","")</f>
        <v/>
      </c>
      <c r="R442" s="66" t="str">
        <f>IF(AND($B442&gt;='111'!$N$11,$B442&lt;='111'!$O$11,OR($O442=$R$7,$P442=$R$7)),"x","")</f>
        <v/>
      </c>
      <c r="S442" s="66" t="str">
        <f>IF(AND($O442=$R$7,$B442&lt;'111'!$N$11),"x","")</f>
        <v/>
      </c>
      <c r="T442" s="66" t="str">
        <f>IF(AND($P442=$R$7,$B442&lt;'111'!$N$11),"x","")</f>
        <v/>
      </c>
      <c r="U442" s="66" t="str">
        <f>IF(AND($B442&gt;='112'!$M$9,$B442&lt;='112'!$N$9,OR($O442='112'!$I$6,$P442='112'!$I$6)),"x","")</f>
        <v/>
      </c>
      <c r="V442" s="66" t="str">
        <f>IF(AND($O442='112'!$I$6,$B442&lt;'112'!$M$9),"x","")</f>
        <v/>
      </c>
      <c r="W442" s="66" t="str">
        <f>IF(AND($P442='112'!$I$6,$B442&lt;'112'!$M$9),"x","")</f>
        <v/>
      </c>
      <c r="X442" s="66" t="str">
        <f>IF(AND('131-CT'!$H$9=TH!H442,OR(O442="131",P442="131")),"x","")</f>
        <v/>
      </c>
      <c r="Y442" s="80" t="str">
        <f>IF(AND($B442&gt;='1331'!$I$9,$B442&lt;='1331'!$J$9,OR($O442=$Y$7,$P442=$Y$7)),"x","")</f>
        <v/>
      </c>
      <c r="Z442" s="80" t="str">
        <f>IF(AND($O442=$Y$7,$B442&lt;'1331'!$I$9),"x","")</f>
        <v/>
      </c>
      <c r="AA442" s="80" t="str">
        <f>IF(AND($P442=$Y$7,$B442&lt;'1331'!$I$9),"x","")</f>
        <v/>
      </c>
      <c r="AB442" s="80" t="str">
        <f>IF(AND($B442&gt;='1332'!$I$9,$B442&lt;='1332'!$I$9,OR($O442=$AB$7,$P442=$AB$7)),"x","")</f>
        <v/>
      </c>
      <c r="AC442" s="80" t="str">
        <f>IF(AND($O442=$AB$7,$B442&lt;'1332'!$I$9),"x","")</f>
        <v/>
      </c>
      <c r="AD442" s="80" t="str">
        <f>IF(AND($P442=$AB$7,$B442&lt;'1332'!$I$9),"x","")</f>
        <v/>
      </c>
      <c r="AE442" s="80" t="str">
        <f>IF(AND('341-CT'!$H$9=H442,OR(LEFT(O442,3)=$AE$7,LEFT(P442,3)=$AE$7)),"x","")</f>
        <v/>
      </c>
      <c r="AF442" s="80" t="str">
        <f>IF(OR(TH!O442=TH!$AF$7,P442=TH!$AF$7),"x","")</f>
        <v/>
      </c>
      <c r="AG442" s="80"/>
      <c r="AH442" s="80" t="str">
        <f>IF(AND(B442&gt;='IN-NX'!$P$3,B442&lt;='IN-NX'!$Q$3,'IN-NX'!$D$7=D442,OR(LEFT(L442,2)="15",AND(LEFT(M442,2)&lt;&gt;"15",LEFT(M442,2)&lt;&gt;"33"))),"x","")</f>
        <v/>
      </c>
      <c r="AI442" s="80" t="str">
        <f>IF(AND(OR(LEFT(TH!O442,2)="15",LEFT(TH!P442,2)="15"),'152-CT'!$J$8=TH!F442),"x","")</f>
        <v/>
      </c>
      <c r="AJ442" s="80" t="str">
        <f>IF(AND(OR(LEFT(TH!O442,2)="15",LEFT(TH!P442,2)="15"),'THE KHO'!$E$7=TH!F442),"x","")</f>
        <v/>
      </c>
      <c r="AK442" s="80" t="str">
        <f>IF(AND(O442="1521",MONTH(C442)='BK NL'!$M$11),"x","")</f>
        <v/>
      </c>
    </row>
    <row r="443" spans="1:39" s="374" customFormat="1" ht="15.75" customHeight="1">
      <c r="A443" s="362" t="str">
        <f>IF(B443&lt;&gt;"",IF(AND(B443&gt;=_TM1,B443&lt;=_TM2,OR(TH!O443="1111",TH!P443="1111")),TH!D443,""),"")</f>
        <v/>
      </c>
      <c r="B443" s="63">
        <f t="shared" si="32"/>
        <v>6</v>
      </c>
      <c r="C443" s="1045">
        <f t="shared" si="33"/>
        <v>42551</v>
      </c>
      <c r="D443" s="337" t="s">
        <v>1021</v>
      </c>
      <c r="E443" s="1045">
        <v>42551</v>
      </c>
      <c r="F443" s="1046" t="s">
        <v>1026</v>
      </c>
      <c r="G443" s="1053"/>
      <c r="H443" s="1048"/>
      <c r="I443" s="1049"/>
      <c r="J443" s="1049"/>
      <c r="K443" s="1050"/>
      <c r="L443" s="1049"/>
      <c r="M443" s="1051">
        <f>(13138000+22663000+173340000)*8%</f>
        <v>16731280</v>
      </c>
      <c r="N443" s="1051"/>
      <c r="O443" s="1052" t="s">
        <v>1020</v>
      </c>
      <c r="P443" s="1052" t="s">
        <v>1027</v>
      </c>
      <c r="Q443" s="66" t="str">
        <f>IF(AND('331-CT'!$E$7=TH!H443,OR(O443="331",P443="331")),"x","")</f>
        <v/>
      </c>
      <c r="R443" s="66" t="str">
        <f>IF(AND($B443&gt;='111'!$N$11,$B443&lt;='111'!$O$11,OR($O443=$R$7,$P443=$R$7)),"x","")</f>
        <v/>
      </c>
      <c r="S443" s="66" t="str">
        <f>IF(AND($O443=$R$7,$B443&lt;'111'!$N$11),"x","")</f>
        <v/>
      </c>
      <c r="T443" s="66" t="str">
        <f>IF(AND($P443=$R$7,$B443&lt;'111'!$N$11),"x","")</f>
        <v/>
      </c>
      <c r="U443" s="66" t="str">
        <f>IF(AND($B443&gt;='112'!$M$9,$B443&lt;='112'!$N$9,OR($O443='112'!$I$6,$P443='112'!$I$6)),"x","")</f>
        <v/>
      </c>
      <c r="V443" s="66" t="str">
        <f>IF(AND($O443='112'!$I$6,$B443&lt;'112'!$M$9),"x","")</f>
        <v/>
      </c>
      <c r="W443" s="66" t="str">
        <f>IF(AND($P443='112'!$I$6,$B443&lt;'112'!$M$9),"x","")</f>
        <v/>
      </c>
      <c r="X443" s="66" t="str">
        <f>IF(AND('131-CT'!$H$9=TH!H443,OR(O443="131",P443="131")),"x","")</f>
        <v/>
      </c>
      <c r="Y443" s="80" t="str">
        <f>IF(AND($B443&gt;='1331'!$I$9,$B443&lt;='1331'!$J$9,OR($O443=$Y$7,$P443=$Y$7)),"x","")</f>
        <v/>
      </c>
      <c r="Z443" s="80" t="str">
        <f>IF(AND($O443=$Y$7,$B443&lt;'1331'!$I$9),"x","")</f>
        <v/>
      </c>
      <c r="AA443" s="80" t="str">
        <f>IF(AND($P443=$Y$7,$B443&lt;'1331'!$I$9),"x","")</f>
        <v/>
      </c>
      <c r="AB443" s="80" t="str">
        <f>IF(AND($B443&gt;='1332'!$I$9,$B443&lt;='1332'!$I$9,OR($O443=$AB$7,$P443=$AB$7)),"x","")</f>
        <v/>
      </c>
      <c r="AC443" s="80" t="str">
        <f>IF(AND($O443=$AB$7,$B443&lt;'1332'!$I$9),"x","")</f>
        <v/>
      </c>
      <c r="AD443" s="80" t="str">
        <f>IF(AND($P443=$AB$7,$B443&lt;'1332'!$I$9),"x","")</f>
        <v/>
      </c>
      <c r="AE443" s="80" t="str">
        <f>IF(AND('341-CT'!$H$9=H443,OR(LEFT(O443,3)=$AE$7,LEFT(P443,3)=$AE$7)),"x","")</f>
        <v/>
      </c>
      <c r="AF443" s="80" t="str">
        <f>IF(OR(TH!O443=TH!$AF$7,P443=TH!$AF$7),"x","")</f>
        <v/>
      </c>
      <c r="AG443" s="80"/>
      <c r="AH443" s="80" t="str">
        <f>IF(AND(B443&gt;='IN-NX'!$P$3,B443&lt;='IN-NX'!$Q$3,'IN-NX'!$D$7=D443,OR(LEFT(L443,2)="15",AND(LEFT(M443,2)&lt;&gt;"15",LEFT(M443,2)&lt;&gt;"33"))),"x","")</f>
        <v/>
      </c>
      <c r="AI443" s="80" t="str">
        <f>IF(AND(OR(LEFT(TH!O443,2)="15",LEFT(TH!P443,2)="15"),'152-CT'!$J$8=TH!F443),"x","")</f>
        <v/>
      </c>
      <c r="AJ443" s="80" t="str">
        <f>IF(AND(OR(LEFT(TH!O443,2)="15",LEFT(TH!P443,2)="15"),'THE KHO'!$E$7=TH!F443),"x","")</f>
        <v/>
      </c>
      <c r="AK443" s="80" t="str">
        <f>IF(AND(O443="1521",MONTH(C443)='BK NL'!$M$11),"x","")</f>
        <v/>
      </c>
    </row>
    <row r="444" spans="1:39" ht="15.75" customHeight="1">
      <c r="A444" s="362" t="str">
        <f>IF(B444&lt;&gt;"",IF(AND(B444&gt;=_TM1,B444&lt;=_TM2,OR(TH!O444="1111",TH!P444="1111")),TH!D444,""),"")</f>
        <v/>
      </c>
      <c r="B444" s="63">
        <f t="shared" si="32"/>
        <v>6</v>
      </c>
      <c r="C444" s="1045">
        <f t="shared" si="33"/>
        <v>42551</v>
      </c>
      <c r="D444" s="337" t="s">
        <v>1021</v>
      </c>
      <c r="E444" s="1045">
        <v>42551</v>
      </c>
      <c r="F444" s="1046" t="s">
        <v>1028</v>
      </c>
      <c r="G444" s="1047"/>
      <c r="H444" s="1048"/>
      <c r="I444" s="1049"/>
      <c r="J444" s="1049"/>
      <c r="K444" s="1050"/>
      <c r="L444" s="1049"/>
      <c r="M444" s="1051">
        <f>(13138000+22663000+173340000)*1.5%</f>
        <v>3137115</v>
      </c>
      <c r="N444" s="1051"/>
      <c r="O444" s="1052" t="s">
        <v>1020</v>
      </c>
      <c r="P444" s="1052" t="s">
        <v>1029</v>
      </c>
      <c r="Q444" s="66" t="str">
        <f>IF(AND('331-CT'!$E$7=TH!H444,OR(O444="331",P444="331")),"x","")</f>
        <v/>
      </c>
      <c r="R444" s="66" t="str">
        <f>IF(AND($B444&gt;='111'!$N$11,$B444&lt;='111'!$O$11,OR($O444=$R$7,$P444=$R$7)),"x","")</f>
        <v/>
      </c>
      <c r="S444" s="66" t="str">
        <f>IF(AND($O444=$R$7,$B444&lt;'111'!$N$11),"x","")</f>
        <v/>
      </c>
      <c r="T444" s="66" t="str">
        <f>IF(AND($P444=$R$7,$B444&lt;'111'!$N$11),"x","")</f>
        <v/>
      </c>
      <c r="U444" s="66" t="str">
        <f>IF(AND($B444&gt;='112'!$M$9,$B444&lt;='112'!$N$9,OR($O444='112'!$I$6,$P444='112'!$I$6)),"x","")</f>
        <v/>
      </c>
      <c r="V444" s="66" t="str">
        <f>IF(AND($O444='112'!$I$6,$B444&lt;'112'!$M$9),"x","")</f>
        <v/>
      </c>
      <c r="W444" s="66" t="str">
        <f>IF(AND($P444='112'!$I$6,$B444&lt;'112'!$M$9),"x","")</f>
        <v/>
      </c>
      <c r="X444" s="66" t="str">
        <f>IF(AND('131-CT'!$H$9=TH!H444,OR(O444="131",P444="131")),"x","")</f>
        <v/>
      </c>
      <c r="Y444" s="80" t="str">
        <f>IF(AND($B444&gt;='1331'!$I$9,$B444&lt;='1331'!$J$9,OR($O444=$Y$7,$P444=$Y$7)),"x","")</f>
        <v/>
      </c>
      <c r="Z444" s="80" t="str">
        <f>IF(AND($O444=$Y$7,$B444&lt;'1331'!$I$9),"x","")</f>
        <v/>
      </c>
      <c r="AA444" s="80" t="str">
        <f>IF(AND($P444=$Y$7,$B444&lt;'1331'!$I$9),"x","")</f>
        <v/>
      </c>
      <c r="AB444" s="80" t="str">
        <f>IF(AND($B444&gt;='1332'!$I$9,$B444&lt;='1332'!$I$9,OR($O444=$AB$7,$P444=$AB$7)),"x","")</f>
        <v/>
      </c>
      <c r="AC444" s="80" t="str">
        <f>IF(AND($O444=$AB$7,$B444&lt;'1332'!$I$9),"x","")</f>
        <v/>
      </c>
      <c r="AD444" s="80" t="str">
        <f>IF(AND($P444=$AB$7,$B444&lt;'1332'!$I$9),"x","")</f>
        <v/>
      </c>
      <c r="AE444" s="80" t="str">
        <f>IF(AND('341-CT'!$H$9=H444,OR(LEFT(O444,3)=$AE$7,LEFT(P444,3)=$AE$7)),"x","")</f>
        <v/>
      </c>
      <c r="AF444" s="80" t="str">
        <f>IF(OR(TH!O444=TH!$AF$7,P444=TH!$AF$7),"x","")</f>
        <v/>
      </c>
      <c r="AG444" s="80"/>
      <c r="AH444" s="80" t="str">
        <f>IF(AND(B444&gt;='IN-NX'!$P$3,B444&lt;='IN-NX'!$Q$3,'IN-NX'!$D$7=D444,OR(LEFT(L444,2)="15",AND(LEFT(M444,2)&lt;&gt;"15",LEFT(M444,2)&lt;&gt;"33"))),"x","")</f>
        <v/>
      </c>
      <c r="AI444" s="80" t="str">
        <f>IF(AND(OR(LEFT(TH!O444,2)="15",LEFT(TH!P444,2)="15"),'152-CT'!$J$8=TH!F444),"x","")</f>
        <v/>
      </c>
      <c r="AJ444" s="80" t="str">
        <f>IF(AND(OR(LEFT(TH!O444,2)="15",LEFT(TH!P444,2)="15"),'THE KHO'!$E$7=TH!F444),"x","")</f>
        <v/>
      </c>
      <c r="AK444" s="80" t="str">
        <f>IF(AND(O444="1521",MONTH(C444)='BK NL'!$M$11),"x","")</f>
        <v/>
      </c>
    </row>
    <row r="445" spans="1:39" ht="15.75" customHeight="1">
      <c r="A445" s="362" t="str">
        <f>IF(B445&lt;&gt;"",IF(AND(B445&gt;=_TM1,B445&lt;=_TM2,OR(TH!O445="1111",TH!P445="1111")),TH!D445,""),"")</f>
        <v/>
      </c>
      <c r="B445" s="63">
        <f t="shared" si="32"/>
        <v>6</v>
      </c>
      <c r="C445" s="1045">
        <f t="shared" si="33"/>
        <v>42551</v>
      </c>
      <c r="D445" s="337" t="s">
        <v>1021</v>
      </c>
      <c r="E445" s="1045">
        <v>42551</v>
      </c>
      <c r="F445" s="1046" t="s">
        <v>1030</v>
      </c>
      <c r="G445" s="1047"/>
      <c r="H445" s="1054"/>
      <c r="I445" s="1055"/>
      <c r="J445" s="1055"/>
      <c r="K445" s="1056"/>
      <c r="L445" s="1055"/>
      <c r="M445" s="1051">
        <f>(13138000+22663000+173340000)*1%</f>
        <v>2091410</v>
      </c>
      <c r="N445" s="1051"/>
      <c r="O445" s="1052" t="s">
        <v>1020</v>
      </c>
      <c r="P445" s="1052" t="s">
        <v>1031</v>
      </c>
      <c r="Q445" s="66" t="str">
        <f>IF(AND('331-CT'!$E$7=TH!H445,OR(O445="331",P445="331")),"x","")</f>
        <v/>
      </c>
      <c r="R445" s="66" t="str">
        <f>IF(AND($B445&gt;='111'!$N$11,$B445&lt;='111'!$O$11,OR($O445=$R$7,$P445=$R$7)),"x","")</f>
        <v/>
      </c>
      <c r="S445" s="66" t="str">
        <f>IF(AND($O445=$R$7,$B445&lt;'111'!$N$11),"x","")</f>
        <v/>
      </c>
      <c r="T445" s="66" t="str">
        <f>IF(AND($P445=$R$7,$B445&lt;'111'!$N$11),"x","")</f>
        <v/>
      </c>
      <c r="U445" s="66" t="str">
        <f>IF(AND($B445&gt;='112'!$M$9,$B445&lt;='112'!$N$9,OR($O445='112'!$I$6,$P445='112'!$I$6)),"x","")</f>
        <v/>
      </c>
      <c r="V445" s="66" t="str">
        <f>IF(AND($O445='112'!$I$6,$B445&lt;'112'!$M$9),"x","")</f>
        <v/>
      </c>
      <c r="W445" s="66" t="str">
        <f>IF(AND($P445='112'!$I$6,$B445&lt;'112'!$M$9),"x","")</f>
        <v/>
      </c>
      <c r="X445" s="66" t="str">
        <f>IF(AND('131-CT'!$H$9=TH!H445,OR(O445="131",P445="131")),"x","")</f>
        <v/>
      </c>
      <c r="Y445" s="80" t="str">
        <f>IF(AND($B445&gt;='1331'!$I$9,$B445&lt;='1331'!$J$9,OR($O445=$Y$7,$P445=$Y$7)),"x","")</f>
        <v/>
      </c>
      <c r="Z445" s="80" t="str">
        <f>IF(AND($O445=$Y$7,$B445&lt;'1331'!$I$9),"x","")</f>
        <v/>
      </c>
      <c r="AA445" s="80" t="str">
        <f>IF(AND($P445=$Y$7,$B445&lt;'1331'!$I$9),"x","")</f>
        <v/>
      </c>
      <c r="AB445" s="80" t="str">
        <f>IF(AND($B445&gt;='1332'!$I$9,$B445&lt;='1332'!$I$9,OR($O445=$AB$7,$P445=$AB$7)),"x","")</f>
        <v/>
      </c>
      <c r="AC445" s="80" t="str">
        <f>IF(AND($O445=$AB$7,$B445&lt;'1332'!$I$9),"x","")</f>
        <v/>
      </c>
      <c r="AD445" s="80" t="str">
        <f>IF(AND($P445=$AB$7,$B445&lt;'1332'!$I$9),"x","")</f>
        <v/>
      </c>
      <c r="AE445" s="80" t="str">
        <f>IF(AND('341-CT'!$H$9=H445,OR(LEFT(O445,3)=$AE$7,LEFT(P445,3)=$AE$7)),"x","")</f>
        <v/>
      </c>
      <c r="AF445" s="80" t="str">
        <f>IF(OR(TH!O445=TH!$AF$7,P445=TH!$AF$7),"x","")</f>
        <v/>
      </c>
      <c r="AG445" s="80"/>
      <c r="AH445" s="80" t="str">
        <f>IF(AND(B445&gt;='IN-NX'!$P$3,B445&lt;='IN-NX'!$Q$3,'IN-NX'!$D$7=D445,OR(LEFT(L445,2)="15",AND(LEFT(M445,2)&lt;&gt;"15",LEFT(M445,2)&lt;&gt;"33"))),"x","")</f>
        <v/>
      </c>
      <c r="AI445" s="80" t="str">
        <f>IF(AND(OR(LEFT(TH!O445,2)="15",LEFT(TH!P445,2)="15"),'152-CT'!$J$8=TH!F445),"x","")</f>
        <v/>
      </c>
      <c r="AJ445" s="80" t="str">
        <f>IF(AND(OR(LEFT(TH!O445,2)="15",LEFT(TH!P445,2)="15"),'THE KHO'!$E$7=TH!F445),"x","")</f>
        <v/>
      </c>
      <c r="AK445" s="80" t="str">
        <f>IF(AND(O445="1521",MONTH(C445)='BK NL'!$M$11),"x","")</f>
        <v/>
      </c>
    </row>
    <row r="446" spans="1:39" s="373" customFormat="1" ht="15.75" customHeight="1">
      <c r="A446" s="362" t="str">
        <f>IF(B446&lt;&gt;"",IF(AND(B446&gt;=_TM1,B446&lt;=_TM2,OR(TH!O446="1111",TH!P446="1111")),TH!D446,""),"")</f>
        <v/>
      </c>
      <c r="B446" s="63">
        <f t="shared" si="32"/>
        <v>6</v>
      </c>
      <c r="C446" s="1045">
        <f t="shared" si="33"/>
        <v>42551</v>
      </c>
      <c r="D446" s="337" t="s">
        <v>1021</v>
      </c>
      <c r="E446" s="1045">
        <v>42551</v>
      </c>
      <c r="F446" s="1046" t="s">
        <v>1032</v>
      </c>
      <c r="G446" s="1053"/>
      <c r="H446" s="1048"/>
      <c r="I446" s="1049"/>
      <c r="J446" s="1049"/>
      <c r="K446" s="1050"/>
      <c r="L446" s="1049"/>
      <c r="M446" s="1051">
        <f>(173340000)*18%</f>
        <v>31201200</v>
      </c>
      <c r="N446" s="1051"/>
      <c r="O446" s="1052" t="s">
        <v>468</v>
      </c>
      <c r="P446" s="1052" t="s">
        <v>1027</v>
      </c>
      <c r="Q446" s="66" t="str">
        <f>IF(AND('331-CT'!$E$7=TH!H446,OR(O446="331",P446="331")),"x","")</f>
        <v/>
      </c>
      <c r="R446" s="66" t="str">
        <f>IF(AND($B446&gt;='111'!$N$11,$B446&lt;='111'!$O$11,OR($O446=$R$7,$P446=$R$7)),"x","")</f>
        <v/>
      </c>
      <c r="S446" s="66" t="str">
        <f>IF(AND($O446=$R$7,$B446&lt;'111'!$N$11),"x","")</f>
        <v/>
      </c>
      <c r="T446" s="66" t="str">
        <f>IF(AND($P446=$R$7,$B446&lt;'111'!$N$11),"x","")</f>
        <v/>
      </c>
      <c r="U446" s="66" t="str">
        <f>IF(AND($B446&gt;='112'!$M$9,$B446&lt;='112'!$N$9,OR($O446='112'!$I$6,$P446='112'!$I$6)),"x","")</f>
        <v/>
      </c>
      <c r="V446" s="66" t="str">
        <f>IF(AND($O446='112'!$I$6,$B446&lt;'112'!$M$9),"x","")</f>
        <v/>
      </c>
      <c r="W446" s="66" t="str">
        <f>IF(AND($P446='112'!$I$6,$B446&lt;'112'!$M$9),"x","")</f>
        <v/>
      </c>
      <c r="X446" s="66" t="str">
        <f>IF(AND('131-CT'!$H$9=TH!H446,OR(O446="131",P446="131")),"x","")</f>
        <v/>
      </c>
      <c r="Y446" s="80" t="str">
        <f>IF(AND($B446&gt;='1331'!$I$9,$B446&lt;='1331'!$J$9,OR($O446=$Y$7,$P446=$Y$7)),"x","")</f>
        <v/>
      </c>
      <c r="Z446" s="80" t="str">
        <f>IF(AND($O446=$Y$7,$B446&lt;'1331'!$I$9),"x","")</f>
        <v/>
      </c>
      <c r="AA446" s="80" t="str">
        <f>IF(AND($P446=$Y$7,$B446&lt;'1331'!$I$9),"x","")</f>
        <v/>
      </c>
      <c r="AB446" s="80" t="str">
        <f>IF(AND($B446&gt;='1332'!$I$9,$B446&lt;='1332'!$I$9,OR($O446=$AB$7,$P446=$AB$7)),"x","")</f>
        <v/>
      </c>
      <c r="AC446" s="80" t="str">
        <f>IF(AND($O446=$AB$7,$B446&lt;'1332'!$I$9),"x","")</f>
        <v/>
      </c>
      <c r="AD446" s="80" t="str">
        <f>IF(AND($P446=$AB$7,$B446&lt;'1332'!$I$9),"x","")</f>
        <v/>
      </c>
      <c r="AE446" s="80" t="str">
        <f>IF(AND('341-CT'!$H$9=H446,OR(LEFT(O446,3)=$AE$7,LEFT(P446,3)=$AE$7)),"x","")</f>
        <v/>
      </c>
      <c r="AF446" s="80" t="str">
        <f>IF(OR(TH!O446=TH!$AF$7,P446=TH!$AF$7),"x","")</f>
        <v/>
      </c>
      <c r="AG446" s="80"/>
      <c r="AH446" s="80" t="str">
        <f>IF(AND(B446&gt;='IN-NX'!$P$3,B446&lt;='IN-NX'!$Q$3,'IN-NX'!$D$7=D446,OR(LEFT(L446,2)="15",AND(LEFT(M446,2)&lt;&gt;"15",LEFT(M446,2)&lt;&gt;"33"))),"x","")</f>
        <v/>
      </c>
      <c r="AI446" s="80" t="str">
        <f>IF(AND(OR(LEFT(TH!O446,2)="15",LEFT(TH!P446,2)="15"),'152-CT'!$J$8=TH!F446),"x","")</f>
        <v/>
      </c>
      <c r="AJ446" s="80" t="str">
        <f>IF(AND(OR(LEFT(TH!O446,2)="15",LEFT(TH!P446,2)="15"),'THE KHO'!$E$7=TH!F446),"x","")</f>
        <v/>
      </c>
      <c r="AK446" s="80" t="str">
        <f>IF(AND(O446="1521",MONTH(C446)='BK NL'!$M$11),"x","")</f>
        <v/>
      </c>
    </row>
    <row r="447" spans="1:39" s="373" customFormat="1" ht="15.75" customHeight="1">
      <c r="A447" s="362" t="str">
        <f>IF(B447&lt;&gt;"",IF(AND(B447&gt;=_TM1,B447&lt;=_TM2,OR(TH!O447="1111",TH!P447="1111")),TH!D447,""),"")</f>
        <v/>
      </c>
      <c r="B447" s="63">
        <f t="shared" si="32"/>
        <v>6</v>
      </c>
      <c r="C447" s="1045">
        <f t="shared" si="33"/>
        <v>42551</v>
      </c>
      <c r="D447" s="337" t="s">
        <v>1021</v>
      </c>
      <c r="E447" s="1045">
        <v>42551</v>
      </c>
      <c r="F447" s="1046" t="s">
        <v>1033</v>
      </c>
      <c r="G447" s="1047"/>
      <c r="H447" s="1048"/>
      <c r="I447" s="1049"/>
      <c r="J447" s="1049"/>
      <c r="K447" s="1050"/>
      <c r="L447" s="1049"/>
      <c r="M447" s="1051">
        <f>(173340000)*3%</f>
        <v>5200200</v>
      </c>
      <c r="N447" s="1051"/>
      <c r="O447" s="1052" t="s">
        <v>468</v>
      </c>
      <c r="P447" s="1052" t="s">
        <v>1029</v>
      </c>
      <c r="Q447" s="66" t="str">
        <f>IF(AND('331-CT'!$E$7=TH!H447,OR(O447="331",P447="331")),"x","")</f>
        <v/>
      </c>
      <c r="R447" s="66" t="str">
        <f>IF(AND($B447&gt;='111'!$N$11,$B447&lt;='111'!$O$11,OR($O447=$R$7,$P447=$R$7)),"x","")</f>
        <v/>
      </c>
      <c r="S447" s="66" t="str">
        <f>IF(AND($O447=$R$7,$B447&lt;'111'!$N$11),"x","")</f>
        <v/>
      </c>
      <c r="T447" s="66" t="str">
        <f>IF(AND($P447=$R$7,$B447&lt;'111'!$N$11),"x","")</f>
        <v/>
      </c>
      <c r="U447" s="66" t="str">
        <f>IF(AND($B447&gt;='112'!$M$9,$B447&lt;='112'!$N$9,OR($O447='112'!$I$6,$P447='112'!$I$6)),"x","")</f>
        <v/>
      </c>
      <c r="V447" s="66" t="str">
        <f>IF(AND($O447='112'!$I$6,$B447&lt;'112'!$M$9),"x","")</f>
        <v/>
      </c>
      <c r="W447" s="66" t="str">
        <f>IF(AND($P447='112'!$I$6,$B447&lt;'112'!$M$9),"x","")</f>
        <v/>
      </c>
      <c r="X447" s="66" t="str">
        <f>IF(AND('131-CT'!$H$9=TH!H447,OR(O447="131",P447="131")),"x","")</f>
        <v/>
      </c>
      <c r="Y447" s="80" t="str">
        <f>IF(AND($B447&gt;='1331'!$I$9,$B447&lt;='1331'!$J$9,OR($O447=$Y$7,$P447=$Y$7)),"x","")</f>
        <v/>
      </c>
      <c r="Z447" s="80" t="str">
        <f>IF(AND($O447=$Y$7,$B447&lt;'1331'!$I$9),"x","")</f>
        <v/>
      </c>
      <c r="AA447" s="80" t="str">
        <f>IF(AND($P447=$Y$7,$B447&lt;'1331'!$I$9),"x","")</f>
        <v/>
      </c>
      <c r="AB447" s="80" t="str">
        <f>IF(AND($B447&gt;='1332'!$I$9,$B447&lt;='1332'!$I$9,OR($O447=$AB$7,$P447=$AB$7)),"x","")</f>
        <v/>
      </c>
      <c r="AC447" s="80" t="str">
        <f>IF(AND($O447=$AB$7,$B447&lt;'1332'!$I$9),"x","")</f>
        <v/>
      </c>
      <c r="AD447" s="80" t="str">
        <f>IF(AND($P447=$AB$7,$B447&lt;'1332'!$I$9),"x","")</f>
        <v/>
      </c>
      <c r="AE447" s="80" t="str">
        <f>IF(AND('341-CT'!$H$9=H447,OR(LEFT(O447,3)=$AE$7,LEFT(P447,3)=$AE$7)),"x","")</f>
        <v/>
      </c>
      <c r="AF447" s="80" t="str">
        <f>IF(OR(TH!O447=TH!$AF$7,P447=TH!$AF$7),"x","")</f>
        <v/>
      </c>
      <c r="AG447" s="80"/>
      <c r="AH447" s="80" t="str">
        <f>IF(AND(B447&gt;='IN-NX'!$P$3,B447&lt;='IN-NX'!$Q$3,'IN-NX'!$D$7=D447,OR(LEFT(L447,2)="15",AND(LEFT(M447,2)&lt;&gt;"15",LEFT(M447,2)&lt;&gt;"33"))),"x","")</f>
        <v/>
      </c>
      <c r="AI447" s="80" t="str">
        <f>IF(AND(OR(LEFT(TH!O447,2)="15",LEFT(TH!P447,2)="15"),'152-CT'!$J$8=TH!F447),"x","")</f>
        <v/>
      </c>
      <c r="AJ447" s="80" t="str">
        <f>IF(AND(OR(LEFT(TH!O447,2)="15",LEFT(TH!P447,2)="15"),'THE KHO'!$E$7=TH!F447),"x","")</f>
        <v/>
      </c>
      <c r="AK447" s="80" t="str">
        <f>IF(AND(O447="1521",MONTH(C447)='BK NL'!$M$11),"x","")</f>
        <v/>
      </c>
    </row>
    <row r="448" spans="1:39" ht="15.75" customHeight="1">
      <c r="A448" s="362" t="str">
        <f>IF(B448&lt;&gt;"",IF(AND(B448&gt;=_TM1,B448&lt;=_TM2,OR(TH!O448="1111",TH!P448="1111")),TH!D448,""),"")</f>
        <v/>
      </c>
      <c r="B448" s="63">
        <f t="shared" si="32"/>
        <v>6</v>
      </c>
      <c r="C448" s="1045">
        <f t="shared" si="33"/>
        <v>42551</v>
      </c>
      <c r="D448" s="337" t="s">
        <v>1021</v>
      </c>
      <c r="E448" s="1045">
        <v>42551</v>
      </c>
      <c r="F448" s="1046" t="s">
        <v>1030</v>
      </c>
      <c r="G448" s="1047"/>
      <c r="H448" s="1054"/>
      <c r="I448" s="1055"/>
      <c r="J448" s="1055"/>
      <c r="K448" s="1056"/>
      <c r="L448" s="1055"/>
      <c r="M448" s="1051">
        <f>(173340000)*1%</f>
        <v>1733400</v>
      </c>
      <c r="N448" s="1051"/>
      <c r="O448" s="1052" t="s">
        <v>468</v>
      </c>
      <c r="P448" s="1052" t="s">
        <v>1031</v>
      </c>
      <c r="Q448" s="66" t="str">
        <f>IF(AND('331-CT'!$E$7=TH!H448,OR(O448="331",P448="331")),"x","")</f>
        <v/>
      </c>
      <c r="R448" s="66" t="str">
        <f>IF(AND($B448&gt;='111'!$N$11,$B448&lt;='111'!$O$11,OR($O448=$R$7,$P448=$R$7)),"x","")</f>
        <v/>
      </c>
      <c r="S448" s="66" t="str">
        <f>IF(AND($O448=$R$7,$B448&lt;'111'!$N$11),"x","")</f>
        <v/>
      </c>
      <c r="T448" s="66" t="str">
        <f>IF(AND($P448=$R$7,$B448&lt;'111'!$N$11),"x","")</f>
        <v/>
      </c>
      <c r="U448" s="66" t="str">
        <f>IF(AND($B448&gt;='112'!$M$9,$B448&lt;='112'!$N$9,OR($O448='112'!$I$6,$P448='112'!$I$6)),"x","")</f>
        <v/>
      </c>
      <c r="V448" s="66" t="str">
        <f>IF(AND($O448='112'!$I$6,$B448&lt;'112'!$M$9),"x","")</f>
        <v/>
      </c>
      <c r="W448" s="66" t="str">
        <f>IF(AND($P448='112'!$I$6,$B448&lt;'112'!$M$9),"x","")</f>
        <v/>
      </c>
      <c r="X448" s="66" t="str">
        <f>IF(AND('131-CT'!$H$9=TH!H448,OR(O448="131",P448="131")),"x","")</f>
        <v/>
      </c>
      <c r="Y448" s="80" t="str">
        <f>IF(AND($B448&gt;='1331'!$I$9,$B448&lt;='1331'!$J$9,OR($O448=$Y$7,$P448=$Y$7)),"x","")</f>
        <v/>
      </c>
      <c r="Z448" s="80" t="str">
        <f>IF(AND($O448=$Y$7,$B448&lt;'1331'!$I$9),"x","")</f>
        <v/>
      </c>
      <c r="AA448" s="80" t="str">
        <f>IF(AND($P448=$Y$7,$B448&lt;'1331'!$I$9),"x","")</f>
        <v/>
      </c>
      <c r="AB448" s="80" t="str">
        <f>IF(AND($B448&gt;='1332'!$I$9,$B448&lt;='1332'!$I$9,OR($O448=$AB$7,$P448=$AB$7)),"x","")</f>
        <v/>
      </c>
      <c r="AC448" s="80" t="str">
        <f>IF(AND($O448=$AB$7,$B448&lt;'1332'!$I$9),"x","")</f>
        <v/>
      </c>
      <c r="AD448" s="80" t="str">
        <f>IF(AND($P448=$AB$7,$B448&lt;'1332'!$I$9),"x","")</f>
        <v/>
      </c>
      <c r="AE448" s="80" t="str">
        <f>IF(AND('341-CT'!$H$9=H448,OR(LEFT(O448,3)=$AE$7,LEFT(P448,3)=$AE$7)),"x","")</f>
        <v/>
      </c>
      <c r="AF448" s="80" t="str">
        <f>IF(OR(TH!O448=TH!$AF$7,P448=TH!$AF$7),"x","")</f>
        <v/>
      </c>
      <c r="AG448" s="80"/>
      <c r="AH448" s="80" t="str">
        <f>IF(AND(B448&gt;='IN-NX'!$P$3,B448&lt;='IN-NX'!$Q$3,'IN-NX'!$D$7=D448,OR(LEFT(L448,2)="15",AND(LEFT(M448,2)&lt;&gt;"15",LEFT(M448,2)&lt;&gt;"33"))),"x","")</f>
        <v/>
      </c>
      <c r="AI448" s="80" t="str">
        <f>IF(AND(OR(LEFT(TH!O448,2)="15",LEFT(TH!P448,2)="15"),'152-CT'!$J$8=TH!F448),"x","")</f>
        <v/>
      </c>
      <c r="AJ448" s="80" t="str">
        <f>IF(AND(OR(LEFT(TH!O448,2)="15",LEFT(TH!P448,2)="15"),'THE KHO'!$E$7=TH!F448),"x","")</f>
        <v/>
      </c>
      <c r="AK448" s="80" t="str">
        <f>IF(AND(O448="1521",MONTH(C448)='BK NL'!$M$11),"x","")</f>
        <v/>
      </c>
    </row>
    <row r="449" spans="1:37" ht="15.75" customHeight="1">
      <c r="A449" s="362" t="str">
        <f>IF(B449&lt;&gt;"",IF(AND(B449&gt;=_TM1,B449&lt;=_TM2,OR(TH!O449="1111",TH!P449="1111")),TH!D449,""),"")</f>
        <v/>
      </c>
      <c r="B449" s="63">
        <f t="shared" si="32"/>
        <v>6</v>
      </c>
      <c r="C449" s="1045">
        <f t="shared" si="33"/>
        <v>42551</v>
      </c>
      <c r="D449" s="337" t="s">
        <v>1021</v>
      </c>
      <c r="E449" s="1045">
        <v>42551</v>
      </c>
      <c r="F449" s="1046" t="s">
        <v>1032</v>
      </c>
      <c r="G449" s="1053"/>
      <c r="H449" s="1048"/>
      <c r="I449" s="1049"/>
      <c r="J449" s="1049"/>
      <c r="K449" s="1050"/>
      <c r="L449" s="1049"/>
      <c r="M449" s="1051">
        <f>(13138000+22663000)*18%</f>
        <v>6444180</v>
      </c>
      <c r="N449" s="1051"/>
      <c r="O449" s="1052" t="s">
        <v>135</v>
      </c>
      <c r="P449" s="1052" t="s">
        <v>1027</v>
      </c>
      <c r="Q449" s="66" t="str">
        <f>IF(AND('331-CT'!$E$7=TH!H449,OR(O449="331",P449="331")),"x","")</f>
        <v/>
      </c>
      <c r="R449" s="66" t="str">
        <f>IF(AND($B449&gt;='111'!$N$11,$B449&lt;='111'!$O$11,OR($O449=$R$7,$P449=$R$7)),"x","")</f>
        <v/>
      </c>
      <c r="S449" s="66" t="str">
        <f>IF(AND($O449=$R$7,$B449&lt;'111'!$N$11),"x","")</f>
        <v/>
      </c>
      <c r="T449" s="66" t="str">
        <f>IF(AND($P449=$R$7,$B449&lt;'111'!$N$11),"x","")</f>
        <v/>
      </c>
      <c r="U449" s="66" t="str">
        <f>IF(AND($B449&gt;='112'!$M$9,$B449&lt;='112'!$N$9,OR($O449='112'!$I$6,$P449='112'!$I$6)),"x","")</f>
        <v/>
      </c>
      <c r="V449" s="66" t="str">
        <f>IF(AND($O449='112'!$I$6,$B449&lt;'112'!$M$9),"x","")</f>
        <v/>
      </c>
      <c r="W449" s="66" t="str">
        <f>IF(AND($P449='112'!$I$6,$B449&lt;'112'!$M$9),"x","")</f>
        <v/>
      </c>
      <c r="X449" s="66" t="str">
        <f>IF(AND('131-CT'!$H$9=TH!H449,OR(O449="131",P449="131")),"x","")</f>
        <v/>
      </c>
      <c r="Y449" s="80" t="str">
        <f>IF(AND($B449&gt;='1331'!$I$9,$B449&lt;='1331'!$J$9,OR($O449=$Y$7,$P449=$Y$7)),"x","")</f>
        <v/>
      </c>
      <c r="Z449" s="80" t="str">
        <f>IF(AND($O449=$Y$7,$B449&lt;'1331'!$I$9),"x","")</f>
        <v/>
      </c>
      <c r="AA449" s="80" t="str">
        <f>IF(AND($P449=$Y$7,$B449&lt;'1331'!$I$9),"x","")</f>
        <v/>
      </c>
      <c r="AB449" s="80" t="str">
        <f>IF(AND($B449&gt;='1332'!$I$9,$B449&lt;='1332'!$I$9,OR($O449=$AB$7,$P449=$AB$7)),"x","")</f>
        <v/>
      </c>
      <c r="AC449" s="80" t="str">
        <f>IF(AND($O449=$AB$7,$B449&lt;'1332'!$I$9),"x","")</f>
        <v/>
      </c>
      <c r="AD449" s="80" t="str">
        <f>IF(AND($P449=$AB$7,$B449&lt;'1332'!$I$9),"x","")</f>
        <v/>
      </c>
      <c r="AE449" s="80" t="str">
        <f>IF(AND('341-CT'!$H$9=H449,OR(LEFT(O449,3)=$AE$7,LEFT(P449,3)=$AE$7)),"x","")</f>
        <v/>
      </c>
      <c r="AF449" s="80" t="str">
        <f>IF(OR(TH!O449=TH!$AF$7,P449=TH!$AF$7),"x","")</f>
        <v/>
      </c>
      <c r="AG449" s="80"/>
      <c r="AH449" s="80" t="str">
        <f>IF(AND(B449&gt;='IN-NX'!$P$3,B449&lt;='IN-NX'!$Q$3,'IN-NX'!$D$7=D449,OR(LEFT(L449,2)="15",AND(LEFT(M449,2)&lt;&gt;"15",LEFT(M449,2)&lt;&gt;"33"))),"x","")</f>
        <v/>
      </c>
      <c r="AI449" s="80" t="str">
        <f>IF(AND(OR(LEFT(TH!O449,2)="15",LEFT(TH!P449,2)="15"),'152-CT'!$J$8=TH!F449),"x","")</f>
        <v/>
      </c>
      <c r="AJ449" s="80" t="str">
        <f>IF(AND(OR(LEFT(TH!O449,2)="15",LEFT(TH!P449,2)="15"),'THE KHO'!$E$7=TH!F449),"x","")</f>
        <v/>
      </c>
      <c r="AK449" s="80" t="str">
        <f>IF(AND(O449="1521",MONTH(C449)='BK NL'!$M$11),"x","")</f>
        <v/>
      </c>
    </row>
    <row r="450" spans="1:37" ht="15.75" customHeight="1">
      <c r="A450" s="362" t="str">
        <f>IF(B450&lt;&gt;"",IF(AND(B450&gt;=_TM1,B450&lt;=_TM2,OR(TH!O450="1111",TH!P450="1111")),TH!D450,""),"")</f>
        <v/>
      </c>
      <c r="B450" s="87">
        <f t="shared" si="32"/>
        <v>6</v>
      </c>
      <c r="C450" s="1045">
        <f t="shared" si="33"/>
        <v>42551</v>
      </c>
      <c r="D450" s="337" t="s">
        <v>1021</v>
      </c>
      <c r="E450" s="1045">
        <v>42551</v>
      </c>
      <c r="F450" s="1046" t="s">
        <v>1033</v>
      </c>
      <c r="G450" s="1047"/>
      <c r="H450" s="1048"/>
      <c r="I450" s="1049"/>
      <c r="J450" s="1049"/>
      <c r="K450" s="1050"/>
      <c r="L450" s="1049"/>
      <c r="M450" s="1051">
        <f>(13138000+22663000)*3%</f>
        <v>1074030</v>
      </c>
      <c r="N450" s="1051"/>
      <c r="O450" s="1052" t="s">
        <v>135</v>
      </c>
      <c r="P450" s="1052" t="s">
        <v>1029</v>
      </c>
      <c r="Q450" s="66" t="str">
        <f>IF(AND('331-CT'!$E$7=TH!H450,OR(O450="331",P450="331")),"x","")</f>
        <v/>
      </c>
      <c r="R450" s="66" t="str">
        <f>IF(AND($B450&gt;='111'!$N$11,$B450&lt;='111'!$O$11,OR($O450=$R$7,$P450=$R$7)),"x","")</f>
        <v/>
      </c>
      <c r="S450" s="66" t="str">
        <f>IF(AND($O450=$R$7,$B450&lt;'111'!$N$11),"x","")</f>
        <v/>
      </c>
      <c r="T450" s="66" t="str">
        <f>IF(AND($P450=$R$7,$B450&lt;'111'!$N$11),"x","")</f>
        <v/>
      </c>
      <c r="U450" s="66" t="str">
        <f>IF(AND($B450&gt;='112'!$M$9,$B450&lt;='112'!$N$9,OR($O450='112'!$I$6,$P450='112'!$I$6)),"x","")</f>
        <v/>
      </c>
      <c r="V450" s="66" t="str">
        <f>IF(AND($O450='112'!$I$6,$B450&lt;'112'!$M$9),"x","")</f>
        <v/>
      </c>
      <c r="W450" s="66" t="str">
        <f>IF(AND($P450='112'!$I$6,$B450&lt;'112'!$M$9),"x","")</f>
        <v/>
      </c>
      <c r="X450" s="66" t="str">
        <f>IF(AND('131-CT'!$H$9=TH!H450,OR(O450="131",P450="131")),"x","")</f>
        <v/>
      </c>
      <c r="Y450" s="80" t="str">
        <f>IF(AND($B450&gt;='1331'!$I$9,$B450&lt;='1331'!$J$9,OR($O450=$Y$7,$P450=$Y$7)),"x","")</f>
        <v/>
      </c>
      <c r="Z450" s="80" t="str">
        <f>IF(AND($O450=$Y$7,$B450&lt;'1331'!$I$9),"x","")</f>
        <v/>
      </c>
      <c r="AA450" s="80" t="str">
        <f>IF(AND($P450=$Y$7,$B450&lt;'1331'!$I$9),"x","")</f>
        <v/>
      </c>
      <c r="AB450" s="80" t="str">
        <f>IF(AND($B450&gt;='1332'!$I$9,$B450&lt;='1332'!$I$9,OR($O450=$AB$7,$P450=$AB$7)),"x","")</f>
        <v/>
      </c>
      <c r="AC450" s="80" t="str">
        <f>IF(AND($O450=$AB$7,$B450&lt;'1332'!$I$9),"x","")</f>
        <v/>
      </c>
      <c r="AD450" s="80" t="str">
        <f>IF(AND($P450=$AB$7,$B450&lt;'1332'!$I$9),"x","")</f>
        <v/>
      </c>
      <c r="AE450" s="80" t="str">
        <f>IF(AND('341-CT'!$H$9=H450,OR(LEFT(O450,3)=$AE$7,LEFT(P450,3)=$AE$7)),"x","")</f>
        <v/>
      </c>
      <c r="AF450" s="80" t="str">
        <f>IF(OR(TH!O450=TH!$AF$7,P450=TH!$AF$7),"x","")</f>
        <v/>
      </c>
      <c r="AG450" s="80"/>
      <c r="AH450" s="80" t="str">
        <f>IF(AND(B450&gt;='IN-NX'!$P$3,B450&lt;='IN-NX'!$Q$3,'IN-NX'!$D$7=D450,OR(LEFT(L450,2)="15",AND(LEFT(M450,2)&lt;&gt;"15",LEFT(M450,2)&lt;&gt;"33"))),"x","")</f>
        <v/>
      </c>
      <c r="AI450" s="80" t="str">
        <f>IF(AND(OR(LEFT(TH!O450,2)="15",LEFT(TH!P450,2)="15"),'152-CT'!$J$8=TH!F450),"x","")</f>
        <v/>
      </c>
      <c r="AJ450" s="80" t="str">
        <f>IF(AND(OR(LEFT(TH!O450,2)="15",LEFT(TH!P450,2)="15"),'THE KHO'!$E$7=TH!F450),"x","")</f>
        <v/>
      </c>
      <c r="AK450" s="80" t="str">
        <f>IF(AND(O450="1521",MONTH(C450)='BK NL'!$M$11),"x","")</f>
        <v/>
      </c>
    </row>
    <row r="451" spans="1:37" ht="15.75" customHeight="1">
      <c r="A451" s="362" t="str">
        <f>IF(B451&lt;&gt;"",IF(AND(B451&gt;=_TM1,B451&lt;=_TM2,OR(TH!O451="1111",TH!P451="1111")),TH!D451,""),"")</f>
        <v/>
      </c>
      <c r="B451" s="87">
        <f t="shared" si="32"/>
        <v>6</v>
      </c>
      <c r="C451" s="1045">
        <f t="shared" si="33"/>
        <v>42551</v>
      </c>
      <c r="D451" s="337" t="s">
        <v>1021</v>
      </c>
      <c r="E451" s="1045">
        <v>42551</v>
      </c>
      <c r="F451" s="1046" t="s">
        <v>1030</v>
      </c>
      <c r="G451" s="1047"/>
      <c r="H451" s="1054"/>
      <c r="I451" s="1055"/>
      <c r="J451" s="1055"/>
      <c r="K451" s="1056"/>
      <c r="L451" s="1055"/>
      <c r="M451" s="1051">
        <f>(13138000+22663000)*1%</f>
        <v>358010</v>
      </c>
      <c r="N451" s="1051"/>
      <c r="O451" s="1052" t="s">
        <v>135</v>
      </c>
      <c r="P451" s="1052" t="s">
        <v>1031</v>
      </c>
      <c r="Q451" s="66" t="str">
        <f>IF(AND('331-CT'!$E$7=TH!H451,OR(O451="331",P451="331")),"x","")</f>
        <v/>
      </c>
      <c r="R451" s="66" t="str">
        <f>IF(AND($B451&gt;='111'!$N$11,$B451&lt;='111'!$O$11,OR($O451=$R$7,$P451=$R$7)),"x","")</f>
        <v/>
      </c>
      <c r="S451" s="66" t="str">
        <f>IF(AND($O451=$R$7,$B451&lt;'111'!$N$11),"x","")</f>
        <v/>
      </c>
      <c r="T451" s="66" t="str">
        <f>IF(AND($P451=$R$7,$B451&lt;'111'!$N$11),"x","")</f>
        <v/>
      </c>
      <c r="U451" s="66" t="str">
        <f>IF(AND($B451&gt;='112'!$M$9,$B451&lt;='112'!$N$9,OR($O451='112'!$I$6,$P451='112'!$I$6)),"x","")</f>
        <v/>
      </c>
      <c r="V451" s="66" t="str">
        <f>IF(AND($O451='112'!$I$6,$B451&lt;'112'!$M$9),"x","")</f>
        <v/>
      </c>
      <c r="W451" s="66" t="str">
        <f>IF(AND($P451='112'!$I$6,$B451&lt;'112'!$M$9),"x","")</f>
        <v/>
      </c>
      <c r="X451" s="66" t="str">
        <f>IF(AND('131-CT'!$H$9=TH!H451,OR(O451="131",P451="131")),"x","")</f>
        <v/>
      </c>
      <c r="Y451" s="80" t="str">
        <f>IF(AND($B451&gt;='1331'!$I$9,$B451&lt;='1331'!$J$9,OR($O451=$Y$7,$P451=$Y$7)),"x","")</f>
        <v/>
      </c>
      <c r="Z451" s="80" t="str">
        <f>IF(AND($O451=$Y$7,$B451&lt;'1331'!$I$9),"x","")</f>
        <v/>
      </c>
      <c r="AA451" s="80" t="str">
        <f>IF(AND($P451=$Y$7,$B451&lt;'1331'!$I$9),"x","")</f>
        <v/>
      </c>
      <c r="AB451" s="80" t="str">
        <f>IF(AND($B451&gt;='1332'!$I$9,$B451&lt;='1332'!$I$9,OR($O451=$AB$7,$P451=$AB$7)),"x","")</f>
        <v/>
      </c>
      <c r="AC451" s="80" t="str">
        <f>IF(AND($O451=$AB$7,$B451&lt;'1332'!$I$9),"x","")</f>
        <v/>
      </c>
      <c r="AD451" s="80" t="str">
        <f>IF(AND($P451=$AB$7,$B451&lt;'1332'!$I$9),"x","")</f>
        <v/>
      </c>
      <c r="AE451" s="80" t="str">
        <f>IF(AND('341-CT'!$H$9=H451,OR(LEFT(O451,3)=$AE$7,LEFT(P451,3)=$AE$7)),"x","")</f>
        <v/>
      </c>
      <c r="AF451" s="80" t="str">
        <f>IF(OR(TH!O451=TH!$AF$7,P451=TH!$AF$7),"x","")</f>
        <v/>
      </c>
      <c r="AG451" s="80"/>
      <c r="AH451" s="80" t="str">
        <f>IF(AND(B451&gt;='IN-NX'!$P$3,B451&lt;='IN-NX'!$Q$3,'IN-NX'!$D$7=D451,OR(LEFT(L451,2)="15",AND(LEFT(M451,2)&lt;&gt;"15",LEFT(M451,2)&lt;&gt;"33"))),"x","")</f>
        <v/>
      </c>
      <c r="AI451" s="80" t="str">
        <f>IF(AND(OR(LEFT(TH!O451,2)="15",LEFT(TH!P451,2)="15"),'152-CT'!$J$8=TH!F451),"x","")</f>
        <v/>
      </c>
      <c r="AJ451" s="80" t="str">
        <f>IF(AND(OR(LEFT(TH!O451,2)="15",LEFT(TH!P451,2)="15"),'THE KHO'!$E$7=TH!F451),"x","")</f>
        <v/>
      </c>
      <c r="AK451" s="80" t="str">
        <f>IF(AND(O451="1521",MONTH(C451)='BK NL'!$M$11),"x","")</f>
        <v/>
      </c>
    </row>
    <row r="452" spans="1:37" ht="15.75" customHeight="1">
      <c r="A452" s="362" t="str">
        <f>IF(B452&lt;&gt;"",IF(AND(B452&gt;=_TM1,B452&lt;=_TM2,OR(TH!O452="1111",TH!P452="1111")),TH!D452,""),"")</f>
        <v/>
      </c>
      <c r="B452" s="77">
        <f t="shared" si="32"/>
        <v>7</v>
      </c>
      <c r="C452" s="1109">
        <v>42552</v>
      </c>
      <c r="D452" s="1109" t="s">
        <v>42</v>
      </c>
      <c r="E452" s="1109">
        <v>42546</v>
      </c>
      <c r="F452" s="1110" t="s">
        <v>1049</v>
      </c>
      <c r="G452" s="1111">
        <v>192565</v>
      </c>
      <c r="H452" s="1112" t="s">
        <v>1050</v>
      </c>
      <c r="I452" s="1113"/>
      <c r="J452" s="1113"/>
      <c r="K452" s="1114"/>
      <c r="L452" s="1113"/>
      <c r="M452" s="1115">
        <v>10471000</v>
      </c>
      <c r="N452" s="1115"/>
      <c r="O452" s="1116" t="s">
        <v>135</v>
      </c>
      <c r="P452" s="1117" t="s">
        <v>97</v>
      </c>
      <c r="Q452" s="66" t="str">
        <f>IF(AND('331-CT'!$E$7=TH!H452,OR(O452="331",P452="331")),"x","")</f>
        <v/>
      </c>
      <c r="R452" s="66" t="str">
        <f>IF(AND($B452&gt;='111'!$N$11,$B452&lt;='111'!$O$11,OR($O452=$R$7,$P452=$R$7)),"x","")</f>
        <v>x</v>
      </c>
      <c r="S452" s="66" t="str">
        <f>IF(AND($O452=$R$7,$B452&lt;'111'!$N$11),"x","")</f>
        <v/>
      </c>
      <c r="T452" s="66" t="str">
        <f>IF(AND($P452=$R$7,$B452&lt;'111'!$N$11),"x","")</f>
        <v/>
      </c>
      <c r="U452" s="66" t="str">
        <f>IF(AND($B452&gt;='112'!$M$9,$B452&lt;='112'!$N$9,OR($O452='112'!$I$6,$P452='112'!$I$6)),"x","")</f>
        <v/>
      </c>
      <c r="V452" s="66" t="str">
        <f>IF(AND($O452='112'!$I$6,$B452&lt;'112'!$M$9),"x","")</f>
        <v/>
      </c>
      <c r="W452" s="66" t="str">
        <f>IF(AND($P452='112'!$I$6,$B452&lt;'112'!$M$9),"x","")</f>
        <v/>
      </c>
      <c r="X452" s="66" t="str">
        <f>IF(AND('131-CT'!$H$9=TH!H452,OR(O452="131",P452="131")),"x","")</f>
        <v/>
      </c>
      <c r="Y452" s="80" t="str">
        <f>IF(AND($B452&gt;='1331'!$I$9,$B452&lt;='1331'!$J$9,OR($O452=$Y$7,$P452=$Y$7)),"x","")</f>
        <v/>
      </c>
      <c r="Z452" s="80" t="str">
        <f>IF(AND($O452=$Y$7,$B452&lt;'1331'!$I$9),"x","")</f>
        <v/>
      </c>
      <c r="AA452" s="80" t="str">
        <f>IF(AND($P452=$Y$7,$B452&lt;'1331'!$I$9),"x","")</f>
        <v/>
      </c>
      <c r="AB452" s="80" t="str">
        <f>IF(AND($B452&gt;='1332'!$I$9,$B452&lt;='1332'!$I$9,OR($O452=$AB$7,$P452=$AB$7)),"x","")</f>
        <v/>
      </c>
      <c r="AC452" s="80" t="str">
        <f>IF(AND($O452=$AB$7,$B452&lt;'1332'!$I$9),"x","")</f>
        <v/>
      </c>
      <c r="AD452" s="80" t="str">
        <f>IF(AND($P452=$AB$7,$B452&lt;'1332'!$I$9),"x","")</f>
        <v/>
      </c>
      <c r="AE452" s="80" t="str">
        <f>IF(AND('341-CT'!$H$9=H452,OR(LEFT(O452,3)=$AE$7,LEFT(P452,3)=$AE$7)),"x","")</f>
        <v/>
      </c>
      <c r="AF452" s="80" t="str">
        <f>IF(OR(TH!O452=TH!$AF$7,P452=TH!$AF$7),"x","")</f>
        <v/>
      </c>
      <c r="AG452" s="80"/>
      <c r="AH452" s="80" t="str">
        <f>IF(AND(B452&gt;='IN-NX'!$P$3,B452&lt;='IN-NX'!$Q$3,'IN-NX'!$D$7=D452,OR(LEFT(L452,2)="15",AND(LEFT(M452,2)&lt;&gt;"15",LEFT(M452,2)&lt;&gt;"33"))),"x","")</f>
        <v/>
      </c>
      <c r="AI452" s="80" t="str">
        <f>IF(AND(OR(LEFT(TH!O452,2)="15",LEFT(TH!P452,2)="15"),'152-CT'!$J$8=TH!F452),"x","")</f>
        <v/>
      </c>
      <c r="AJ452" s="80" t="str">
        <f>IF(AND(OR(LEFT(TH!O452,2)="15",LEFT(TH!P452,2)="15"),'THE KHO'!$E$7=TH!F452),"x","")</f>
        <v/>
      </c>
      <c r="AK452" s="80" t="str">
        <f>IF(AND(O452="1521",MONTH(C452)='BK NL'!$M$11),"x","")</f>
        <v/>
      </c>
    </row>
    <row r="453" spans="1:37" ht="15.75" customHeight="1">
      <c r="A453" s="362" t="str">
        <f>IF(B453&lt;&gt;"",IF(AND(B453&gt;=_TM1,B453&lt;=_TM2,OR(TH!O453="1111",TH!P453="1111")),TH!D453,""),"")</f>
        <v/>
      </c>
      <c r="B453" s="63">
        <f t="shared" si="32"/>
        <v>7</v>
      </c>
      <c r="C453" s="1118">
        <v>42552</v>
      </c>
      <c r="D453" s="1118" t="s">
        <v>42</v>
      </c>
      <c r="E453" s="1118">
        <v>42546</v>
      </c>
      <c r="F453" s="1119" t="s">
        <v>1051</v>
      </c>
      <c r="G453" s="1120">
        <v>192565</v>
      </c>
      <c r="H453" s="1121" t="s">
        <v>1050</v>
      </c>
      <c r="I453" s="1055"/>
      <c r="J453" s="1055"/>
      <c r="K453" s="1056"/>
      <c r="L453" s="1055"/>
      <c r="M453" s="1122">
        <v>523550</v>
      </c>
      <c r="N453" s="1122"/>
      <c r="O453" s="1052" t="s">
        <v>10</v>
      </c>
      <c r="P453" s="1117" t="s">
        <v>97</v>
      </c>
      <c r="Q453" s="66" t="str">
        <f>IF(AND('331-CT'!$E$7=TH!H453,OR(O453="331",P453="331")),"x","")</f>
        <v/>
      </c>
      <c r="R453" s="66" t="str">
        <f>IF(AND($B453&gt;='111'!$N$11,$B453&lt;='111'!$O$11,OR($O453=$R$7,$P453=$R$7)),"x","")</f>
        <v>x</v>
      </c>
      <c r="S453" s="66" t="str">
        <f>IF(AND($O453=$R$7,$B453&lt;'111'!$N$11),"x","")</f>
        <v/>
      </c>
      <c r="T453" s="66" t="str">
        <f>IF(AND($P453=$R$7,$B453&lt;'111'!$N$11),"x","")</f>
        <v/>
      </c>
      <c r="U453" s="66" t="str">
        <f>IF(AND($B453&gt;='112'!$M$9,$B453&lt;='112'!$N$9,OR($O453='112'!$I$6,$P453='112'!$I$6)),"x","")</f>
        <v/>
      </c>
      <c r="V453" s="66" t="str">
        <f>IF(AND($O453='112'!$I$6,$B453&lt;'112'!$M$9),"x","")</f>
        <v/>
      </c>
      <c r="W453" s="66" t="str">
        <f>IF(AND($P453='112'!$I$6,$B453&lt;'112'!$M$9),"x","")</f>
        <v/>
      </c>
      <c r="X453" s="66" t="str">
        <f>IF(AND('131-CT'!$H$9=TH!H453,OR(O453="131",P453="131")),"x","")</f>
        <v/>
      </c>
      <c r="Y453" s="80" t="str">
        <f>IF(AND($B453&gt;='1331'!$I$9,$B453&lt;='1331'!$J$9,OR($O453=$Y$7,$P453=$Y$7)),"x","")</f>
        <v>x</v>
      </c>
      <c r="Z453" s="80" t="str">
        <f>IF(AND($O453=$Y$7,$B453&lt;'1331'!$I$9),"x","")</f>
        <v/>
      </c>
      <c r="AA453" s="80" t="str">
        <f>IF(AND($P453=$Y$7,$B453&lt;'1331'!$I$9),"x","")</f>
        <v/>
      </c>
      <c r="AB453" s="80" t="str">
        <f>IF(AND($B453&gt;='1332'!$I$9,$B453&lt;='1332'!$I$9,OR($O453=$AB$7,$P453=$AB$7)),"x","")</f>
        <v/>
      </c>
      <c r="AC453" s="80" t="str">
        <f>IF(AND($O453=$AB$7,$B453&lt;'1332'!$I$9),"x","")</f>
        <v/>
      </c>
      <c r="AD453" s="80" t="str">
        <f>IF(AND($P453=$AB$7,$B453&lt;'1332'!$I$9),"x","")</f>
        <v/>
      </c>
      <c r="AE453" s="80" t="str">
        <f>IF(AND('341-CT'!$H$9=H453,OR(LEFT(O453,3)=$AE$7,LEFT(P453,3)=$AE$7)),"x","")</f>
        <v/>
      </c>
      <c r="AF453" s="80" t="str">
        <f>IF(OR(TH!O453=TH!$AF$7,P453=TH!$AF$7),"x","")</f>
        <v/>
      </c>
      <c r="AG453" s="80"/>
      <c r="AH453" s="80" t="str">
        <f>IF(AND(B453&gt;='IN-NX'!$P$3,B453&lt;='IN-NX'!$Q$3,'IN-NX'!$D$7=D453,OR(LEFT(L453,2)="15",AND(LEFT(M453,2)&lt;&gt;"15",LEFT(M453,2)&lt;&gt;"33"))),"x","")</f>
        <v/>
      </c>
      <c r="AI453" s="80" t="str">
        <f>IF(AND(OR(LEFT(TH!O453,2)="15",LEFT(TH!P453,2)="15"),'152-CT'!$J$8=TH!F453),"x","")</f>
        <v/>
      </c>
      <c r="AJ453" s="80" t="str">
        <f>IF(AND(OR(LEFT(TH!O453,2)="15",LEFT(TH!P453,2)="15"),'THE KHO'!$E$7=TH!F453),"x","")</f>
        <v/>
      </c>
      <c r="AK453" s="80" t="str">
        <f>IF(AND(O453="1521",MONTH(C453)='BK NL'!$M$11),"x","")</f>
        <v/>
      </c>
    </row>
    <row r="454" spans="1:37" ht="15.75" customHeight="1">
      <c r="A454" s="362" t="str">
        <f>IF(B454&lt;&gt;"",IF(AND(B454&gt;=_TM1,B454&lt;=_TM2,OR(TH!O454="1111",TH!P454="1111")),TH!D454,""),"")</f>
        <v/>
      </c>
      <c r="B454" s="63">
        <f t="shared" si="32"/>
        <v>7</v>
      </c>
      <c r="C454" s="1118">
        <v>42552</v>
      </c>
      <c r="D454" s="1118" t="s">
        <v>53</v>
      </c>
      <c r="E454" s="1118">
        <v>42552</v>
      </c>
      <c r="F454" s="1119" t="s">
        <v>1052</v>
      </c>
      <c r="G454" s="1120" t="s">
        <v>1053</v>
      </c>
      <c r="H454" s="1121" t="s">
        <v>1054</v>
      </c>
      <c r="I454" s="1055"/>
      <c r="J454" s="1055"/>
      <c r="K454" s="1056"/>
      <c r="L454" s="1055"/>
      <c r="M454" s="1122">
        <v>423194</v>
      </c>
      <c r="N454" s="1122"/>
      <c r="O454" s="1052" t="s">
        <v>135</v>
      </c>
      <c r="P454" s="1117" t="s">
        <v>97</v>
      </c>
      <c r="Q454" s="66" t="str">
        <f>IF(AND('331-CT'!$E$7=TH!H454,OR(O454="331",P454="331")),"x","")</f>
        <v/>
      </c>
      <c r="R454" s="66" t="str">
        <f>IF(AND($B454&gt;='111'!$N$11,$B454&lt;='111'!$O$11,OR($O454=$R$7,$P454=$R$7)),"x","")</f>
        <v>x</v>
      </c>
      <c r="S454" s="66" t="str">
        <f>IF(AND($O454=$R$7,$B454&lt;'111'!$N$11),"x","")</f>
        <v/>
      </c>
      <c r="T454" s="66" t="str">
        <f>IF(AND($P454=$R$7,$B454&lt;'111'!$N$11),"x","")</f>
        <v/>
      </c>
      <c r="U454" s="66" t="str">
        <f>IF(AND($B454&gt;='112'!$M$9,$B454&lt;='112'!$N$9,OR($O454='112'!$I$6,$P454='112'!$I$6)),"x","")</f>
        <v/>
      </c>
      <c r="V454" s="66" t="str">
        <f>IF(AND($O454='112'!$I$6,$B454&lt;'112'!$M$9),"x","")</f>
        <v/>
      </c>
      <c r="W454" s="66" t="str">
        <f>IF(AND($P454='112'!$I$6,$B454&lt;'112'!$M$9),"x","")</f>
        <v/>
      </c>
      <c r="X454" s="66" t="str">
        <f>IF(AND('131-CT'!$H$9=TH!H454,OR(O454="131",P454="131")),"x","")</f>
        <v/>
      </c>
      <c r="Y454" s="80" t="str">
        <f>IF(AND($B454&gt;='1331'!$I$9,$B454&lt;='1331'!$J$9,OR($O454=$Y$7,$P454=$Y$7)),"x","")</f>
        <v/>
      </c>
      <c r="Z454" s="80" t="str">
        <f>IF(AND($O454=$Y$7,$B454&lt;'1331'!$I$9),"x","")</f>
        <v/>
      </c>
      <c r="AA454" s="80" t="str">
        <f>IF(AND($P454=$Y$7,$B454&lt;'1331'!$I$9),"x","")</f>
        <v/>
      </c>
      <c r="AB454" s="80" t="str">
        <f>IF(AND($B454&gt;='1332'!$I$9,$B454&lt;='1332'!$I$9,OR($O454=$AB$7,$P454=$AB$7)),"x","")</f>
        <v/>
      </c>
      <c r="AC454" s="80" t="str">
        <f>IF(AND($O454=$AB$7,$B454&lt;'1332'!$I$9),"x","")</f>
        <v/>
      </c>
      <c r="AD454" s="80" t="str">
        <f>IF(AND($P454=$AB$7,$B454&lt;'1332'!$I$9),"x","")</f>
        <v/>
      </c>
      <c r="AE454" s="80" t="str">
        <f>IF(AND('341-CT'!$H$9=H454,OR(LEFT(O454,3)=$AE$7,LEFT(P454,3)=$AE$7)),"x","")</f>
        <v/>
      </c>
      <c r="AF454" s="80" t="str">
        <f>IF(OR(TH!O454=TH!$AF$7,P454=TH!$AF$7),"x","")</f>
        <v/>
      </c>
      <c r="AG454" s="80"/>
      <c r="AH454" s="80" t="str">
        <f>IF(AND(B454&gt;='IN-NX'!$P$3,B454&lt;='IN-NX'!$Q$3,'IN-NX'!$D$7=D454,OR(LEFT(L454,2)="15",AND(LEFT(M454,2)&lt;&gt;"15",LEFT(M454,2)&lt;&gt;"33"))),"x","")</f>
        <v/>
      </c>
      <c r="AI454" s="80" t="str">
        <f>IF(AND(OR(LEFT(TH!O454,2)="15",LEFT(TH!P454,2)="15"),'152-CT'!$J$8=TH!F454),"x","")</f>
        <v/>
      </c>
      <c r="AJ454" s="80" t="str">
        <f>IF(AND(OR(LEFT(TH!O454,2)="15",LEFT(TH!P454,2)="15"),'THE KHO'!$E$7=TH!F454),"x","")</f>
        <v/>
      </c>
      <c r="AK454" s="80" t="str">
        <f>IF(AND(O454="1521",MONTH(C454)='BK NL'!$M$11),"x","")</f>
        <v/>
      </c>
    </row>
    <row r="455" spans="1:37" ht="15.75" customHeight="1">
      <c r="A455" s="362" t="str">
        <f>IF(B455&lt;&gt;"",IF(AND(B455&gt;=_TM1,B455&lt;=_TM2,OR(TH!O455="1111",TH!P455="1111")),TH!D455,""),"")</f>
        <v/>
      </c>
      <c r="B455" s="63">
        <f t="shared" si="32"/>
        <v>7</v>
      </c>
      <c r="C455" s="1118">
        <v>42552</v>
      </c>
      <c r="D455" s="1118" t="s">
        <v>53</v>
      </c>
      <c r="E455" s="1118">
        <v>42552</v>
      </c>
      <c r="F455" s="1119" t="s">
        <v>1055</v>
      </c>
      <c r="G455" s="1120" t="s">
        <v>1053</v>
      </c>
      <c r="H455" s="1121" t="s">
        <v>1054</v>
      </c>
      <c r="I455" s="1123"/>
      <c r="J455" s="1123"/>
      <c r="K455" s="1124"/>
      <c r="L455" s="1123"/>
      <c r="M455" s="1122">
        <v>42319</v>
      </c>
      <c r="N455" s="1122"/>
      <c r="O455" s="1125" t="s">
        <v>10</v>
      </c>
      <c r="P455" s="1117" t="s">
        <v>97</v>
      </c>
      <c r="Q455" s="66" t="str">
        <f>IF(AND('331-CT'!$E$7=TH!H455,OR(O455="331",P455="331")),"x","")</f>
        <v/>
      </c>
      <c r="R455" s="66" t="str">
        <f>IF(AND($B455&gt;='111'!$N$11,$B455&lt;='111'!$O$11,OR($O455=$R$7,$P455=$R$7)),"x","")</f>
        <v>x</v>
      </c>
      <c r="S455" s="66" t="str">
        <f>IF(AND($O455=$R$7,$B455&lt;'111'!$N$11),"x","")</f>
        <v/>
      </c>
      <c r="T455" s="66" t="str">
        <f>IF(AND($P455=$R$7,$B455&lt;'111'!$N$11),"x","")</f>
        <v/>
      </c>
      <c r="U455" s="66" t="str">
        <f>IF(AND($B455&gt;='112'!$M$9,$B455&lt;='112'!$N$9,OR($O455='112'!$I$6,$P455='112'!$I$6)),"x","")</f>
        <v/>
      </c>
      <c r="V455" s="66" t="str">
        <f>IF(AND($O455='112'!$I$6,$B455&lt;'112'!$M$9),"x","")</f>
        <v/>
      </c>
      <c r="W455" s="66" t="str">
        <f>IF(AND($P455='112'!$I$6,$B455&lt;'112'!$M$9),"x","")</f>
        <v/>
      </c>
      <c r="X455" s="66" t="str">
        <f>IF(AND('131-CT'!$H$9=TH!H455,OR(O455="131",P455="131")),"x","")</f>
        <v/>
      </c>
      <c r="Y455" s="80" t="str">
        <f>IF(AND($B455&gt;='1331'!$I$9,$B455&lt;='1331'!$J$9,OR($O455=$Y$7,$P455=$Y$7)),"x","")</f>
        <v>x</v>
      </c>
      <c r="Z455" s="80" t="str">
        <f>IF(AND($O455=$Y$7,$B455&lt;'1331'!$I$9),"x","")</f>
        <v/>
      </c>
      <c r="AA455" s="80" t="str">
        <f>IF(AND($P455=$Y$7,$B455&lt;'1331'!$I$9),"x","")</f>
        <v/>
      </c>
      <c r="AB455" s="80" t="str">
        <f>IF(AND($B455&gt;='1332'!$I$9,$B455&lt;='1332'!$I$9,OR($O455=$AB$7,$P455=$AB$7)),"x","")</f>
        <v/>
      </c>
      <c r="AC455" s="80" t="str">
        <f>IF(AND($O455=$AB$7,$B455&lt;'1332'!$I$9),"x","")</f>
        <v/>
      </c>
      <c r="AD455" s="80" t="str">
        <f>IF(AND($P455=$AB$7,$B455&lt;'1332'!$I$9),"x","")</f>
        <v/>
      </c>
      <c r="AE455" s="80" t="str">
        <f>IF(AND('341-CT'!$H$9=H455,OR(LEFT(O455,3)=$AE$7,LEFT(P455,3)=$AE$7)),"x","")</f>
        <v/>
      </c>
      <c r="AF455" s="80" t="str">
        <f>IF(OR(TH!O455=TH!$AF$7,P455=TH!$AF$7),"x","")</f>
        <v/>
      </c>
      <c r="AG455" s="80"/>
      <c r="AH455" s="80" t="str">
        <f>IF(AND(B455&gt;='IN-NX'!$P$3,B455&lt;='IN-NX'!$Q$3,'IN-NX'!$D$7=D455,OR(LEFT(L455,2)="15",AND(LEFT(M455,2)&lt;&gt;"15",LEFT(M455,2)&lt;&gt;"33"))),"x","")</f>
        <v/>
      </c>
      <c r="AI455" s="80" t="str">
        <f>IF(AND(OR(LEFT(TH!O455,2)="15",LEFT(TH!P455,2)="15"),'152-CT'!$J$8=TH!F455),"x","")</f>
        <v/>
      </c>
      <c r="AJ455" s="80" t="str">
        <f>IF(AND(OR(LEFT(TH!O455,2)="15",LEFT(TH!P455,2)="15"),'THE KHO'!$E$7=TH!F455),"x","")</f>
        <v/>
      </c>
      <c r="AK455" s="80" t="str">
        <f>IF(AND(O455="1521",MONTH(C455)='BK NL'!$M$11),"x","")</f>
        <v/>
      </c>
    </row>
    <row r="456" spans="1:37" ht="15.75" customHeight="1">
      <c r="A456" s="362" t="str">
        <f>IF(B456&lt;&gt;"",IF(AND(B456&gt;=_TM1,B456&lt;=_TM2,OR(TH!O456="1111",TH!P456="1111")),TH!D456,""),"")</f>
        <v/>
      </c>
      <c r="B456" s="63">
        <f t="shared" si="32"/>
        <v>7</v>
      </c>
      <c r="C456" s="1118">
        <v>42552</v>
      </c>
      <c r="D456" s="1118" t="s">
        <v>54</v>
      </c>
      <c r="E456" s="1118">
        <v>42552</v>
      </c>
      <c r="F456" s="1119" t="s">
        <v>1056</v>
      </c>
      <c r="G456" s="1120" t="s">
        <v>1057</v>
      </c>
      <c r="H456" s="1121" t="s">
        <v>1058</v>
      </c>
      <c r="I456" s="1055">
        <v>100</v>
      </c>
      <c r="J456" s="1055">
        <v>170000</v>
      </c>
      <c r="K456" s="1056"/>
      <c r="L456" s="1055"/>
      <c r="M456" s="1122">
        <v>17000000</v>
      </c>
      <c r="N456" s="1122"/>
      <c r="O456" s="1052" t="s">
        <v>135</v>
      </c>
      <c r="P456" s="1117" t="s">
        <v>97</v>
      </c>
      <c r="Q456" s="66" t="str">
        <f>IF(AND('331-CT'!$E$7=TH!H456,OR(O456="331",P456="331")),"x","")</f>
        <v/>
      </c>
      <c r="R456" s="66" t="str">
        <f>IF(AND($B456&gt;='111'!$N$11,$B456&lt;='111'!$O$11,OR($O456=$R$7,$P456=$R$7)),"x","")</f>
        <v>x</v>
      </c>
      <c r="S456" s="66" t="str">
        <f>IF(AND($O456=$R$7,$B456&lt;'111'!$N$11),"x","")</f>
        <v/>
      </c>
      <c r="T456" s="66" t="str">
        <f>IF(AND($P456=$R$7,$B456&lt;'111'!$N$11),"x","")</f>
        <v/>
      </c>
      <c r="U456" s="66" t="str">
        <f>IF(AND($B456&gt;='112'!$M$9,$B456&lt;='112'!$N$9,OR($O456='112'!$I$6,$P456='112'!$I$6)),"x","")</f>
        <v/>
      </c>
      <c r="V456" s="66" t="str">
        <f>IF(AND($O456='112'!$I$6,$B456&lt;'112'!$M$9),"x","")</f>
        <v/>
      </c>
      <c r="W456" s="66" t="str">
        <f>IF(AND($P456='112'!$I$6,$B456&lt;'112'!$M$9),"x","")</f>
        <v/>
      </c>
      <c r="X456" s="66" t="str">
        <f>IF(AND('131-CT'!$H$9=TH!H456,OR(O456="131",P456="131")),"x","")</f>
        <v/>
      </c>
      <c r="Y456" s="80" t="str">
        <f>IF(AND($B456&gt;='1331'!$I$9,$B456&lt;='1331'!$J$9,OR($O456=$Y$7,$P456=$Y$7)),"x","")</f>
        <v/>
      </c>
      <c r="Z456" s="80" t="str">
        <f>IF(AND($O456=$Y$7,$B456&lt;'1331'!$I$9),"x","")</f>
        <v/>
      </c>
      <c r="AA456" s="80" t="str">
        <f>IF(AND($P456=$Y$7,$B456&lt;'1331'!$I$9),"x","")</f>
        <v/>
      </c>
      <c r="AB456" s="80" t="str">
        <f>IF(AND($B456&gt;='1332'!$I$9,$B456&lt;='1332'!$I$9,OR($O456=$AB$7,$P456=$AB$7)),"x","")</f>
        <v/>
      </c>
      <c r="AC456" s="80" t="str">
        <f>IF(AND($O456=$AB$7,$B456&lt;'1332'!$I$9),"x","")</f>
        <v/>
      </c>
      <c r="AD456" s="80" t="str">
        <f>IF(AND($P456=$AB$7,$B456&lt;'1332'!$I$9),"x","")</f>
        <v/>
      </c>
      <c r="AE456" s="80" t="str">
        <f>IF(AND('341-CT'!$H$9=H456,OR(LEFT(O456,3)=$AE$7,LEFT(P456,3)=$AE$7)),"x","")</f>
        <v/>
      </c>
      <c r="AF456" s="80" t="str">
        <f>IF(OR(TH!O456=TH!$AF$7,P456=TH!$AF$7),"x","")</f>
        <v/>
      </c>
      <c r="AG456" s="80"/>
      <c r="AH456" s="80" t="str">
        <f>IF(AND(B456&gt;='IN-NX'!$P$3,B456&lt;='IN-NX'!$Q$3,'IN-NX'!$D$7=D456,OR(LEFT(L456,2)="15",AND(LEFT(M456,2)&lt;&gt;"15",LEFT(M456,2)&lt;&gt;"33"))),"x","")</f>
        <v/>
      </c>
      <c r="AI456" s="80" t="str">
        <f>IF(AND(OR(LEFT(TH!O456,2)="15",LEFT(TH!P456,2)="15"),'152-CT'!$J$8=TH!F456),"x","")</f>
        <v/>
      </c>
      <c r="AJ456" s="80" t="str">
        <f>IF(AND(OR(LEFT(TH!O456,2)="15",LEFT(TH!P456,2)="15"),'THE KHO'!$E$7=TH!F456),"x","")</f>
        <v/>
      </c>
      <c r="AK456" s="80" t="str">
        <f>IF(AND(O456="1521",MONTH(C456)='BK NL'!$M$11),"x","")</f>
        <v/>
      </c>
    </row>
    <row r="457" spans="1:37" ht="15.75" customHeight="1">
      <c r="A457" s="362" t="str">
        <f>IF(B457&lt;&gt;"",IF(AND(B457&gt;=_TM1,B457&lt;=_TM2,OR(TH!O457="1111",TH!P457="1111")),TH!D457,""),"")</f>
        <v/>
      </c>
      <c r="B457" s="63">
        <f t="shared" si="32"/>
        <v>7</v>
      </c>
      <c r="C457" s="1118">
        <v>42552</v>
      </c>
      <c r="D457" s="1118" t="s">
        <v>54</v>
      </c>
      <c r="E457" s="1118">
        <v>42552</v>
      </c>
      <c r="F457" s="1119" t="s">
        <v>1059</v>
      </c>
      <c r="G457" s="1120" t="s">
        <v>1057</v>
      </c>
      <c r="H457" s="1121" t="s">
        <v>1058</v>
      </c>
      <c r="I457" s="1055"/>
      <c r="J457" s="1055"/>
      <c r="K457" s="1056"/>
      <c r="L457" s="1055"/>
      <c r="M457" s="1122">
        <v>1700000</v>
      </c>
      <c r="N457" s="1122"/>
      <c r="O457" s="1125" t="s">
        <v>10</v>
      </c>
      <c r="P457" s="1117" t="s">
        <v>97</v>
      </c>
      <c r="Q457" s="66" t="str">
        <f>IF(AND('331-CT'!$E$7=TH!H457,OR(O457="331",P457="331")),"x","")</f>
        <v/>
      </c>
      <c r="R457" s="66" t="str">
        <f>IF(AND($B457&gt;='111'!$N$11,$B457&lt;='111'!$O$11,OR($O457=$R$7,$P457=$R$7)),"x","")</f>
        <v>x</v>
      </c>
      <c r="S457" s="66" t="str">
        <f>IF(AND($O457=$R$7,$B457&lt;'111'!$N$11),"x","")</f>
        <v/>
      </c>
      <c r="T457" s="66" t="str">
        <f>IF(AND($P457=$R$7,$B457&lt;'111'!$N$11),"x","")</f>
        <v/>
      </c>
      <c r="U457" s="66" t="str">
        <f>IF(AND($B457&gt;='112'!$M$9,$B457&lt;='112'!$N$9,OR($O457='112'!$I$6,$P457='112'!$I$6)),"x","")</f>
        <v/>
      </c>
      <c r="V457" s="66" t="str">
        <f>IF(AND($O457='112'!$I$6,$B457&lt;'112'!$M$9),"x","")</f>
        <v/>
      </c>
      <c r="W457" s="66" t="str">
        <f>IF(AND($P457='112'!$I$6,$B457&lt;'112'!$M$9),"x","")</f>
        <v/>
      </c>
      <c r="X457" s="66" t="str">
        <f>IF(AND('131-CT'!$H$9=TH!H457,OR(O457="131",P457="131")),"x","")</f>
        <v/>
      </c>
      <c r="Y457" s="80" t="str">
        <f>IF(AND($B457&gt;='1331'!$I$9,$B457&lt;='1331'!$J$9,OR($O457=$Y$7,$P457=$Y$7)),"x","")</f>
        <v>x</v>
      </c>
      <c r="Z457" s="80" t="str">
        <f>IF(AND($O457=$Y$7,$B457&lt;'1331'!$I$9),"x","")</f>
        <v/>
      </c>
      <c r="AA457" s="80" t="str">
        <f>IF(AND($P457=$Y$7,$B457&lt;'1331'!$I$9),"x","")</f>
        <v/>
      </c>
      <c r="AB457" s="80" t="str">
        <f>IF(AND($B457&gt;='1332'!$I$9,$B457&lt;='1332'!$I$9,OR($O457=$AB$7,$P457=$AB$7)),"x","")</f>
        <v/>
      </c>
      <c r="AC457" s="80" t="str">
        <f>IF(AND($O457=$AB$7,$B457&lt;'1332'!$I$9),"x","")</f>
        <v/>
      </c>
      <c r="AD457" s="80" t="str">
        <f>IF(AND($P457=$AB$7,$B457&lt;'1332'!$I$9),"x","")</f>
        <v/>
      </c>
      <c r="AE457" s="80" t="str">
        <f>IF(AND('341-CT'!$H$9=H457,OR(LEFT(O457,3)=$AE$7,LEFT(P457,3)=$AE$7)),"x","")</f>
        <v/>
      </c>
      <c r="AF457" s="80" t="str">
        <f>IF(OR(TH!O457=TH!$AF$7,P457=TH!$AF$7),"x","")</f>
        <v/>
      </c>
      <c r="AG457" s="80"/>
      <c r="AH457" s="80" t="str">
        <f>IF(AND(B457&gt;='IN-NX'!$P$3,B457&lt;='IN-NX'!$Q$3,'IN-NX'!$D$7=D457,OR(LEFT(L457,2)="15",AND(LEFT(M457,2)&lt;&gt;"15",LEFT(M457,2)&lt;&gt;"33"))),"x","")</f>
        <v/>
      </c>
      <c r="AI457" s="80" t="str">
        <f>IF(AND(OR(LEFT(TH!O457,2)="15",LEFT(TH!P457,2)="15"),'152-CT'!$J$8=TH!F457),"x","")</f>
        <v/>
      </c>
      <c r="AJ457" s="80" t="str">
        <f>IF(AND(OR(LEFT(TH!O457,2)="15",LEFT(TH!P457,2)="15"),'THE KHO'!$E$7=TH!F457),"x","")</f>
        <v/>
      </c>
      <c r="AK457" s="80" t="str">
        <f>IF(AND(O457="1521",MONTH(C457)='BK NL'!$M$11),"x","")</f>
        <v/>
      </c>
    </row>
    <row r="458" spans="1:37" ht="15.75" customHeight="1">
      <c r="A458" s="362" t="str">
        <f>IF(B458&lt;&gt;"",IF(AND(B458&gt;=_TM1,B458&lt;=_TM2,OR(TH!O458="1111",TH!P458="1111")),TH!D458,""),"")</f>
        <v/>
      </c>
      <c r="B458" s="63">
        <f t="shared" si="32"/>
        <v>7</v>
      </c>
      <c r="C458" s="1045">
        <f>E458</f>
        <v>42552</v>
      </c>
      <c r="D458" s="1045" t="s">
        <v>8</v>
      </c>
      <c r="E458" s="1045">
        <v>42552</v>
      </c>
      <c r="F458" s="1046" t="s">
        <v>1060</v>
      </c>
      <c r="G458" s="1053"/>
      <c r="H458" s="1048"/>
      <c r="I458" s="1049"/>
      <c r="J458" s="1049"/>
      <c r="K458" s="1050"/>
      <c r="L458" s="1049"/>
      <c r="M458" s="1051">
        <v>100000</v>
      </c>
      <c r="N458" s="1051"/>
      <c r="O458" s="1052" t="s">
        <v>135</v>
      </c>
      <c r="P458" s="1052" t="s">
        <v>31</v>
      </c>
      <c r="Q458" s="66" t="str">
        <f>IF(AND('331-CT'!$E$7=TH!H458,OR(O458="331",P458="331")),"x","")</f>
        <v/>
      </c>
      <c r="R458" s="66" t="str">
        <f>IF(AND($B458&gt;='111'!$N$11,$B458&lt;='111'!$O$11,OR($O458=$R$7,$P458=$R$7)),"x","")</f>
        <v/>
      </c>
      <c r="S458" s="66" t="str">
        <f>IF(AND($O458=$R$7,$B458&lt;'111'!$N$11),"x","")</f>
        <v/>
      </c>
      <c r="T458" s="66" t="str">
        <f>IF(AND($P458=$R$7,$B458&lt;'111'!$N$11),"x","")</f>
        <v/>
      </c>
      <c r="U458" s="66" t="str">
        <f>IF(AND($B458&gt;='112'!$M$9,$B458&lt;='112'!$N$9,OR($O458='112'!$I$6,$P458='112'!$I$6)),"x","")</f>
        <v>x</v>
      </c>
      <c r="V458" s="66" t="str">
        <f>IF(AND($O458='112'!$I$6,$B458&lt;'112'!$M$9),"x","")</f>
        <v/>
      </c>
      <c r="W458" s="66" t="str">
        <f>IF(AND($P458='112'!$I$6,$B458&lt;'112'!$M$9),"x","")</f>
        <v/>
      </c>
      <c r="X458" s="66" t="str">
        <f>IF(AND('131-CT'!$H$9=TH!H458,OR(O458="131",P458="131")),"x","")</f>
        <v/>
      </c>
      <c r="Y458" s="80" t="str">
        <f>IF(AND($B458&gt;='1331'!$I$9,$B458&lt;='1331'!$J$9,OR($O458=$Y$7,$P458=$Y$7)),"x","")</f>
        <v/>
      </c>
      <c r="Z458" s="80" t="str">
        <f>IF(AND($O458=$Y$7,$B458&lt;'1331'!$I$9),"x","")</f>
        <v/>
      </c>
      <c r="AA458" s="80" t="str">
        <f>IF(AND($P458=$Y$7,$B458&lt;'1331'!$I$9),"x","")</f>
        <v/>
      </c>
      <c r="AB458" s="80" t="str">
        <f>IF(AND($B458&gt;='1332'!$I$9,$B458&lt;='1332'!$I$9,OR($O458=$AB$7,$P458=$AB$7)),"x","")</f>
        <v/>
      </c>
      <c r="AC458" s="80" t="str">
        <f>IF(AND($O458=$AB$7,$B458&lt;'1332'!$I$9),"x","")</f>
        <v/>
      </c>
      <c r="AD458" s="80" t="str">
        <f>IF(AND($P458=$AB$7,$B458&lt;'1332'!$I$9),"x","")</f>
        <v/>
      </c>
      <c r="AE458" s="80" t="str">
        <f>IF(AND('341-CT'!$H$9=H458,OR(LEFT(O458,3)=$AE$7,LEFT(P458,3)=$AE$7)),"x","")</f>
        <v/>
      </c>
      <c r="AF458" s="80" t="str">
        <f>IF(OR(TH!O458=TH!$AF$7,P458=TH!$AF$7),"x","")</f>
        <v/>
      </c>
      <c r="AG458" s="80"/>
      <c r="AH458" s="80" t="str">
        <f>IF(AND(B458&gt;='IN-NX'!$P$3,B458&lt;='IN-NX'!$Q$3,'IN-NX'!$D$7=D458,OR(LEFT(L458,2)="15",AND(LEFT(M458,2)&lt;&gt;"15",LEFT(M458,2)&lt;&gt;"33"))),"x","")</f>
        <v/>
      </c>
      <c r="AI458" s="80" t="str">
        <f>IF(AND(OR(LEFT(TH!O458,2)="15",LEFT(TH!P458,2)="15"),'152-CT'!$J$8=TH!F458),"x","")</f>
        <v/>
      </c>
      <c r="AJ458" s="80" t="str">
        <f>IF(AND(OR(LEFT(TH!O458,2)="15",LEFT(TH!P458,2)="15"),'THE KHO'!$E$7=TH!F458),"x","")</f>
        <v/>
      </c>
      <c r="AK458" s="80" t="str">
        <f>IF(AND(O458="1521",MONTH(C458)='BK NL'!$M$11),"x","")</f>
        <v/>
      </c>
    </row>
    <row r="459" spans="1:37" ht="15.75" customHeight="1">
      <c r="A459" s="362" t="str">
        <f>IF(B459&lt;&gt;"",IF(AND(B459&gt;=_TM1,B459&lt;=_TM2,OR(TH!O459="1111",TH!P459="1111")),TH!D459,""),"")</f>
        <v/>
      </c>
      <c r="B459" s="63">
        <f t="shared" si="32"/>
        <v>7</v>
      </c>
      <c r="C459" s="1045">
        <f>E459</f>
        <v>42552</v>
      </c>
      <c r="D459" s="1045" t="s">
        <v>8</v>
      </c>
      <c r="E459" s="1045">
        <v>42552</v>
      </c>
      <c r="F459" s="1046" t="s">
        <v>1061</v>
      </c>
      <c r="G459" s="1053"/>
      <c r="H459" s="1048"/>
      <c r="I459" s="1049"/>
      <c r="J459" s="1049"/>
      <c r="K459" s="1050"/>
      <c r="L459" s="1049"/>
      <c r="M459" s="1051">
        <v>10000</v>
      </c>
      <c r="N459" s="1051"/>
      <c r="O459" s="1052" t="s">
        <v>10</v>
      </c>
      <c r="P459" s="1052" t="s">
        <v>31</v>
      </c>
      <c r="Q459" s="66" t="str">
        <f>IF(AND('331-CT'!$E$7=TH!H459,OR(O459="331",P459="331")),"x","")</f>
        <v/>
      </c>
      <c r="R459" s="66" t="str">
        <f>IF(AND($B459&gt;='111'!$N$11,$B459&lt;='111'!$O$11,OR($O459=$R$7,$P459=$R$7)),"x","")</f>
        <v/>
      </c>
      <c r="S459" s="66" t="str">
        <f>IF(AND($O459=$R$7,$B459&lt;'111'!$N$11),"x","")</f>
        <v/>
      </c>
      <c r="T459" s="66" t="str">
        <f>IF(AND($P459=$R$7,$B459&lt;'111'!$N$11),"x","")</f>
        <v/>
      </c>
      <c r="U459" s="66" t="str">
        <f>IF(AND($B459&gt;='112'!$M$9,$B459&lt;='112'!$N$9,OR($O459='112'!$I$6,$P459='112'!$I$6)),"x","")</f>
        <v>x</v>
      </c>
      <c r="V459" s="66" t="str">
        <f>IF(AND($O459='112'!$I$6,$B459&lt;'112'!$M$9),"x","")</f>
        <v/>
      </c>
      <c r="W459" s="66" t="str">
        <f>IF(AND($P459='112'!$I$6,$B459&lt;'112'!$M$9),"x","")</f>
        <v/>
      </c>
      <c r="X459" s="66" t="str">
        <f>IF(AND('131-CT'!$H$9=TH!H459,OR(O459="131",P459="131")),"x","")</f>
        <v/>
      </c>
      <c r="Y459" s="80" t="str">
        <f>IF(AND($B459&gt;='1331'!$I$9,$B459&lt;='1331'!$J$9,OR($O459=$Y$7,$P459=$Y$7)),"x","")</f>
        <v>x</v>
      </c>
      <c r="Z459" s="80" t="str">
        <f>IF(AND($O459=$Y$7,$B459&lt;'1331'!$I$9),"x","")</f>
        <v/>
      </c>
      <c r="AA459" s="80" t="str">
        <f>IF(AND($P459=$Y$7,$B459&lt;'1331'!$I$9),"x","")</f>
        <v/>
      </c>
      <c r="AB459" s="80" t="str">
        <f>IF(AND($B459&gt;='1332'!$I$9,$B459&lt;='1332'!$I$9,OR($O459=$AB$7,$P459=$AB$7)),"x","")</f>
        <v/>
      </c>
      <c r="AC459" s="80" t="str">
        <f>IF(AND($O459=$AB$7,$B459&lt;'1332'!$I$9),"x","")</f>
        <v/>
      </c>
      <c r="AD459" s="80" t="str">
        <f>IF(AND($P459=$AB$7,$B459&lt;'1332'!$I$9),"x","")</f>
        <v/>
      </c>
      <c r="AE459" s="80" t="str">
        <f>IF(AND('341-CT'!$H$9=H459,OR(LEFT(O459,3)=$AE$7,LEFT(P459,3)=$AE$7)),"x","")</f>
        <v/>
      </c>
      <c r="AF459" s="80" t="str">
        <f>IF(OR(TH!O459=TH!$AF$7,P459=TH!$AF$7),"x","")</f>
        <v/>
      </c>
      <c r="AG459" s="80"/>
      <c r="AH459" s="80" t="str">
        <f>IF(AND(B459&gt;='IN-NX'!$P$3,B459&lt;='IN-NX'!$Q$3,'IN-NX'!$D$7=D459,OR(LEFT(L459,2)="15",AND(LEFT(M459,2)&lt;&gt;"15",LEFT(M459,2)&lt;&gt;"33"))),"x","")</f>
        <v/>
      </c>
      <c r="AI459" s="80" t="str">
        <f>IF(AND(OR(LEFT(TH!O459,2)="15",LEFT(TH!P459,2)="15"),'152-CT'!$J$8=TH!F459),"x","")</f>
        <v/>
      </c>
      <c r="AJ459" s="80" t="str">
        <f>IF(AND(OR(LEFT(TH!O459,2)="15",LEFT(TH!P459,2)="15"),'THE KHO'!$E$7=TH!F459),"x","")</f>
        <v/>
      </c>
      <c r="AK459" s="80" t="str">
        <f>IF(AND(O459="1521",MONTH(C459)='BK NL'!$M$11),"x","")</f>
        <v/>
      </c>
    </row>
    <row r="460" spans="1:37" ht="15.75" customHeight="1">
      <c r="A460" s="362" t="str">
        <f>IF(B460&lt;&gt;"",IF(AND(B460&gt;=_TM1,B460&lt;=_TM2,OR(TH!O460="1111",TH!P460="1111")),TH!D460,""),"")</f>
        <v/>
      </c>
      <c r="B460" s="63">
        <f t="shared" si="32"/>
        <v>7</v>
      </c>
      <c r="C460" s="1118">
        <v>42555</v>
      </c>
      <c r="D460" s="1118" t="s">
        <v>41</v>
      </c>
      <c r="E460" s="1118">
        <v>42555</v>
      </c>
      <c r="F460" s="1119" t="s">
        <v>1062</v>
      </c>
      <c r="G460" s="1120" t="s">
        <v>1063</v>
      </c>
      <c r="H460" s="1121" t="s">
        <v>1064</v>
      </c>
      <c r="I460" s="1055"/>
      <c r="J460" s="1055"/>
      <c r="K460" s="1056"/>
      <c r="L460" s="1055"/>
      <c r="M460" s="1122">
        <v>6279273</v>
      </c>
      <c r="N460" s="1122"/>
      <c r="O460" s="1052" t="s">
        <v>135</v>
      </c>
      <c r="P460" s="1117" t="s">
        <v>97</v>
      </c>
      <c r="Q460" s="66" t="str">
        <f>IF(AND('331-CT'!$E$7=TH!H460,OR(O460="331",P460="331")),"x","")</f>
        <v/>
      </c>
      <c r="R460" s="66" t="str">
        <f>IF(AND($B460&gt;='111'!$N$11,$B460&lt;='111'!$O$11,OR($O460=$R$7,$P460=$R$7)),"x","")</f>
        <v>x</v>
      </c>
      <c r="S460" s="66" t="str">
        <f>IF(AND($O460=$R$7,$B460&lt;'111'!$N$11),"x","")</f>
        <v/>
      </c>
      <c r="T460" s="66" t="str">
        <f>IF(AND($P460=$R$7,$B460&lt;'111'!$N$11),"x","")</f>
        <v/>
      </c>
      <c r="U460" s="66" t="str">
        <f>IF(AND($B460&gt;='112'!$M$9,$B460&lt;='112'!$N$9,OR($O460='112'!$I$6,$P460='112'!$I$6)),"x","")</f>
        <v/>
      </c>
      <c r="V460" s="66" t="str">
        <f>IF(AND($O460='112'!$I$6,$B460&lt;'112'!$M$9),"x","")</f>
        <v/>
      </c>
      <c r="W460" s="66" t="str">
        <f>IF(AND($P460='112'!$I$6,$B460&lt;'112'!$M$9),"x","")</f>
        <v/>
      </c>
      <c r="X460" s="66" t="str">
        <f>IF(AND('131-CT'!$H$9=TH!H460,OR(O460="131",P460="131")),"x","")</f>
        <v/>
      </c>
      <c r="Y460" s="80" t="str">
        <f>IF(AND($B460&gt;='1331'!$I$9,$B460&lt;='1331'!$J$9,OR($O460=$Y$7,$P460=$Y$7)),"x","")</f>
        <v/>
      </c>
      <c r="Z460" s="80" t="str">
        <f>IF(AND($O460=$Y$7,$B460&lt;'1331'!$I$9),"x","")</f>
        <v/>
      </c>
      <c r="AA460" s="80" t="str">
        <f>IF(AND($P460=$Y$7,$B460&lt;'1331'!$I$9),"x","")</f>
        <v/>
      </c>
      <c r="AB460" s="80" t="str">
        <f>IF(AND($B460&gt;='1332'!$I$9,$B460&lt;='1332'!$I$9,OR($O460=$AB$7,$P460=$AB$7)),"x","")</f>
        <v/>
      </c>
      <c r="AC460" s="80" t="str">
        <f>IF(AND($O460=$AB$7,$B460&lt;'1332'!$I$9),"x","")</f>
        <v/>
      </c>
      <c r="AD460" s="80" t="str">
        <f>IF(AND($P460=$AB$7,$B460&lt;'1332'!$I$9),"x","")</f>
        <v/>
      </c>
      <c r="AE460" s="80" t="str">
        <f>IF(AND('341-CT'!$H$9=H460,OR(LEFT(O460,3)=$AE$7,LEFT(P460,3)=$AE$7)),"x","")</f>
        <v/>
      </c>
      <c r="AF460" s="80" t="str">
        <f>IF(OR(TH!O460=TH!$AF$7,P460=TH!$AF$7),"x","")</f>
        <v/>
      </c>
      <c r="AG460" s="80"/>
      <c r="AH460" s="80" t="str">
        <f>IF(AND(B460&gt;='IN-NX'!$P$3,B460&lt;='IN-NX'!$Q$3,'IN-NX'!$D$7=D460,OR(LEFT(L460,2)="15",AND(LEFT(M460,2)&lt;&gt;"15",LEFT(M460,2)&lt;&gt;"33"))),"x","")</f>
        <v/>
      </c>
      <c r="AI460" s="80" t="str">
        <f>IF(AND(OR(LEFT(TH!O460,2)="15",LEFT(TH!P460,2)="15"),'152-CT'!$J$8=TH!F460),"x","")</f>
        <v/>
      </c>
      <c r="AJ460" s="80" t="str">
        <f>IF(AND(OR(LEFT(TH!O460,2)="15",LEFT(TH!P460,2)="15"),'THE KHO'!$E$7=TH!F460),"x","")</f>
        <v/>
      </c>
      <c r="AK460" s="80" t="str">
        <f>IF(AND(O460="1521",MONTH(C460)='BK NL'!$M$11),"x","")</f>
        <v/>
      </c>
    </row>
    <row r="461" spans="1:37" ht="15.75" customHeight="1">
      <c r="A461" s="362" t="str">
        <f>IF(B461&lt;&gt;"",IF(AND(B461&gt;=_TM1,B461&lt;=_TM2,OR(TH!O461="1111",TH!P461="1111")),TH!D461,""),"")</f>
        <v/>
      </c>
      <c r="B461" s="63">
        <f t="shared" si="32"/>
        <v>7</v>
      </c>
      <c r="C461" s="1118">
        <v>42555</v>
      </c>
      <c r="D461" s="1118" t="s">
        <v>41</v>
      </c>
      <c r="E461" s="1118">
        <v>42555</v>
      </c>
      <c r="F461" s="1119" t="s">
        <v>1065</v>
      </c>
      <c r="G461" s="1120" t="s">
        <v>1063</v>
      </c>
      <c r="H461" s="1121" t="s">
        <v>1064</v>
      </c>
      <c r="I461" s="1055"/>
      <c r="J461" s="1055"/>
      <c r="K461" s="1056"/>
      <c r="L461" s="1055"/>
      <c r="M461" s="1122">
        <v>627927</v>
      </c>
      <c r="N461" s="1122"/>
      <c r="O461" s="1052" t="s">
        <v>10</v>
      </c>
      <c r="P461" s="1117" t="s">
        <v>97</v>
      </c>
      <c r="Q461" s="66" t="str">
        <f>IF(AND('331-CT'!$E$7=TH!H461,OR(O461="331",P461="331")),"x","")</f>
        <v/>
      </c>
      <c r="R461" s="66" t="str">
        <f>IF(AND($B461&gt;='111'!$N$11,$B461&lt;='111'!$O$11,OR($O461=$R$7,$P461=$R$7)),"x","")</f>
        <v>x</v>
      </c>
      <c r="S461" s="66" t="str">
        <f>IF(AND($O461=$R$7,$B461&lt;'111'!$N$11),"x","")</f>
        <v/>
      </c>
      <c r="T461" s="66" t="str">
        <f>IF(AND($P461=$R$7,$B461&lt;'111'!$N$11),"x","")</f>
        <v/>
      </c>
      <c r="U461" s="66" t="str">
        <f>IF(AND($B461&gt;='112'!$M$9,$B461&lt;='112'!$N$9,OR($O461='112'!$I$6,$P461='112'!$I$6)),"x","")</f>
        <v/>
      </c>
      <c r="V461" s="66" t="str">
        <f>IF(AND($O461='112'!$I$6,$B461&lt;'112'!$M$9),"x","")</f>
        <v/>
      </c>
      <c r="W461" s="66" t="str">
        <f>IF(AND($P461='112'!$I$6,$B461&lt;'112'!$M$9),"x","")</f>
        <v/>
      </c>
      <c r="X461" s="66" t="str">
        <f>IF(AND('131-CT'!$H$9=TH!H461,OR(O461="131",P461="131")),"x","")</f>
        <v/>
      </c>
      <c r="Y461" s="80" t="str">
        <f>IF(AND($B461&gt;='1331'!$I$9,$B461&lt;='1331'!$J$9,OR($O461=$Y$7,$P461=$Y$7)),"x","")</f>
        <v>x</v>
      </c>
      <c r="Z461" s="80" t="str">
        <f>IF(AND($O461=$Y$7,$B461&lt;'1331'!$I$9),"x","")</f>
        <v/>
      </c>
      <c r="AA461" s="80" t="str">
        <f>IF(AND($P461=$Y$7,$B461&lt;'1331'!$I$9),"x","")</f>
        <v/>
      </c>
      <c r="AB461" s="80" t="str">
        <f>IF(AND($B461&gt;='1332'!$I$9,$B461&lt;='1332'!$I$9,OR($O461=$AB$7,$P461=$AB$7)),"x","")</f>
        <v/>
      </c>
      <c r="AC461" s="80" t="str">
        <f>IF(AND($O461=$AB$7,$B461&lt;'1332'!$I$9),"x","")</f>
        <v/>
      </c>
      <c r="AD461" s="80" t="str">
        <f>IF(AND($P461=$AB$7,$B461&lt;'1332'!$I$9),"x","")</f>
        <v/>
      </c>
      <c r="AE461" s="80" t="str">
        <f>IF(AND('341-CT'!$H$9=H461,OR(LEFT(O461,3)=$AE$7,LEFT(P461,3)=$AE$7)),"x","")</f>
        <v/>
      </c>
      <c r="AF461" s="80" t="str">
        <f>IF(OR(TH!O461=TH!$AF$7,P461=TH!$AF$7),"x","")</f>
        <v/>
      </c>
      <c r="AG461" s="80"/>
      <c r="AH461" s="80" t="str">
        <f>IF(AND(B461&gt;='IN-NX'!$P$3,B461&lt;='IN-NX'!$Q$3,'IN-NX'!$D$7=D461,OR(LEFT(L461,2)="15",AND(LEFT(M461,2)&lt;&gt;"15",LEFT(M461,2)&lt;&gt;"33"))),"x","")</f>
        <v/>
      </c>
      <c r="AI461" s="80" t="str">
        <f>IF(AND(OR(LEFT(TH!O461,2)="15",LEFT(TH!P461,2)="15"),'152-CT'!$J$8=TH!F461),"x","")</f>
        <v/>
      </c>
      <c r="AJ461" s="80" t="str">
        <f>IF(AND(OR(LEFT(TH!O461,2)="15",LEFT(TH!P461,2)="15"),'THE KHO'!$E$7=TH!F461),"x","")</f>
        <v/>
      </c>
      <c r="AK461" s="80" t="str">
        <f>IF(AND(O461="1521",MONTH(C461)='BK NL'!$M$11),"x","")</f>
        <v/>
      </c>
    </row>
    <row r="462" spans="1:37" ht="15.75" customHeight="1">
      <c r="A462" s="362" t="str">
        <f>IF(B462&lt;&gt;"",IF(AND(B462&gt;=_TM1,B462&lt;=_TM2,OR(TH!O462="1111",TH!P462="1111")),TH!D462,""),"")</f>
        <v/>
      </c>
      <c r="B462" s="63">
        <f t="shared" si="32"/>
        <v>7</v>
      </c>
      <c r="C462" s="1045">
        <v>42559</v>
      </c>
      <c r="D462" s="1045" t="s">
        <v>40</v>
      </c>
      <c r="E462" s="1045">
        <v>42559</v>
      </c>
      <c r="F462" s="1046" t="s">
        <v>1066</v>
      </c>
      <c r="G462" s="1126" t="s">
        <v>1067</v>
      </c>
      <c r="H462" s="1048" t="s">
        <v>319</v>
      </c>
      <c r="I462" s="1049"/>
      <c r="J462" s="1049"/>
      <c r="K462" s="1050"/>
      <c r="L462" s="1049"/>
      <c r="M462" s="1122">
        <v>867000</v>
      </c>
      <c r="N462" s="1122"/>
      <c r="O462" s="1052" t="s">
        <v>242</v>
      </c>
      <c r="P462" s="1117" t="s">
        <v>97</v>
      </c>
      <c r="Q462" s="66" t="str">
        <f>IF(AND('331-CT'!$E$7=TH!H462,OR(O462="331",P462="331")),"x","")</f>
        <v/>
      </c>
      <c r="R462" s="66" t="str">
        <f>IF(AND($B462&gt;='111'!$N$11,$B462&lt;='111'!$O$11,OR($O462=$R$7,$P462=$R$7)),"x","")</f>
        <v>x</v>
      </c>
      <c r="S462" s="66" t="str">
        <f>IF(AND($O462=$R$7,$B462&lt;'111'!$N$11),"x","")</f>
        <v/>
      </c>
      <c r="T462" s="66" t="str">
        <f>IF(AND($P462=$R$7,$B462&lt;'111'!$N$11),"x","")</f>
        <v/>
      </c>
      <c r="U462" s="66" t="str">
        <f>IF(AND($B462&gt;='112'!$M$9,$B462&lt;='112'!$N$9,OR($O462='112'!$I$6,$P462='112'!$I$6)),"x","")</f>
        <v/>
      </c>
      <c r="V462" s="66" t="str">
        <f>IF(AND($O462='112'!$I$6,$B462&lt;'112'!$M$9),"x","")</f>
        <v/>
      </c>
      <c r="W462" s="66" t="str">
        <f>IF(AND($P462='112'!$I$6,$B462&lt;'112'!$M$9),"x","")</f>
        <v/>
      </c>
      <c r="X462" s="66" t="str">
        <f>IF(AND('131-CT'!$H$9=TH!H462,OR(O462="131",P462="131")),"x","")</f>
        <v/>
      </c>
      <c r="Y462" s="80" t="str">
        <f>IF(AND($B462&gt;='1331'!$I$9,$B462&lt;='1331'!$J$9,OR($O462=$Y$7,$P462=$Y$7)),"x","")</f>
        <v/>
      </c>
      <c r="Z462" s="80" t="str">
        <f>IF(AND($O462=$Y$7,$B462&lt;'1331'!$I$9),"x","")</f>
        <v/>
      </c>
      <c r="AA462" s="80" t="str">
        <f>IF(AND($P462=$Y$7,$B462&lt;'1331'!$I$9),"x","")</f>
        <v/>
      </c>
      <c r="AB462" s="80" t="str">
        <f>IF(AND($B462&gt;='1332'!$I$9,$B462&lt;='1332'!$I$9,OR($O462=$AB$7,$P462=$AB$7)),"x","")</f>
        <v/>
      </c>
      <c r="AC462" s="80" t="str">
        <f>IF(AND($O462=$AB$7,$B462&lt;'1332'!$I$9),"x","")</f>
        <v/>
      </c>
      <c r="AD462" s="80" t="str">
        <f>IF(AND($P462=$AB$7,$B462&lt;'1332'!$I$9),"x","")</f>
        <v/>
      </c>
      <c r="AE462" s="80" t="str">
        <f>IF(AND('341-CT'!$H$9=H462,OR(LEFT(O462,3)=$AE$7,LEFT(P462,3)=$AE$7)),"x","")</f>
        <v/>
      </c>
      <c r="AF462" s="80" t="str">
        <f>IF(OR(TH!O462=TH!$AF$7,P462=TH!$AF$7),"x","")</f>
        <v/>
      </c>
      <c r="AG462" s="80"/>
      <c r="AH462" s="80" t="str">
        <f>IF(AND(B462&gt;='IN-NX'!$P$3,B462&lt;='IN-NX'!$Q$3,'IN-NX'!$D$7=D462,OR(LEFT(L462,2)="15",AND(LEFT(M462,2)&lt;&gt;"15",LEFT(M462,2)&lt;&gt;"33"))),"x","")</f>
        <v/>
      </c>
      <c r="AI462" s="80" t="str">
        <f>IF(AND(OR(LEFT(TH!O462,2)="15",LEFT(TH!P462,2)="15"),'152-CT'!$J$8=TH!F462),"x","")</f>
        <v/>
      </c>
      <c r="AJ462" s="80" t="str">
        <f>IF(AND(OR(LEFT(TH!O462,2)="15",LEFT(TH!P462,2)="15"),'THE KHO'!$E$7=TH!F462),"x","")</f>
        <v/>
      </c>
      <c r="AK462" s="80" t="str">
        <f>IF(AND(O462="1521",MONTH(C462)='BK NL'!$M$11),"x","")</f>
        <v/>
      </c>
    </row>
    <row r="463" spans="1:37" ht="15.75" customHeight="1">
      <c r="A463" s="362" t="str">
        <f>IF(B463&lt;&gt;"",IF(AND(B463&gt;=_TM1,B463&lt;=_TM2,OR(TH!O463="1111",TH!P463="1111")),TH!D463,""),"")</f>
        <v/>
      </c>
      <c r="B463" s="63">
        <f t="shared" si="32"/>
        <v>7</v>
      </c>
      <c r="C463" s="1045">
        <v>42561</v>
      </c>
      <c r="D463" s="1045" t="s">
        <v>63</v>
      </c>
      <c r="E463" s="1045">
        <v>42561</v>
      </c>
      <c r="F463" s="1046" t="s">
        <v>1068</v>
      </c>
      <c r="G463" s="1126" t="s">
        <v>1069</v>
      </c>
      <c r="H463" s="1048" t="s">
        <v>315</v>
      </c>
      <c r="I463" s="1049"/>
      <c r="J463" s="1049"/>
      <c r="K463" s="1050"/>
      <c r="L463" s="1049"/>
      <c r="M463" s="1051">
        <v>7272727</v>
      </c>
      <c r="N463" s="1051"/>
      <c r="O463" s="1052" t="s">
        <v>135</v>
      </c>
      <c r="P463" s="1117" t="s">
        <v>97</v>
      </c>
      <c r="Q463" s="66" t="str">
        <f>IF(AND('331-CT'!$E$7=TH!H463,OR(O463="331",P463="331")),"x","")</f>
        <v/>
      </c>
      <c r="R463" s="66" t="str">
        <f>IF(AND($B463&gt;='111'!$N$11,$B463&lt;='111'!$O$11,OR($O463=$R$7,$P463=$R$7)),"x","")</f>
        <v>x</v>
      </c>
      <c r="S463" s="66" t="str">
        <f>IF(AND($O463=$R$7,$B463&lt;'111'!$N$11),"x","")</f>
        <v/>
      </c>
      <c r="T463" s="66" t="str">
        <f>IF(AND($P463=$R$7,$B463&lt;'111'!$N$11),"x","")</f>
        <v/>
      </c>
      <c r="U463" s="66" t="str">
        <f>IF(AND($B463&gt;='112'!$M$9,$B463&lt;='112'!$N$9,OR($O463='112'!$I$6,$P463='112'!$I$6)),"x","")</f>
        <v/>
      </c>
      <c r="V463" s="66" t="str">
        <f>IF(AND($O463='112'!$I$6,$B463&lt;'112'!$M$9),"x","")</f>
        <v/>
      </c>
      <c r="W463" s="66" t="str">
        <f>IF(AND($P463='112'!$I$6,$B463&lt;'112'!$M$9),"x","")</f>
        <v/>
      </c>
      <c r="X463" s="66" t="str">
        <f>IF(AND('131-CT'!$H$9=TH!H463,OR(O463="131",P463="131")),"x","")</f>
        <v/>
      </c>
      <c r="Y463" s="80" t="str">
        <f>IF(AND($B463&gt;='1331'!$I$9,$B463&lt;='1331'!$J$9,OR($O463=$Y$7,$P463=$Y$7)),"x","")</f>
        <v/>
      </c>
      <c r="Z463" s="80" t="str">
        <f>IF(AND($O463=$Y$7,$B463&lt;'1331'!$I$9),"x","")</f>
        <v/>
      </c>
      <c r="AA463" s="80" t="str">
        <f>IF(AND($P463=$Y$7,$B463&lt;'1331'!$I$9),"x","")</f>
        <v/>
      </c>
      <c r="AB463" s="80" t="str">
        <f>IF(AND($B463&gt;='1332'!$I$9,$B463&lt;='1332'!$I$9,OR($O463=$AB$7,$P463=$AB$7)),"x","")</f>
        <v/>
      </c>
      <c r="AC463" s="80" t="str">
        <f>IF(AND($O463=$AB$7,$B463&lt;'1332'!$I$9),"x","")</f>
        <v/>
      </c>
      <c r="AD463" s="80" t="str">
        <f>IF(AND($P463=$AB$7,$B463&lt;'1332'!$I$9),"x","")</f>
        <v/>
      </c>
      <c r="AE463" s="80" t="str">
        <f>IF(AND('341-CT'!$H$9=H463,OR(LEFT(O463,3)=$AE$7,LEFT(P463,3)=$AE$7)),"x","")</f>
        <v/>
      </c>
      <c r="AF463" s="80" t="str">
        <f>IF(OR(TH!O463=TH!$AF$7,P463=TH!$AF$7),"x","")</f>
        <v/>
      </c>
      <c r="AG463" s="80"/>
      <c r="AH463" s="80" t="str">
        <f>IF(AND(B463&gt;='IN-NX'!$P$3,B463&lt;='IN-NX'!$Q$3,'IN-NX'!$D$7=D463,OR(LEFT(L463,2)="15",AND(LEFT(M463,2)&lt;&gt;"15",LEFT(M463,2)&lt;&gt;"33"))),"x","")</f>
        <v/>
      </c>
      <c r="AI463" s="80" t="str">
        <f>IF(AND(OR(LEFT(TH!O463,2)="15",LEFT(TH!P463,2)="15"),'152-CT'!$J$8=TH!F463),"x","")</f>
        <v/>
      </c>
      <c r="AJ463" s="80" t="str">
        <f>IF(AND(OR(LEFT(TH!O463,2)="15",LEFT(TH!P463,2)="15"),'THE KHO'!$E$7=TH!F463),"x","")</f>
        <v/>
      </c>
      <c r="AK463" s="80" t="str">
        <f>IF(AND(O463="1521",MONTH(C463)='BK NL'!$M$11),"x","")</f>
        <v/>
      </c>
    </row>
    <row r="464" spans="1:37" ht="15.75" customHeight="1">
      <c r="A464" s="362" t="str">
        <f>IF(B464&lt;&gt;"",IF(AND(B464&gt;=_TM1,B464&lt;=_TM2,OR(TH!O464="1111",TH!P464="1111")),TH!D464,""),"")</f>
        <v/>
      </c>
      <c r="B464" s="63">
        <f t="shared" si="32"/>
        <v>7</v>
      </c>
      <c r="C464" s="1045">
        <v>42561</v>
      </c>
      <c r="D464" s="1045" t="s">
        <v>63</v>
      </c>
      <c r="E464" s="1045">
        <v>42561</v>
      </c>
      <c r="F464" s="1046" t="s">
        <v>1070</v>
      </c>
      <c r="G464" s="1126" t="s">
        <v>1069</v>
      </c>
      <c r="H464" s="1048" t="s">
        <v>315</v>
      </c>
      <c r="I464" s="1049"/>
      <c r="J464" s="1049"/>
      <c r="K464" s="1050"/>
      <c r="L464" s="1049"/>
      <c r="M464" s="1122">
        <v>727273</v>
      </c>
      <c r="N464" s="1122"/>
      <c r="O464" s="1052" t="s">
        <v>10</v>
      </c>
      <c r="P464" s="1117" t="s">
        <v>97</v>
      </c>
      <c r="Q464" s="66" t="str">
        <f>IF(AND('331-CT'!$E$7=TH!H464,OR(O464="331",P464="331")),"x","")</f>
        <v/>
      </c>
      <c r="R464" s="66" t="str">
        <f>IF(AND($B464&gt;='111'!$N$11,$B464&lt;='111'!$O$11,OR($O464=$R$7,$P464=$R$7)),"x","")</f>
        <v>x</v>
      </c>
      <c r="S464" s="66" t="str">
        <f>IF(AND($O464=$R$7,$B464&lt;'111'!$N$11),"x","")</f>
        <v/>
      </c>
      <c r="T464" s="66" t="str">
        <f>IF(AND($P464=$R$7,$B464&lt;'111'!$N$11),"x","")</f>
        <v/>
      </c>
      <c r="U464" s="66" t="str">
        <f>IF(AND($B464&gt;='112'!$M$9,$B464&lt;='112'!$N$9,OR($O464='112'!$I$6,$P464='112'!$I$6)),"x","")</f>
        <v/>
      </c>
      <c r="V464" s="66" t="str">
        <f>IF(AND($O464='112'!$I$6,$B464&lt;'112'!$M$9),"x","")</f>
        <v/>
      </c>
      <c r="W464" s="66" t="str">
        <f>IF(AND($P464='112'!$I$6,$B464&lt;'112'!$M$9),"x","")</f>
        <v/>
      </c>
      <c r="X464" s="66" t="str">
        <f>IF(AND('131-CT'!$H$9=TH!H464,OR(O464="131",P464="131")),"x","")</f>
        <v/>
      </c>
      <c r="Y464" s="80" t="str">
        <f>IF(AND($B464&gt;='1331'!$I$9,$B464&lt;='1331'!$J$9,OR($O464=$Y$7,$P464=$Y$7)),"x","")</f>
        <v>x</v>
      </c>
      <c r="Z464" s="80" t="str">
        <f>IF(AND($O464=$Y$7,$B464&lt;'1331'!$I$9),"x","")</f>
        <v/>
      </c>
      <c r="AA464" s="80" t="str">
        <f>IF(AND($P464=$Y$7,$B464&lt;'1331'!$I$9),"x","")</f>
        <v/>
      </c>
      <c r="AB464" s="80" t="str">
        <f>IF(AND($B464&gt;='1332'!$I$9,$B464&lt;='1332'!$I$9,OR($O464=$AB$7,$P464=$AB$7)),"x","")</f>
        <v/>
      </c>
      <c r="AC464" s="80" t="str">
        <f>IF(AND($O464=$AB$7,$B464&lt;'1332'!$I$9),"x","")</f>
        <v/>
      </c>
      <c r="AD464" s="80" t="str">
        <f>IF(AND($P464=$AB$7,$B464&lt;'1332'!$I$9),"x","")</f>
        <v/>
      </c>
      <c r="AE464" s="80" t="str">
        <f>IF(AND('341-CT'!$H$9=H464,OR(LEFT(O464,3)=$AE$7,LEFT(P464,3)=$AE$7)),"x","")</f>
        <v/>
      </c>
      <c r="AF464" s="80" t="str">
        <f>IF(OR(TH!O464=TH!$AF$7,P464=TH!$AF$7),"x","")</f>
        <v/>
      </c>
      <c r="AG464" s="80"/>
      <c r="AH464" s="80" t="str">
        <f>IF(AND(B464&gt;='IN-NX'!$P$3,B464&lt;='IN-NX'!$Q$3,'IN-NX'!$D$7=D464,OR(LEFT(L464,2)="15",AND(LEFT(M464,2)&lt;&gt;"15",LEFT(M464,2)&lt;&gt;"33"))),"x","")</f>
        <v/>
      </c>
      <c r="AI464" s="80" t="str">
        <f>IF(AND(OR(LEFT(TH!O464,2)="15",LEFT(TH!P464,2)="15"),'152-CT'!$J$8=TH!F464),"x","")</f>
        <v/>
      </c>
      <c r="AJ464" s="80" t="str">
        <f>IF(AND(OR(LEFT(TH!O464,2)="15",LEFT(TH!P464,2)="15"),'THE KHO'!$E$7=TH!F464),"x","")</f>
        <v/>
      </c>
      <c r="AK464" s="80" t="str">
        <f>IF(AND(O464="1521",MONTH(C464)='BK NL'!$M$11),"x","")</f>
        <v/>
      </c>
    </row>
    <row r="465" spans="1:37" ht="15.75" customHeight="1">
      <c r="A465" s="362" t="str">
        <f>IF(B465&lt;&gt;"",IF(AND(B465&gt;=_TM1,B465&lt;=_TM2,OR(TH!O465="1111",TH!P465="1111")),TH!D465,""),"")</f>
        <v/>
      </c>
      <c r="B465" s="63">
        <f t="shared" si="32"/>
        <v>7</v>
      </c>
      <c r="C465" s="1127">
        <v>42561</v>
      </c>
      <c r="D465" s="1045" t="s">
        <v>64</v>
      </c>
      <c r="E465" s="1045">
        <v>42561</v>
      </c>
      <c r="F465" s="1119" t="s">
        <v>1056</v>
      </c>
      <c r="G465" s="1126" t="s">
        <v>1071</v>
      </c>
      <c r="H465" s="1121" t="s">
        <v>1058</v>
      </c>
      <c r="I465" s="1055">
        <v>100</v>
      </c>
      <c r="J465" s="1055">
        <v>170000</v>
      </c>
      <c r="K465" s="1050"/>
      <c r="L465" s="1049"/>
      <c r="M465" s="1122">
        <v>17000000</v>
      </c>
      <c r="N465" s="1122"/>
      <c r="O465" s="1052" t="s">
        <v>135</v>
      </c>
      <c r="P465" s="1117" t="s">
        <v>97</v>
      </c>
      <c r="Q465" s="66" t="str">
        <f>IF(AND('331-CT'!$E$7=TH!H465,OR(O465="331",P465="331")),"x","")</f>
        <v/>
      </c>
      <c r="R465" s="66" t="str">
        <f>IF(AND($B465&gt;='111'!$N$11,$B465&lt;='111'!$O$11,OR($O465=$R$7,$P465=$R$7)),"x","")</f>
        <v>x</v>
      </c>
      <c r="S465" s="66" t="str">
        <f>IF(AND($O465=$R$7,$B465&lt;'111'!$N$11),"x","")</f>
        <v/>
      </c>
      <c r="T465" s="66" t="str">
        <f>IF(AND($P465=$R$7,$B465&lt;'111'!$N$11),"x","")</f>
        <v/>
      </c>
      <c r="U465" s="66" t="str">
        <f>IF(AND($B465&gt;='112'!$M$9,$B465&lt;='112'!$N$9,OR($O465='112'!$I$6,$P465='112'!$I$6)),"x","")</f>
        <v/>
      </c>
      <c r="V465" s="66" t="str">
        <f>IF(AND($O465='112'!$I$6,$B465&lt;'112'!$M$9),"x","")</f>
        <v/>
      </c>
      <c r="W465" s="66" t="str">
        <f>IF(AND($P465='112'!$I$6,$B465&lt;'112'!$M$9),"x","")</f>
        <v/>
      </c>
      <c r="X465" s="66" t="str">
        <f>IF(AND('131-CT'!$H$9=TH!H465,OR(O465="131",P465="131")),"x","")</f>
        <v/>
      </c>
      <c r="Y465" s="80" t="str">
        <f>IF(AND($B465&gt;='1331'!$I$9,$B465&lt;='1331'!$J$9,OR($O465=$Y$7,$P465=$Y$7)),"x","")</f>
        <v/>
      </c>
      <c r="Z465" s="80" t="str">
        <f>IF(AND($O465=$Y$7,$B465&lt;'1331'!$I$9),"x","")</f>
        <v/>
      </c>
      <c r="AA465" s="80" t="str">
        <f>IF(AND($P465=$Y$7,$B465&lt;'1331'!$I$9),"x","")</f>
        <v/>
      </c>
      <c r="AB465" s="80" t="str">
        <f>IF(AND($B465&gt;='1332'!$I$9,$B465&lt;='1332'!$I$9,OR($O465=$AB$7,$P465=$AB$7)),"x","")</f>
        <v/>
      </c>
      <c r="AC465" s="80" t="str">
        <f>IF(AND($O465=$AB$7,$B465&lt;'1332'!$I$9),"x","")</f>
        <v/>
      </c>
      <c r="AD465" s="80" t="str">
        <f>IF(AND($P465=$AB$7,$B465&lt;'1332'!$I$9),"x","")</f>
        <v/>
      </c>
      <c r="AE465" s="80" t="str">
        <f>IF(AND('341-CT'!$H$9=H465,OR(LEFT(O465,3)=$AE$7,LEFT(P465,3)=$AE$7)),"x","")</f>
        <v/>
      </c>
      <c r="AF465" s="80" t="str">
        <f>IF(OR(TH!O465=TH!$AF$7,P465=TH!$AF$7),"x","")</f>
        <v/>
      </c>
      <c r="AG465" s="80"/>
      <c r="AH465" s="80" t="str">
        <f>IF(AND(B465&gt;='IN-NX'!$P$3,B465&lt;='IN-NX'!$Q$3,'IN-NX'!$D$7=D465,OR(LEFT(L465,2)="15",AND(LEFT(M465,2)&lt;&gt;"15",LEFT(M465,2)&lt;&gt;"33"))),"x","")</f>
        <v/>
      </c>
      <c r="AI465" s="80" t="str">
        <f>IF(AND(OR(LEFT(TH!O465,2)="15",LEFT(TH!P465,2)="15"),'152-CT'!$J$8=TH!F465),"x","")</f>
        <v/>
      </c>
      <c r="AJ465" s="80" t="str">
        <f>IF(AND(OR(LEFT(TH!O465,2)="15",LEFT(TH!P465,2)="15"),'THE KHO'!$E$7=TH!F465),"x","")</f>
        <v/>
      </c>
      <c r="AK465" s="80" t="str">
        <f>IF(AND(O465="1521",MONTH(C465)='BK NL'!$M$11),"x","")</f>
        <v/>
      </c>
    </row>
    <row r="466" spans="1:37" ht="15.75" customHeight="1">
      <c r="A466" s="362" t="str">
        <f>IF(B466&lt;&gt;"",IF(AND(B466&gt;=_TM1,B466&lt;=_TM2,OR(TH!O466="1111",TH!P466="1111")),TH!D466,""),"")</f>
        <v/>
      </c>
      <c r="B466" s="63">
        <f t="shared" si="32"/>
        <v>7</v>
      </c>
      <c r="C466" s="1045">
        <v>42561</v>
      </c>
      <c r="D466" s="1045" t="s">
        <v>64</v>
      </c>
      <c r="E466" s="1045">
        <v>42561</v>
      </c>
      <c r="F466" s="1119" t="s">
        <v>1059</v>
      </c>
      <c r="G466" s="1126" t="s">
        <v>1071</v>
      </c>
      <c r="H466" s="1121" t="s">
        <v>1058</v>
      </c>
      <c r="I466" s="1049"/>
      <c r="J466" s="1049"/>
      <c r="K466" s="1050"/>
      <c r="L466" s="1049"/>
      <c r="M466" s="1122">
        <v>1700000</v>
      </c>
      <c r="N466" s="1122"/>
      <c r="O466" s="1125" t="s">
        <v>10</v>
      </c>
      <c r="P466" s="1117" t="s">
        <v>97</v>
      </c>
      <c r="Q466" s="66" t="str">
        <f>IF(AND('331-CT'!$E$7=TH!H466,OR(O466="331",P466="331")),"x","")</f>
        <v/>
      </c>
      <c r="R466" s="66" t="str">
        <f>IF(AND($B466&gt;='111'!$N$11,$B466&lt;='111'!$O$11,OR($O466=$R$7,$P466=$R$7)),"x","")</f>
        <v>x</v>
      </c>
      <c r="S466" s="66" t="str">
        <f>IF(AND($O466=$R$7,$B466&lt;'111'!$N$11),"x","")</f>
        <v/>
      </c>
      <c r="T466" s="66" t="str">
        <f>IF(AND($P466=$R$7,$B466&lt;'111'!$N$11),"x","")</f>
        <v/>
      </c>
      <c r="U466" s="66" t="str">
        <f>IF(AND($B466&gt;='112'!$M$9,$B466&lt;='112'!$N$9,OR($O466='112'!$I$6,$P466='112'!$I$6)),"x","")</f>
        <v/>
      </c>
      <c r="V466" s="66" t="str">
        <f>IF(AND($O466='112'!$I$6,$B466&lt;'112'!$M$9),"x","")</f>
        <v/>
      </c>
      <c r="W466" s="66" t="str">
        <f>IF(AND($P466='112'!$I$6,$B466&lt;'112'!$M$9),"x","")</f>
        <v/>
      </c>
      <c r="X466" s="66" t="str">
        <f>IF(AND('131-CT'!$H$9=TH!H466,OR(O466="131",P466="131")),"x","")</f>
        <v/>
      </c>
      <c r="Y466" s="80" t="str">
        <f>IF(AND($B466&gt;='1331'!$I$9,$B466&lt;='1331'!$J$9,OR($O466=$Y$7,$P466=$Y$7)),"x","")</f>
        <v>x</v>
      </c>
      <c r="Z466" s="80" t="str">
        <f>IF(AND($O466=$Y$7,$B466&lt;'1331'!$I$9),"x","")</f>
        <v/>
      </c>
      <c r="AA466" s="80" t="str">
        <f>IF(AND($P466=$Y$7,$B466&lt;'1331'!$I$9),"x","")</f>
        <v/>
      </c>
      <c r="AB466" s="80" t="str">
        <f>IF(AND($B466&gt;='1332'!$I$9,$B466&lt;='1332'!$I$9,OR($O466=$AB$7,$P466=$AB$7)),"x","")</f>
        <v/>
      </c>
      <c r="AC466" s="80" t="str">
        <f>IF(AND($O466=$AB$7,$B466&lt;'1332'!$I$9),"x","")</f>
        <v/>
      </c>
      <c r="AD466" s="80" t="str">
        <f>IF(AND($P466=$AB$7,$B466&lt;'1332'!$I$9),"x","")</f>
        <v/>
      </c>
      <c r="AE466" s="80" t="str">
        <f>IF(AND('341-CT'!$H$9=H466,OR(LEFT(O466,3)=$AE$7,LEFT(P466,3)=$AE$7)),"x","")</f>
        <v/>
      </c>
      <c r="AF466" s="80" t="str">
        <f>IF(OR(TH!O466=TH!$AF$7,P466=TH!$AF$7),"x","")</f>
        <v/>
      </c>
      <c r="AG466" s="80"/>
      <c r="AH466" s="80" t="str">
        <f>IF(AND(B466&gt;='IN-NX'!$P$3,B466&lt;='IN-NX'!$Q$3,'IN-NX'!$D$7=D466,OR(LEFT(L466,2)="15",AND(LEFT(M466,2)&lt;&gt;"15",LEFT(M466,2)&lt;&gt;"33"))),"x","")</f>
        <v/>
      </c>
      <c r="AI466" s="80" t="str">
        <f>IF(AND(OR(LEFT(TH!O466,2)="15",LEFT(TH!P466,2)="15"),'152-CT'!$J$8=TH!F466),"x","")</f>
        <v/>
      </c>
      <c r="AJ466" s="80" t="str">
        <f>IF(AND(OR(LEFT(TH!O466,2)="15",LEFT(TH!P466,2)="15"),'THE KHO'!$E$7=TH!F466),"x","")</f>
        <v/>
      </c>
      <c r="AK466" s="80" t="str">
        <f>IF(AND(O466="1521",MONTH(C466)='BK NL'!$M$11),"x","")</f>
        <v/>
      </c>
    </row>
    <row r="467" spans="1:37" ht="15.75" customHeight="1">
      <c r="A467" s="362" t="str">
        <f>IF(B467&lt;&gt;"",IF(AND(B467&gt;=_TM1,B467&lt;=_TM2,OR(TH!O467="1111",TH!P467="1111")),TH!D467,""),"")</f>
        <v/>
      </c>
      <c r="B467" s="63">
        <f t="shared" si="32"/>
        <v>7</v>
      </c>
      <c r="C467" s="1045">
        <v>42562</v>
      </c>
      <c r="D467" s="1045" t="s">
        <v>65</v>
      </c>
      <c r="E467" s="1045">
        <v>42562</v>
      </c>
      <c r="F467" s="1046" t="s">
        <v>1072</v>
      </c>
      <c r="G467" s="1126" t="s">
        <v>1073</v>
      </c>
      <c r="H467" s="1048" t="s">
        <v>319</v>
      </c>
      <c r="I467" s="1049"/>
      <c r="J467" s="1049"/>
      <c r="K467" s="1050"/>
      <c r="L467" s="1049"/>
      <c r="M467" s="1051">
        <v>1553000</v>
      </c>
      <c r="N467" s="1051"/>
      <c r="O467" s="1052" t="s">
        <v>242</v>
      </c>
      <c r="P467" s="1117" t="s">
        <v>97</v>
      </c>
      <c r="Q467" s="66" t="str">
        <f>IF(AND('331-CT'!$E$7=TH!H467,OR(O467="331",P467="331")),"x","")</f>
        <v/>
      </c>
      <c r="R467" s="66" t="str">
        <f>IF(AND($B467&gt;='111'!$N$11,$B467&lt;='111'!$O$11,OR($O467=$R$7,$P467=$R$7)),"x","")</f>
        <v>x</v>
      </c>
      <c r="S467" s="66" t="str">
        <f>IF(AND($O467=$R$7,$B467&lt;'111'!$N$11),"x","")</f>
        <v/>
      </c>
      <c r="T467" s="66" t="str">
        <f>IF(AND($P467=$R$7,$B467&lt;'111'!$N$11),"x","")</f>
        <v/>
      </c>
      <c r="U467" s="66" t="str">
        <f>IF(AND($B467&gt;='112'!$M$9,$B467&lt;='112'!$N$9,OR($O467='112'!$I$6,$P467='112'!$I$6)),"x","")</f>
        <v/>
      </c>
      <c r="V467" s="66" t="str">
        <f>IF(AND($O467='112'!$I$6,$B467&lt;'112'!$M$9),"x","")</f>
        <v/>
      </c>
      <c r="W467" s="66" t="str">
        <f>IF(AND($P467='112'!$I$6,$B467&lt;'112'!$M$9),"x","")</f>
        <v/>
      </c>
      <c r="X467" s="66" t="str">
        <f>IF(AND('131-CT'!$H$9=TH!H467,OR(O467="131",P467="131")),"x","")</f>
        <v/>
      </c>
      <c r="Y467" s="80" t="str">
        <f>IF(AND($B467&gt;='1331'!$I$9,$B467&lt;='1331'!$J$9,OR($O467=$Y$7,$P467=$Y$7)),"x","")</f>
        <v/>
      </c>
      <c r="Z467" s="80" t="str">
        <f>IF(AND($O467=$Y$7,$B467&lt;'1331'!$I$9),"x","")</f>
        <v/>
      </c>
      <c r="AA467" s="80" t="str">
        <f>IF(AND($P467=$Y$7,$B467&lt;'1331'!$I$9),"x","")</f>
        <v/>
      </c>
      <c r="AB467" s="80" t="str">
        <f>IF(AND($B467&gt;='1332'!$I$9,$B467&lt;='1332'!$I$9,OR($O467=$AB$7,$P467=$AB$7)),"x","")</f>
        <v/>
      </c>
      <c r="AC467" s="80" t="str">
        <f>IF(AND($O467=$AB$7,$B467&lt;'1332'!$I$9),"x","")</f>
        <v/>
      </c>
      <c r="AD467" s="80" t="str">
        <f>IF(AND($P467=$AB$7,$B467&lt;'1332'!$I$9),"x","")</f>
        <v/>
      </c>
      <c r="AE467" s="80" t="str">
        <f>IF(AND('341-CT'!$H$9=H467,OR(LEFT(O467,3)=$AE$7,LEFT(P467,3)=$AE$7)),"x","")</f>
        <v/>
      </c>
      <c r="AF467" s="80" t="str">
        <f>IF(OR(TH!O467=TH!$AF$7,P467=TH!$AF$7),"x","")</f>
        <v/>
      </c>
      <c r="AG467" s="80"/>
      <c r="AH467" s="80" t="str">
        <f>IF(AND(B467&gt;='IN-NX'!$P$3,B467&lt;='IN-NX'!$Q$3,'IN-NX'!$D$7=D467,OR(LEFT(L467,2)="15",AND(LEFT(M467,2)&lt;&gt;"15",LEFT(M467,2)&lt;&gt;"33"))),"x","")</f>
        <v/>
      </c>
      <c r="AI467" s="80" t="str">
        <f>IF(AND(OR(LEFT(TH!O467,2)="15",LEFT(TH!P467,2)="15"),'152-CT'!$J$8=TH!F467),"x","")</f>
        <v/>
      </c>
      <c r="AJ467" s="80" t="str">
        <f>IF(AND(OR(LEFT(TH!O467,2)="15",LEFT(TH!P467,2)="15"),'THE KHO'!$E$7=TH!F467),"x","")</f>
        <v/>
      </c>
      <c r="AK467" s="80" t="str">
        <f>IF(AND(O467="1521",MONTH(C467)='BK NL'!$M$11),"x","")</f>
        <v/>
      </c>
    </row>
    <row r="468" spans="1:37" ht="15.75" customHeight="1">
      <c r="A468" s="362" t="str">
        <f>IF(B468&lt;&gt;"",IF(AND(B468&gt;=_TM1,B468&lt;=_TM2,OR(TH!O468="1111",TH!P468="1111")),TH!D468,""),"")</f>
        <v/>
      </c>
      <c r="B468" s="63">
        <f t="shared" si="32"/>
        <v>7</v>
      </c>
      <c r="C468" s="1045">
        <f>E468</f>
        <v>42562</v>
      </c>
      <c r="D468" s="1045" t="s">
        <v>70</v>
      </c>
      <c r="E468" s="1045">
        <v>42562</v>
      </c>
      <c r="F468" s="1046" t="s">
        <v>1074</v>
      </c>
      <c r="G468" s="1047"/>
      <c r="H468" s="1048" t="s">
        <v>160</v>
      </c>
      <c r="I468" s="1049"/>
      <c r="J468" s="1049"/>
      <c r="K468" s="1050"/>
      <c r="L468" s="1049"/>
      <c r="M468" s="1137">
        <v>100000000</v>
      </c>
      <c r="N468" s="1137"/>
      <c r="O468" s="1052" t="s">
        <v>31</v>
      </c>
      <c r="P468" s="1052" t="s">
        <v>97</v>
      </c>
      <c r="Q468" s="66" t="str">
        <f>IF(AND('331-CT'!$E$7=TH!H468,OR(O468="331",P468="331")),"x","")</f>
        <v/>
      </c>
      <c r="R468" s="66" t="str">
        <f>IF(AND($B468&gt;='111'!$N$11,$B468&lt;='111'!$O$11,OR($O468=$R$7,$P468=$R$7)),"x","")</f>
        <v>x</v>
      </c>
      <c r="S468" s="66" t="str">
        <f>IF(AND($O468=$R$7,$B468&lt;'111'!$N$11),"x","")</f>
        <v/>
      </c>
      <c r="T468" s="66" t="str">
        <f>IF(AND($P468=$R$7,$B468&lt;'111'!$N$11),"x","")</f>
        <v/>
      </c>
      <c r="U468" s="66" t="str">
        <f>IF(AND($B468&gt;='112'!$M$9,$B468&lt;='112'!$N$9,OR($O468='112'!$I$6,$P468='112'!$I$6)),"x","")</f>
        <v>x</v>
      </c>
      <c r="V468" s="66" t="str">
        <f>IF(AND($O468='112'!$I$6,$B468&lt;'112'!$M$9),"x","")</f>
        <v/>
      </c>
      <c r="W468" s="66" t="str">
        <f>IF(AND($P468='112'!$I$6,$B468&lt;'112'!$M$9),"x","")</f>
        <v/>
      </c>
      <c r="X468" s="66" t="str">
        <f>IF(AND('131-CT'!$H$9=TH!H468,OR(O468="131",P468="131")),"x","")</f>
        <v/>
      </c>
      <c r="Y468" s="80" t="str">
        <f>IF(AND($B468&gt;='1331'!$I$9,$B468&lt;='1331'!$J$9,OR($O468=$Y$7,$P468=$Y$7)),"x","")</f>
        <v/>
      </c>
      <c r="Z468" s="80" t="str">
        <f>IF(AND($O468=$Y$7,$B468&lt;'1331'!$I$9),"x","")</f>
        <v/>
      </c>
      <c r="AA468" s="80" t="str">
        <f>IF(AND($P468=$Y$7,$B468&lt;'1331'!$I$9),"x","")</f>
        <v/>
      </c>
      <c r="AB468" s="80" t="str">
        <f>IF(AND($B468&gt;='1332'!$I$9,$B468&lt;='1332'!$I$9,OR($O468=$AB$7,$P468=$AB$7)),"x","")</f>
        <v/>
      </c>
      <c r="AC468" s="80" t="str">
        <f>IF(AND($O468=$AB$7,$B468&lt;'1332'!$I$9),"x","")</f>
        <v/>
      </c>
      <c r="AD468" s="80" t="str">
        <f>IF(AND($P468=$AB$7,$B468&lt;'1332'!$I$9),"x","")</f>
        <v/>
      </c>
      <c r="AE468" s="80" t="str">
        <f>IF(AND('341-CT'!$H$9=H468,OR(LEFT(O468,3)=$AE$7,LEFT(P468,3)=$AE$7)),"x","")</f>
        <v/>
      </c>
      <c r="AF468" s="80" t="str">
        <f>IF(OR(TH!O468=TH!$AF$7,P468=TH!$AF$7),"x","")</f>
        <v/>
      </c>
      <c r="AG468" s="80"/>
      <c r="AH468" s="80" t="str">
        <f>IF(AND(B468&gt;='IN-NX'!$P$3,B468&lt;='IN-NX'!$Q$3,'IN-NX'!$D$7=D468,OR(LEFT(L468,2)="15",AND(LEFT(M468,2)&lt;&gt;"15",LEFT(M468,2)&lt;&gt;"33"))),"x","")</f>
        <v/>
      </c>
      <c r="AI468" s="80" t="str">
        <f>IF(AND(OR(LEFT(TH!O468,2)="15",LEFT(TH!P468,2)="15"),'152-CT'!$J$8=TH!F468),"x","")</f>
        <v/>
      </c>
      <c r="AJ468" s="80" t="str">
        <f>IF(AND(OR(LEFT(TH!O468,2)="15",LEFT(TH!P468,2)="15"),'THE KHO'!$E$7=TH!F468),"x","")</f>
        <v/>
      </c>
      <c r="AK468" s="80" t="str">
        <f>IF(AND(O468="1521",MONTH(C468)='BK NL'!$M$11),"x","")</f>
        <v/>
      </c>
    </row>
    <row r="469" spans="1:37" ht="15.75" customHeight="1">
      <c r="A469" s="362" t="str">
        <f>IF(B469&lt;&gt;"",IF(AND(B469&gt;=_TM1,B469&lt;=_TM2,OR(TH!O469="1111",TH!P469="1111")),TH!D469,""),"")</f>
        <v/>
      </c>
      <c r="B469" s="63">
        <f t="shared" si="32"/>
        <v>7</v>
      </c>
      <c r="C469" s="1045">
        <f>E469</f>
        <v>42562</v>
      </c>
      <c r="D469" s="1045" t="s">
        <v>8</v>
      </c>
      <c r="E469" s="1045">
        <v>42562</v>
      </c>
      <c r="F469" s="1046" t="s">
        <v>1075</v>
      </c>
      <c r="G469" s="1047"/>
      <c r="H469" s="1048" t="s">
        <v>51</v>
      </c>
      <c r="I469" s="1049"/>
      <c r="J469" s="1049"/>
      <c r="K469" s="1050"/>
      <c r="L469" s="1049"/>
      <c r="M469" s="1051">
        <v>100000000</v>
      </c>
      <c r="N469" s="1051"/>
      <c r="O469" s="1052" t="s">
        <v>9</v>
      </c>
      <c r="P469" s="1052" t="s">
        <v>31</v>
      </c>
      <c r="Q469" s="66" t="str">
        <f>IF(AND('331-CT'!$E$7=TH!H469,OR(O469="331",P469="331")),"x","")</f>
        <v/>
      </c>
      <c r="R469" s="66" t="str">
        <f>IF(AND($B469&gt;='111'!$N$11,$B469&lt;='111'!$O$11,OR($O469=$R$7,$P469=$R$7)),"x","")</f>
        <v/>
      </c>
      <c r="S469" s="66" t="str">
        <f>IF(AND($O469=$R$7,$B469&lt;'111'!$N$11),"x","")</f>
        <v/>
      </c>
      <c r="T469" s="66" t="str">
        <f>IF(AND($P469=$R$7,$B469&lt;'111'!$N$11),"x","")</f>
        <v/>
      </c>
      <c r="U469" s="66" t="str">
        <f>IF(AND($B469&gt;='112'!$M$9,$B469&lt;='112'!$N$9,OR($O469='112'!$I$6,$P469='112'!$I$6)),"x","")</f>
        <v>x</v>
      </c>
      <c r="V469" s="66" t="str">
        <f>IF(AND($O469='112'!$I$6,$B469&lt;'112'!$M$9),"x","")</f>
        <v/>
      </c>
      <c r="W469" s="66" t="str">
        <f>IF(AND($P469='112'!$I$6,$B469&lt;'112'!$M$9),"x","")</f>
        <v/>
      </c>
      <c r="X469" s="66" t="str">
        <f>IF(AND('131-CT'!$H$9=TH!H469,OR(O469="131",P469="131")),"x","")</f>
        <v/>
      </c>
      <c r="Y469" s="80" t="str">
        <f>IF(AND($B469&gt;='1331'!$I$9,$B469&lt;='1331'!$J$9,OR($O469=$Y$7,$P469=$Y$7)),"x","")</f>
        <v/>
      </c>
      <c r="Z469" s="80" t="str">
        <f>IF(AND($O469=$Y$7,$B469&lt;'1331'!$I$9),"x","")</f>
        <v/>
      </c>
      <c r="AA469" s="80" t="str">
        <f>IF(AND($P469=$Y$7,$B469&lt;'1331'!$I$9),"x","")</f>
        <v/>
      </c>
      <c r="AB469" s="80" t="str">
        <f>IF(AND($B469&gt;='1332'!$I$9,$B469&lt;='1332'!$I$9,OR($O469=$AB$7,$P469=$AB$7)),"x","")</f>
        <v/>
      </c>
      <c r="AC469" s="80" t="str">
        <f>IF(AND($O469=$AB$7,$B469&lt;'1332'!$I$9),"x","")</f>
        <v/>
      </c>
      <c r="AD469" s="80" t="str">
        <f>IF(AND($P469=$AB$7,$B469&lt;'1332'!$I$9),"x","")</f>
        <v/>
      </c>
      <c r="AE469" s="80" t="str">
        <f>IF(AND('341-CT'!$H$9=H469,OR(LEFT(O469,3)=$AE$7,LEFT(P469,3)=$AE$7)),"x","")</f>
        <v/>
      </c>
      <c r="AF469" s="80" t="str">
        <f>IF(OR(TH!O469=TH!$AF$7,P469=TH!$AF$7),"x","")</f>
        <v/>
      </c>
      <c r="AG469" s="80"/>
      <c r="AH469" s="80" t="str">
        <f>IF(AND(B469&gt;='IN-NX'!$P$3,B469&lt;='IN-NX'!$Q$3,'IN-NX'!$D$7=D469,OR(LEFT(L469,2)="15",AND(LEFT(M469,2)&lt;&gt;"15",LEFT(M469,2)&lt;&gt;"33"))),"x","")</f>
        <v/>
      </c>
      <c r="AI469" s="80" t="str">
        <f>IF(AND(OR(LEFT(TH!O469,2)="15",LEFT(TH!P469,2)="15"),'152-CT'!$J$8=TH!F469),"x","")</f>
        <v/>
      </c>
      <c r="AJ469" s="80" t="str">
        <f>IF(AND(OR(LEFT(TH!O469,2)="15",LEFT(TH!P469,2)="15"),'THE KHO'!$E$7=TH!F469),"x","")</f>
        <v/>
      </c>
      <c r="AK469" s="80" t="str">
        <f>IF(AND(O469="1521",MONTH(C469)='BK NL'!$M$11),"x","")</f>
        <v/>
      </c>
    </row>
    <row r="470" spans="1:37" ht="15.75" customHeight="1">
      <c r="A470" s="362" t="str">
        <f>IF(B470&lt;&gt;"",IF(AND(B470&gt;=_TM1,B470&lt;=_TM2,OR(TH!O470="1111",TH!P470="1111")),TH!D470,""),"")</f>
        <v/>
      </c>
      <c r="B470" s="63">
        <f t="shared" si="32"/>
        <v>7</v>
      </c>
      <c r="C470" s="1045">
        <f>E470</f>
        <v>42562</v>
      </c>
      <c r="D470" s="1045" t="s">
        <v>8</v>
      </c>
      <c r="E470" s="1045">
        <v>42562</v>
      </c>
      <c r="F470" s="1046" t="s">
        <v>22</v>
      </c>
      <c r="G470" s="1047"/>
      <c r="H470" s="1048"/>
      <c r="I470" s="1049"/>
      <c r="J470" s="1049"/>
      <c r="K470" s="1050"/>
      <c r="L470" s="1049"/>
      <c r="M470" s="1051">
        <v>79578</v>
      </c>
      <c r="N470" s="1051"/>
      <c r="O470" s="1052" t="s">
        <v>135</v>
      </c>
      <c r="P470" s="1052" t="s">
        <v>31</v>
      </c>
      <c r="Q470" s="66" t="str">
        <f>IF(AND('331-CT'!$E$7=TH!H470,OR(O470="331",P470="331")),"x","")</f>
        <v/>
      </c>
      <c r="R470" s="66" t="str">
        <f>IF(AND($B470&gt;='111'!$N$11,$B470&lt;='111'!$O$11,OR($O470=$R$7,$P470=$R$7)),"x","")</f>
        <v/>
      </c>
      <c r="S470" s="66" t="str">
        <f>IF(AND($O470=$R$7,$B470&lt;'111'!$N$11),"x","")</f>
        <v/>
      </c>
      <c r="T470" s="66" t="str">
        <f>IF(AND($P470=$R$7,$B470&lt;'111'!$N$11),"x","")</f>
        <v/>
      </c>
      <c r="U470" s="66" t="str">
        <f>IF(AND($B470&gt;='112'!$M$9,$B470&lt;='112'!$N$9,OR($O470='112'!$I$6,$P470='112'!$I$6)),"x","")</f>
        <v>x</v>
      </c>
      <c r="V470" s="66" t="str">
        <f>IF(AND($O470='112'!$I$6,$B470&lt;'112'!$M$9),"x","")</f>
        <v/>
      </c>
      <c r="W470" s="66" t="str">
        <f>IF(AND($P470='112'!$I$6,$B470&lt;'112'!$M$9),"x","")</f>
        <v/>
      </c>
      <c r="X470" s="66" t="str">
        <f>IF(AND('131-CT'!$H$9=TH!H470,OR(O470="131",P470="131")),"x","")</f>
        <v/>
      </c>
      <c r="Y470" s="80" t="str">
        <f>IF(AND($B470&gt;='1331'!$I$9,$B470&lt;='1331'!$J$9,OR($O470=$Y$7,$P470=$Y$7)),"x","")</f>
        <v/>
      </c>
      <c r="Z470" s="80" t="str">
        <f>IF(AND($O470=$Y$7,$B470&lt;'1331'!$I$9),"x","")</f>
        <v/>
      </c>
      <c r="AA470" s="80" t="str">
        <f>IF(AND($P470=$Y$7,$B470&lt;'1331'!$I$9),"x","")</f>
        <v/>
      </c>
      <c r="AB470" s="80" t="str">
        <f>IF(AND($B470&gt;='1332'!$I$9,$B470&lt;='1332'!$I$9,OR($O470=$AB$7,$P470=$AB$7)),"x","")</f>
        <v/>
      </c>
      <c r="AC470" s="80" t="str">
        <f>IF(AND($O470=$AB$7,$B470&lt;'1332'!$I$9),"x","")</f>
        <v/>
      </c>
      <c r="AD470" s="80" t="str">
        <f>IF(AND($P470=$AB$7,$B470&lt;'1332'!$I$9),"x","")</f>
        <v/>
      </c>
      <c r="AE470" s="80" t="str">
        <f>IF(AND('341-CT'!$H$9=H470,OR(LEFT(O470,3)=$AE$7,LEFT(P470,3)=$AE$7)),"x","")</f>
        <v/>
      </c>
      <c r="AF470" s="80" t="str">
        <f>IF(OR(TH!O470=TH!$AF$7,P470=TH!$AF$7),"x","")</f>
        <v/>
      </c>
      <c r="AG470" s="80"/>
      <c r="AH470" s="80" t="str">
        <f>IF(AND(B470&gt;='IN-NX'!$P$3,B470&lt;='IN-NX'!$Q$3,'IN-NX'!$D$7=D470,OR(LEFT(L470,2)="15",AND(LEFT(M470,2)&lt;&gt;"15",LEFT(M470,2)&lt;&gt;"33"))),"x","")</f>
        <v/>
      </c>
      <c r="AI470" s="80" t="str">
        <f>IF(AND(OR(LEFT(TH!O470,2)="15",LEFT(TH!P470,2)="15"),'152-CT'!$J$8=TH!F470),"x","")</f>
        <v/>
      </c>
      <c r="AJ470" s="80" t="str">
        <f>IF(AND(OR(LEFT(TH!O470,2)="15",LEFT(TH!P470,2)="15"),'THE KHO'!$E$7=TH!F470),"x","")</f>
        <v/>
      </c>
      <c r="AK470" s="80" t="str">
        <f>IF(AND(O470="1521",MONTH(C470)='BK NL'!$M$11),"x","")</f>
        <v/>
      </c>
    </row>
    <row r="471" spans="1:37" ht="15.75" customHeight="1">
      <c r="A471" s="362" t="str">
        <f>IF(B471&lt;&gt;"",IF(AND(B471&gt;=_TM1,B471&lt;=_TM2,OR(TH!O471="1111",TH!P471="1111")),TH!D471,""),"")</f>
        <v/>
      </c>
      <c r="B471" s="63">
        <f t="shared" si="32"/>
        <v>7</v>
      </c>
      <c r="C471" s="1045">
        <f>E471</f>
        <v>42562</v>
      </c>
      <c r="D471" s="1045" t="s">
        <v>8</v>
      </c>
      <c r="E471" s="1045">
        <v>42562</v>
      </c>
      <c r="F471" s="1046" t="s">
        <v>23</v>
      </c>
      <c r="G471" s="1047"/>
      <c r="H471" s="1048"/>
      <c r="I471" s="1049"/>
      <c r="J471" s="1049"/>
      <c r="K471" s="1050"/>
      <c r="L471" s="1049"/>
      <c r="M471" s="1051">
        <v>7958</v>
      </c>
      <c r="N471" s="1051"/>
      <c r="O471" s="1052" t="s">
        <v>10</v>
      </c>
      <c r="P471" s="1052" t="s">
        <v>31</v>
      </c>
      <c r="Q471" s="66" t="str">
        <f>IF(AND('331-CT'!$E$7=TH!H471,OR(O471="331",P471="331")),"x","")</f>
        <v/>
      </c>
      <c r="R471" s="66" t="str">
        <f>IF(AND($B471&gt;='111'!$N$11,$B471&lt;='111'!$O$11,OR($O471=$R$7,$P471=$R$7)),"x","")</f>
        <v/>
      </c>
      <c r="S471" s="66" t="str">
        <f>IF(AND($O471=$R$7,$B471&lt;'111'!$N$11),"x","")</f>
        <v/>
      </c>
      <c r="T471" s="66" t="str">
        <f>IF(AND($P471=$R$7,$B471&lt;'111'!$N$11),"x","")</f>
        <v/>
      </c>
      <c r="U471" s="66" t="str">
        <f>IF(AND($B471&gt;='112'!$M$9,$B471&lt;='112'!$N$9,OR($O471='112'!$I$6,$P471='112'!$I$6)),"x","")</f>
        <v>x</v>
      </c>
      <c r="V471" s="66" t="str">
        <f>IF(AND($O471='112'!$I$6,$B471&lt;'112'!$M$9),"x","")</f>
        <v/>
      </c>
      <c r="W471" s="66" t="str">
        <f>IF(AND($P471='112'!$I$6,$B471&lt;'112'!$M$9),"x","")</f>
        <v/>
      </c>
      <c r="X471" s="66" t="str">
        <f>IF(AND('131-CT'!$H$9=TH!H471,OR(O471="131",P471="131")),"x","")</f>
        <v/>
      </c>
      <c r="Y471" s="80" t="str">
        <f>IF(AND($B471&gt;='1331'!$I$9,$B471&lt;='1331'!$J$9,OR($O471=$Y$7,$P471=$Y$7)),"x","")</f>
        <v>x</v>
      </c>
      <c r="Z471" s="80" t="str">
        <f>IF(AND($O471=$Y$7,$B471&lt;'1331'!$I$9),"x","")</f>
        <v/>
      </c>
      <c r="AA471" s="80" t="str">
        <f>IF(AND($P471=$Y$7,$B471&lt;'1331'!$I$9),"x","")</f>
        <v/>
      </c>
      <c r="AB471" s="80" t="str">
        <f>IF(AND($B471&gt;='1332'!$I$9,$B471&lt;='1332'!$I$9,OR($O471=$AB$7,$P471=$AB$7)),"x","")</f>
        <v/>
      </c>
      <c r="AC471" s="80" t="str">
        <f>IF(AND($O471=$AB$7,$B471&lt;'1332'!$I$9),"x","")</f>
        <v/>
      </c>
      <c r="AD471" s="80" t="str">
        <f>IF(AND($P471=$AB$7,$B471&lt;'1332'!$I$9),"x","")</f>
        <v/>
      </c>
      <c r="AE471" s="80" t="str">
        <f>IF(AND('341-CT'!$H$9=H471,OR(LEFT(O471,3)=$AE$7,LEFT(P471,3)=$AE$7)),"x","")</f>
        <v/>
      </c>
      <c r="AF471" s="80" t="str">
        <f>IF(OR(TH!O471=TH!$AF$7,P471=TH!$AF$7),"x","")</f>
        <v/>
      </c>
      <c r="AG471" s="80"/>
      <c r="AH471" s="80" t="str">
        <f>IF(AND(B471&gt;='IN-NX'!$P$3,B471&lt;='IN-NX'!$Q$3,'IN-NX'!$D$7=D471,OR(LEFT(L471,2)="15",AND(LEFT(M471,2)&lt;&gt;"15",LEFT(M471,2)&lt;&gt;"33"))),"x","")</f>
        <v/>
      </c>
      <c r="AI471" s="80" t="str">
        <f>IF(AND(OR(LEFT(TH!O471,2)="15",LEFT(TH!P471,2)="15"),'152-CT'!$J$8=TH!F471),"x","")</f>
        <v/>
      </c>
      <c r="AJ471" s="80" t="str">
        <f>IF(AND(OR(LEFT(TH!O471,2)="15",LEFT(TH!P471,2)="15"),'THE KHO'!$E$7=TH!F471),"x","")</f>
        <v/>
      </c>
      <c r="AK471" s="80" t="str">
        <f>IF(AND(O471="1521",MONTH(C471)='BK NL'!$M$11),"x","")</f>
        <v/>
      </c>
    </row>
    <row r="472" spans="1:37" ht="15.75" customHeight="1">
      <c r="A472" s="362" t="str">
        <f>IF(B472&lt;&gt;"",IF(AND(B472&gt;=_TM1,B472&lt;=_TM2,OR(TH!O472="1111",TH!P472="1111")),TH!D472,""),"")</f>
        <v/>
      </c>
      <c r="B472" s="63">
        <f t="shared" si="32"/>
        <v>7</v>
      </c>
      <c r="C472" s="1045">
        <v>42565</v>
      </c>
      <c r="D472" s="1045" t="s">
        <v>71</v>
      </c>
      <c r="E472" s="1045">
        <v>42565</v>
      </c>
      <c r="F472" s="1046" t="s">
        <v>1076</v>
      </c>
      <c r="G472" s="1126" t="s">
        <v>1077</v>
      </c>
      <c r="H472" s="1048" t="s">
        <v>1078</v>
      </c>
      <c r="I472" s="1049"/>
      <c r="J472" s="1049"/>
      <c r="K472" s="1050"/>
      <c r="L472" s="1049"/>
      <c r="M472" s="1122">
        <v>4008182</v>
      </c>
      <c r="N472" s="1122"/>
      <c r="O472" s="1052" t="s">
        <v>135</v>
      </c>
      <c r="P472" s="1117" t="s">
        <v>97</v>
      </c>
      <c r="Q472" s="66" t="str">
        <f>IF(AND('331-CT'!$E$7=TH!H472,OR(O472="331",P472="331")),"x","")</f>
        <v/>
      </c>
      <c r="R472" s="66" t="str">
        <f>IF(AND($B472&gt;='111'!$N$11,$B472&lt;='111'!$O$11,OR($O472=$R$7,$P472=$R$7)),"x","")</f>
        <v>x</v>
      </c>
      <c r="S472" s="66" t="str">
        <f>IF(AND($O472=$R$7,$B472&lt;'111'!$N$11),"x","")</f>
        <v/>
      </c>
      <c r="T472" s="66" t="str">
        <f>IF(AND($P472=$R$7,$B472&lt;'111'!$N$11),"x","")</f>
        <v/>
      </c>
      <c r="U472" s="66" t="str">
        <f>IF(AND($B472&gt;='112'!$M$9,$B472&lt;='112'!$N$9,OR($O472='112'!$I$6,$P472='112'!$I$6)),"x","")</f>
        <v/>
      </c>
      <c r="V472" s="66" t="str">
        <f>IF(AND($O472='112'!$I$6,$B472&lt;'112'!$M$9),"x","")</f>
        <v/>
      </c>
      <c r="W472" s="66" t="str">
        <f>IF(AND($P472='112'!$I$6,$B472&lt;'112'!$M$9),"x","")</f>
        <v/>
      </c>
      <c r="X472" s="66" t="str">
        <f>IF(AND('131-CT'!$H$9=TH!H472,OR(O472="131",P472="131")),"x","")</f>
        <v/>
      </c>
      <c r="Y472" s="80" t="str">
        <f>IF(AND($B472&gt;='1331'!$I$9,$B472&lt;='1331'!$J$9,OR($O472=$Y$7,$P472=$Y$7)),"x","")</f>
        <v/>
      </c>
      <c r="Z472" s="80" t="str">
        <f>IF(AND($O472=$Y$7,$B472&lt;'1331'!$I$9),"x","")</f>
        <v/>
      </c>
      <c r="AA472" s="80" t="str">
        <f>IF(AND($P472=$Y$7,$B472&lt;'1331'!$I$9),"x","")</f>
        <v/>
      </c>
      <c r="AB472" s="80" t="str">
        <f>IF(AND($B472&gt;='1332'!$I$9,$B472&lt;='1332'!$I$9,OR($O472=$AB$7,$P472=$AB$7)),"x","")</f>
        <v/>
      </c>
      <c r="AC472" s="80" t="str">
        <f>IF(AND($O472=$AB$7,$B472&lt;'1332'!$I$9),"x","")</f>
        <v/>
      </c>
      <c r="AD472" s="80" t="str">
        <f>IF(AND($P472=$AB$7,$B472&lt;'1332'!$I$9),"x","")</f>
        <v/>
      </c>
      <c r="AE472" s="80" t="str">
        <f>IF(AND('341-CT'!$H$9=H472,OR(LEFT(O472,3)=$AE$7,LEFT(P472,3)=$AE$7)),"x","")</f>
        <v/>
      </c>
      <c r="AF472" s="80" t="str">
        <f>IF(OR(TH!O472=TH!$AF$7,P472=TH!$AF$7),"x","")</f>
        <v/>
      </c>
      <c r="AG472" s="80"/>
      <c r="AH472" s="80" t="str">
        <f>IF(AND(B472&gt;='IN-NX'!$P$3,B472&lt;='IN-NX'!$Q$3,'IN-NX'!$D$7=D472,OR(LEFT(L472,2)="15",AND(LEFT(M472,2)&lt;&gt;"15",LEFT(M472,2)&lt;&gt;"33"))),"x","")</f>
        <v/>
      </c>
      <c r="AI472" s="80" t="str">
        <f>IF(AND(OR(LEFT(TH!O472,2)="15",LEFT(TH!P472,2)="15"),'152-CT'!$J$8=TH!F472),"x","")</f>
        <v/>
      </c>
      <c r="AJ472" s="80" t="str">
        <f>IF(AND(OR(LEFT(TH!O472,2)="15",LEFT(TH!P472,2)="15"),'THE KHO'!$E$7=TH!F472),"x","")</f>
        <v/>
      </c>
      <c r="AK472" s="80" t="str">
        <f>IF(AND(O472="1521",MONTH(C472)='BK NL'!$M$11),"x","")</f>
        <v/>
      </c>
    </row>
    <row r="473" spans="1:37" ht="15.75" customHeight="1">
      <c r="A473" s="362" t="str">
        <f>IF(B473&lt;&gt;"",IF(AND(B473&gt;=_TM1,B473&lt;=_TM2,OR(TH!O473="1111",TH!P473="1111")),TH!D473,""),"")</f>
        <v/>
      </c>
      <c r="B473" s="63">
        <f t="shared" si="32"/>
        <v>7</v>
      </c>
      <c r="C473" s="1045">
        <v>42565</v>
      </c>
      <c r="D473" s="1045" t="s">
        <v>71</v>
      </c>
      <c r="E473" s="1045">
        <v>42565</v>
      </c>
      <c r="F473" s="1046" t="s">
        <v>1079</v>
      </c>
      <c r="G473" s="1126" t="s">
        <v>1077</v>
      </c>
      <c r="H473" s="1048" t="s">
        <v>1078</v>
      </c>
      <c r="I473" s="1049"/>
      <c r="J473" s="1049"/>
      <c r="K473" s="1050"/>
      <c r="L473" s="1049"/>
      <c r="M473" s="1122">
        <v>400818</v>
      </c>
      <c r="N473" s="1122"/>
      <c r="O473" s="1125" t="s">
        <v>10</v>
      </c>
      <c r="P473" s="1117" t="s">
        <v>97</v>
      </c>
      <c r="Q473" s="66" t="str">
        <f>IF(AND('331-CT'!$E$7=TH!H473,OR(O473="331",P473="331")),"x","")</f>
        <v/>
      </c>
      <c r="R473" s="66" t="str">
        <f>IF(AND($B473&gt;='111'!$N$11,$B473&lt;='111'!$O$11,OR($O473=$R$7,$P473=$R$7)),"x","")</f>
        <v>x</v>
      </c>
      <c r="S473" s="66" t="str">
        <f>IF(AND($O473=$R$7,$B473&lt;'111'!$N$11),"x","")</f>
        <v/>
      </c>
      <c r="T473" s="66" t="str">
        <f>IF(AND($P473=$R$7,$B473&lt;'111'!$N$11),"x","")</f>
        <v/>
      </c>
      <c r="U473" s="66" t="str">
        <f>IF(AND($B473&gt;='112'!$M$9,$B473&lt;='112'!$N$9,OR($O473='112'!$I$6,$P473='112'!$I$6)),"x","")</f>
        <v/>
      </c>
      <c r="V473" s="66" t="str">
        <f>IF(AND($O473='112'!$I$6,$B473&lt;'112'!$M$9),"x","")</f>
        <v/>
      </c>
      <c r="W473" s="66" t="str">
        <f>IF(AND($P473='112'!$I$6,$B473&lt;'112'!$M$9),"x","")</f>
        <v/>
      </c>
      <c r="X473" s="66" t="str">
        <f>IF(AND('131-CT'!$H$9=TH!H473,OR(O473="131",P473="131")),"x","")</f>
        <v/>
      </c>
      <c r="Y473" s="80" t="str">
        <f>IF(AND($B473&gt;='1331'!$I$9,$B473&lt;='1331'!$J$9,OR($O473=$Y$7,$P473=$Y$7)),"x","")</f>
        <v>x</v>
      </c>
      <c r="Z473" s="80" t="str">
        <f>IF(AND($O473=$Y$7,$B473&lt;'1331'!$I$9),"x","")</f>
        <v/>
      </c>
      <c r="AA473" s="80" t="str">
        <f>IF(AND($P473=$Y$7,$B473&lt;'1331'!$I$9),"x","")</f>
        <v/>
      </c>
      <c r="AB473" s="80" t="str">
        <f>IF(AND($B473&gt;='1332'!$I$9,$B473&lt;='1332'!$I$9,OR($O473=$AB$7,$P473=$AB$7)),"x","")</f>
        <v/>
      </c>
      <c r="AC473" s="80" t="str">
        <f>IF(AND($O473=$AB$7,$B473&lt;'1332'!$I$9),"x","")</f>
        <v/>
      </c>
      <c r="AD473" s="80" t="str">
        <f>IF(AND($P473=$AB$7,$B473&lt;'1332'!$I$9),"x","")</f>
        <v/>
      </c>
      <c r="AE473" s="80" t="str">
        <f>IF(AND('341-CT'!$H$9=H473,OR(LEFT(O473,3)=$AE$7,LEFT(P473,3)=$AE$7)),"x","")</f>
        <v/>
      </c>
      <c r="AF473" s="80" t="str">
        <f>IF(OR(TH!O473=TH!$AF$7,P473=TH!$AF$7),"x","")</f>
        <v/>
      </c>
      <c r="AG473" s="80"/>
      <c r="AH473" s="80" t="str">
        <f>IF(AND(B473&gt;='IN-NX'!$P$3,B473&lt;='IN-NX'!$Q$3,'IN-NX'!$D$7=D473,OR(LEFT(L473,2)="15",AND(LEFT(M473,2)&lt;&gt;"15",LEFT(M473,2)&lt;&gt;"33"))),"x","")</f>
        <v/>
      </c>
      <c r="AI473" s="80" t="str">
        <f>IF(AND(OR(LEFT(TH!O473,2)="15",LEFT(TH!P473,2)="15"),'152-CT'!$J$8=TH!F473),"x","")</f>
        <v/>
      </c>
      <c r="AJ473" s="80" t="str">
        <f>IF(AND(OR(LEFT(TH!O473,2)="15",LEFT(TH!P473,2)="15"),'THE KHO'!$E$7=TH!F473),"x","")</f>
        <v/>
      </c>
      <c r="AK473" s="80" t="str">
        <f>IF(AND(O473="1521",MONTH(C473)='BK NL'!$M$11),"x","")</f>
        <v/>
      </c>
    </row>
    <row r="474" spans="1:37" ht="15.75" customHeight="1">
      <c r="A474" s="362" t="str">
        <f>IF(B474&lt;&gt;"",IF(AND(B474&gt;=_TM1,B474&lt;=_TM2,OR(TH!O474="1111",TH!P474="1111")),TH!D474,""),"")</f>
        <v/>
      </c>
      <c r="B474" s="63">
        <f t="shared" si="32"/>
        <v>7</v>
      </c>
      <c r="C474" s="1045">
        <v>42566</v>
      </c>
      <c r="D474" s="1045" t="s">
        <v>72</v>
      </c>
      <c r="E474" s="1045">
        <v>42566</v>
      </c>
      <c r="F474" s="1046" t="s">
        <v>1080</v>
      </c>
      <c r="G474" s="1126" t="s">
        <v>1081</v>
      </c>
      <c r="H474" s="1048" t="s">
        <v>319</v>
      </c>
      <c r="I474" s="1049"/>
      <c r="J474" s="1049"/>
      <c r="K474" s="1050"/>
      <c r="L474" s="1049"/>
      <c r="M474" s="1122">
        <f>2121000+1305000</f>
        <v>3426000</v>
      </c>
      <c r="N474" s="1122"/>
      <c r="O474" s="1052" t="s">
        <v>242</v>
      </c>
      <c r="P474" s="1117" t="s">
        <v>97</v>
      </c>
      <c r="Q474" s="66" t="str">
        <f>IF(AND('331-CT'!$E$7=TH!H474,OR(O474="331",P474="331")),"x","")</f>
        <v/>
      </c>
      <c r="R474" s="66" t="str">
        <f>IF(AND($B474&gt;='111'!$N$11,$B474&lt;='111'!$O$11,OR($O474=$R$7,$P474=$R$7)),"x","")</f>
        <v>x</v>
      </c>
      <c r="S474" s="66" t="str">
        <f>IF(AND($O474=$R$7,$B474&lt;'111'!$N$11),"x","")</f>
        <v/>
      </c>
      <c r="T474" s="66" t="str">
        <f>IF(AND($P474=$R$7,$B474&lt;'111'!$N$11),"x","")</f>
        <v/>
      </c>
      <c r="U474" s="66" t="str">
        <f>IF(AND($B474&gt;='112'!$M$9,$B474&lt;='112'!$N$9,OR($O474='112'!$I$6,$P474='112'!$I$6)),"x","")</f>
        <v/>
      </c>
      <c r="V474" s="66" t="str">
        <f>IF(AND($O474='112'!$I$6,$B474&lt;'112'!$M$9),"x","")</f>
        <v/>
      </c>
      <c r="W474" s="66" t="str">
        <f>IF(AND($P474='112'!$I$6,$B474&lt;'112'!$M$9),"x","")</f>
        <v/>
      </c>
      <c r="X474" s="66" t="str">
        <f>IF(AND('131-CT'!$H$9=TH!H474,OR(O474="131",P474="131")),"x","")</f>
        <v/>
      </c>
      <c r="Y474" s="80" t="str">
        <f>IF(AND($B474&gt;='1331'!$I$9,$B474&lt;='1331'!$J$9,OR($O474=$Y$7,$P474=$Y$7)),"x","")</f>
        <v/>
      </c>
      <c r="Z474" s="80" t="str">
        <f>IF(AND($O474=$Y$7,$B474&lt;'1331'!$I$9),"x","")</f>
        <v/>
      </c>
      <c r="AA474" s="80" t="str">
        <f>IF(AND($P474=$Y$7,$B474&lt;'1331'!$I$9),"x","")</f>
        <v/>
      </c>
      <c r="AB474" s="80" t="str">
        <f>IF(AND($B474&gt;='1332'!$I$9,$B474&lt;='1332'!$I$9,OR($O474=$AB$7,$P474=$AB$7)),"x","")</f>
        <v/>
      </c>
      <c r="AC474" s="80" t="str">
        <f>IF(AND($O474=$AB$7,$B474&lt;'1332'!$I$9),"x","")</f>
        <v/>
      </c>
      <c r="AD474" s="80" t="str">
        <f>IF(AND($P474=$AB$7,$B474&lt;'1332'!$I$9),"x","")</f>
        <v/>
      </c>
      <c r="AE474" s="80" t="str">
        <f>IF(AND('341-CT'!$H$9=H474,OR(LEFT(O474,3)=$AE$7,LEFT(P474,3)=$AE$7)),"x","")</f>
        <v/>
      </c>
      <c r="AF474" s="80" t="str">
        <f>IF(OR(TH!O474=TH!$AF$7,P474=TH!$AF$7),"x","")</f>
        <v/>
      </c>
      <c r="AG474" s="80"/>
      <c r="AH474" s="80" t="str">
        <f>IF(AND(B474&gt;='IN-NX'!$P$3,B474&lt;='IN-NX'!$Q$3,'IN-NX'!$D$7=D474,OR(LEFT(L474,2)="15",AND(LEFT(M474,2)&lt;&gt;"15",LEFT(M474,2)&lt;&gt;"33"))),"x","")</f>
        <v/>
      </c>
      <c r="AI474" s="80" t="str">
        <f>IF(AND(OR(LEFT(TH!O474,2)="15",LEFT(TH!P474,2)="15"),'152-CT'!$J$8=TH!F474),"x","")</f>
        <v/>
      </c>
      <c r="AJ474" s="80" t="str">
        <f>IF(AND(OR(LEFT(TH!O474,2)="15",LEFT(TH!P474,2)="15"),'THE KHO'!$E$7=TH!F474),"x","")</f>
        <v/>
      </c>
      <c r="AK474" s="80" t="str">
        <f>IF(AND(O474="1521",MONTH(C474)='BK NL'!$M$11),"x","")</f>
        <v/>
      </c>
    </row>
    <row r="475" spans="1:37" ht="15.75" customHeight="1">
      <c r="A475" s="362" t="str">
        <f>IF(B475&lt;&gt;"",IF(AND(B475&gt;=_TM1,B475&lt;=_TM2,OR(TH!O475="1111",TH!P475="1111")),TH!D475,""),"")</f>
        <v/>
      </c>
      <c r="B475" s="63">
        <f t="shared" si="32"/>
        <v>7</v>
      </c>
      <c r="C475" s="1045">
        <v>42566</v>
      </c>
      <c r="D475" s="1045" t="s">
        <v>73</v>
      </c>
      <c r="E475" s="1045">
        <v>42566</v>
      </c>
      <c r="F475" s="1046" t="s">
        <v>1008</v>
      </c>
      <c r="G475" s="1053"/>
      <c r="H475" s="1048" t="s">
        <v>429</v>
      </c>
      <c r="I475" s="1049"/>
      <c r="J475" s="1049"/>
      <c r="K475" s="1050"/>
      <c r="L475" s="1049"/>
      <c r="M475" s="1051">
        <v>29000000</v>
      </c>
      <c r="N475" s="1051"/>
      <c r="O475" s="1052" t="s">
        <v>24</v>
      </c>
      <c r="P475" s="1052" t="s">
        <v>97</v>
      </c>
      <c r="Q475" s="66" t="str">
        <f>IF(AND('331-CT'!$E$7=TH!H475,OR(O475="331",P475="331")),"x","")</f>
        <v/>
      </c>
      <c r="R475" s="66" t="str">
        <f>IF(AND($B475&gt;='111'!$N$11,$B475&lt;='111'!$O$11,OR($O475=$R$7,$P475=$R$7)),"x","")</f>
        <v>x</v>
      </c>
      <c r="S475" s="66" t="str">
        <f>IF(AND($O475=$R$7,$B475&lt;'111'!$N$11),"x","")</f>
        <v/>
      </c>
      <c r="T475" s="66" t="str">
        <f>IF(AND($P475=$R$7,$B475&lt;'111'!$N$11),"x","")</f>
        <v/>
      </c>
      <c r="U475" s="66" t="str">
        <f>IF(AND($B475&gt;='112'!$M$9,$B475&lt;='112'!$N$9,OR($O475='112'!$I$6,$P475='112'!$I$6)),"x","")</f>
        <v/>
      </c>
      <c r="V475" s="66" t="str">
        <f>IF(AND($O475='112'!$I$6,$B475&lt;'112'!$M$9),"x","")</f>
        <v/>
      </c>
      <c r="W475" s="66" t="str">
        <f>IF(AND($P475='112'!$I$6,$B475&lt;'112'!$M$9),"x","")</f>
        <v/>
      </c>
      <c r="X475" s="66" t="str">
        <f>IF(AND('131-CT'!$H$9=TH!H475,OR(O475="131",P475="131")),"x","")</f>
        <v/>
      </c>
      <c r="Y475" s="80" t="str">
        <f>IF(AND($B475&gt;='1331'!$I$9,$B475&lt;='1331'!$J$9,OR($O475=$Y$7,$P475=$Y$7)),"x","")</f>
        <v/>
      </c>
      <c r="Z475" s="80" t="str">
        <f>IF(AND($O475=$Y$7,$B475&lt;'1331'!$I$9),"x","")</f>
        <v/>
      </c>
      <c r="AA475" s="80" t="str">
        <f>IF(AND($P475=$Y$7,$B475&lt;'1331'!$I$9),"x","")</f>
        <v/>
      </c>
      <c r="AB475" s="80" t="str">
        <f>IF(AND($B475&gt;='1332'!$I$9,$B475&lt;='1332'!$I$9,OR($O475=$AB$7,$P475=$AB$7)),"x","")</f>
        <v/>
      </c>
      <c r="AC475" s="80" t="str">
        <f>IF(AND($O475=$AB$7,$B475&lt;'1332'!$I$9),"x","")</f>
        <v/>
      </c>
      <c r="AD475" s="80" t="str">
        <f>IF(AND($P475=$AB$7,$B475&lt;'1332'!$I$9),"x","")</f>
        <v/>
      </c>
      <c r="AE475" s="80" t="str">
        <f>IF(AND('341-CT'!$H$9=H475,OR(LEFT(O475,3)=$AE$7,LEFT(P475,3)=$AE$7)),"x","")</f>
        <v/>
      </c>
      <c r="AF475" s="80" t="str">
        <f>IF(OR(TH!O475=TH!$AF$7,P475=TH!$AF$7),"x","")</f>
        <v>x</v>
      </c>
      <c r="AG475" s="80"/>
      <c r="AH475" s="80" t="str">
        <f>IF(AND(B475&gt;='IN-NX'!$P$3,B475&lt;='IN-NX'!$Q$3,'IN-NX'!$D$7=D475,OR(LEFT(L475,2)="15",AND(LEFT(M475,2)&lt;&gt;"15",LEFT(M475,2)&lt;&gt;"33"))),"x","")</f>
        <v/>
      </c>
      <c r="AI475" s="80" t="str">
        <f>IF(AND(OR(LEFT(TH!O475,2)="15",LEFT(TH!P475,2)="15"),'152-CT'!$J$8=TH!F475),"x","")</f>
        <v/>
      </c>
      <c r="AJ475" s="80" t="str">
        <f>IF(AND(OR(LEFT(TH!O475,2)="15",LEFT(TH!P475,2)="15"),'THE KHO'!$E$7=TH!F475),"x","")</f>
        <v/>
      </c>
      <c r="AK475" s="80" t="str">
        <f>IF(AND(O475="1521",MONTH(C475)='BK NL'!$M$11),"x","")</f>
        <v/>
      </c>
    </row>
    <row r="476" spans="1:37" ht="15.75" customHeight="1">
      <c r="A476" s="362" t="str">
        <f>IF(B476&lt;&gt;"",IF(AND(B476&gt;=_TM1,B476&lt;=_TM2,OR(TH!O476="1111",TH!P476="1111")),TH!D476,""),"")</f>
        <v/>
      </c>
      <c r="B476" s="63">
        <f t="shared" si="32"/>
        <v>7</v>
      </c>
      <c r="C476" s="1045">
        <v>42566</v>
      </c>
      <c r="D476" s="1045" t="s">
        <v>74</v>
      </c>
      <c r="E476" s="1045">
        <v>42573</v>
      </c>
      <c r="F476" s="1046" t="s">
        <v>1008</v>
      </c>
      <c r="G476" s="1053"/>
      <c r="H476" s="1048" t="s">
        <v>429</v>
      </c>
      <c r="I476" s="1049"/>
      <c r="J476" s="1049"/>
      <c r="K476" s="1050"/>
      <c r="L476" s="1049"/>
      <c r="M476" s="1051">
        <f>160000000</f>
        <v>160000000</v>
      </c>
      <c r="N476" s="1051"/>
      <c r="O476" s="1052" t="s">
        <v>24</v>
      </c>
      <c r="P476" s="1052" t="s">
        <v>97</v>
      </c>
      <c r="Q476" s="66" t="str">
        <f>IF(AND('331-CT'!$E$7=TH!H476,OR(O476="331",P476="331")),"x","")</f>
        <v/>
      </c>
      <c r="R476" s="66" t="str">
        <f>IF(AND($B476&gt;='111'!$N$11,$B476&lt;='111'!$O$11,OR($O476=$R$7,$P476=$R$7)),"x","")</f>
        <v>x</v>
      </c>
      <c r="S476" s="66" t="str">
        <f>IF(AND($O476=$R$7,$B476&lt;'111'!$N$11),"x","")</f>
        <v/>
      </c>
      <c r="T476" s="66" t="str">
        <f>IF(AND($P476=$R$7,$B476&lt;'111'!$N$11),"x","")</f>
        <v/>
      </c>
      <c r="U476" s="66" t="str">
        <f>IF(AND($B476&gt;='112'!$M$9,$B476&lt;='112'!$N$9,OR($O476='112'!$I$6,$P476='112'!$I$6)),"x","")</f>
        <v/>
      </c>
      <c r="V476" s="66" t="str">
        <f>IF(AND($O476='112'!$I$6,$B476&lt;'112'!$M$9),"x","")</f>
        <v/>
      </c>
      <c r="W476" s="66" t="str">
        <f>IF(AND($P476='112'!$I$6,$B476&lt;'112'!$M$9),"x","")</f>
        <v/>
      </c>
      <c r="X476" s="66" t="str">
        <f>IF(AND('131-CT'!$H$9=TH!H476,OR(O476="131",P476="131")),"x","")</f>
        <v/>
      </c>
      <c r="Y476" s="80" t="str">
        <f>IF(AND($B476&gt;='1331'!$I$9,$B476&lt;='1331'!$J$9,OR($O476=$Y$7,$P476=$Y$7)),"x","")</f>
        <v/>
      </c>
      <c r="Z476" s="80" t="str">
        <f>IF(AND($O476=$Y$7,$B476&lt;'1331'!$I$9),"x","")</f>
        <v/>
      </c>
      <c r="AA476" s="80" t="str">
        <f>IF(AND($P476=$Y$7,$B476&lt;'1331'!$I$9),"x","")</f>
        <v/>
      </c>
      <c r="AB476" s="80" t="str">
        <f>IF(AND($B476&gt;='1332'!$I$9,$B476&lt;='1332'!$I$9,OR($O476=$AB$7,$P476=$AB$7)),"x","")</f>
        <v/>
      </c>
      <c r="AC476" s="80" t="str">
        <f>IF(AND($O476=$AB$7,$B476&lt;'1332'!$I$9),"x","")</f>
        <v/>
      </c>
      <c r="AD476" s="80" t="str">
        <f>IF(AND($P476=$AB$7,$B476&lt;'1332'!$I$9),"x","")</f>
        <v/>
      </c>
      <c r="AE476" s="80" t="str">
        <f>IF(AND('341-CT'!$H$9=H476,OR(LEFT(O476,3)=$AE$7,LEFT(P476,3)=$AE$7)),"x","")</f>
        <v/>
      </c>
      <c r="AF476" s="80" t="str">
        <f>IF(OR(TH!O476=TH!$AF$7,P476=TH!$AF$7),"x","")</f>
        <v>x</v>
      </c>
      <c r="AG476" s="80"/>
      <c r="AH476" s="80" t="str">
        <f>IF(AND(B476&gt;='IN-NX'!$P$3,B476&lt;='IN-NX'!$Q$3,'IN-NX'!$D$7=D476,OR(LEFT(L476,2)="15",AND(LEFT(M476,2)&lt;&gt;"15",LEFT(M476,2)&lt;&gt;"33"))),"x","")</f>
        <v/>
      </c>
      <c r="AI476" s="80" t="str">
        <f>IF(AND(OR(LEFT(TH!O476,2)="15",LEFT(TH!P476,2)="15"),'152-CT'!$J$8=TH!F476),"x","")</f>
        <v/>
      </c>
      <c r="AJ476" s="80" t="str">
        <f>IF(AND(OR(LEFT(TH!O476,2)="15",LEFT(TH!P476,2)="15"),'THE KHO'!$E$7=TH!F476),"x","")</f>
        <v/>
      </c>
      <c r="AK476" s="80" t="str">
        <f>IF(AND(O476="1521",MONTH(C476)='BK NL'!$M$11),"x","")</f>
        <v/>
      </c>
    </row>
    <row r="477" spans="1:37" ht="15.75" customHeight="1">
      <c r="A477" s="362" t="str">
        <f>IF(B477&lt;&gt;"",IF(AND(B477&gt;=_TM1,B477&lt;=_TM2,OR(TH!O477="1111",TH!P477="1111")),TH!D477,""),"")</f>
        <v/>
      </c>
      <c r="B477" s="63">
        <f t="shared" si="32"/>
        <v>7</v>
      </c>
      <c r="C477" s="1045">
        <f>E477</f>
        <v>42566</v>
      </c>
      <c r="D477" s="1045" t="s">
        <v>12</v>
      </c>
      <c r="E477" s="1045">
        <v>42566</v>
      </c>
      <c r="F477" s="1046" t="s">
        <v>788</v>
      </c>
      <c r="G477" s="1047" t="s">
        <v>798</v>
      </c>
      <c r="H477" s="1048" t="s">
        <v>429</v>
      </c>
      <c r="I477" s="1049"/>
      <c r="J477" s="1049"/>
      <c r="K477" s="1050"/>
      <c r="L477" s="1049"/>
      <c r="M477" s="1051">
        <v>29000000</v>
      </c>
      <c r="N477" s="1051"/>
      <c r="O477" s="1052" t="s">
        <v>31</v>
      </c>
      <c r="P477" s="1052" t="s">
        <v>24</v>
      </c>
      <c r="Q477" s="66" t="str">
        <f>IF(AND('331-CT'!$E$7=TH!H477,OR(O477="331",P477="331")),"x","")</f>
        <v/>
      </c>
      <c r="R477" s="66" t="str">
        <f>IF(AND($B477&gt;='111'!$N$11,$B477&lt;='111'!$O$11,OR($O477=$R$7,$P477=$R$7)),"x","")</f>
        <v/>
      </c>
      <c r="S477" s="66" t="str">
        <f>IF(AND($O477=$R$7,$B477&lt;'111'!$N$11),"x","")</f>
        <v/>
      </c>
      <c r="T477" s="66" t="str">
        <f>IF(AND($P477=$R$7,$B477&lt;'111'!$N$11),"x","")</f>
        <v/>
      </c>
      <c r="U477" s="66" t="str">
        <f>IF(AND($B477&gt;='112'!$M$9,$B477&lt;='112'!$N$9,OR($O477='112'!$I$6,$P477='112'!$I$6)),"x","")</f>
        <v>x</v>
      </c>
      <c r="V477" s="66" t="str">
        <f>IF(AND($O477='112'!$I$6,$B477&lt;'112'!$M$9),"x","")</f>
        <v/>
      </c>
      <c r="W477" s="66" t="str">
        <f>IF(AND($P477='112'!$I$6,$B477&lt;'112'!$M$9),"x","")</f>
        <v/>
      </c>
      <c r="X477" s="66" t="str">
        <f>IF(AND('131-CT'!$H$9=TH!H477,OR(O477="131",P477="131")),"x","")</f>
        <v/>
      </c>
      <c r="Y477" s="80" t="str">
        <f>IF(AND($B477&gt;='1331'!$I$9,$B477&lt;='1331'!$J$9,OR($O477=$Y$7,$P477=$Y$7)),"x","")</f>
        <v/>
      </c>
      <c r="Z477" s="80" t="str">
        <f>IF(AND($O477=$Y$7,$B477&lt;'1331'!$I$9),"x","")</f>
        <v/>
      </c>
      <c r="AA477" s="80" t="str">
        <f>IF(AND($P477=$Y$7,$B477&lt;'1331'!$I$9),"x","")</f>
        <v/>
      </c>
      <c r="AB477" s="80" t="str">
        <f>IF(AND($B477&gt;='1332'!$I$9,$B477&lt;='1332'!$I$9,OR($O477=$AB$7,$P477=$AB$7)),"x","")</f>
        <v/>
      </c>
      <c r="AC477" s="80" t="str">
        <f>IF(AND($O477=$AB$7,$B477&lt;'1332'!$I$9),"x","")</f>
        <v/>
      </c>
      <c r="AD477" s="80" t="str">
        <f>IF(AND($P477=$AB$7,$B477&lt;'1332'!$I$9),"x","")</f>
        <v/>
      </c>
      <c r="AE477" s="80" t="str">
        <f>IF(AND('341-CT'!$H$9=H477,OR(LEFT(O477,3)=$AE$7,LEFT(P477,3)=$AE$7)),"x","")</f>
        <v/>
      </c>
      <c r="AF477" s="80" t="str">
        <f>IF(OR(TH!O477=TH!$AF$7,P477=TH!$AF$7),"x","")</f>
        <v>x</v>
      </c>
      <c r="AG477" s="80"/>
      <c r="AH477" s="80" t="str">
        <f>IF(AND(B477&gt;='IN-NX'!$P$3,B477&lt;='IN-NX'!$Q$3,'IN-NX'!$D$7=D477,OR(LEFT(L477,2)="15",AND(LEFT(M477,2)&lt;&gt;"15",LEFT(M477,2)&lt;&gt;"33"))),"x","")</f>
        <v/>
      </c>
      <c r="AI477" s="80" t="str">
        <f>IF(AND(OR(LEFT(TH!O477,2)="15",LEFT(TH!P477,2)="15"),'152-CT'!$J$8=TH!F477),"x","")</f>
        <v/>
      </c>
      <c r="AJ477" s="80" t="str">
        <f>IF(AND(OR(LEFT(TH!O477,2)="15",LEFT(TH!P477,2)="15"),'THE KHO'!$E$7=TH!F477),"x","")</f>
        <v/>
      </c>
      <c r="AK477" s="80" t="str">
        <f>IF(AND(O477="1521",MONTH(C477)='BK NL'!$M$11),"x","")</f>
        <v/>
      </c>
    </row>
    <row r="478" spans="1:37" ht="15.75" customHeight="1">
      <c r="A478" s="362" t="str">
        <f>IF(B478&lt;&gt;"",IF(AND(B478&gt;=_TM1,B478&lt;=_TM2,OR(TH!O478="1111",TH!P478="1111")),TH!D478,""),"")</f>
        <v/>
      </c>
      <c r="B478" s="63">
        <f t="shared" si="32"/>
        <v>7</v>
      </c>
      <c r="C478" s="1045">
        <f>E478</f>
        <v>42566</v>
      </c>
      <c r="D478" s="1045" t="s">
        <v>8</v>
      </c>
      <c r="E478" s="1045">
        <v>42566</v>
      </c>
      <c r="F478" s="1046" t="s">
        <v>1075</v>
      </c>
      <c r="G478" s="1047"/>
      <c r="H478" s="1048" t="s">
        <v>1006</v>
      </c>
      <c r="I478" s="1049"/>
      <c r="J478" s="1049"/>
      <c r="K478" s="1050"/>
      <c r="L478" s="1049"/>
      <c r="M478" s="1051">
        <v>28700000</v>
      </c>
      <c r="N478" s="1051"/>
      <c r="O478" s="1052" t="s">
        <v>9</v>
      </c>
      <c r="P478" s="1052" t="s">
        <v>31</v>
      </c>
      <c r="Q478" s="66" t="str">
        <f>IF(AND('331-CT'!$E$7=TH!H478,OR(O478="331",P478="331")),"x","")</f>
        <v/>
      </c>
      <c r="R478" s="66" t="str">
        <f>IF(AND($B478&gt;='111'!$N$11,$B478&lt;='111'!$O$11,OR($O478=$R$7,$P478=$R$7)),"x","")</f>
        <v/>
      </c>
      <c r="S478" s="66" t="str">
        <f>IF(AND($O478=$R$7,$B478&lt;'111'!$N$11),"x","")</f>
        <v/>
      </c>
      <c r="T478" s="66" t="str">
        <f>IF(AND($P478=$R$7,$B478&lt;'111'!$N$11),"x","")</f>
        <v/>
      </c>
      <c r="U478" s="66" t="str">
        <f>IF(AND($B478&gt;='112'!$M$9,$B478&lt;='112'!$N$9,OR($O478='112'!$I$6,$P478='112'!$I$6)),"x","")</f>
        <v>x</v>
      </c>
      <c r="V478" s="66" t="str">
        <f>IF(AND($O478='112'!$I$6,$B478&lt;'112'!$M$9),"x","")</f>
        <v/>
      </c>
      <c r="W478" s="66" t="str">
        <f>IF(AND($P478='112'!$I$6,$B478&lt;'112'!$M$9),"x","")</f>
        <v/>
      </c>
      <c r="X478" s="66" t="str">
        <f>IF(AND('131-CT'!$H$9=TH!H478,OR(O478="131",P478="131")),"x","")</f>
        <v/>
      </c>
      <c r="Y478" s="80" t="str">
        <f>IF(AND($B478&gt;='1331'!$I$9,$B478&lt;='1331'!$J$9,OR($O478=$Y$7,$P478=$Y$7)),"x","")</f>
        <v/>
      </c>
      <c r="Z478" s="80" t="str">
        <f>IF(AND($O478=$Y$7,$B478&lt;'1331'!$I$9),"x","")</f>
        <v/>
      </c>
      <c r="AA478" s="80" t="str">
        <f>IF(AND($P478=$Y$7,$B478&lt;'1331'!$I$9),"x","")</f>
        <v/>
      </c>
      <c r="AB478" s="80" t="str">
        <f>IF(AND($B478&gt;='1332'!$I$9,$B478&lt;='1332'!$I$9,OR($O478=$AB$7,$P478=$AB$7)),"x","")</f>
        <v/>
      </c>
      <c r="AC478" s="80" t="str">
        <f>IF(AND($O478=$AB$7,$B478&lt;'1332'!$I$9),"x","")</f>
        <v/>
      </c>
      <c r="AD478" s="80" t="str">
        <f>IF(AND($P478=$AB$7,$B478&lt;'1332'!$I$9),"x","")</f>
        <v/>
      </c>
      <c r="AE478" s="80" t="str">
        <f>IF(AND('341-CT'!$H$9=H478,OR(LEFT(O478,3)=$AE$7,LEFT(P478,3)=$AE$7)),"x","")</f>
        <v/>
      </c>
      <c r="AF478" s="80" t="str">
        <f>IF(OR(TH!O478=TH!$AF$7,P478=TH!$AF$7),"x","")</f>
        <v/>
      </c>
      <c r="AG478" s="80"/>
      <c r="AH478" s="80" t="str">
        <f>IF(AND(B478&gt;='IN-NX'!$P$3,B478&lt;='IN-NX'!$Q$3,'IN-NX'!$D$7=D478,OR(LEFT(L478,2)="15",AND(LEFT(M478,2)&lt;&gt;"15",LEFT(M478,2)&lt;&gt;"33"))),"x","")</f>
        <v/>
      </c>
      <c r="AI478" s="80" t="str">
        <f>IF(AND(OR(LEFT(TH!O478,2)="15",LEFT(TH!P478,2)="15"),'152-CT'!$J$8=TH!F478),"x","")</f>
        <v/>
      </c>
      <c r="AJ478" s="80" t="str">
        <f>IF(AND(OR(LEFT(TH!O478,2)="15",LEFT(TH!P478,2)="15"),'THE KHO'!$E$7=TH!F478),"x","")</f>
        <v/>
      </c>
      <c r="AK478" s="80" t="str">
        <f>IF(AND(O478="1521",MONTH(C478)='BK NL'!$M$11),"x","")</f>
        <v/>
      </c>
    </row>
    <row r="479" spans="1:37" ht="15.75" customHeight="1">
      <c r="A479" s="362" t="str">
        <f>IF(B479&lt;&gt;"",IF(AND(B479&gt;=_TM1,B479&lt;=_TM2,OR(TH!O479="1111",TH!P479="1111")),TH!D479,""),"")</f>
        <v/>
      </c>
      <c r="B479" s="63">
        <f t="shared" si="32"/>
        <v>7</v>
      </c>
      <c r="C479" s="1045">
        <f>E479</f>
        <v>42566</v>
      </c>
      <c r="D479" s="1045" t="s">
        <v>8</v>
      </c>
      <c r="E479" s="1045">
        <v>42566</v>
      </c>
      <c r="F479" s="1046" t="s">
        <v>22</v>
      </c>
      <c r="G479" s="1047"/>
      <c r="H479" s="1048"/>
      <c r="I479" s="1049"/>
      <c r="J479" s="1049"/>
      <c r="K479" s="1050"/>
      <c r="L479" s="1049"/>
      <c r="M479" s="1051">
        <v>25000</v>
      </c>
      <c r="N479" s="1051"/>
      <c r="O479" s="1052" t="s">
        <v>135</v>
      </c>
      <c r="P479" s="1052" t="s">
        <v>31</v>
      </c>
      <c r="Q479" s="66" t="str">
        <f>IF(AND('331-CT'!$E$7=TH!H479,OR(O479="331",P479="331")),"x","")</f>
        <v/>
      </c>
      <c r="R479" s="66" t="str">
        <f>IF(AND($B479&gt;='111'!$N$11,$B479&lt;='111'!$O$11,OR($O479=$R$7,$P479=$R$7)),"x","")</f>
        <v/>
      </c>
      <c r="S479" s="66" t="str">
        <f>IF(AND($O479=$R$7,$B479&lt;'111'!$N$11),"x","")</f>
        <v/>
      </c>
      <c r="T479" s="66" t="str">
        <f>IF(AND($P479=$R$7,$B479&lt;'111'!$N$11),"x","")</f>
        <v/>
      </c>
      <c r="U479" s="66" t="str">
        <f>IF(AND($B479&gt;='112'!$M$9,$B479&lt;='112'!$N$9,OR($O479='112'!$I$6,$P479='112'!$I$6)),"x","")</f>
        <v>x</v>
      </c>
      <c r="V479" s="66" t="str">
        <f>IF(AND($O479='112'!$I$6,$B479&lt;'112'!$M$9),"x","")</f>
        <v/>
      </c>
      <c r="W479" s="66" t="str">
        <f>IF(AND($P479='112'!$I$6,$B479&lt;'112'!$M$9),"x","")</f>
        <v/>
      </c>
      <c r="X479" s="66" t="str">
        <f>IF(AND('131-CT'!$H$9=TH!H479,OR(O479="131",P479="131")),"x","")</f>
        <v/>
      </c>
      <c r="Y479" s="80" t="str">
        <f>IF(AND($B479&gt;='1331'!$I$9,$B479&lt;='1331'!$J$9,OR($O479=$Y$7,$P479=$Y$7)),"x","")</f>
        <v/>
      </c>
      <c r="Z479" s="80" t="str">
        <f>IF(AND($O479=$Y$7,$B479&lt;'1331'!$I$9),"x","")</f>
        <v/>
      </c>
      <c r="AA479" s="80" t="str">
        <f>IF(AND($P479=$Y$7,$B479&lt;'1331'!$I$9),"x","")</f>
        <v/>
      </c>
      <c r="AB479" s="80" t="str">
        <f>IF(AND($B479&gt;='1332'!$I$9,$B479&lt;='1332'!$I$9,OR($O479=$AB$7,$P479=$AB$7)),"x","")</f>
        <v/>
      </c>
      <c r="AC479" s="80" t="str">
        <f>IF(AND($O479=$AB$7,$B479&lt;'1332'!$I$9),"x","")</f>
        <v/>
      </c>
      <c r="AD479" s="80" t="str">
        <f>IF(AND($P479=$AB$7,$B479&lt;'1332'!$I$9),"x","")</f>
        <v/>
      </c>
      <c r="AE479" s="80" t="str">
        <f>IF(AND('341-CT'!$H$9=H479,OR(LEFT(O479,3)=$AE$7,LEFT(P479,3)=$AE$7)),"x","")</f>
        <v/>
      </c>
      <c r="AF479" s="80" t="str">
        <f>IF(OR(TH!O479=TH!$AF$7,P479=TH!$AF$7),"x","")</f>
        <v/>
      </c>
      <c r="AG479" s="80"/>
      <c r="AH479" s="80" t="str">
        <f>IF(AND(B479&gt;='IN-NX'!$P$3,B479&lt;='IN-NX'!$Q$3,'IN-NX'!$D$7=D479,OR(LEFT(L479,2)="15",AND(LEFT(M479,2)&lt;&gt;"15",LEFT(M479,2)&lt;&gt;"33"))),"x","")</f>
        <v/>
      </c>
      <c r="AI479" s="80" t="str">
        <f>IF(AND(OR(LEFT(TH!O479,2)="15",LEFT(TH!P479,2)="15"),'152-CT'!$J$8=TH!F479),"x","")</f>
        <v/>
      </c>
      <c r="AJ479" s="80" t="str">
        <f>IF(AND(OR(LEFT(TH!O479,2)="15",LEFT(TH!P479,2)="15"),'THE KHO'!$E$7=TH!F479),"x","")</f>
        <v/>
      </c>
      <c r="AK479" s="80" t="str">
        <f>IF(AND(O479="1521",MONTH(C479)='BK NL'!$M$11),"x","")</f>
        <v/>
      </c>
    </row>
    <row r="480" spans="1:37" ht="15.75" customHeight="1">
      <c r="A480" s="362" t="str">
        <f>IF(B480&lt;&gt;"",IF(AND(B480&gt;=_TM1,B480&lt;=_TM2,OR(TH!O480="1111",TH!P480="1111")),TH!D480,""),"")</f>
        <v/>
      </c>
      <c r="B480" s="63">
        <f t="shared" si="32"/>
        <v>7</v>
      </c>
      <c r="C480" s="1045">
        <f>E480</f>
        <v>42566</v>
      </c>
      <c r="D480" s="1045" t="s">
        <v>8</v>
      </c>
      <c r="E480" s="1045">
        <v>42566</v>
      </c>
      <c r="F480" s="1046" t="s">
        <v>23</v>
      </c>
      <c r="G480" s="1047"/>
      <c r="H480" s="1048"/>
      <c r="I480" s="1049"/>
      <c r="J480" s="1049"/>
      <c r="K480" s="1050"/>
      <c r="L480" s="1049"/>
      <c r="M480" s="1051">
        <v>2500</v>
      </c>
      <c r="N480" s="1051"/>
      <c r="O480" s="1052" t="s">
        <v>10</v>
      </c>
      <c r="P480" s="1052" t="s">
        <v>31</v>
      </c>
      <c r="Q480" s="66" t="str">
        <f>IF(AND('331-CT'!$E$7=TH!H480,OR(O480="331",P480="331")),"x","")</f>
        <v/>
      </c>
      <c r="R480" s="66" t="str">
        <f>IF(AND($B480&gt;='111'!$N$11,$B480&lt;='111'!$O$11,OR($O480=$R$7,$P480=$R$7)),"x","")</f>
        <v/>
      </c>
      <c r="S480" s="66" t="str">
        <f>IF(AND($O480=$R$7,$B480&lt;'111'!$N$11),"x","")</f>
        <v/>
      </c>
      <c r="T480" s="66" t="str">
        <f>IF(AND($P480=$R$7,$B480&lt;'111'!$N$11),"x","")</f>
        <v/>
      </c>
      <c r="U480" s="66" t="str">
        <f>IF(AND($B480&gt;='112'!$M$9,$B480&lt;='112'!$N$9,OR($O480='112'!$I$6,$P480='112'!$I$6)),"x","")</f>
        <v>x</v>
      </c>
      <c r="V480" s="66" t="str">
        <f>IF(AND($O480='112'!$I$6,$B480&lt;'112'!$M$9),"x","")</f>
        <v/>
      </c>
      <c r="W480" s="66" t="str">
        <f>IF(AND($P480='112'!$I$6,$B480&lt;'112'!$M$9),"x","")</f>
        <v/>
      </c>
      <c r="X480" s="66" t="str">
        <f>IF(AND('131-CT'!$H$9=TH!H480,OR(O480="131",P480="131")),"x","")</f>
        <v/>
      </c>
      <c r="Y480" s="80" t="str">
        <f>IF(AND($B480&gt;='1331'!$I$9,$B480&lt;='1331'!$J$9,OR($O480=$Y$7,$P480=$Y$7)),"x","")</f>
        <v>x</v>
      </c>
      <c r="Z480" s="80" t="str">
        <f>IF(AND($O480=$Y$7,$B480&lt;'1331'!$I$9),"x","")</f>
        <v/>
      </c>
      <c r="AA480" s="80" t="str">
        <f>IF(AND($P480=$Y$7,$B480&lt;'1331'!$I$9),"x","")</f>
        <v/>
      </c>
      <c r="AB480" s="80" t="str">
        <f>IF(AND($B480&gt;='1332'!$I$9,$B480&lt;='1332'!$I$9,OR($O480=$AB$7,$P480=$AB$7)),"x","")</f>
        <v/>
      </c>
      <c r="AC480" s="80" t="str">
        <f>IF(AND($O480=$AB$7,$B480&lt;'1332'!$I$9),"x","")</f>
        <v/>
      </c>
      <c r="AD480" s="80" t="str">
        <f>IF(AND($P480=$AB$7,$B480&lt;'1332'!$I$9),"x","")</f>
        <v/>
      </c>
      <c r="AE480" s="80" t="str">
        <f>IF(AND('341-CT'!$H$9=H480,OR(LEFT(O480,3)=$AE$7,LEFT(P480,3)=$AE$7)),"x","")</f>
        <v/>
      </c>
      <c r="AF480" s="80" t="str">
        <f>IF(OR(TH!O480=TH!$AF$7,P480=TH!$AF$7),"x","")</f>
        <v/>
      </c>
      <c r="AG480" s="80"/>
      <c r="AH480" s="80" t="str">
        <f>IF(AND(B480&gt;='IN-NX'!$P$3,B480&lt;='IN-NX'!$Q$3,'IN-NX'!$D$7=D480,OR(LEFT(L480,2)="15",AND(LEFT(M480,2)&lt;&gt;"15",LEFT(M480,2)&lt;&gt;"33"))),"x","")</f>
        <v/>
      </c>
      <c r="AI480" s="80" t="str">
        <f>IF(AND(OR(LEFT(TH!O480,2)="15",LEFT(TH!P480,2)="15"),'152-CT'!$J$8=TH!F480),"x","")</f>
        <v/>
      </c>
      <c r="AJ480" s="80" t="str">
        <f>IF(AND(OR(LEFT(TH!O480,2)="15",LEFT(TH!P480,2)="15"),'THE KHO'!$E$7=TH!F480),"x","")</f>
        <v/>
      </c>
      <c r="AK480" s="80" t="str">
        <f>IF(AND(O480="1521",MONTH(C480)='BK NL'!$M$11),"x","")</f>
        <v/>
      </c>
    </row>
    <row r="481" spans="1:37" ht="15.75" customHeight="1">
      <c r="A481" s="362" t="str">
        <f>IF(B481&lt;&gt;"",IF(AND(B481&gt;=_TM1,B481&lt;=_TM2,OR(TH!O481="1111",TH!P481="1111")),TH!D481,""),"")</f>
        <v/>
      </c>
      <c r="B481" s="63">
        <f t="shared" si="32"/>
        <v>7</v>
      </c>
      <c r="C481" s="1045">
        <v>42569</v>
      </c>
      <c r="D481" s="1045" t="s">
        <v>75</v>
      </c>
      <c r="E481" s="1045">
        <v>42569</v>
      </c>
      <c r="F481" s="1046" t="s">
        <v>1082</v>
      </c>
      <c r="G481" s="1126" t="s">
        <v>1083</v>
      </c>
      <c r="H481" s="1048" t="s">
        <v>1084</v>
      </c>
      <c r="I481" s="1049"/>
      <c r="J481" s="1049"/>
      <c r="K481" s="1050"/>
      <c r="L481" s="1049"/>
      <c r="M481" s="1122">
        <v>5576350</v>
      </c>
      <c r="N481" s="1122"/>
      <c r="O481" s="1052" t="s">
        <v>135</v>
      </c>
      <c r="P481" s="1117" t="s">
        <v>97</v>
      </c>
      <c r="Q481" s="66" t="str">
        <f>IF(AND('331-CT'!$E$7=TH!H481,OR(O481="331",P481="331")),"x","")</f>
        <v/>
      </c>
      <c r="R481" s="66" t="str">
        <f>IF(AND($B481&gt;='111'!$N$11,$B481&lt;='111'!$O$11,OR($O481=$R$7,$P481=$R$7)),"x","")</f>
        <v>x</v>
      </c>
      <c r="S481" s="66" t="str">
        <f>IF(AND($O481=$R$7,$B481&lt;'111'!$N$11),"x","")</f>
        <v/>
      </c>
      <c r="T481" s="66" t="str">
        <f>IF(AND($P481=$R$7,$B481&lt;'111'!$N$11),"x","")</f>
        <v/>
      </c>
      <c r="U481" s="66" t="str">
        <f>IF(AND($B481&gt;='112'!$M$9,$B481&lt;='112'!$N$9,OR($O481='112'!$I$6,$P481='112'!$I$6)),"x","")</f>
        <v/>
      </c>
      <c r="V481" s="66" t="str">
        <f>IF(AND($O481='112'!$I$6,$B481&lt;'112'!$M$9),"x","")</f>
        <v/>
      </c>
      <c r="W481" s="66" t="str">
        <f>IF(AND($P481='112'!$I$6,$B481&lt;'112'!$M$9),"x","")</f>
        <v/>
      </c>
      <c r="X481" s="66" t="str">
        <f>IF(AND('131-CT'!$H$9=TH!H481,OR(O481="131",P481="131")),"x","")</f>
        <v/>
      </c>
      <c r="Y481" s="80" t="str">
        <f>IF(AND($B481&gt;='1331'!$I$9,$B481&lt;='1331'!$J$9,OR($O481=$Y$7,$P481=$Y$7)),"x","")</f>
        <v/>
      </c>
      <c r="Z481" s="80" t="str">
        <f>IF(AND($O481=$Y$7,$B481&lt;'1331'!$I$9),"x","")</f>
        <v/>
      </c>
      <c r="AA481" s="80" t="str">
        <f>IF(AND($P481=$Y$7,$B481&lt;'1331'!$I$9),"x","")</f>
        <v/>
      </c>
      <c r="AB481" s="80" t="str">
        <f>IF(AND($B481&gt;='1332'!$I$9,$B481&lt;='1332'!$I$9,OR($O481=$AB$7,$P481=$AB$7)),"x","")</f>
        <v/>
      </c>
      <c r="AC481" s="80" t="str">
        <f>IF(AND($O481=$AB$7,$B481&lt;'1332'!$I$9),"x","")</f>
        <v/>
      </c>
      <c r="AD481" s="80" t="str">
        <f>IF(AND($P481=$AB$7,$B481&lt;'1332'!$I$9),"x","")</f>
        <v/>
      </c>
      <c r="AE481" s="80" t="str">
        <f>IF(AND('341-CT'!$H$9=H481,OR(LEFT(O481,3)=$AE$7,LEFT(P481,3)=$AE$7)),"x","")</f>
        <v/>
      </c>
      <c r="AF481" s="80" t="str">
        <f>IF(OR(TH!O481=TH!$AF$7,P481=TH!$AF$7),"x","")</f>
        <v/>
      </c>
      <c r="AG481" s="80"/>
      <c r="AH481" s="80" t="str">
        <f>IF(AND(B481&gt;='IN-NX'!$P$3,B481&lt;='IN-NX'!$Q$3,'IN-NX'!$D$7=D481,OR(LEFT(L481,2)="15",AND(LEFT(M481,2)&lt;&gt;"15",LEFT(M481,2)&lt;&gt;"33"))),"x","")</f>
        <v/>
      </c>
      <c r="AI481" s="80" t="str">
        <f>IF(AND(OR(LEFT(TH!O481,2)="15",LEFT(TH!P481,2)="15"),'152-CT'!$J$8=TH!F481),"x","")</f>
        <v/>
      </c>
      <c r="AJ481" s="80" t="str">
        <f>IF(AND(OR(LEFT(TH!O481,2)="15",LEFT(TH!P481,2)="15"),'THE KHO'!$E$7=TH!F481),"x","")</f>
        <v/>
      </c>
      <c r="AK481" s="80" t="str">
        <f>IF(AND(O481="1521",MONTH(C481)='BK NL'!$M$11),"x","")</f>
        <v/>
      </c>
    </row>
    <row r="482" spans="1:37" ht="15.75" customHeight="1">
      <c r="A482" s="362" t="str">
        <f>IF(B482&lt;&gt;"",IF(AND(B482&gt;=_TM1,B482&lt;=_TM2,OR(TH!O482="1111",TH!P482="1111")),TH!D482,""),"")</f>
        <v/>
      </c>
      <c r="B482" s="63">
        <f t="shared" si="32"/>
        <v>7</v>
      </c>
      <c r="C482" s="1127">
        <v>42569</v>
      </c>
      <c r="D482" s="1045" t="s">
        <v>75</v>
      </c>
      <c r="E482" s="1045">
        <v>42569</v>
      </c>
      <c r="F482" s="1046" t="s">
        <v>1085</v>
      </c>
      <c r="G482" s="1126" t="s">
        <v>1083</v>
      </c>
      <c r="H482" s="1048" t="s">
        <v>1084</v>
      </c>
      <c r="I482" s="1049"/>
      <c r="J482" s="1049"/>
      <c r="K482" s="1050"/>
      <c r="L482" s="1049"/>
      <c r="M482" s="1122">
        <v>557635</v>
      </c>
      <c r="N482" s="1122"/>
      <c r="O482" s="1052" t="s">
        <v>10</v>
      </c>
      <c r="P482" s="1117" t="s">
        <v>97</v>
      </c>
      <c r="Q482" s="66" t="str">
        <f>IF(AND('331-CT'!$E$7=TH!H482,OR(O482="331",P482="331")),"x","")</f>
        <v/>
      </c>
      <c r="R482" s="66" t="str">
        <f>IF(AND($B482&gt;='111'!$N$11,$B482&lt;='111'!$O$11,OR($O482=$R$7,$P482=$R$7)),"x","")</f>
        <v>x</v>
      </c>
      <c r="S482" s="66" t="str">
        <f>IF(AND($O482=$R$7,$B482&lt;'111'!$N$11),"x","")</f>
        <v/>
      </c>
      <c r="T482" s="66" t="str">
        <f>IF(AND($P482=$R$7,$B482&lt;'111'!$N$11),"x","")</f>
        <v/>
      </c>
      <c r="U482" s="66" t="str">
        <f>IF(AND($B482&gt;='112'!$M$9,$B482&lt;='112'!$N$9,OR($O482='112'!$I$6,$P482='112'!$I$6)),"x","")</f>
        <v/>
      </c>
      <c r="V482" s="66" t="str">
        <f>IF(AND($O482='112'!$I$6,$B482&lt;'112'!$M$9),"x","")</f>
        <v/>
      </c>
      <c r="W482" s="66" t="str">
        <f>IF(AND($P482='112'!$I$6,$B482&lt;'112'!$M$9),"x","")</f>
        <v/>
      </c>
      <c r="X482" s="66" t="str">
        <f>IF(AND('131-CT'!$H$9=TH!H482,OR(O482="131",P482="131")),"x","")</f>
        <v/>
      </c>
      <c r="Y482" s="80" t="str">
        <f>IF(AND($B482&gt;='1331'!$I$9,$B482&lt;='1331'!$J$9,OR($O482=$Y$7,$P482=$Y$7)),"x","")</f>
        <v>x</v>
      </c>
      <c r="Z482" s="80" t="str">
        <f>IF(AND($O482=$Y$7,$B482&lt;'1331'!$I$9),"x","")</f>
        <v/>
      </c>
      <c r="AA482" s="80" t="str">
        <f>IF(AND($P482=$Y$7,$B482&lt;'1331'!$I$9),"x","")</f>
        <v/>
      </c>
      <c r="AB482" s="80" t="str">
        <f>IF(AND($B482&gt;='1332'!$I$9,$B482&lt;='1332'!$I$9,OR($O482=$AB$7,$P482=$AB$7)),"x","")</f>
        <v/>
      </c>
      <c r="AC482" s="80" t="str">
        <f>IF(AND($O482=$AB$7,$B482&lt;'1332'!$I$9),"x","")</f>
        <v/>
      </c>
      <c r="AD482" s="80" t="str">
        <f>IF(AND($P482=$AB$7,$B482&lt;'1332'!$I$9),"x","")</f>
        <v/>
      </c>
      <c r="AE482" s="80" t="str">
        <f>IF(AND('341-CT'!$H$9=H482,OR(LEFT(O482,3)=$AE$7,LEFT(P482,3)=$AE$7)),"x","")</f>
        <v/>
      </c>
      <c r="AF482" s="80" t="str">
        <f>IF(OR(TH!O482=TH!$AF$7,P482=TH!$AF$7),"x","")</f>
        <v/>
      </c>
      <c r="AG482" s="80"/>
      <c r="AH482" s="80" t="str">
        <f>IF(AND(B482&gt;='IN-NX'!$P$3,B482&lt;='IN-NX'!$Q$3,'IN-NX'!$D$7=D482,OR(LEFT(L482,2)="15",AND(LEFT(M482,2)&lt;&gt;"15",LEFT(M482,2)&lt;&gt;"33"))),"x","")</f>
        <v/>
      </c>
      <c r="AI482" s="80" t="str">
        <f>IF(AND(OR(LEFT(TH!O482,2)="15",LEFT(TH!P482,2)="15"),'152-CT'!$J$8=TH!F482),"x","")</f>
        <v/>
      </c>
      <c r="AJ482" s="80" t="str">
        <f>IF(AND(OR(LEFT(TH!O482,2)="15",LEFT(TH!P482,2)="15"),'THE KHO'!$E$7=TH!F482),"x","")</f>
        <v/>
      </c>
      <c r="AK482" s="80" t="str">
        <f>IF(AND(O482="1521",MONTH(C482)='BK NL'!$M$11),"x","")</f>
        <v/>
      </c>
    </row>
    <row r="483" spans="1:37" s="374" customFormat="1" ht="15.75" customHeight="1">
      <c r="A483" s="362" t="str">
        <f>IF(B483&lt;&gt;"",IF(AND(B483&gt;=_TM1,B483&lt;=_TM2,OR(TH!O483="1111",TH!P483="1111")),TH!D483,""),"")</f>
        <v/>
      </c>
      <c r="B483" s="63">
        <f t="shared" si="32"/>
        <v>7</v>
      </c>
      <c r="C483" s="1127">
        <v>42569</v>
      </c>
      <c r="D483" s="1045" t="s">
        <v>76</v>
      </c>
      <c r="E483" s="1045">
        <v>42569</v>
      </c>
      <c r="F483" s="1046" t="s">
        <v>1086</v>
      </c>
      <c r="G483" s="1126" t="s">
        <v>1087</v>
      </c>
      <c r="H483" s="1121" t="s">
        <v>1064</v>
      </c>
      <c r="I483" s="1049"/>
      <c r="J483" s="1049"/>
      <c r="K483" s="1050"/>
      <c r="L483" s="1049"/>
      <c r="M483" s="1122">
        <v>6174545</v>
      </c>
      <c r="N483" s="1122"/>
      <c r="O483" s="1052" t="s">
        <v>135</v>
      </c>
      <c r="P483" s="1117" t="s">
        <v>97</v>
      </c>
      <c r="Q483" s="66" t="str">
        <f>IF(AND('331-CT'!$E$7=TH!H483,OR(O483="331",P483="331")),"x","")</f>
        <v/>
      </c>
      <c r="R483" s="66" t="str">
        <f>IF(AND($B483&gt;='111'!$N$11,$B483&lt;='111'!$O$11,OR($O483=$R$7,$P483=$R$7)),"x","")</f>
        <v>x</v>
      </c>
      <c r="S483" s="66" t="str">
        <f>IF(AND($O483=$R$7,$B483&lt;'111'!$N$11),"x","")</f>
        <v/>
      </c>
      <c r="T483" s="66" t="str">
        <f>IF(AND($P483=$R$7,$B483&lt;'111'!$N$11),"x","")</f>
        <v/>
      </c>
      <c r="U483" s="66" t="str">
        <f>IF(AND($B483&gt;='112'!$M$9,$B483&lt;='112'!$N$9,OR($O483='112'!$I$6,$P483='112'!$I$6)),"x","")</f>
        <v/>
      </c>
      <c r="V483" s="66" t="str">
        <f>IF(AND($O483='112'!$I$6,$B483&lt;'112'!$M$9),"x","")</f>
        <v/>
      </c>
      <c r="W483" s="66" t="str">
        <f>IF(AND($P483='112'!$I$6,$B483&lt;'112'!$M$9),"x","")</f>
        <v/>
      </c>
      <c r="X483" s="66" t="str">
        <f>IF(AND('131-CT'!$H$9=TH!H483,OR(O483="131",P483="131")),"x","")</f>
        <v/>
      </c>
      <c r="Y483" s="80" t="str">
        <f>IF(AND($B483&gt;='1331'!$I$9,$B483&lt;='1331'!$J$9,OR($O483=$Y$7,$P483=$Y$7)),"x","")</f>
        <v/>
      </c>
      <c r="Z483" s="80" t="str">
        <f>IF(AND($O483=$Y$7,$B483&lt;'1331'!$I$9),"x","")</f>
        <v/>
      </c>
      <c r="AA483" s="80" t="str">
        <f>IF(AND($P483=$Y$7,$B483&lt;'1331'!$I$9),"x","")</f>
        <v/>
      </c>
      <c r="AB483" s="80" t="str">
        <f>IF(AND($B483&gt;='1332'!$I$9,$B483&lt;='1332'!$I$9,OR($O483=$AB$7,$P483=$AB$7)),"x","")</f>
        <v/>
      </c>
      <c r="AC483" s="80" t="str">
        <f>IF(AND($O483=$AB$7,$B483&lt;'1332'!$I$9),"x","")</f>
        <v/>
      </c>
      <c r="AD483" s="80" t="str">
        <f>IF(AND($P483=$AB$7,$B483&lt;'1332'!$I$9),"x","")</f>
        <v/>
      </c>
      <c r="AE483" s="80" t="str">
        <f>IF(AND('341-CT'!$H$9=H483,OR(LEFT(O483,3)=$AE$7,LEFT(P483,3)=$AE$7)),"x","")</f>
        <v/>
      </c>
      <c r="AF483" s="80" t="str">
        <f>IF(OR(TH!O483=TH!$AF$7,P483=TH!$AF$7),"x","")</f>
        <v/>
      </c>
      <c r="AG483" s="80"/>
      <c r="AH483" s="80" t="str">
        <f>IF(AND(B483&gt;='IN-NX'!$P$3,B483&lt;='IN-NX'!$Q$3,'IN-NX'!$D$7=D483,OR(LEFT(L483,2)="15",AND(LEFT(M483,2)&lt;&gt;"15",LEFT(M483,2)&lt;&gt;"33"))),"x","")</f>
        <v/>
      </c>
      <c r="AI483" s="80" t="str">
        <f>IF(AND(OR(LEFT(TH!O483,2)="15",LEFT(TH!P483,2)="15"),'152-CT'!$J$8=TH!F483),"x","")</f>
        <v/>
      </c>
      <c r="AJ483" s="80" t="str">
        <f>IF(AND(OR(LEFT(TH!O483,2)="15",LEFT(TH!P483,2)="15"),'THE KHO'!$E$7=TH!F483),"x","")</f>
        <v/>
      </c>
      <c r="AK483" s="80" t="str">
        <f>IF(AND(O483="1521",MONTH(C483)='BK NL'!$M$11),"x","")</f>
        <v/>
      </c>
    </row>
    <row r="484" spans="1:37" ht="15.75" customHeight="1">
      <c r="A484" s="362" t="str">
        <f>IF(B484&lt;&gt;"",IF(AND(B484&gt;=_TM1,B484&lt;=_TM2,OR(TH!O484="1111",TH!P484="1111")),TH!D484,""),"")</f>
        <v/>
      </c>
      <c r="B484" s="63">
        <f t="shared" si="32"/>
        <v>7</v>
      </c>
      <c r="C484" s="1127">
        <v>42569</v>
      </c>
      <c r="D484" s="1045" t="s">
        <v>76</v>
      </c>
      <c r="E484" s="1045">
        <v>42569</v>
      </c>
      <c r="F484" s="1046" t="s">
        <v>1088</v>
      </c>
      <c r="G484" s="1126" t="s">
        <v>1087</v>
      </c>
      <c r="H484" s="1121" t="s">
        <v>1064</v>
      </c>
      <c r="I484" s="1049"/>
      <c r="J484" s="1049"/>
      <c r="K484" s="1050"/>
      <c r="L484" s="1049"/>
      <c r="M484" s="1122">
        <v>617455</v>
      </c>
      <c r="N484" s="1122"/>
      <c r="O484" s="1052" t="s">
        <v>10</v>
      </c>
      <c r="P484" s="1117" t="s">
        <v>97</v>
      </c>
      <c r="Q484" s="66" t="str">
        <f>IF(AND('331-CT'!$E$7=TH!H484,OR(O484="331",P484="331")),"x","")</f>
        <v/>
      </c>
      <c r="R484" s="66" t="str">
        <f>IF(AND($B484&gt;='111'!$N$11,$B484&lt;='111'!$O$11,OR($O484=$R$7,$P484=$R$7)),"x","")</f>
        <v>x</v>
      </c>
      <c r="S484" s="66" t="str">
        <f>IF(AND($O484=$R$7,$B484&lt;'111'!$N$11),"x","")</f>
        <v/>
      </c>
      <c r="T484" s="66" t="str">
        <f>IF(AND($P484=$R$7,$B484&lt;'111'!$N$11),"x","")</f>
        <v/>
      </c>
      <c r="U484" s="66" t="str">
        <f>IF(AND($B484&gt;='112'!$M$9,$B484&lt;='112'!$N$9,OR($O484='112'!$I$6,$P484='112'!$I$6)),"x","")</f>
        <v/>
      </c>
      <c r="V484" s="66" t="str">
        <f>IF(AND($O484='112'!$I$6,$B484&lt;'112'!$M$9),"x","")</f>
        <v/>
      </c>
      <c r="W484" s="66" t="str">
        <f>IF(AND($P484='112'!$I$6,$B484&lt;'112'!$M$9),"x","")</f>
        <v/>
      </c>
      <c r="X484" s="66" t="str">
        <f>IF(AND('131-CT'!$H$9=TH!H484,OR(O484="131",P484="131")),"x","")</f>
        <v/>
      </c>
      <c r="Y484" s="80" t="str">
        <f>IF(AND($B484&gt;='1331'!$I$9,$B484&lt;='1331'!$J$9,OR($O484=$Y$7,$P484=$Y$7)),"x","")</f>
        <v>x</v>
      </c>
      <c r="Z484" s="80" t="str">
        <f>IF(AND($O484=$Y$7,$B484&lt;'1331'!$I$9),"x","")</f>
        <v/>
      </c>
      <c r="AA484" s="80" t="str">
        <f>IF(AND($P484=$Y$7,$B484&lt;'1331'!$I$9),"x","")</f>
        <v/>
      </c>
      <c r="AB484" s="80" t="str">
        <f>IF(AND($B484&gt;='1332'!$I$9,$B484&lt;='1332'!$I$9,OR($O484=$AB$7,$P484=$AB$7)),"x","")</f>
        <v/>
      </c>
      <c r="AC484" s="80" t="str">
        <f>IF(AND($O484=$AB$7,$B484&lt;'1332'!$I$9),"x","")</f>
        <v/>
      </c>
      <c r="AD484" s="80" t="str">
        <f>IF(AND($P484=$AB$7,$B484&lt;'1332'!$I$9),"x","")</f>
        <v/>
      </c>
      <c r="AE484" s="80" t="str">
        <f>IF(AND('341-CT'!$H$9=H484,OR(LEFT(O484,3)=$AE$7,LEFT(P484,3)=$AE$7)),"x","")</f>
        <v/>
      </c>
      <c r="AF484" s="80" t="str">
        <f>IF(OR(TH!O484=TH!$AF$7,P484=TH!$AF$7),"x","")</f>
        <v/>
      </c>
      <c r="AG484" s="80"/>
      <c r="AH484" s="80" t="str">
        <f>IF(AND(B484&gt;='IN-NX'!$P$3,B484&lt;='IN-NX'!$Q$3,'IN-NX'!$D$7=D484,OR(LEFT(L484,2)="15",AND(LEFT(M484,2)&lt;&gt;"15",LEFT(M484,2)&lt;&gt;"33"))),"x","")</f>
        <v/>
      </c>
      <c r="AI484" s="80" t="str">
        <f>IF(AND(OR(LEFT(TH!O484,2)="15",LEFT(TH!P484,2)="15"),'152-CT'!$J$8=TH!F484),"x","")</f>
        <v/>
      </c>
      <c r="AJ484" s="80" t="str">
        <f>IF(AND(OR(LEFT(TH!O484,2)="15",LEFT(TH!P484,2)="15"),'THE KHO'!$E$7=TH!F484),"x","")</f>
        <v/>
      </c>
      <c r="AK484" s="80" t="str">
        <f>IF(AND(O484="1521",MONTH(C484)='BK NL'!$M$11),"x","")</f>
        <v/>
      </c>
    </row>
    <row r="485" spans="1:37" ht="15.75" customHeight="1">
      <c r="A485" s="362" t="str">
        <f>IF(B485&lt;&gt;"",IF(AND(B485&gt;=_TM1,B485&lt;=_TM2,OR(TH!O485="1111",TH!P485="1111")),TH!D485,""),"")</f>
        <v/>
      </c>
      <c r="B485" s="63">
        <f t="shared" si="32"/>
        <v>7</v>
      </c>
      <c r="C485" s="1045">
        <v>42571</v>
      </c>
      <c r="D485" s="1045" t="s">
        <v>77</v>
      </c>
      <c r="E485" s="1045">
        <v>42571</v>
      </c>
      <c r="F485" s="1046" t="s">
        <v>1080</v>
      </c>
      <c r="G485" s="1126" t="s">
        <v>1226</v>
      </c>
      <c r="H485" s="1048" t="s">
        <v>1089</v>
      </c>
      <c r="I485" s="1049"/>
      <c r="J485" s="1049"/>
      <c r="K485" s="1050"/>
      <c r="L485" s="1049"/>
      <c r="M485" s="1051">
        <v>1895000</v>
      </c>
      <c r="N485" s="1051"/>
      <c r="O485" s="1052" t="s">
        <v>242</v>
      </c>
      <c r="P485" s="1117" t="s">
        <v>97</v>
      </c>
      <c r="Q485" s="66" t="str">
        <f>IF(AND('331-CT'!$E$7=TH!H485,OR(O485="331",P485="331")),"x","")</f>
        <v/>
      </c>
      <c r="R485" s="66" t="str">
        <f>IF(AND($B485&gt;='111'!$N$11,$B485&lt;='111'!$O$11,OR($O485=$R$7,$P485=$R$7)),"x","")</f>
        <v>x</v>
      </c>
      <c r="S485" s="66" t="str">
        <f>IF(AND($O485=$R$7,$B485&lt;'111'!$N$11),"x","")</f>
        <v/>
      </c>
      <c r="T485" s="66" t="str">
        <f>IF(AND($P485=$R$7,$B485&lt;'111'!$N$11),"x","")</f>
        <v/>
      </c>
      <c r="U485" s="66" t="str">
        <f>IF(AND($B485&gt;='112'!$M$9,$B485&lt;='112'!$N$9,OR($O485='112'!$I$6,$P485='112'!$I$6)),"x","")</f>
        <v/>
      </c>
      <c r="V485" s="66" t="str">
        <f>IF(AND($O485='112'!$I$6,$B485&lt;'112'!$M$9),"x","")</f>
        <v/>
      </c>
      <c r="W485" s="66" t="str">
        <f>IF(AND($P485='112'!$I$6,$B485&lt;'112'!$M$9),"x","")</f>
        <v/>
      </c>
      <c r="X485" s="66" t="str">
        <f>IF(AND('131-CT'!$H$9=TH!H485,OR(O485="131",P485="131")),"x","")</f>
        <v/>
      </c>
      <c r="Y485" s="80" t="str">
        <f>IF(AND($B485&gt;='1331'!$I$9,$B485&lt;='1331'!$J$9,OR($O485=$Y$7,$P485=$Y$7)),"x","")</f>
        <v/>
      </c>
      <c r="Z485" s="80" t="str">
        <f>IF(AND($O485=$Y$7,$B485&lt;'1331'!$I$9),"x","")</f>
        <v/>
      </c>
      <c r="AA485" s="80" t="str">
        <f>IF(AND($P485=$Y$7,$B485&lt;'1331'!$I$9),"x","")</f>
        <v/>
      </c>
      <c r="AB485" s="80" t="str">
        <f>IF(AND($B485&gt;='1332'!$I$9,$B485&lt;='1332'!$I$9,OR($O485=$AB$7,$P485=$AB$7)),"x","")</f>
        <v/>
      </c>
      <c r="AC485" s="80" t="str">
        <f>IF(AND($O485=$AB$7,$B485&lt;'1332'!$I$9),"x","")</f>
        <v/>
      </c>
      <c r="AD485" s="80" t="str">
        <f>IF(AND($P485=$AB$7,$B485&lt;'1332'!$I$9),"x","")</f>
        <v/>
      </c>
      <c r="AE485" s="80" t="str">
        <f>IF(AND('341-CT'!$H$9=H485,OR(LEFT(O485,3)=$AE$7,LEFT(P485,3)=$AE$7)),"x","")</f>
        <v/>
      </c>
      <c r="AF485" s="80" t="str">
        <f>IF(OR(TH!O485=TH!$AF$7,P485=TH!$AF$7),"x","")</f>
        <v/>
      </c>
      <c r="AG485" s="80"/>
      <c r="AH485" s="80" t="str">
        <f>IF(AND(B485&gt;='IN-NX'!$P$3,B485&lt;='IN-NX'!$Q$3,'IN-NX'!$D$7=D485,OR(LEFT(L485,2)="15",AND(LEFT(M485,2)&lt;&gt;"15",LEFT(M485,2)&lt;&gt;"33"))),"x","")</f>
        <v/>
      </c>
      <c r="AI485" s="80" t="str">
        <f>IF(AND(OR(LEFT(TH!O485,2)="15",LEFT(TH!P485,2)="15"),'152-CT'!$J$8=TH!F485),"x","")</f>
        <v/>
      </c>
      <c r="AJ485" s="80" t="str">
        <f>IF(AND(OR(LEFT(TH!O485,2)="15",LEFT(TH!P485,2)="15"),'THE KHO'!$E$7=TH!F485),"x","")</f>
        <v/>
      </c>
      <c r="AK485" s="80" t="str">
        <f>IF(AND(O485="1521",MONTH(C485)='BK NL'!$M$11),"x","")</f>
        <v/>
      </c>
    </row>
    <row r="486" spans="1:37" ht="15.75" customHeight="1">
      <c r="A486" s="362" t="str">
        <f>IF(B486&lt;&gt;"",IF(AND(B486&gt;=_TM1,B486&lt;=_TM2,OR(TH!O486="1111",TH!P486="1111")),TH!D486,""),"")</f>
        <v/>
      </c>
      <c r="B486" s="63">
        <f t="shared" si="32"/>
        <v>7</v>
      </c>
      <c r="C486" s="1045">
        <f t="shared" ref="C486:C502" si="34">E486</f>
        <v>42573</v>
      </c>
      <c r="D486" s="1045" t="s">
        <v>12</v>
      </c>
      <c r="E486" s="1045">
        <v>42573</v>
      </c>
      <c r="F486" s="1046" t="s">
        <v>788</v>
      </c>
      <c r="G486" s="1047" t="s">
        <v>798</v>
      </c>
      <c r="H486" s="1048" t="s">
        <v>429</v>
      </c>
      <c r="I486" s="1049"/>
      <c r="J486" s="1049"/>
      <c r="K486" s="1050"/>
      <c r="L486" s="1049"/>
      <c r="M486" s="1051">
        <v>160000000</v>
      </c>
      <c r="N486" s="1051"/>
      <c r="O486" s="1052" t="s">
        <v>31</v>
      </c>
      <c r="P486" s="1052" t="s">
        <v>24</v>
      </c>
      <c r="Q486" s="66" t="str">
        <f>IF(AND('331-CT'!$E$7=TH!H486,OR(O486="331",P486="331")),"x","")</f>
        <v/>
      </c>
      <c r="R486" s="66" t="str">
        <f>IF(AND($B486&gt;='111'!$N$11,$B486&lt;='111'!$O$11,OR($O486=$R$7,$P486=$R$7)),"x","")</f>
        <v/>
      </c>
      <c r="S486" s="66" t="str">
        <f>IF(AND($O486=$R$7,$B486&lt;'111'!$N$11),"x","")</f>
        <v/>
      </c>
      <c r="T486" s="66" t="str">
        <f>IF(AND($P486=$R$7,$B486&lt;'111'!$N$11),"x","")</f>
        <v/>
      </c>
      <c r="U486" s="66" t="str">
        <f>IF(AND($B486&gt;='112'!$M$9,$B486&lt;='112'!$N$9,OR($O486='112'!$I$6,$P486='112'!$I$6)),"x","")</f>
        <v>x</v>
      </c>
      <c r="V486" s="66" t="str">
        <f>IF(AND($O486='112'!$I$6,$B486&lt;'112'!$M$9),"x","")</f>
        <v/>
      </c>
      <c r="W486" s="66" t="str">
        <f>IF(AND($P486='112'!$I$6,$B486&lt;'112'!$M$9),"x","")</f>
        <v/>
      </c>
      <c r="X486" s="66" t="str">
        <f>IF(AND('131-CT'!$H$9=TH!H486,OR(O486="131",P486="131")),"x","")</f>
        <v/>
      </c>
      <c r="Y486" s="80" t="str">
        <f>IF(AND($B486&gt;='1331'!$I$9,$B486&lt;='1331'!$J$9,OR($O486=$Y$7,$P486=$Y$7)),"x","")</f>
        <v/>
      </c>
      <c r="Z486" s="80" t="str">
        <f>IF(AND($O486=$Y$7,$B486&lt;'1331'!$I$9),"x","")</f>
        <v/>
      </c>
      <c r="AA486" s="80" t="str">
        <f>IF(AND($P486=$Y$7,$B486&lt;'1331'!$I$9),"x","")</f>
        <v/>
      </c>
      <c r="AB486" s="80" t="str">
        <f>IF(AND($B486&gt;='1332'!$I$9,$B486&lt;='1332'!$I$9,OR($O486=$AB$7,$P486=$AB$7)),"x","")</f>
        <v/>
      </c>
      <c r="AC486" s="80" t="str">
        <f>IF(AND($O486=$AB$7,$B486&lt;'1332'!$I$9),"x","")</f>
        <v/>
      </c>
      <c r="AD486" s="80" t="str">
        <f>IF(AND($P486=$AB$7,$B486&lt;'1332'!$I$9),"x","")</f>
        <v/>
      </c>
      <c r="AE486" s="80" t="str">
        <f>IF(AND('341-CT'!$H$9=H486,OR(LEFT(O486,3)=$AE$7,LEFT(P486,3)=$AE$7)),"x","")</f>
        <v/>
      </c>
      <c r="AF486" s="80" t="str">
        <f>IF(OR(TH!O486=TH!$AF$7,P486=TH!$AF$7),"x","")</f>
        <v>x</v>
      </c>
      <c r="AG486" s="80"/>
      <c r="AH486" s="80" t="str">
        <f>IF(AND(B486&gt;='IN-NX'!$P$3,B486&lt;='IN-NX'!$Q$3,'IN-NX'!$D$7=D486,OR(LEFT(L486,2)="15",AND(LEFT(M486,2)&lt;&gt;"15",LEFT(M486,2)&lt;&gt;"33"))),"x","")</f>
        <v/>
      </c>
      <c r="AI486" s="80" t="str">
        <f>IF(AND(OR(LEFT(TH!O486,2)="15",LEFT(TH!P486,2)="15"),'152-CT'!$J$8=TH!F486),"x","")</f>
        <v/>
      </c>
      <c r="AJ486" s="80" t="str">
        <f>IF(AND(OR(LEFT(TH!O486,2)="15",LEFT(TH!P486,2)="15"),'THE KHO'!$E$7=TH!F486),"x","")</f>
        <v/>
      </c>
      <c r="AK486" s="80" t="str">
        <f>IF(AND(O486="1521",MONTH(C486)='BK NL'!$M$11),"x","")</f>
        <v/>
      </c>
    </row>
    <row r="487" spans="1:37" ht="15.75" customHeight="1">
      <c r="A487" s="362" t="str">
        <f>IF(B487&lt;&gt;"",IF(AND(B487&gt;=_TM1,B487&lt;=_TM2,OR(TH!O487="1111",TH!P487="1111")),TH!D487,""),"")</f>
        <v/>
      </c>
      <c r="B487" s="63">
        <f t="shared" si="32"/>
        <v>7</v>
      </c>
      <c r="C487" s="1045">
        <f t="shared" si="34"/>
        <v>42573</v>
      </c>
      <c r="D487" s="1045" t="s">
        <v>8</v>
      </c>
      <c r="E487" s="1045">
        <v>42573</v>
      </c>
      <c r="F487" s="1046" t="s">
        <v>405</v>
      </c>
      <c r="G487" s="1047" t="s">
        <v>798</v>
      </c>
      <c r="H487" s="1048" t="s">
        <v>166</v>
      </c>
      <c r="I487" s="1049"/>
      <c r="J487" s="1049"/>
      <c r="K487" s="1050"/>
      <c r="L487" s="1049"/>
      <c r="M487" s="1051">
        <v>7926068</v>
      </c>
      <c r="N487" s="1051"/>
      <c r="O487" s="1052" t="s">
        <v>133</v>
      </c>
      <c r="P487" s="1052" t="s">
        <v>31</v>
      </c>
      <c r="Q487" s="66" t="str">
        <f>IF(AND('331-CT'!$E$7=TH!H487,OR(O487="331",P487="331")),"x","")</f>
        <v/>
      </c>
      <c r="R487" s="66" t="str">
        <f>IF(AND($B487&gt;='111'!$N$11,$B487&lt;='111'!$O$11,OR($O487=$R$7,$P487=$R$7)),"x","")</f>
        <v/>
      </c>
      <c r="S487" s="66" t="str">
        <f>IF(AND($O487=$R$7,$B487&lt;'111'!$N$11),"x","")</f>
        <v/>
      </c>
      <c r="T487" s="66" t="str">
        <f>IF(AND($P487=$R$7,$B487&lt;'111'!$N$11),"x","")</f>
        <v/>
      </c>
      <c r="U487" s="66" t="str">
        <f>IF(AND($B487&gt;='112'!$M$9,$B487&lt;='112'!$N$9,OR($O487='112'!$I$6,$P487='112'!$I$6)),"x","")</f>
        <v>x</v>
      </c>
      <c r="V487" s="66" t="str">
        <f>IF(AND($O487='112'!$I$6,$B487&lt;'112'!$M$9),"x","")</f>
        <v/>
      </c>
      <c r="W487" s="66" t="str">
        <f>IF(AND($P487='112'!$I$6,$B487&lt;'112'!$M$9),"x","")</f>
        <v/>
      </c>
      <c r="X487" s="66" t="str">
        <f>IF(AND('131-CT'!$H$9=TH!H487,OR(O487="131",P487="131")),"x","")</f>
        <v/>
      </c>
      <c r="Y487" s="80" t="str">
        <f>IF(AND($B487&gt;='1331'!$I$9,$B487&lt;='1331'!$J$9,OR($O487=$Y$7,$P487=$Y$7)),"x","")</f>
        <v/>
      </c>
      <c r="Z487" s="80" t="str">
        <f>IF(AND($O487=$Y$7,$B487&lt;'1331'!$I$9),"x","")</f>
        <v/>
      </c>
      <c r="AA487" s="80" t="str">
        <f>IF(AND($P487=$Y$7,$B487&lt;'1331'!$I$9),"x","")</f>
        <v/>
      </c>
      <c r="AB487" s="80" t="str">
        <f>IF(AND($B487&gt;='1332'!$I$9,$B487&lt;='1332'!$I$9,OR($O487=$AB$7,$P487=$AB$7)),"x","")</f>
        <v/>
      </c>
      <c r="AC487" s="80" t="str">
        <f>IF(AND($O487=$AB$7,$B487&lt;'1332'!$I$9),"x","")</f>
        <v/>
      </c>
      <c r="AD487" s="80" t="str">
        <f>IF(AND($P487=$AB$7,$B487&lt;'1332'!$I$9),"x","")</f>
        <v/>
      </c>
      <c r="AE487" s="80" t="str">
        <f>IF(AND('341-CT'!$H$9=H487,OR(LEFT(O487,3)=$AE$7,LEFT(P487,3)=$AE$7)),"x","")</f>
        <v/>
      </c>
      <c r="AF487" s="80" t="str">
        <f>IF(OR(TH!O487=TH!$AF$7,P487=TH!$AF$7),"x","")</f>
        <v/>
      </c>
      <c r="AG487" s="80"/>
      <c r="AH487" s="80" t="str">
        <f>IF(AND(B487&gt;='IN-NX'!$P$3,B487&lt;='IN-NX'!$Q$3,'IN-NX'!$D$7=D487,OR(LEFT(L487,2)="15",AND(LEFT(M487,2)&lt;&gt;"15",LEFT(M487,2)&lt;&gt;"33"))),"x","")</f>
        <v/>
      </c>
      <c r="AI487" s="80" t="str">
        <f>IF(AND(OR(LEFT(TH!O487,2)="15",LEFT(TH!P487,2)="15"),'152-CT'!$J$8=TH!F487),"x","")</f>
        <v/>
      </c>
      <c r="AJ487" s="80" t="str">
        <f>IF(AND(OR(LEFT(TH!O487,2)="15",LEFT(TH!P487,2)="15"),'THE KHO'!$E$7=TH!F487),"x","")</f>
        <v/>
      </c>
      <c r="AK487" s="80" t="str">
        <f>IF(AND(O487="1521",MONTH(C487)='BK NL'!$M$11),"x","")</f>
        <v/>
      </c>
    </row>
    <row r="488" spans="1:37" ht="15.75" customHeight="1">
      <c r="A488" s="362" t="str">
        <f>IF(B488&lt;&gt;"",IF(AND(B488&gt;=_TM1,B488&lt;=_TM2,OR(TH!O488="1111",TH!P488="1111")),TH!D488,""),"")</f>
        <v/>
      </c>
      <c r="B488" s="63">
        <f t="shared" si="32"/>
        <v>7</v>
      </c>
      <c r="C488" s="1045">
        <f t="shared" si="34"/>
        <v>42573</v>
      </c>
      <c r="D488" s="1045" t="s">
        <v>8</v>
      </c>
      <c r="E488" s="1045">
        <v>42573</v>
      </c>
      <c r="F488" s="1046" t="s">
        <v>405</v>
      </c>
      <c r="G488" s="1047" t="s">
        <v>798</v>
      </c>
      <c r="H488" s="1048" t="s">
        <v>167</v>
      </c>
      <c r="I488" s="1049"/>
      <c r="J488" s="1049"/>
      <c r="K488" s="1050"/>
      <c r="L488" s="1049"/>
      <c r="M488" s="1051">
        <v>15852135</v>
      </c>
      <c r="N488" s="1051"/>
      <c r="O488" s="1052" t="s">
        <v>133</v>
      </c>
      <c r="P488" s="1052" t="s">
        <v>31</v>
      </c>
      <c r="Q488" s="66" t="str">
        <f>IF(AND('331-CT'!$E$7=TH!H488,OR(O488="331",P488="331")),"x","")</f>
        <v/>
      </c>
      <c r="R488" s="66" t="str">
        <f>IF(AND($B488&gt;='111'!$N$11,$B488&lt;='111'!$O$11,OR($O488=$R$7,$P488=$R$7)),"x","")</f>
        <v/>
      </c>
      <c r="S488" s="66" t="str">
        <f>IF(AND($O488=$R$7,$B488&lt;'111'!$N$11),"x","")</f>
        <v/>
      </c>
      <c r="T488" s="66" t="str">
        <f>IF(AND($P488=$R$7,$B488&lt;'111'!$N$11),"x","")</f>
        <v/>
      </c>
      <c r="U488" s="66" t="str">
        <f>IF(AND($B488&gt;='112'!$M$9,$B488&lt;='112'!$N$9,OR($O488='112'!$I$6,$P488='112'!$I$6)),"x","")</f>
        <v>x</v>
      </c>
      <c r="V488" s="66" t="str">
        <f>IF(AND($O488='112'!$I$6,$B488&lt;'112'!$M$9),"x","")</f>
        <v/>
      </c>
      <c r="W488" s="66" t="str">
        <f>IF(AND($P488='112'!$I$6,$B488&lt;'112'!$M$9),"x","")</f>
        <v/>
      </c>
      <c r="X488" s="66" t="str">
        <f>IF(AND('131-CT'!$H$9=TH!H488,OR(O488="131",P488="131")),"x","")</f>
        <v/>
      </c>
      <c r="Y488" s="80" t="str">
        <f>IF(AND($B488&gt;='1331'!$I$9,$B488&lt;='1331'!$J$9,OR($O488=$Y$7,$P488=$Y$7)),"x","")</f>
        <v/>
      </c>
      <c r="Z488" s="80" t="str">
        <f>IF(AND($O488=$Y$7,$B488&lt;'1331'!$I$9),"x","")</f>
        <v/>
      </c>
      <c r="AA488" s="80" t="str">
        <f>IF(AND($P488=$Y$7,$B488&lt;'1331'!$I$9),"x","")</f>
        <v/>
      </c>
      <c r="AB488" s="80" t="str">
        <f>IF(AND($B488&gt;='1332'!$I$9,$B488&lt;='1332'!$I$9,OR($O488=$AB$7,$P488=$AB$7)),"x","")</f>
        <v/>
      </c>
      <c r="AC488" s="80" t="str">
        <f>IF(AND($O488=$AB$7,$B488&lt;'1332'!$I$9),"x","")</f>
        <v/>
      </c>
      <c r="AD488" s="80" t="str">
        <f>IF(AND($P488=$AB$7,$B488&lt;'1332'!$I$9),"x","")</f>
        <v/>
      </c>
      <c r="AE488" s="80" t="str">
        <f>IF(AND('341-CT'!$H$9=H488,OR(LEFT(O488,3)=$AE$7,LEFT(P488,3)=$AE$7)),"x","")</f>
        <v/>
      </c>
      <c r="AF488" s="80" t="str">
        <f>IF(OR(TH!O488=TH!$AF$7,P488=TH!$AF$7),"x","")</f>
        <v/>
      </c>
      <c r="AG488" s="80"/>
      <c r="AH488" s="80" t="str">
        <f>IF(AND(B488&gt;='IN-NX'!$P$3,B488&lt;='IN-NX'!$Q$3,'IN-NX'!$D$7=D488,OR(LEFT(L488,2)="15",AND(LEFT(M488,2)&lt;&gt;"15",LEFT(M488,2)&lt;&gt;"33"))),"x","")</f>
        <v/>
      </c>
      <c r="AI488" s="80" t="str">
        <f>IF(AND(OR(LEFT(TH!O488,2)="15",LEFT(TH!P488,2)="15"),'152-CT'!$J$8=TH!F488),"x","")</f>
        <v/>
      </c>
      <c r="AJ488" s="80" t="str">
        <f>IF(AND(OR(LEFT(TH!O488,2)="15",LEFT(TH!P488,2)="15"),'THE KHO'!$E$7=TH!F488),"x","")</f>
        <v/>
      </c>
      <c r="AK488" s="80" t="str">
        <f>IF(AND(O488="1521",MONTH(C488)='BK NL'!$M$11),"x","")</f>
        <v/>
      </c>
    </row>
    <row r="489" spans="1:37" ht="15.75" customHeight="1">
      <c r="A489" s="362" t="str">
        <f>IF(B489&lt;&gt;"",IF(AND(B489&gt;=_TM1,B489&lt;=_TM2,OR(TH!O489="1111",TH!P489="1111")),TH!D489,""),"")</f>
        <v/>
      </c>
      <c r="B489" s="63">
        <f t="shared" si="32"/>
        <v>7</v>
      </c>
      <c r="C489" s="1045">
        <f t="shared" si="34"/>
        <v>42573</v>
      </c>
      <c r="D489" s="1045" t="s">
        <v>8</v>
      </c>
      <c r="E489" s="1045">
        <v>42573</v>
      </c>
      <c r="F489" s="1046" t="s">
        <v>405</v>
      </c>
      <c r="G489" s="1047" t="s">
        <v>798</v>
      </c>
      <c r="H489" s="1128" t="s">
        <v>169</v>
      </c>
      <c r="I489" s="1049"/>
      <c r="J489" s="1049"/>
      <c r="K489" s="1050"/>
      <c r="L489" s="1049"/>
      <c r="M489" s="1051">
        <v>12681709</v>
      </c>
      <c r="N489" s="1051"/>
      <c r="O489" s="1052" t="s">
        <v>133</v>
      </c>
      <c r="P489" s="1052" t="s">
        <v>31</v>
      </c>
      <c r="Q489" s="66" t="str">
        <f>IF(AND('331-CT'!$E$7=TH!H489,OR(O489="331",P489="331")),"x","")</f>
        <v/>
      </c>
      <c r="R489" s="66" t="str">
        <f>IF(AND($B489&gt;='111'!$N$11,$B489&lt;='111'!$O$11,OR($O489=$R$7,$P489=$R$7)),"x","")</f>
        <v/>
      </c>
      <c r="S489" s="66" t="str">
        <f>IF(AND($O489=$R$7,$B489&lt;'111'!$N$11),"x","")</f>
        <v/>
      </c>
      <c r="T489" s="66" t="str">
        <f>IF(AND($P489=$R$7,$B489&lt;'111'!$N$11),"x","")</f>
        <v/>
      </c>
      <c r="U489" s="66" t="str">
        <f>IF(AND($B489&gt;='112'!$M$9,$B489&lt;='112'!$N$9,OR($O489='112'!$I$6,$P489='112'!$I$6)),"x","")</f>
        <v>x</v>
      </c>
      <c r="V489" s="66" t="str">
        <f>IF(AND($O489='112'!$I$6,$B489&lt;'112'!$M$9),"x","")</f>
        <v/>
      </c>
      <c r="W489" s="66" t="str">
        <f>IF(AND($P489='112'!$I$6,$B489&lt;'112'!$M$9),"x","")</f>
        <v/>
      </c>
      <c r="X489" s="66" t="str">
        <f>IF(AND('131-CT'!$H$9=TH!H489,OR(O489="131",P489="131")),"x","")</f>
        <v/>
      </c>
      <c r="Y489" s="80" t="str">
        <f>IF(AND($B489&gt;='1331'!$I$9,$B489&lt;='1331'!$J$9,OR($O489=$Y$7,$P489=$Y$7)),"x","")</f>
        <v/>
      </c>
      <c r="Z489" s="80" t="str">
        <f>IF(AND($O489=$Y$7,$B489&lt;'1331'!$I$9),"x","")</f>
        <v/>
      </c>
      <c r="AA489" s="80" t="str">
        <f>IF(AND($P489=$Y$7,$B489&lt;'1331'!$I$9),"x","")</f>
        <v/>
      </c>
      <c r="AB489" s="80" t="str">
        <f>IF(AND($B489&gt;='1332'!$I$9,$B489&lt;='1332'!$I$9,OR($O489=$AB$7,$P489=$AB$7)),"x","")</f>
        <v/>
      </c>
      <c r="AC489" s="80" t="str">
        <f>IF(AND($O489=$AB$7,$B489&lt;'1332'!$I$9),"x","")</f>
        <v/>
      </c>
      <c r="AD489" s="80" t="str">
        <f>IF(AND($P489=$AB$7,$B489&lt;'1332'!$I$9),"x","")</f>
        <v/>
      </c>
      <c r="AE489" s="80" t="str">
        <f>IF(AND('341-CT'!$H$9=H489,OR(LEFT(O489,3)=$AE$7,LEFT(P489,3)=$AE$7)),"x","")</f>
        <v/>
      </c>
      <c r="AF489" s="80" t="str">
        <f>IF(OR(TH!O489=TH!$AF$7,P489=TH!$AF$7),"x","")</f>
        <v/>
      </c>
      <c r="AG489" s="80"/>
      <c r="AH489" s="80" t="str">
        <f>IF(AND(B489&gt;='IN-NX'!$P$3,B489&lt;='IN-NX'!$Q$3,'IN-NX'!$D$7=D489,OR(LEFT(L489,2)="15",AND(LEFT(M489,2)&lt;&gt;"15",LEFT(M489,2)&lt;&gt;"33"))),"x","")</f>
        <v/>
      </c>
      <c r="AI489" s="80" t="str">
        <f>IF(AND(OR(LEFT(TH!O489,2)="15",LEFT(TH!P489,2)="15"),'152-CT'!$J$8=TH!F489),"x","")</f>
        <v/>
      </c>
      <c r="AJ489" s="80" t="str">
        <f>IF(AND(OR(LEFT(TH!O489,2)="15",LEFT(TH!P489,2)="15"),'THE KHO'!$E$7=TH!F489),"x","")</f>
        <v/>
      </c>
      <c r="AK489" s="80" t="str">
        <f>IF(AND(O489="1521",MONTH(C489)='BK NL'!$M$11),"x","")</f>
        <v/>
      </c>
    </row>
    <row r="490" spans="1:37" ht="15.75" customHeight="1">
      <c r="A490" s="362" t="str">
        <f>IF(B490&lt;&gt;"",IF(AND(B490&gt;=_TM1,B490&lt;=_TM2,OR(TH!O490="1111",TH!P490="1111")),TH!D490,""),"")</f>
        <v/>
      </c>
      <c r="B490" s="63">
        <f t="shared" si="32"/>
        <v>7</v>
      </c>
      <c r="C490" s="1045">
        <f t="shared" si="34"/>
        <v>42573</v>
      </c>
      <c r="D490" s="1045" t="s">
        <v>8</v>
      </c>
      <c r="E490" s="1045">
        <v>42573</v>
      </c>
      <c r="F490" s="1046" t="s">
        <v>405</v>
      </c>
      <c r="G490" s="1047" t="s">
        <v>798</v>
      </c>
      <c r="H490" s="1048" t="s">
        <v>168</v>
      </c>
      <c r="I490" s="1049"/>
      <c r="J490" s="1049"/>
      <c r="K490" s="1050"/>
      <c r="L490" s="1049"/>
      <c r="M490" s="1051">
        <v>11889102</v>
      </c>
      <c r="N490" s="1051"/>
      <c r="O490" s="1052" t="s">
        <v>133</v>
      </c>
      <c r="P490" s="1052" t="s">
        <v>31</v>
      </c>
      <c r="Q490" s="66" t="str">
        <f>IF(AND('331-CT'!$E$7=TH!H490,OR(O490="331",P490="331")),"x","")</f>
        <v/>
      </c>
      <c r="R490" s="66" t="str">
        <f>IF(AND($B490&gt;='111'!$N$11,$B490&lt;='111'!$O$11,OR($O490=$R$7,$P490=$R$7)),"x","")</f>
        <v/>
      </c>
      <c r="S490" s="66" t="str">
        <f>IF(AND($O490=$R$7,$B490&lt;'111'!$N$11),"x","")</f>
        <v/>
      </c>
      <c r="T490" s="66" t="str">
        <f>IF(AND($P490=$R$7,$B490&lt;'111'!$N$11),"x","")</f>
        <v/>
      </c>
      <c r="U490" s="66" t="str">
        <f>IF(AND($B490&gt;='112'!$M$9,$B490&lt;='112'!$N$9,OR($O490='112'!$I$6,$P490='112'!$I$6)),"x","")</f>
        <v>x</v>
      </c>
      <c r="V490" s="66" t="str">
        <f>IF(AND($O490='112'!$I$6,$B490&lt;'112'!$M$9),"x","")</f>
        <v/>
      </c>
      <c r="W490" s="66" t="str">
        <f>IF(AND($P490='112'!$I$6,$B490&lt;'112'!$M$9),"x","")</f>
        <v/>
      </c>
      <c r="X490" s="66" t="str">
        <f>IF(AND('131-CT'!$H$9=TH!H490,OR(O490="131",P490="131")),"x","")</f>
        <v/>
      </c>
      <c r="Y490" s="80" t="str">
        <f>IF(AND($B490&gt;='1331'!$I$9,$B490&lt;='1331'!$J$9,OR($O490=$Y$7,$P490=$Y$7)),"x","")</f>
        <v/>
      </c>
      <c r="Z490" s="80" t="str">
        <f>IF(AND($O490=$Y$7,$B490&lt;'1331'!$I$9),"x","")</f>
        <v/>
      </c>
      <c r="AA490" s="80" t="str">
        <f>IF(AND($P490=$Y$7,$B490&lt;'1331'!$I$9),"x","")</f>
        <v/>
      </c>
      <c r="AB490" s="80" t="str">
        <f>IF(AND($B490&gt;='1332'!$I$9,$B490&lt;='1332'!$I$9,OR($O490=$AB$7,$P490=$AB$7)),"x","")</f>
        <v/>
      </c>
      <c r="AC490" s="80" t="str">
        <f>IF(AND($O490=$AB$7,$B490&lt;'1332'!$I$9),"x","")</f>
        <v/>
      </c>
      <c r="AD490" s="80" t="str">
        <f>IF(AND($P490=$AB$7,$B490&lt;'1332'!$I$9),"x","")</f>
        <v/>
      </c>
      <c r="AE490" s="80" t="str">
        <f>IF(AND('341-CT'!$H$9=H490,OR(LEFT(O490,3)=$AE$7,LEFT(P490,3)=$AE$7)),"x","")</f>
        <v/>
      </c>
      <c r="AF490" s="80" t="str">
        <f>IF(OR(TH!O490=TH!$AF$7,P490=TH!$AF$7),"x","")</f>
        <v/>
      </c>
      <c r="AG490" s="80"/>
      <c r="AH490" s="80" t="str">
        <f>IF(AND(B490&gt;='IN-NX'!$P$3,B490&lt;='IN-NX'!$Q$3,'IN-NX'!$D$7=D490,OR(LEFT(L490,2)="15",AND(LEFT(M490,2)&lt;&gt;"15",LEFT(M490,2)&lt;&gt;"33"))),"x","")</f>
        <v/>
      </c>
      <c r="AI490" s="80" t="str">
        <f>IF(AND(OR(LEFT(TH!O490,2)="15",LEFT(TH!P490,2)="15"),'152-CT'!$J$8=TH!F490),"x","")</f>
        <v/>
      </c>
      <c r="AJ490" s="80" t="str">
        <f>IF(AND(OR(LEFT(TH!O490,2)="15",LEFT(TH!P490,2)="15"),'THE KHO'!$E$7=TH!F490),"x","")</f>
        <v/>
      </c>
      <c r="AK490" s="80" t="str">
        <f>IF(AND(O490="1521",MONTH(C490)='BK NL'!$M$11),"x","")</f>
        <v/>
      </c>
    </row>
    <row r="491" spans="1:37" ht="15.75" customHeight="1">
      <c r="A491" s="362" t="str">
        <f>IF(B491&lt;&gt;"",IF(AND(B491&gt;=_TM1,B491&lt;=_TM2,OR(TH!O491="1111",TH!P491="1111")),TH!D491,""),"")</f>
        <v/>
      </c>
      <c r="B491" s="63">
        <f t="shared" ref="B491:B533" si="35">IF(C491&lt;&gt;"",MONTH(C491),"")</f>
        <v>7</v>
      </c>
      <c r="C491" s="1045">
        <f t="shared" si="34"/>
        <v>42573</v>
      </c>
      <c r="D491" s="1045" t="s">
        <v>8</v>
      </c>
      <c r="E491" s="1045">
        <v>42573</v>
      </c>
      <c r="F491" s="1046" t="s">
        <v>405</v>
      </c>
      <c r="G491" s="1047" t="s">
        <v>798</v>
      </c>
      <c r="H491" s="1048" t="s">
        <v>170</v>
      </c>
      <c r="I491" s="1049"/>
      <c r="J491" s="1049"/>
      <c r="K491" s="1050"/>
      <c r="L491" s="1049"/>
      <c r="M491" s="1051">
        <v>7926068</v>
      </c>
      <c r="N491" s="1051"/>
      <c r="O491" s="1052" t="s">
        <v>133</v>
      </c>
      <c r="P491" s="1052" t="s">
        <v>31</v>
      </c>
      <c r="Q491" s="66" t="str">
        <f>IF(AND('331-CT'!$E$7=TH!H491,OR(O491="331",P491="331")),"x","")</f>
        <v/>
      </c>
      <c r="R491" s="66" t="str">
        <f>IF(AND($B491&gt;='111'!$N$11,$B491&lt;='111'!$O$11,OR($O491=$R$7,$P491=$R$7)),"x","")</f>
        <v/>
      </c>
      <c r="S491" s="66" t="str">
        <f>IF(AND($O491=$R$7,$B491&lt;'111'!$N$11),"x","")</f>
        <v/>
      </c>
      <c r="T491" s="66" t="str">
        <f>IF(AND($P491=$R$7,$B491&lt;'111'!$N$11),"x","")</f>
        <v/>
      </c>
      <c r="U491" s="66" t="str">
        <f>IF(AND($B491&gt;='112'!$M$9,$B491&lt;='112'!$N$9,OR($O491='112'!$I$6,$P491='112'!$I$6)),"x","")</f>
        <v>x</v>
      </c>
      <c r="V491" s="66" t="str">
        <f>IF(AND($O491='112'!$I$6,$B491&lt;'112'!$M$9),"x","")</f>
        <v/>
      </c>
      <c r="W491" s="66" t="str">
        <f>IF(AND($P491='112'!$I$6,$B491&lt;'112'!$M$9),"x","")</f>
        <v/>
      </c>
      <c r="X491" s="66" t="str">
        <f>IF(AND('131-CT'!$H$9=TH!H491,OR(O491="131",P491="131")),"x","")</f>
        <v/>
      </c>
      <c r="Y491" s="80" t="str">
        <f>IF(AND($B491&gt;='1331'!$I$9,$B491&lt;='1331'!$J$9,OR($O491=$Y$7,$P491=$Y$7)),"x","")</f>
        <v/>
      </c>
      <c r="Z491" s="80" t="str">
        <f>IF(AND($O491=$Y$7,$B491&lt;'1331'!$I$9),"x","")</f>
        <v/>
      </c>
      <c r="AA491" s="80" t="str">
        <f>IF(AND($P491=$Y$7,$B491&lt;'1331'!$I$9),"x","")</f>
        <v/>
      </c>
      <c r="AB491" s="80" t="str">
        <f>IF(AND($B491&gt;='1332'!$I$9,$B491&lt;='1332'!$I$9,OR($O491=$AB$7,$P491=$AB$7)),"x","")</f>
        <v/>
      </c>
      <c r="AC491" s="80" t="str">
        <f>IF(AND($O491=$AB$7,$B491&lt;'1332'!$I$9),"x","")</f>
        <v/>
      </c>
      <c r="AD491" s="80" t="str">
        <f>IF(AND($P491=$AB$7,$B491&lt;'1332'!$I$9),"x","")</f>
        <v/>
      </c>
      <c r="AE491" s="80" t="str">
        <f>IF(AND('341-CT'!$H$9=H491,OR(LEFT(O491,3)=$AE$7,LEFT(P491,3)=$AE$7)),"x","")</f>
        <v/>
      </c>
      <c r="AF491" s="80" t="str">
        <f>IF(OR(TH!O491=TH!$AF$7,P491=TH!$AF$7),"x","")</f>
        <v/>
      </c>
      <c r="AG491" s="80"/>
      <c r="AH491" s="80" t="str">
        <f>IF(AND(B491&gt;='IN-NX'!$P$3,B491&lt;='IN-NX'!$Q$3,'IN-NX'!$D$7=D491,OR(LEFT(L491,2)="15",AND(LEFT(M491,2)&lt;&gt;"15",LEFT(M491,2)&lt;&gt;"33"))),"x","")</f>
        <v/>
      </c>
      <c r="AI491" s="80" t="str">
        <f>IF(AND(OR(LEFT(TH!O491,2)="15",LEFT(TH!P491,2)="15"),'152-CT'!$J$8=TH!F491),"x","")</f>
        <v/>
      </c>
      <c r="AJ491" s="80" t="str">
        <f>IF(AND(OR(LEFT(TH!O491,2)="15",LEFT(TH!P491,2)="15"),'THE KHO'!$E$7=TH!F491),"x","")</f>
        <v/>
      </c>
      <c r="AK491" s="80" t="str">
        <f>IF(AND(O491="1521",MONTH(C491)='BK NL'!$M$11),"x","")</f>
        <v/>
      </c>
    </row>
    <row r="492" spans="1:37" ht="15.75" customHeight="1">
      <c r="A492" s="362" t="str">
        <f>IF(B492&lt;&gt;"",IF(AND(B492&gt;=_TM1,B492&lt;=_TM2,OR(TH!O492="1111",TH!P492="1111")),TH!D492,""),"")</f>
        <v/>
      </c>
      <c r="B492" s="63">
        <f t="shared" si="35"/>
        <v>7</v>
      </c>
      <c r="C492" s="1045">
        <f t="shared" si="34"/>
        <v>42573</v>
      </c>
      <c r="D492" s="1045" t="s">
        <v>8</v>
      </c>
      <c r="E492" s="1045">
        <v>42573</v>
      </c>
      <c r="F492" s="1046" t="s">
        <v>405</v>
      </c>
      <c r="G492" s="1047" t="s">
        <v>798</v>
      </c>
      <c r="H492" s="1048" t="s">
        <v>171</v>
      </c>
      <c r="I492" s="1049"/>
      <c r="J492" s="1049"/>
      <c r="K492" s="1050"/>
      <c r="L492" s="1049"/>
      <c r="M492" s="1051">
        <v>11889102</v>
      </c>
      <c r="N492" s="1051"/>
      <c r="O492" s="1052" t="s">
        <v>133</v>
      </c>
      <c r="P492" s="1052" t="s">
        <v>31</v>
      </c>
      <c r="Q492" s="66" t="str">
        <f>IF(AND('331-CT'!$E$7=TH!H492,OR(O492="331",P492="331")),"x","")</f>
        <v/>
      </c>
      <c r="R492" s="66" t="str">
        <f>IF(AND($B492&gt;='111'!$N$11,$B492&lt;='111'!$O$11,OR($O492=$R$7,$P492=$R$7)),"x","")</f>
        <v/>
      </c>
      <c r="S492" s="66" t="str">
        <f>IF(AND($O492=$R$7,$B492&lt;'111'!$N$11),"x","")</f>
        <v/>
      </c>
      <c r="T492" s="66" t="str">
        <f>IF(AND($P492=$R$7,$B492&lt;'111'!$N$11),"x","")</f>
        <v/>
      </c>
      <c r="U492" s="66" t="str">
        <f>IF(AND($B492&gt;='112'!$M$9,$B492&lt;='112'!$N$9,OR($O492='112'!$I$6,$P492='112'!$I$6)),"x","")</f>
        <v>x</v>
      </c>
      <c r="V492" s="66" t="str">
        <f>IF(AND($O492='112'!$I$6,$B492&lt;'112'!$M$9),"x","")</f>
        <v/>
      </c>
      <c r="W492" s="66" t="str">
        <f>IF(AND($P492='112'!$I$6,$B492&lt;'112'!$M$9),"x","")</f>
        <v/>
      </c>
      <c r="X492" s="66" t="str">
        <f>IF(AND('131-CT'!$H$9=TH!H492,OR(O492="131",P492="131")),"x","")</f>
        <v/>
      </c>
      <c r="Y492" s="80" t="str">
        <f>IF(AND($B492&gt;='1331'!$I$9,$B492&lt;='1331'!$J$9,OR($O492=$Y$7,$P492=$Y$7)),"x","")</f>
        <v/>
      </c>
      <c r="Z492" s="80" t="str">
        <f>IF(AND($O492=$Y$7,$B492&lt;'1331'!$I$9),"x","")</f>
        <v/>
      </c>
      <c r="AA492" s="80" t="str">
        <f>IF(AND($P492=$Y$7,$B492&lt;'1331'!$I$9),"x","")</f>
        <v/>
      </c>
      <c r="AB492" s="80" t="str">
        <f>IF(AND($B492&gt;='1332'!$I$9,$B492&lt;='1332'!$I$9,OR($O492=$AB$7,$P492=$AB$7)),"x","")</f>
        <v/>
      </c>
      <c r="AC492" s="80" t="str">
        <f>IF(AND($O492=$AB$7,$B492&lt;'1332'!$I$9),"x","")</f>
        <v/>
      </c>
      <c r="AD492" s="80" t="str">
        <f>IF(AND($P492=$AB$7,$B492&lt;'1332'!$I$9),"x","")</f>
        <v/>
      </c>
      <c r="AE492" s="80" t="str">
        <f>IF(AND('341-CT'!$H$9=H492,OR(LEFT(O492,3)=$AE$7,LEFT(P492,3)=$AE$7)),"x","")</f>
        <v/>
      </c>
      <c r="AF492" s="80" t="str">
        <f>IF(OR(TH!O492=TH!$AF$7,P492=TH!$AF$7),"x","")</f>
        <v/>
      </c>
      <c r="AG492" s="80"/>
      <c r="AH492" s="80" t="str">
        <f>IF(AND(B492&gt;='IN-NX'!$P$3,B492&lt;='IN-NX'!$Q$3,'IN-NX'!$D$7=D492,OR(LEFT(L492,2)="15",AND(LEFT(M492,2)&lt;&gt;"15",LEFT(M492,2)&lt;&gt;"33"))),"x","")</f>
        <v/>
      </c>
      <c r="AI492" s="80" t="str">
        <f>IF(AND(OR(LEFT(TH!O492,2)="15",LEFT(TH!P492,2)="15"),'152-CT'!$J$8=TH!F492),"x","")</f>
        <v/>
      </c>
      <c r="AJ492" s="80" t="str">
        <f>IF(AND(OR(LEFT(TH!O492,2)="15",LEFT(TH!P492,2)="15"),'THE KHO'!$E$7=TH!F492),"x","")</f>
        <v/>
      </c>
      <c r="AK492" s="80" t="str">
        <f>IF(AND(O492="1521",MONTH(C492)='BK NL'!$M$11),"x","")</f>
        <v/>
      </c>
    </row>
    <row r="493" spans="1:37" ht="15.75" customHeight="1">
      <c r="A493" s="362" t="str">
        <f>IF(B493&lt;&gt;"",IF(AND(B493&gt;=_TM1,B493&lt;=_TM2,OR(TH!O493="1111",TH!P493="1111")),TH!D493,""),"")</f>
        <v/>
      </c>
      <c r="B493" s="63">
        <f t="shared" si="35"/>
        <v>7</v>
      </c>
      <c r="C493" s="1045">
        <f t="shared" si="34"/>
        <v>42573</v>
      </c>
      <c r="D493" s="1045" t="s">
        <v>8</v>
      </c>
      <c r="E493" s="1045">
        <v>42573</v>
      </c>
      <c r="F493" s="1046" t="s">
        <v>405</v>
      </c>
      <c r="G493" s="1047" t="s">
        <v>798</v>
      </c>
      <c r="H493" s="1048" t="s">
        <v>172</v>
      </c>
      <c r="I493" s="1049"/>
      <c r="J493" s="1049"/>
      <c r="K493" s="1050"/>
      <c r="L493" s="1049"/>
      <c r="M493" s="1051">
        <v>15852135</v>
      </c>
      <c r="N493" s="1051"/>
      <c r="O493" s="1052" t="s">
        <v>133</v>
      </c>
      <c r="P493" s="1052" t="s">
        <v>31</v>
      </c>
      <c r="Q493" s="66" t="str">
        <f>IF(AND('331-CT'!$E$7=TH!H493,OR(O493="331",P493="331")),"x","")</f>
        <v/>
      </c>
      <c r="R493" s="66" t="str">
        <f>IF(AND($B493&gt;='111'!$N$11,$B493&lt;='111'!$O$11,OR($O493=$R$7,$P493=$R$7)),"x","")</f>
        <v/>
      </c>
      <c r="S493" s="66" t="str">
        <f>IF(AND($O493=$R$7,$B493&lt;'111'!$N$11),"x","")</f>
        <v/>
      </c>
      <c r="T493" s="66" t="str">
        <f>IF(AND($P493=$R$7,$B493&lt;'111'!$N$11),"x","")</f>
        <v/>
      </c>
      <c r="U493" s="66" t="str">
        <f>IF(AND($B493&gt;='112'!$M$9,$B493&lt;='112'!$N$9,OR($O493='112'!$I$6,$P493='112'!$I$6)),"x","")</f>
        <v>x</v>
      </c>
      <c r="V493" s="66" t="str">
        <f>IF(AND($O493='112'!$I$6,$B493&lt;'112'!$M$9),"x","")</f>
        <v/>
      </c>
      <c r="W493" s="66" t="str">
        <f>IF(AND($P493='112'!$I$6,$B493&lt;'112'!$M$9),"x","")</f>
        <v/>
      </c>
      <c r="X493" s="66" t="str">
        <f>IF(AND('131-CT'!$H$9=TH!H493,OR(O493="131",P493="131")),"x","")</f>
        <v/>
      </c>
      <c r="Y493" s="80" t="str">
        <f>IF(AND($B493&gt;='1331'!$I$9,$B493&lt;='1331'!$J$9,OR($O493=$Y$7,$P493=$Y$7)),"x","")</f>
        <v/>
      </c>
      <c r="Z493" s="80" t="str">
        <f>IF(AND($O493=$Y$7,$B493&lt;'1331'!$I$9),"x","")</f>
        <v/>
      </c>
      <c r="AA493" s="80" t="str">
        <f>IF(AND($P493=$Y$7,$B493&lt;'1331'!$I$9),"x","")</f>
        <v/>
      </c>
      <c r="AB493" s="80" t="str">
        <f>IF(AND($B493&gt;='1332'!$I$9,$B493&lt;='1332'!$I$9,OR($O493=$AB$7,$P493=$AB$7)),"x","")</f>
        <v/>
      </c>
      <c r="AC493" s="80" t="str">
        <f>IF(AND($O493=$AB$7,$B493&lt;'1332'!$I$9),"x","")</f>
        <v/>
      </c>
      <c r="AD493" s="80" t="str">
        <f>IF(AND($P493=$AB$7,$B493&lt;'1332'!$I$9),"x","")</f>
        <v/>
      </c>
      <c r="AE493" s="80" t="str">
        <f>IF(AND('341-CT'!$H$9=H493,OR(LEFT(O493,3)=$AE$7,LEFT(P493,3)=$AE$7)),"x","")</f>
        <v/>
      </c>
      <c r="AF493" s="80" t="str">
        <f>IF(OR(TH!O493=TH!$AF$7,P493=TH!$AF$7),"x","")</f>
        <v/>
      </c>
      <c r="AG493" s="80"/>
      <c r="AH493" s="80" t="str">
        <f>IF(AND(B493&gt;='IN-NX'!$P$3,B493&lt;='IN-NX'!$Q$3,'IN-NX'!$D$7=D493,OR(LEFT(L493,2)="15",AND(LEFT(M493,2)&lt;&gt;"15",LEFT(M493,2)&lt;&gt;"33"))),"x","")</f>
        <v/>
      </c>
      <c r="AI493" s="80" t="str">
        <f>IF(AND(OR(LEFT(TH!O493,2)="15",LEFT(TH!P493,2)="15"),'152-CT'!$J$8=TH!F493),"x","")</f>
        <v/>
      </c>
      <c r="AJ493" s="80" t="str">
        <f>IF(AND(OR(LEFT(TH!O493,2)="15",LEFT(TH!P493,2)="15"),'THE KHO'!$E$7=TH!F493),"x","")</f>
        <v/>
      </c>
      <c r="AK493" s="80" t="str">
        <f>IF(AND(O493="1521",MONTH(C493)='BK NL'!$M$11),"x","")</f>
        <v/>
      </c>
    </row>
    <row r="494" spans="1:37" ht="15.75" customHeight="1">
      <c r="A494" s="362" t="str">
        <f>IF(B494&lt;&gt;"",IF(AND(B494&gt;=_TM1,B494&lt;=_TM2,OR(TH!O494="1111",TH!P494="1111")),TH!D494,""),"")</f>
        <v/>
      </c>
      <c r="B494" s="63">
        <f t="shared" si="35"/>
        <v>7</v>
      </c>
      <c r="C494" s="1045">
        <f t="shared" si="34"/>
        <v>42573</v>
      </c>
      <c r="D494" s="1045" t="s">
        <v>8</v>
      </c>
      <c r="E494" s="1045">
        <v>42573</v>
      </c>
      <c r="F494" s="1046" t="s">
        <v>405</v>
      </c>
      <c r="G494" s="1047" t="s">
        <v>798</v>
      </c>
      <c r="H494" s="1048" t="s">
        <v>173</v>
      </c>
      <c r="I494" s="1049"/>
      <c r="J494" s="1049"/>
      <c r="K494" s="1050"/>
      <c r="L494" s="1049"/>
      <c r="M494" s="1051">
        <v>11096494</v>
      </c>
      <c r="N494" s="1051"/>
      <c r="O494" s="1052" t="s">
        <v>133</v>
      </c>
      <c r="P494" s="1052" t="s">
        <v>31</v>
      </c>
      <c r="Q494" s="66" t="str">
        <f>IF(AND('331-CT'!$E$7=TH!H494,OR(O494="331",P494="331")),"x","")</f>
        <v/>
      </c>
      <c r="R494" s="66" t="str">
        <f>IF(AND($B494&gt;='111'!$N$11,$B494&lt;='111'!$O$11,OR($O494=$R$7,$P494=$R$7)),"x","")</f>
        <v/>
      </c>
      <c r="S494" s="66" t="str">
        <f>IF(AND($O494=$R$7,$B494&lt;'111'!$N$11),"x","")</f>
        <v/>
      </c>
      <c r="T494" s="66" t="str">
        <f>IF(AND($P494=$R$7,$B494&lt;'111'!$N$11),"x","")</f>
        <v/>
      </c>
      <c r="U494" s="66" t="str">
        <f>IF(AND($B494&gt;='112'!$M$9,$B494&lt;='112'!$N$9,OR($O494='112'!$I$6,$P494='112'!$I$6)),"x","")</f>
        <v>x</v>
      </c>
      <c r="V494" s="66" t="str">
        <f>IF(AND($O494='112'!$I$6,$B494&lt;'112'!$M$9),"x","")</f>
        <v/>
      </c>
      <c r="W494" s="66" t="str">
        <f>IF(AND($P494='112'!$I$6,$B494&lt;'112'!$M$9),"x","")</f>
        <v/>
      </c>
      <c r="X494" s="66" t="str">
        <f>IF(AND('131-CT'!$H$9=TH!H494,OR(O494="131",P494="131")),"x","")</f>
        <v/>
      </c>
      <c r="Y494" s="80" t="str">
        <f>IF(AND($B494&gt;='1331'!$I$9,$B494&lt;='1331'!$J$9,OR($O494=$Y$7,$P494=$Y$7)),"x","")</f>
        <v/>
      </c>
      <c r="Z494" s="80" t="str">
        <f>IF(AND($O494=$Y$7,$B494&lt;'1331'!$I$9),"x","")</f>
        <v/>
      </c>
      <c r="AA494" s="80" t="str">
        <f>IF(AND($P494=$Y$7,$B494&lt;'1331'!$I$9),"x","")</f>
        <v/>
      </c>
      <c r="AB494" s="80" t="str">
        <f>IF(AND($B494&gt;='1332'!$I$9,$B494&lt;='1332'!$I$9,OR($O494=$AB$7,$P494=$AB$7)),"x","")</f>
        <v/>
      </c>
      <c r="AC494" s="80" t="str">
        <f>IF(AND($O494=$AB$7,$B494&lt;'1332'!$I$9),"x","")</f>
        <v/>
      </c>
      <c r="AD494" s="80" t="str">
        <f>IF(AND($P494=$AB$7,$B494&lt;'1332'!$I$9),"x","")</f>
        <v/>
      </c>
      <c r="AE494" s="80" t="str">
        <f>IF(AND('341-CT'!$H$9=H494,OR(LEFT(O494,3)=$AE$7,LEFT(P494,3)=$AE$7)),"x","")</f>
        <v/>
      </c>
      <c r="AF494" s="80" t="str">
        <f>IF(OR(TH!O494=TH!$AF$7,P494=TH!$AF$7),"x","")</f>
        <v/>
      </c>
      <c r="AG494" s="80"/>
      <c r="AH494" s="80" t="str">
        <f>IF(AND(B494&gt;='IN-NX'!$P$3,B494&lt;='IN-NX'!$Q$3,'IN-NX'!$D$7=D494,OR(LEFT(L494,2)="15",AND(LEFT(M494,2)&lt;&gt;"15",LEFT(M494,2)&lt;&gt;"33"))),"x","")</f>
        <v/>
      </c>
      <c r="AI494" s="80" t="str">
        <f>IF(AND(OR(LEFT(TH!O494,2)="15",LEFT(TH!P494,2)="15"),'152-CT'!$J$8=TH!F494),"x","")</f>
        <v/>
      </c>
      <c r="AJ494" s="80" t="str">
        <f>IF(AND(OR(LEFT(TH!O494,2)="15",LEFT(TH!P494,2)="15"),'THE KHO'!$E$7=TH!F494),"x","")</f>
        <v/>
      </c>
      <c r="AK494" s="80" t="str">
        <f>IF(AND(O494="1521",MONTH(C494)='BK NL'!$M$11),"x","")</f>
        <v/>
      </c>
    </row>
    <row r="495" spans="1:37" ht="15.75" customHeight="1">
      <c r="A495" s="362" t="str">
        <f>IF(B495&lt;&gt;"",IF(AND(B495&gt;=_TM1,B495&lt;=_TM2,OR(TH!O495="1111",TH!P495="1111")),TH!D495,""),"")</f>
        <v/>
      </c>
      <c r="B495" s="63">
        <f t="shared" si="35"/>
        <v>7</v>
      </c>
      <c r="C495" s="1045">
        <f t="shared" si="34"/>
        <v>42573</v>
      </c>
      <c r="D495" s="1045" t="s">
        <v>8</v>
      </c>
      <c r="E495" s="1045">
        <v>42573</v>
      </c>
      <c r="F495" s="1046" t="s">
        <v>405</v>
      </c>
      <c r="G495" s="1047" t="s">
        <v>798</v>
      </c>
      <c r="H495" s="1129" t="s">
        <v>174</v>
      </c>
      <c r="I495" s="1049"/>
      <c r="J495" s="1049"/>
      <c r="K495" s="1050"/>
      <c r="L495" s="1049"/>
      <c r="M495" s="1051">
        <v>11889102</v>
      </c>
      <c r="N495" s="1051"/>
      <c r="O495" s="1052" t="s">
        <v>133</v>
      </c>
      <c r="P495" s="1052" t="s">
        <v>31</v>
      </c>
      <c r="Q495" s="66" t="str">
        <f>IF(AND('331-CT'!$E$7=TH!H495,OR(O495="331",P495="331")),"x","")</f>
        <v/>
      </c>
      <c r="R495" s="66" t="str">
        <f>IF(AND($B495&gt;='111'!$N$11,$B495&lt;='111'!$O$11,OR($O495=$R$7,$P495=$R$7)),"x","")</f>
        <v/>
      </c>
      <c r="S495" s="66" t="str">
        <f>IF(AND($O495=$R$7,$B495&lt;'111'!$N$11),"x","")</f>
        <v/>
      </c>
      <c r="T495" s="66" t="str">
        <f>IF(AND($P495=$R$7,$B495&lt;'111'!$N$11),"x","")</f>
        <v/>
      </c>
      <c r="U495" s="66" t="str">
        <f>IF(AND($B495&gt;='112'!$M$9,$B495&lt;='112'!$N$9,OR($O495='112'!$I$6,$P495='112'!$I$6)),"x","")</f>
        <v>x</v>
      </c>
      <c r="V495" s="66" t="str">
        <f>IF(AND($O495='112'!$I$6,$B495&lt;'112'!$M$9),"x","")</f>
        <v/>
      </c>
      <c r="W495" s="66" t="str">
        <f>IF(AND($P495='112'!$I$6,$B495&lt;'112'!$M$9),"x","")</f>
        <v/>
      </c>
      <c r="X495" s="66" t="str">
        <f>IF(AND('131-CT'!$H$9=TH!H495,OR(O495="131",P495="131")),"x","")</f>
        <v/>
      </c>
      <c r="Y495" s="80" t="str">
        <f>IF(AND($B495&gt;='1331'!$I$9,$B495&lt;='1331'!$J$9,OR($O495=$Y$7,$P495=$Y$7)),"x","")</f>
        <v/>
      </c>
      <c r="Z495" s="80" t="str">
        <f>IF(AND($O495=$Y$7,$B495&lt;'1331'!$I$9),"x","")</f>
        <v/>
      </c>
      <c r="AA495" s="80" t="str">
        <f>IF(AND($P495=$Y$7,$B495&lt;'1331'!$I$9),"x","")</f>
        <v/>
      </c>
      <c r="AB495" s="80" t="str">
        <f>IF(AND($B495&gt;='1332'!$I$9,$B495&lt;='1332'!$I$9,OR($O495=$AB$7,$P495=$AB$7)),"x","")</f>
        <v/>
      </c>
      <c r="AC495" s="80" t="str">
        <f>IF(AND($O495=$AB$7,$B495&lt;'1332'!$I$9),"x","")</f>
        <v/>
      </c>
      <c r="AD495" s="80" t="str">
        <f>IF(AND($P495=$AB$7,$B495&lt;'1332'!$I$9),"x","")</f>
        <v/>
      </c>
      <c r="AE495" s="80" t="str">
        <f>IF(AND('341-CT'!$H$9=H495,OR(LEFT(O495,3)=$AE$7,LEFT(P495,3)=$AE$7)),"x","")</f>
        <v/>
      </c>
      <c r="AF495" s="80" t="str">
        <f>IF(OR(TH!O495=TH!$AF$7,P495=TH!$AF$7),"x","")</f>
        <v/>
      </c>
      <c r="AG495" s="80"/>
      <c r="AH495" s="80" t="str">
        <f>IF(AND(B495&gt;='IN-NX'!$P$3,B495&lt;='IN-NX'!$Q$3,'IN-NX'!$D$7=D495,OR(LEFT(L495,2)="15",AND(LEFT(M495,2)&lt;&gt;"15",LEFT(M495,2)&lt;&gt;"33"))),"x","")</f>
        <v/>
      </c>
      <c r="AI495" s="80" t="str">
        <f>IF(AND(OR(LEFT(TH!O495,2)="15",LEFT(TH!P495,2)="15"),'152-CT'!$J$8=TH!F495),"x","")</f>
        <v/>
      </c>
      <c r="AJ495" s="80" t="str">
        <f>IF(AND(OR(LEFT(TH!O495,2)="15",LEFT(TH!P495,2)="15"),'THE KHO'!$E$7=TH!F495),"x","")</f>
        <v/>
      </c>
      <c r="AK495" s="80" t="str">
        <f>IF(AND(O495="1521",MONTH(C495)='BK NL'!$M$11),"x","")</f>
        <v/>
      </c>
    </row>
    <row r="496" spans="1:37" ht="15.75" customHeight="1">
      <c r="A496" s="362" t="str">
        <f>IF(B496&lt;&gt;"",IF(AND(B496&gt;=_TM1,B496&lt;=_TM2,OR(TH!O496="1111",TH!P496="1111")),TH!D496,""),"")</f>
        <v/>
      </c>
      <c r="B496" s="63">
        <f t="shared" si="35"/>
        <v>7</v>
      </c>
      <c r="C496" s="1045">
        <f t="shared" si="34"/>
        <v>42573</v>
      </c>
      <c r="D496" s="1045" t="s">
        <v>8</v>
      </c>
      <c r="E496" s="1045">
        <v>42573</v>
      </c>
      <c r="F496" s="1046" t="s">
        <v>405</v>
      </c>
      <c r="G496" s="1047" t="s">
        <v>798</v>
      </c>
      <c r="H496" s="1129" t="s">
        <v>1090</v>
      </c>
      <c r="I496" s="1049"/>
      <c r="J496" s="1049"/>
      <c r="K496" s="1050"/>
      <c r="L496" s="1049"/>
      <c r="M496" s="1051">
        <v>11889102</v>
      </c>
      <c r="N496" s="1051"/>
      <c r="O496" s="1052" t="s">
        <v>133</v>
      </c>
      <c r="P496" s="1052" t="s">
        <v>31</v>
      </c>
      <c r="Q496" s="66" t="str">
        <f>IF(AND('331-CT'!$E$7=TH!H496,OR(O496="331",P496="331")),"x","")</f>
        <v/>
      </c>
      <c r="R496" s="66" t="str">
        <f>IF(AND($B496&gt;='111'!$N$11,$B496&lt;='111'!$O$11,OR($O496=$R$7,$P496=$R$7)),"x","")</f>
        <v/>
      </c>
      <c r="S496" s="66" t="str">
        <f>IF(AND($O496=$R$7,$B496&lt;'111'!$N$11),"x","")</f>
        <v/>
      </c>
      <c r="T496" s="66" t="str">
        <f>IF(AND($P496=$R$7,$B496&lt;'111'!$N$11),"x","")</f>
        <v/>
      </c>
      <c r="U496" s="66" t="str">
        <f>IF(AND($B496&gt;='112'!$M$9,$B496&lt;='112'!$N$9,OR($O496='112'!$I$6,$P496='112'!$I$6)),"x","")</f>
        <v>x</v>
      </c>
      <c r="V496" s="66" t="str">
        <f>IF(AND($O496='112'!$I$6,$B496&lt;'112'!$M$9),"x","")</f>
        <v/>
      </c>
      <c r="W496" s="66" t="str">
        <f>IF(AND($P496='112'!$I$6,$B496&lt;'112'!$M$9),"x","")</f>
        <v/>
      </c>
      <c r="X496" s="66" t="str">
        <f>IF(AND('131-CT'!$H$9=TH!H496,OR(O496="131",P496="131")),"x","")</f>
        <v/>
      </c>
      <c r="Y496" s="80" t="str">
        <f>IF(AND($B496&gt;='1331'!$I$9,$B496&lt;='1331'!$J$9,OR($O496=$Y$7,$P496=$Y$7)),"x","")</f>
        <v/>
      </c>
      <c r="Z496" s="80" t="str">
        <f>IF(AND($O496=$Y$7,$B496&lt;'1331'!$I$9),"x","")</f>
        <v/>
      </c>
      <c r="AA496" s="80" t="str">
        <f>IF(AND($P496=$Y$7,$B496&lt;'1331'!$I$9),"x","")</f>
        <v/>
      </c>
      <c r="AB496" s="80" t="str">
        <f>IF(AND($B496&gt;='1332'!$I$9,$B496&lt;='1332'!$I$9,OR($O496=$AB$7,$P496=$AB$7)),"x","")</f>
        <v/>
      </c>
      <c r="AC496" s="80" t="str">
        <f>IF(AND($O496=$AB$7,$B496&lt;'1332'!$I$9),"x","")</f>
        <v/>
      </c>
      <c r="AD496" s="80" t="str">
        <f>IF(AND($P496=$AB$7,$B496&lt;'1332'!$I$9),"x","")</f>
        <v/>
      </c>
      <c r="AE496" s="80" t="str">
        <f>IF(AND('341-CT'!$H$9=H496,OR(LEFT(O496,3)=$AE$7,LEFT(P496,3)=$AE$7)),"x","")</f>
        <v/>
      </c>
      <c r="AF496" s="80" t="str">
        <f>IF(OR(TH!O496=TH!$AF$7,P496=TH!$AF$7),"x","")</f>
        <v/>
      </c>
      <c r="AG496" s="80"/>
      <c r="AH496" s="80" t="str">
        <f>IF(AND(B496&gt;='IN-NX'!$P$3,B496&lt;='IN-NX'!$Q$3,'IN-NX'!$D$7=D496,OR(LEFT(L496,2)="15",AND(LEFT(M496,2)&lt;&gt;"15",LEFT(M496,2)&lt;&gt;"33"))),"x","")</f>
        <v/>
      </c>
      <c r="AI496" s="80" t="str">
        <f>IF(AND(OR(LEFT(TH!O496,2)="15",LEFT(TH!P496,2)="15"),'152-CT'!$J$8=TH!F496),"x","")</f>
        <v/>
      </c>
      <c r="AJ496" s="80" t="str">
        <f>IF(AND(OR(LEFT(TH!O496,2)="15",LEFT(TH!P496,2)="15"),'THE KHO'!$E$7=TH!F496),"x","")</f>
        <v/>
      </c>
      <c r="AK496" s="80" t="str">
        <f>IF(AND(O496="1521",MONTH(C496)='BK NL'!$M$11),"x","")</f>
        <v/>
      </c>
    </row>
    <row r="497" spans="1:39" ht="15.75" customHeight="1">
      <c r="A497" s="362" t="str">
        <f>IF(B497&lt;&gt;"",IF(AND(B497&gt;=_TM1,B497&lt;=_TM2,OR(TH!O497="1111",TH!P497="1111")),TH!D497,""),"")</f>
        <v/>
      </c>
      <c r="B497" s="63">
        <f t="shared" si="35"/>
        <v>7</v>
      </c>
      <c r="C497" s="1045">
        <f t="shared" si="34"/>
        <v>42573</v>
      </c>
      <c r="D497" s="1045" t="s">
        <v>8</v>
      </c>
      <c r="E497" s="1045">
        <v>42573</v>
      </c>
      <c r="F497" s="1046" t="s">
        <v>405</v>
      </c>
      <c r="G497" s="1047" t="s">
        <v>798</v>
      </c>
      <c r="H497" s="1048" t="s">
        <v>176</v>
      </c>
      <c r="I497" s="1130"/>
      <c r="J497" s="1130"/>
      <c r="K497" s="1131"/>
      <c r="L497" s="1130"/>
      <c r="M497" s="1051">
        <v>11889102</v>
      </c>
      <c r="N497" s="1051"/>
      <c r="O497" s="1052" t="s">
        <v>133</v>
      </c>
      <c r="P497" s="1052" t="s">
        <v>31</v>
      </c>
      <c r="Q497" s="66" t="str">
        <f>IF(AND('331-CT'!$E$7=TH!H497,OR(O497="331",P497="331")),"x","")</f>
        <v/>
      </c>
      <c r="R497" s="66" t="str">
        <f>IF(AND($B497&gt;='111'!$N$11,$B497&lt;='111'!$O$11,OR($O497=$R$7,$P497=$R$7)),"x","")</f>
        <v/>
      </c>
      <c r="S497" s="66" t="str">
        <f>IF(AND($O497=$R$7,$B497&lt;'111'!$N$11),"x","")</f>
        <v/>
      </c>
      <c r="T497" s="66" t="str">
        <f>IF(AND($P497=$R$7,$B497&lt;'111'!$N$11),"x","")</f>
        <v/>
      </c>
      <c r="U497" s="66" t="str">
        <f>IF(AND($B497&gt;='112'!$M$9,$B497&lt;='112'!$N$9,OR($O497='112'!$I$6,$P497='112'!$I$6)),"x","")</f>
        <v>x</v>
      </c>
      <c r="V497" s="66" t="str">
        <f>IF(AND($O497='112'!$I$6,$B497&lt;'112'!$M$9),"x","")</f>
        <v/>
      </c>
      <c r="W497" s="66" t="str">
        <f>IF(AND($P497='112'!$I$6,$B497&lt;'112'!$M$9),"x","")</f>
        <v/>
      </c>
      <c r="X497" s="66" t="str">
        <f>IF(AND('131-CT'!$H$9=TH!H497,OR(O497="131",P497="131")),"x","")</f>
        <v/>
      </c>
      <c r="Y497" s="80" t="str">
        <f>IF(AND($B497&gt;='1331'!$I$9,$B497&lt;='1331'!$J$9,OR($O497=$Y$7,$P497=$Y$7)),"x","")</f>
        <v/>
      </c>
      <c r="Z497" s="80" t="str">
        <f>IF(AND($O497=$Y$7,$B497&lt;'1331'!$I$9),"x","")</f>
        <v/>
      </c>
      <c r="AA497" s="80" t="str">
        <f>IF(AND($P497=$Y$7,$B497&lt;'1331'!$I$9),"x","")</f>
        <v/>
      </c>
      <c r="AB497" s="80" t="str">
        <f>IF(AND($B497&gt;='1332'!$I$9,$B497&lt;='1332'!$I$9,OR($O497=$AB$7,$P497=$AB$7)),"x","")</f>
        <v/>
      </c>
      <c r="AC497" s="80" t="str">
        <f>IF(AND($O497=$AB$7,$B497&lt;'1332'!$I$9),"x","")</f>
        <v/>
      </c>
      <c r="AD497" s="80" t="str">
        <f>IF(AND($P497=$AB$7,$B497&lt;'1332'!$I$9),"x","")</f>
        <v/>
      </c>
      <c r="AE497" s="80" t="str">
        <f>IF(AND('341-CT'!$H$9=H497,OR(LEFT(O497,3)=$AE$7,LEFT(P497,3)=$AE$7)),"x","")</f>
        <v/>
      </c>
      <c r="AF497" s="80" t="str">
        <f>IF(OR(TH!O497=TH!$AF$7,P497=TH!$AF$7),"x","")</f>
        <v/>
      </c>
      <c r="AG497" s="80"/>
      <c r="AH497" s="80" t="str">
        <f>IF(AND(B497&gt;='IN-NX'!$P$3,B497&lt;='IN-NX'!$Q$3,'IN-NX'!$D$7=D497,OR(LEFT(L497,2)="15",AND(LEFT(M497,2)&lt;&gt;"15",LEFT(M497,2)&lt;&gt;"33"))),"x","")</f>
        <v/>
      </c>
      <c r="AI497" s="80" t="str">
        <f>IF(AND(OR(LEFT(TH!O497,2)="15",LEFT(TH!P497,2)="15"),'152-CT'!$J$8=TH!F497),"x","")</f>
        <v/>
      </c>
      <c r="AJ497" s="80" t="str">
        <f>IF(AND(OR(LEFT(TH!O497,2)="15",LEFT(TH!P497,2)="15"),'THE KHO'!$E$7=TH!F497),"x","")</f>
        <v/>
      </c>
      <c r="AK497" s="80" t="str">
        <f>IF(AND(O497="1521",MONTH(C497)='BK NL'!$M$11),"x","")</f>
        <v/>
      </c>
    </row>
    <row r="498" spans="1:39" ht="15.75" customHeight="1">
      <c r="A498" s="362" t="str">
        <f>IF(B498&lt;&gt;"",IF(AND(B498&gt;=_TM1,B498&lt;=_TM2,OR(TH!O498="1111",TH!P498="1111")),TH!D498,""),"")</f>
        <v/>
      </c>
      <c r="B498" s="63">
        <f t="shared" si="35"/>
        <v>7</v>
      </c>
      <c r="C498" s="1045">
        <f t="shared" si="34"/>
        <v>42573</v>
      </c>
      <c r="D498" s="1045" t="s">
        <v>8</v>
      </c>
      <c r="E498" s="1045">
        <v>42573</v>
      </c>
      <c r="F498" s="1046" t="s">
        <v>405</v>
      </c>
      <c r="G498" s="1047" t="s">
        <v>798</v>
      </c>
      <c r="H498" s="1129" t="s">
        <v>179</v>
      </c>
      <c r="I498" s="1049"/>
      <c r="J498" s="1049"/>
      <c r="K498" s="1050"/>
      <c r="L498" s="1049"/>
      <c r="M498" s="1051">
        <v>11889102</v>
      </c>
      <c r="N498" s="1051"/>
      <c r="O498" s="1052" t="s">
        <v>133</v>
      </c>
      <c r="P498" s="1052" t="s">
        <v>31</v>
      </c>
      <c r="Q498" s="66" t="str">
        <f>IF(AND('331-CT'!$E$7=TH!H498,OR(O498="331",P498="331")),"x","")</f>
        <v/>
      </c>
      <c r="R498" s="66" t="str">
        <f>IF(AND($B498&gt;='111'!$N$11,$B498&lt;='111'!$O$11,OR($O498=$R$7,$P498=$R$7)),"x","")</f>
        <v/>
      </c>
      <c r="S498" s="66" t="str">
        <f>IF(AND($O498=$R$7,$B498&lt;'111'!$N$11),"x","")</f>
        <v/>
      </c>
      <c r="T498" s="66" t="str">
        <f>IF(AND($P498=$R$7,$B498&lt;'111'!$N$11),"x","")</f>
        <v/>
      </c>
      <c r="U498" s="66" t="str">
        <f>IF(AND($B498&gt;='112'!$M$9,$B498&lt;='112'!$N$9,OR($O498='112'!$I$6,$P498='112'!$I$6)),"x","")</f>
        <v>x</v>
      </c>
      <c r="V498" s="66" t="str">
        <f>IF(AND($O498='112'!$I$6,$B498&lt;'112'!$M$9),"x","")</f>
        <v/>
      </c>
      <c r="W498" s="66" t="str">
        <f>IF(AND($P498='112'!$I$6,$B498&lt;'112'!$M$9),"x","")</f>
        <v/>
      </c>
      <c r="X498" s="66" t="str">
        <f>IF(AND('131-CT'!$H$9=TH!H498,OR(O498="131",P498="131")),"x","")</f>
        <v/>
      </c>
      <c r="Y498" s="80" t="str">
        <f>IF(AND($B498&gt;='1331'!$I$9,$B498&lt;='1331'!$J$9,OR($O498=$Y$7,$P498=$Y$7)),"x","")</f>
        <v/>
      </c>
      <c r="Z498" s="80" t="str">
        <f>IF(AND($O498=$Y$7,$B498&lt;'1331'!$I$9),"x","")</f>
        <v/>
      </c>
      <c r="AA498" s="80" t="str">
        <f>IF(AND($P498=$Y$7,$B498&lt;'1331'!$I$9),"x","")</f>
        <v/>
      </c>
      <c r="AB498" s="80" t="str">
        <f>IF(AND($B498&gt;='1332'!$I$9,$B498&lt;='1332'!$I$9,OR($O498=$AB$7,$P498=$AB$7)),"x","")</f>
        <v/>
      </c>
      <c r="AC498" s="80" t="str">
        <f>IF(AND($O498=$AB$7,$B498&lt;'1332'!$I$9),"x","")</f>
        <v/>
      </c>
      <c r="AD498" s="80" t="str">
        <f>IF(AND($P498=$AB$7,$B498&lt;'1332'!$I$9),"x","")</f>
        <v/>
      </c>
      <c r="AE498" s="80" t="str">
        <f>IF(AND('341-CT'!$H$9=H498,OR(LEFT(O498,3)=$AE$7,LEFT(P498,3)=$AE$7)),"x","")</f>
        <v/>
      </c>
      <c r="AF498" s="80" t="str">
        <f>IF(OR(TH!O498=TH!$AF$7,P498=TH!$AF$7),"x","")</f>
        <v/>
      </c>
      <c r="AG498" s="80"/>
      <c r="AH498" s="80" t="str">
        <f>IF(AND(B498&gt;='IN-NX'!$P$3,B498&lt;='IN-NX'!$Q$3,'IN-NX'!$D$7=D498,OR(LEFT(L498,2)="15",AND(LEFT(M498,2)&lt;&gt;"15",LEFT(M498,2)&lt;&gt;"33"))),"x","")</f>
        <v/>
      </c>
      <c r="AI498" s="80" t="str">
        <f>IF(AND(OR(LEFT(TH!O498,2)="15",LEFT(TH!P498,2)="15"),'152-CT'!$J$8=TH!F498),"x","")</f>
        <v/>
      </c>
      <c r="AJ498" s="80" t="str">
        <f>IF(AND(OR(LEFT(TH!O498,2)="15",LEFT(TH!P498,2)="15"),'THE KHO'!$E$7=TH!F498),"x","")</f>
        <v/>
      </c>
      <c r="AK498" s="80" t="str">
        <f>IF(AND(O498="1521",MONTH(C498)='BK NL'!$M$11),"x","")</f>
        <v/>
      </c>
    </row>
    <row r="499" spans="1:39" ht="15.75" customHeight="1">
      <c r="A499" s="362" t="str">
        <f>IF(B499&lt;&gt;"",IF(AND(B499&gt;=_TM1,B499&lt;=_TM2,OR(TH!O499="1111",TH!P499="1111")),TH!D499,""),"")</f>
        <v/>
      </c>
      <c r="B499" s="63">
        <f t="shared" si="35"/>
        <v>7</v>
      </c>
      <c r="C499" s="1045">
        <f t="shared" si="34"/>
        <v>42573</v>
      </c>
      <c r="D499" s="1045" t="s">
        <v>8</v>
      </c>
      <c r="E499" s="1045">
        <v>42573</v>
      </c>
      <c r="F499" s="1046" t="s">
        <v>405</v>
      </c>
      <c r="G499" s="1047" t="s">
        <v>798</v>
      </c>
      <c r="H499" s="1048" t="s">
        <v>180</v>
      </c>
      <c r="I499" s="1049"/>
      <c r="J499" s="1049"/>
      <c r="K499" s="1050"/>
      <c r="L499" s="1049"/>
      <c r="M499" s="1051">
        <v>7926068</v>
      </c>
      <c r="N499" s="1051"/>
      <c r="O499" s="1052" t="s">
        <v>133</v>
      </c>
      <c r="P499" s="1052" t="s">
        <v>31</v>
      </c>
      <c r="Q499" s="66" t="str">
        <f>IF(AND('331-CT'!$E$7=TH!H499,OR(O499="331",P499="331")),"x","")</f>
        <v/>
      </c>
      <c r="R499" s="66" t="str">
        <f>IF(AND($B499&gt;='111'!$N$11,$B499&lt;='111'!$O$11,OR($O499=$R$7,$P499=$R$7)),"x","")</f>
        <v/>
      </c>
      <c r="S499" s="66" t="str">
        <f>IF(AND($O499=$R$7,$B499&lt;'111'!$N$11),"x","")</f>
        <v/>
      </c>
      <c r="T499" s="66" t="str">
        <f>IF(AND($P499=$R$7,$B499&lt;'111'!$N$11),"x","")</f>
        <v/>
      </c>
      <c r="U499" s="66" t="str">
        <f>IF(AND($B499&gt;='112'!$M$9,$B499&lt;='112'!$N$9,OR($O499='112'!$I$6,$P499='112'!$I$6)),"x","")</f>
        <v>x</v>
      </c>
      <c r="V499" s="66" t="str">
        <f>IF(AND($O499='112'!$I$6,$B499&lt;'112'!$M$9),"x","")</f>
        <v/>
      </c>
      <c r="W499" s="66" t="str">
        <f>IF(AND($P499='112'!$I$6,$B499&lt;'112'!$M$9),"x","")</f>
        <v/>
      </c>
      <c r="X499" s="66" t="str">
        <f>IF(AND('131-CT'!$H$9=TH!H499,OR(O499="131",P499="131")),"x","")</f>
        <v/>
      </c>
      <c r="Y499" s="80" t="str">
        <f>IF(AND($B499&gt;='1331'!$I$9,$B499&lt;='1331'!$J$9,OR($O499=$Y$7,$P499=$Y$7)),"x","")</f>
        <v/>
      </c>
      <c r="Z499" s="80" t="str">
        <f>IF(AND($O499=$Y$7,$B499&lt;'1331'!$I$9),"x","")</f>
        <v/>
      </c>
      <c r="AA499" s="80" t="str">
        <f>IF(AND($P499=$Y$7,$B499&lt;'1331'!$I$9),"x","")</f>
        <v/>
      </c>
      <c r="AB499" s="80" t="str">
        <f>IF(AND($B499&gt;='1332'!$I$9,$B499&lt;='1332'!$I$9,OR($O499=$AB$7,$P499=$AB$7)),"x","")</f>
        <v/>
      </c>
      <c r="AC499" s="80" t="str">
        <f>IF(AND($O499=$AB$7,$B499&lt;'1332'!$I$9),"x","")</f>
        <v/>
      </c>
      <c r="AD499" s="80" t="str">
        <f>IF(AND($P499=$AB$7,$B499&lt;'1332'!$I$9),"x","")</f>
        <v/>
      </c>
      <c r="AE499" s="80" t="str">
        <f>IF(AND('341-CT'!$H$9=H499,OR(LEFT(O499,3)=$AE$7,LEFT(P499,3)=$AE$7)),"x","")</f>
        <v/>
      </c>
      <c r="AF499" s="80" t="str">
        <f>IF(OR(TH!O499=TH!$AF$7,P499=TH!$AF$7),"x","")</f>
        <v/>
      </c>
      <c r="AG499" s="80"/>
      <c r="AH499" s="80" t="str">
        <f>IF(AND(B499&gt;='IN-NX'!$P$3,B499&lt;='IN-NX'!$Q$3,'IN-NX'!$D$7=D499,OR(LEFT(L499,2)="15",AND(LEFT(M499,2)&lt;&gt;"15",LEFT(M499,2)&lt;&gt;"33"))),"x","")</f>
        <v/>
      </c>
      <c r="AI499" s="80" t="str">
        <f>IF(AND(OR(LEFT(TH!O499,2)="15",LEFT(TH!P499,2)="15"),'152-CT'!$J$8=TH!F499),"x","")</f>
        <v/>
      </c>
      <c r="AJ499" s="80" t="str">
        <f>IF(AND(OR(LEFT(TH!O499,2)="15",LEFT(TH!P499,2)="15"),'THE KHO'!$E$7=TH!F499),"x","")</f>
        <v/>
      </c>
      <c r="AK499" s="80" t="str">
        <f>IF(AND(O499="1521",MONTH(C499)='BK NL'!$M$11),"x","")</f>
        <v/>
      </c>
    </row>
    <row r="500" spans="1:39" ht="15.75" customHeight="1">
      <c r="A500" s="362" t="str">
        <f>IF(B500&lt;&gt;"",IF(AND(B500&gt;=_TM1,B500&lt;=_TM2,OR(TH!O500="1111",TH!P500="1111")),TH!D500,""),"")</f>
        <v/>
      </c>
      <c r="B500" s="63">
        <f t="shared" si="35"/>
        <v>7</v>
      </c>
      <c r="C500" s="1045">
        <f t="shared" si="34"/>
        <v>42573</v>
      </c>
      <c r="D500" s="1045" t="s">
        <v>8</v>
      </c>
      <c r="E500" s="1045">
        <v>42573</v>
      </c>
      <c r="F500" s="1046" t="s">
        <v>405</v>
      </c>
      <c r="G500" s="1047" t="s">
        <v>798</v>
      </c>
      <c r="H500" s="1048" t="s">
        <v>184</v>
      </c>
      <c r="I500" s="1132"/>
      <c r="J500" s="1132"/>
      <c r="K500" s="1133">
        <v>88000</v>
      </c>
      <c r="L500" s="1132">
        <v>22290</v>
      </c>
      <c r="M500" s="1051">
        <v>7926068</v>
      </c>
      <c r="N500" s="1051"/>
      <c r="O500" s="1052" t="s">
        <v>133</v>
      </c>
      <c r="P500" s="1052" t="s">
        <v>31</v>
      </c>
      <c r="Q500" s="66" t="str">
        <f>IF(AND('331-CT'!$E$7=TH!H500,OR(O500="331",P500="331")),"x","")</f>
        <v/>
      </c>
      <c r="R500" s="66" t="str">
        <f>IF(AND($B500&gt;='111'!$N$11,$B500&lt;='111'!$O$11,OR($O500=$R$7,$P500=$R$7)),"x","")</f>
        <v/>
      </c>
      <c r="S500" s="66" t="str">
        <f>IF(AND($O500=$R$7,$B500&lt;'111'!$N$11),"x","")</f>
        <v/>
      </c>
      <c r="T500" s="66" t="str">
        <f>IF(AND($P500=$R$7,$B500&lt;'111'!$N$11),"x","")</f>
        <v/>
      </c>
      <c r="U500" s="66" t="str">
        <f>IF(AND($B500&gt;='112'!$M$9,$B500&lt;='112'!$N$9,OR($O500='112'!$I$6,$P500='112'!$I$6)),"x","")</f>
        <v>x</v>
      </c>
      <c r="V500" s="66" t="str">
        <f>IF(AND($O500='112'!$I$6,$B500&lt;'112'!$M$9),"x","")</f>
        <v/>
      </c>
      <c r="W500" s="66" t="str">
        <f>IF(AND($P500='112'!$I$6,$B500&lt;'112'!$M$9),"x","")</f>
        <v/>
      </c>
      <c r="X500" s="66" t="str">
        <f>IF(AND('131-CT'!$H$9=TH!H500,OR(O500="131",P500="131")),"x","")</f>
        <v/>
      </c>
      <c r="Y500" s="80" t="str">
        <f>IF(AND($B500&gt;='1331'!$I$9,$B500&lt;='1331'!$J$9,OR($O500=$Y$7,$P500=$Y$7)),"x","")</f>
        <v/>
      </c>
      <c r="Z500" s="80" t="str">
        <f>IF(AND($O500=$Y$7,$B500&lt;'1331'!$I$9),"x","")</f>
        <v/>
      </c>
      <c r="AA500" s="80" t="str">
        <f>IF(AND($P500=$Y$7,$B500&lt;'1331'!$I$9),"x","")</f>
        <v/>
      </c>
      <c r="AB500" s="80" t="str">
        <f>IF(AND($B500&gt;='1332'!$I$9,$B500&lt;='1332'!$I$9,OR($O500=$AB$7,$P500=$AB$7)),"x","")</f>
        <v/>
      </c>
      <c r="AC500" s="80" t="str">
        <f>IF(AND($O500=$AB$7,$B500&lt;'1332'!$I$9),"x","")</f>
        <v/>
      </c>
      <c r="AD500" s="80" t="str">
        <f>IF(AND($P500=$AB$7,$B500&lt;'1332'!$I$9),"x","")</f>
        <v/>
      </c>
      <c r="AE500" s="80" t="str">
        <f>IF(AND('341-CT'!$H$9=H500,OR(LEFT(O500,3)=$AE$7,LEFT(P500,3)=$AE$7)),"x","")</f>
        <v/>
      </c>
      <c r="AF500" s="80" t="str">
        <f>IF(OR(TH!O500=TH!$AF$7,P500=TH!$AF$7),"x","")</f>
        <v/>
      </c>
      <c r="AG500" s="80"/>
      <c r="AH500" s="80" t="str">
        <f>IF(AND(B500&gt;='IN-NX'!$P$3,B500&lt;='IN-NX'!$Q$3,'IN-NX'!$D$7=D500,OR(LEFT(L500,2)="15",AND(LEFT(M500,2)&lt;&gt;"15",LEFT(M500,2)&lt;&gt;"33"))),"x","")</f>
        <v/>
      </c>
      <c r="AI500" s="80" t="str">
        <f>IF(AND(OR(LEFT(TH!O500,2)="15",LEFT(TH!P500,2)="15"),'152-CT'!$J$8=TH!F500),"x","")</f>
        <v/>
      </c>
      <c r="AJ500" s="80" t="str">
        <f>IF(AND(OR(LEFT(TH!O500,2)="15",LEFT(TH!P500,2)="15"),'THE KHO'!$E$7=TH!F500),"x","")</f>
        <v/>
      </c>
      <c r="AK500" s="80" t="str">
        <f>IF(AND(O500="1521",MONTH(C500)='BK NL'!$M$11),"x","")</f>
        <v/>
      </c>
    </row>
    <row r="501" spans="1:39" ht="15.75" customHeight="1">
      <c r="A501" s="362" t="str">
        <f>IF(B501&lt;&gt;"",IF(AND(B501&gt;=_TM1,B501&lt;=_TM2,OR(TH!O501="1111",TH!P501="1111")),TH!D501,""),"")</f>
        <v/>
      </c>
      <c r="B501" s="63">
        <f t="shared" si="35"/>
        <v>7</v>
      </c>
      <c r="C501" s="1045">
        <f t="shared" si="34"/>
        <v>42579</v>
      </c>
      <c r="D501" s="1134" t="s">
        <v>1091</v>
      </c>
      <c r="E501" s="1045">
        <v>42579</v>
      </c>
      <c r="F501" s="1046" t="s">
        <v>1092</v>
      </c>
      <c r="G501" s="1134" t="s">
        <v>1091</v>
      </c>
      <c r="H501" s="1048" t="s">
        <v>429</v>
      </c>
      <c r="I501" s="1049"/>
      <c r="J501" s="1049"/>
      <c r="K501" s="1050"/>
      <c r="L501" s="1049"/>
      <c r="M501" s="1051"/>
      <c r="N501" s="1051"/>
      <c r="O501" s="1052" t="s">
        <v>772</v>
      </c>
      <c r="P501" s="1052" t="s">
        <v>482</v>
      </c>
      <c r="Q501" s="66" t="str">
        <f>IF(AND('331-CT'!$E$7=TH!H501,OR(O501="331",P501="331")),"x","")</f>
        <v/>
      </c>
      <c r="R501" s="66" t="str">
        <f>IF(AND($B501&gt;='111'!$N$11,$B501&lt;='111'!$O$11,OR($O501=$R$7,$P501=$R$7)),"x","")</f>
        <v/>
      </c>
      <c r="S501" s="66" t="str">
        <f>IF(AND($O501=$R$7,$B501&lt;'111'!$N$11),"x","")</f>
        <v/>
      </c>
      <c r="T501" s="66" t="str">
        <f>IF(AND($P501=$R$7,$B501&lt;'111'!$N$11),"x","")</f>
        <v/>
      </c>
      <c r="U501" s="66" t="str">
        <f>IF(AND($B501&gt;='112'!$M$9,$B501&lt;='112'!$N$9,OR($O501='112'!$I$6,$P501='112'!$I$6)),"x","")</f>
        <v/>
      </c>
      <c r="V501" s="66" t="str">
        <f>IF(AND($O501='112'!$I$6,$B501&lt;'112'!$M$9),"x","")</f>
        <v/>
      </c>
      <c r="W501" s="66" t="str">
        <f>IF(AND($P501='112'!$I$6,$B501&lt;'112'!$M$9),"x","")</f>
        <v/>
      </c>
      <c r="X501" s="66" t="str">
        <f>IF(AND('131-CT'!$H$9=TH!H501,OR(O501="131",P501="131")),"x","")</f>
        <v/>
      </c>
      <c r="Y501" s="80" t="str">
        <f>IF(AND($B501&gt;='1331'!$I$9,$B501&lt;='1331'!$J$9,OR($O501=$Y$7,$P501=$Y$7)),"x","")</f>
        <v/>
      </c>
      <c r="Z501" s="80" t="str">
        <f>IF(AND($O501=$Y$7,$B501&lt;'1331'!$I$9),"x","")</f>
        <v/>
      </c>
      <c r="AA501" s="80" t="str">
        <f>IF(AND($P501=$Y$7,$B501&lt;'1331'!$I$9),"x","")</f>
        <v/>
      </c>
      <c r="AB501" s="80" t="str">
        <f>IF(AND($B501&gt;='1332'!$I$9,$B501&lt;='1332'!$I$9,OR($O501=$AB$7,$P501=$AB$7)),"x","")</f>
        <v/>
      </c>
      <c r="AC501" s="80" t="str">
        <f>IF(AND($O501=$AB$7,$B501&lt;'1332'!$I$9),"x","")</f>
        <v/>
      </c>
      <c r="AD501" s="80" t="str">
        <f>IF(AND($P501=$AB$7,$B501&lt;'1332'!$I$9),"x","")</f>
        <v/>
      </c>
      <c r="AE501" s="80" t="str">
        <f>IF(AND('341-CT'!$H$9=H501,OR(LEFT(O501,3)=$AE$7,LEFT(P501,3)=$AE$7)),"x","")</f>
        <v/>
      </c>
      <c r="AF501" s="80" t="str">
        <f>IF(OR(TH!O501=TH!$AF$7,P501=TH!$AF$7),"x","")</f>
        <v/>
      </c>
      <c r="AG501" s="80"/>
      <c r="AH501" s="80" t="str">
        <f>IF(AND(B501&gt;='IN-NX'!$P$3,B501&lt;='IN-NX'!$Q$3,'IN-NX'!$D$7=D501,OR(LEFT(L501,2)="15",AND(LEFT(M501,2)&lt;&gt;"15",LEFT(M501,2)&lt;&gt;"33"))),"x","")</f>
        <v/>
      </c>
      <c r="AI501" s="80" t="str">
        <f>IF(AND(OR(LEFT(TH!O501,2)="15",LEFT(TH!P501,2)="15"),'152-CT'!$J$8=TH!F501),"x","")</f>
        <v/>
      </c>
      <c r="AJ501" s="80" t="str">
        <f>IF(AND(OR(LEFT(TH!O501,2)="15",LEFT(TH!P501,2)="15"),'THE KHO'!$E$7=TH!F501),"x","")</f>
        <v/>
      </c>
      <c r="AK501" s="80" t="str">
        <f>IF(AND(O501="1521",MONTH(C501)='BK NL'!$M$11),"x","")</f>
        <v/>
      </c>
    </row>
    <row r="502" spans="1:39" ht="15.75" customHeight="1">
      <c r="A502" s="362" t="str">
        <f>IF(B502&lt;&gt;"",IF(AND(B502&gt;=_TM1,B502&lt;=_TM2,OR(TH!O502="1111",TH!P502="1111")),TH!D502,""),"")</f>
        <v/>
      </c>
      <c r="B502" s="63">
        <f t="shared" si="35"/>
        <v>7</v>
      </c>
      <c r="C502" s="1045">
        <f t="shared" si="34"/>
        <v>42579</v>
      </c>
      <c r="D502" s="1134" t="s">
        <v>1091</v>
      </c>
      <c r="E502" s="1045">
        <v>42579</v>
      </c>
      <c r="F502" s="1046" t="s">
        <v>1093</v>
      </c>
      <c r="G502" s="1134" t="s">
        <v>1091</v>
      </c>
      <c r="H502" s="1048" t="s">
        <v>429</v>
      </c>
      <c r="I502" s="1049"/>
      <c r="J502" s="1049"/>
      <c r="K502" s="1050"/>
      <c r="L502" s="1049"/>
      <c r="M502" s="1051"/>
      <c r="N502" s="1051"/>
      <c r="O502" s="1052" t="s">
        <v>772</v>
      </c>
      <c r="P502" s="1052">
        <v>3331</v>
      </c>
      <c r="Q502" s="66" t="str">
        <f>IF(AND('331-CT'!$E$7=TH!H502,OR(O502="331",P502="331")),"x","")</f>
        <v/>
      </c>
      <c r="R502" s="66" t="str">
        <f>IF(AND($B502&gt;='111'!$N$11,$B502&lt;='111'!$O$11,OR($O502=$R$7,$P502=$R$7)),"x","")</f>
        <v/>
      </c>
      <c r="S502" s="66" t="str">
        <f>IF(AND($O502=$R$7,$B502&lt;'111'!$N$11),"x","")</f>
        <v/>
      </c>
      <c r="T502" s="66" t="str">
        <f>IF(AND($P502=$R$7,$B502&lt;'111'!$N$11),"x","")</f>
        <v/>
      </c>
      <c r="U502" s="66" t="str">
        <f>IF(AND($B502&gt;='112'!$M$9,$B502&lt;='112'!$N$9,OR($O502='112'!$I$6,$P502='112'!$I$6)),"x","")</f>
        <v/>
      </c>
      <c r="V502" s="66" t="str">
        <f>IF(AND($O502='112'!$I$6,$B502&lt;'112'!$M$9),"x","")</f>
        <v/>
      </c>
      <c r="W502" s="66" t="str">
        <f>IF(AND($P502='112'!$I$6,$B502&lt;'112'!$M$9),"x","")</f>
        <v/>
      </c>
      <c r="X502" s="66" t="str">
        <f>IF(AND('131-CT'!$H$9=TH!H502,OR(O502="131",P502="131")),"x","")</f>
        <v/>
      </c>
      <c r="Y502" s="80" t="str">
        <f>IF(AND($B502&gt;='1331'!$I$9,$B502&lt;='1331'!$J$9,OR($O502=$Y$7,$P502=$Y$7)),"x","")</f>
        <v/>
      </c>
      <c r="Z502" s="80" t="str">
        <f>IF(AND($O502=$Y$7,$B502&lt;'1331'!$I$9),"x","")</f>
        <v/>
      </c>
      <c r="AA502" s="80" t="str">
        <f>IF(AND($P502=$Y$7,$B502&lt;'1331'!$I$9),"x","")</f>
        <v/>
      </c>
      <c r="AB502" s="80" t="str">
        <f>IF(AND($B502&gt;='1332'!$I$9,$B502&lt;='1332'!$I$9,OR($O502=$AB$7,$P502=$AB$7)),"x","")</f>
        <v/>
      </c>
      <c r="AC502" s="80" t="str">
        <f>IF(AND($O502=$AB$7,$B502&lt;'1332'!$I$9),"x","")</f>
        <v/>
      </c>
      <c r="AD502" s="80" t="str">
        <f>IF(AND($P502=$AB$7,$B502&lt;'1332'!$I$9),"x","")</f>
        <v/>
      </c>
      <c r="AE502" s="80" t="str">
        <f>IF(AND('341-CT'!$H$9=H502,OR(LEFT(O502,3)=$AE$7,LEFT(P502,3)=$AE$7)),"x","")</f>
        <v/>
      </c>
      <c r="AF502" s="80" t="str">
        <f>IF(OR(TH!O502=TH!$AF$7,P502=TH!$AF$7),"x","")</f>
        <v/>
      </c>
      <c r="AG502" s="80"/>
      <c r="AH502" s="80" t="str">
        <f>IF(AND(B502&gt;='IN-NX'!$P$3,B502&lt;='IN-NX'!$Q$3,'IN-NX'!$D$7=D502,OR(LEFT(L502,2)="15",AND(LEFT(M502,2)&lt;&gt;"15",LEFT(M502,2)&lt;&gt;"33"))),"x","")</f>
        <v/>
      </c>
      <c r="AI502" s="80" t="str">
        <f>IF(AND(OR(LEFT(TH!O502,2)="15",LEFT(TH!P502,2)="15"),'152-CT'!$J$8=TH!F502),"x","")</f>
        <v/>
      </c>
      <c r="AJ502" s="80" t="str">
        <f>IF(AND(OR(LEFT(TH!O502,2)="15",LEFT(TH!P502,2)="15"),'THE KHO'!$E$7=TH!F502),"x","")</f>
        <v/>
      </c>
      <c r="AK502" s="80" t="str">
        <f>IF(AND(O502="1521",MONTH(C502)='BK NL'!$M$11),"x","")</f>
        <v/>
      </c>
    </row>
    <row r="503" spans="1:39" ht="15.75" customHeight="1">
      <c r="A503" s="362" t="str">
        <f>IF(B503&lt;&gt;"",IF(AND(B503&gt;=_TM1,B503&lt;=_TM2,OR(TH!O503="1111",TH!P503="1111")),TH!D503,""),"")</f>
        <v/>
      </c>
      <c r="B503" s="63">
        <f t="shared" si="35"/>
        <v>7</v>
      </c>
      <c r="C503" s="1045">
        <v>42579</v>
      </c>
      <c r="D503" s="1045" t="s">
        <v>78</v>
      </c>
      <c r="E503" s="1045">
        <v>42579</v>
      </c>
      <c r="F503" s="1046" t="s">
        <v>1094</v>
      </c>
      <c r="G503" s="1126" t="s">
        <v>1095</v>
      </c>
      <c r="H503" s="1048" t="s">
        <v>1084</v>
      </c>
      <c r="I503" s="1049"/>
      <c r="J503" s="1049"/>
      <c r="K503" s="1050"/>
      <c r="L503" s="1049"/>
      <c r="M503" s="1122">
        <v>500000</v>
      </c>
      <c r="N503" s="1122"/>
      <c r="O503" s="1052" t="s">
        <v>135</v>
      </c>
      <c r="P503" s="1117" t="s">
        <v>97</v>
      </c>
      <c r="Q503" s="66" t="str">
        <f>IF(AND('331-CT'!$E$7=TH!H503,OR(O503="331",P503="331")),"x","")</f>
        <v/>
      </c>
      <c r="R503" s="66" t="str">
        <f>IF(AND($B503&gt;='111'!$N$11,$B503&lt;='111'!$O$11,OR($O503=$R$7,$P503=$R$7)),"x","")</f>
        <v>x</v>
      </c>
      <c r="S503" s="66" t="str">
        <f>IF(AND($O503=$R$7,$B503&lt;'111'!$N$11),"x","")</f>
        <v/>
      </c>
      <c r="T503" s="66" t="str">
        <f>IF(AND($P503=$R$7,$B503&lt;'111'!$N$11),"x","")</f>
        <v/>
      </c>
      <c r="U503" s="66" t="str">
        <f>IF(AND($B503&gt;='112'!$M$9,$B503&lt;='112'!$N$9,OR($O503='112'!$I$6,$P503='112'!$I$6)),"x","")</f>
        <v/>
      </c>
      <c r="V503" s="66" t="str">
        <f>IF(AND($O503='112'!$I$6,$B503&lt;'112'!$M$9),"x","")</f>
        <v/>
      </c>
      <c r="W503" s="66" t="str">
        <f>IF(AND($P503='112'!$I$6,$B503&lt;'112'!$M$9),"x","")</f>
        <v/>
      </c>
      <c r="X503" s="66" t="str">
        <f>IF(AND('131-CT'!$H$9=TH!H503,OR(O503="131",P503="131")),"x","")</f>
        <v/>
      </c>
      <c r="Y503" s="80" t="str">
        <f>IF(AND($B503&gt;='1331'!$I$9,$B503&lt;='1331'!$J$9,OR($O503=$Y$7,$P503=$Y$7)),"x","")</f>
        <v/>
      </c>
      <c r="Z503" s="80" t="str">
        <f>IF(AND($O503=$Y$7,$B503&lt;'1331'!$I$9),"x","")</f>
        <v/>
      </c>
      <c r="AA503" s="80" t="str">
        <f>IF(AND($P503=$Y$7,$B503&lt;'1331'!$I$9),"x","")</f>
        <v/>
      </c>
      <c r="AB503" s="80" t="str">
        <f>IF(AND($B503&gt;='1332'!$I$9,$B503&lt;='1332'!$I$9,OR($O503=$AB$7,$P503=$AB$7)),"x","")</f>
        <v/>
      </c>
      <c r="AC503" s="80" t="str">
        <f>IF(AND($O503=$AB$7,$B503&lt;'1332'!$I$9),"x","")</f>
        <v/>
      </c>
      <c r="AD503" s="80" t="str">
        <f>IF(AND($P503=$AB$7,$B503&lt;'1332'!$I$9),"x","")</f>
        <v/>
      </c>
      <c r="AE503" s="80" t="str">
        <f>IF(AND('341-CT'!$H$9=H503,OR(LEFT(O503,3)=$AE$7,LEFT(P503,3)=$AE$7)),"x","")</f>
        <v/>
      </c>
      <c r="AF503" s="80" t="str">
        <f>IF(OR(TH!O503=TH!$AF$7,P503=TH!$AF$7),"x","")</f>
        <v/>
      </c>
      <c r="AG503" s="80"/>
      <c r="AH503" s="80" t="str">
        <f>IF(AND(B503&gt;='IN-NX'!$P$3,B503&lt;='IN-NX'!$Q$3,'IN-NX'!$D$7=D503,OR(LEFT(L503,2)="15",AND(LEFT(M503,2)&lt;&gt;"15",LEFT(M503,2)&lt;&gt;"33"))),"x","")</f>
        <v/>
      </c>
      <c r="AI503" s="80" t="str">
        <f>IF(AND(OR(LEFT(TH!O503,2)="15",LEFT(TH!P503,2)="15"),'152-CT'!$J$8=TH!F503),"x","")</f>
        <v/>
      </c>
      <c r="AJ503" s="80" t="str">
        <f>IF(AND(OR(LEFT(TH!O503,2)="15",LEFT(TH!P503,2)="15"),'THE KHO'!$E$7=TH!F503),"x","")</f>
        <v/>
      </c>
      <c r="AK503" s="80" t="str">
        <f>IF(AND(O503="1521",MONTH(C503)='BK NL'!$M$11),"x","")</f>
        <v/>
      </c>
    </row>
    <row r="504" spans="1:39" ht="15.75" customHeight="1">
      <c r="A504" s="362" t="str">
        <f>IF(B504&lt;&gt;"",IF(AND(B504&gt;=_TM1,B504&lt;=_TM2,OR(TH!O504="1111",TH!P504="1111")),TH!D504,""),"")</f>
        <v/>
      </c>
      <c r="B504" s="63">
        <f t="shared" si="35"/>
        <v>7</v>
      </c>
      <c r="C504" s="1045">
        <f>E504</f>
        <v>42580</v>
      </c>
      <c r="D504" s="1045" t="s">
        <v>79</v>
      </c>
      <c r="E504" s="1045">
        <v>42580</v>
      </c>
      <c r="F504" s="1046" t="s">
        <v>1074</v>
      </c>
      <c r="G504" s="1047" t="s">
        <v>798</v>
      </c>
      <c r="H504" s="1048" t="s">
        <v>160</v>
      </c>
      <c r="I504" s="1049"/>
      <c r="J504" s="1049"/>
      <c r="K504" s="1050"/>
      <c r="L504" s="1049"/>
      <c r="M504" s="1137">
        <v>53000000</v>
      </c>
      <c r="N504" s="1137"/>
      <c r="O504" s="1052" t="s">
        <v>31</v>
      </c>
      <c r="P504" s="1052" t="s">
        <v>97</v>
      </c>
      <c r="Q504" s="66" t="str">
        <f>IF(AND('331-CT'!$E$7=TH!H504,OR(O504="331",P504="331")),"x","")</f>
        <v/>
      </c>
      <c r="R504" s="66" t="str">
        <f>IF(AND($B504&gt;='111'!$N$11,$B504&lt;='111'!$O$11,OR($O504=$R$7,$P504=$R$7)),"x","")</f>
        <v>x</v>
      </c>
      <c r="S504" s="66" t="str">
        <f>IF(AND($O504=$R$7,$B504&lt;'111'!$N$11),"x","")</f>
        <v/>
      </c>
      <c r="T504" s="66" t="str">
        <f>IF(AND($P504=$R$7,$B504&lt;'111'!$N$11),"x","")</f>
        <v/>
      </c>
      <c r="U504" s="66" t="str">
        <f>IF(AND($B504&gt;='112'!$M$9,$B504&lt;='112'!$N$9,OR($O504='112'!$I$6,$P504='112'!$I$6)),"x","")</f>
        <v>x</v>
      </c>
      <c r="V504" s="66" t="str">
        <f>IF(AND($O504='112'!$I$6,$B504&lt;'112'!$M$9),"x","")</f>
        <v/>
      </c>
      <c r="W504" s="66" t="str">
        <f>IF(AND($P504='112'!$I$6,$B504&lt;'112'!$M$9),"x","")</f>
        <v/>
      </c>
      <c r="X504" s="66" t="str">
        <f>IF(AND('131-CT'!$H$9=TH!H504,OR(O504="131",P504="131")),"x","")</f>
        <v/>
      </c>
      <c r="Y504" s="80" t="str">
        <f>IF(AND($B504&gt;='1331'!$I$9,$B504&lt;='1331'!$J$9,OR($O504=$Y$7,$P504=$Y$7)),"x","")</f>
        <v/>
      </c>
      <c r="Z504" s="80" t="str">
        <f>IF(AND($O504=$Y$7,$B504&lt;'1331'!$I$9),"x","")</f>
        <v/>
      </c>
      <c r="AA504" s="80" t="str">
        <f>IF(AND($P504=$Y$7,$B504&lt;'1331'!$I$9),"x","")</f>
        <v/>
      </c>
      <c r="AB504" s="80" t="str">
        <f>IF(AND($B504&gt;='1332'!$I$9,$B504&lt;='1332'!$I$9,OR($O504=$AB$7,$P504=$AB$7)),"x","")</f>
        <v/>
      </c>
      <c r="AC504" s="80" t="str">
        <f>IF(AND($O504=$AB$7,$B504&lt;'1332'!$I$9),"x","")</f>
        <v/>
      </c>
      <c r="AD504" s="80" t="str">
        <f>IF(AND($P504=$AB$7,$B504&lt;'1332'!$I$9),"x","")</f>
        <v/>
      </c>
      <c r="AE504" s="80" t="str">
        <f>IF(AND('341-CT'!$H$9=H504,OR(LEFT(O504,3)=$AE$7,LEFT(P504,3)=$AE$7)),"x","")</f>
        <v/>
      </c>
      <c r="AF504" s="80" t="str">
        <f>IF(OR(TH!O504=TH!$AF$7,P504=TH!$AF$7),"x","")</f>
        <v/>
      </c>
      <c r="AG504" s="80"/>
      <c r="AH504" s="80" t="str">
        <f>IF(AND(B504&gt;='IN-NX'!$P$3,B504&lt;='IN-NX'!$Q$3,'IN-NX'!$D$7=D504,OR(LEFT(L504,2)="15",AND(LEFT(M504,2)&lt;&gt;"15",LEFT(M504,2)&lt;&gt;"33"))),"x","")</f>
        <v/>
      </c>
      <c r="AI504" s="80" t="str">
        <f>IF(AND(OR(LEFT(TH!O504,2)="15",LEFT(TH!P504,2)="15"),'152-CT'!$J$8=TH!F504),"x","")</f>
        <v/>
      </c>
      <c r="AJ504" s="80" t="str">
        <f>IF(AND(OR(LEFT(TH!O504,2)="15",LEFT(TH!P504,2)="15"),'THE KHO'!$E$7=TH!F504),"x","")</f>
        <v/>
      </c>
      <c r="AK504" s="80" t="str">
        <f>IF(AND(O504="1521",MONTH(C504)='BK NL'!$M$11),"x","")</f>
        <v/>
      </c>
    </row>
    <row r="505" spans="1:39" ht="15.75" customHeight="1">
      <c r="A505" s="362" t="str">
        <f>IF(B505&lt;&gt;"",IF(AND(B505&gt;=_TM1,B505&lt;=_TM2,OR(TH!O505="1111",TH!P505="1111")),TH!D505,""),"")</f>
        <v/>
      </c>
      <c r="B505" s="63">
        <f t="shared" si="35"/>
        <v>7</v>
      </c>
      <c r="C505" s="1045">
        <f>E505</f>
        <v>42580</v>
      </c>
      <c r="D505" s="1045" t="s">
        <v>8</v>
      </c>
      <c r="E505" s="1045">
        <v>42580</v>
      </c>
      <c r="F505" s="1046" t="s">
        <v>1096</v>
      </c>
      <c r="G505" s="1047" t="s">
        <v>798</v>
      </c>
      <c r="H505" s="1048" t="s">
        <v>221</v>
      </c>
      <c r="I505" s="1049"/>
      <c r="J505" s="1049"/>
      <c r="K505" s="1050"/>
      <c r="L505" s="1049"/>
      <c r="M505" s="1051">
        <v>53135390</v>
      </c>
      <c r="N505" s="1051"/>
      <c r="O505" s="1052" t="s">
        <v>9</v>
      </c>
      <c r="P505" s="1052" t="s">
        <v>31</v>
      </c>
      <c r="Q505" s="66" t="str">
        <f>IF(AND('331-CT'!$E$7=TH!H505,OR(O505="331",P505="331")),"x","")</f>
        <v/>
      </c>
      <c r="R505" s="66" t="str">
        <f>IF(AND($B505&gt;='111'!$N$11,$B505&lt;='111'!$O$11,OR($O505=$R$7,$P505=$R$7)),"x","")</f>
        <v/>
      </c>
      <c r="S505" s="66" t="str">
        <f>IF(AND($O505=$R$7,$B505&lt;'111'!$N$11),"x","")</f>
        <v/>
      </c>
      <c r="T505" s="66" t="str">
        <f>IF(AND($P505=$R$7,$B505&lt;'111'!$N$11),"x","")</f>
        <v/>
      </c>
      <c r="U505" s="66" t="str">
        <f>IF(AND($B505&gt;='112'!$M$9,$B505&lt;='112'!$N$9,OR($O505='112'!$I$6,$P505='112'!$I$6)),"x","")</f>
        <v>x</v>
      </c>
      <c r="V505" s="66" t="str">
        <f>IF(AND($O505='112'!$I$6,$B505&lt;'112'!$M$9),"x","")</f>
        <v/>
      </c>
      <c r="W505" s="66" t="str">
        <f>IF(AND($P505='112'!$I$6,$B505&lt;'112'!$M$9),"x","")</f>
        <v/>
      </c>
      <c r="X505" s="66" t="str">
        <f>IF(AND('131-CT'!$H$9=TH!H505,OR(O505="131",P505="131")),"x","")</f>
        <v/>
      </c>
      <c r="Y505" s="80" t="str">
        <f>IF(AND($B505&gt;='1331'!$I$9,$B505&lt;='1331'!$J$9,OR($O505=$Y$7,$P505=$Y$7)),"x","")</f>
        <v/>
      </c>
      <c r="Z505" s="80" t="str">
        <f>IF(AND($O505=$Y$7,$B505&lt;'1331'!$I$9),"x","")</f>
        <v/>
      </c>
      <c r="AA505" s="80" t="str">
        <f>IF(AND($P505=$Y$7,$B505&lt;'1331'!$I$9),"x","")</f>
        <v/>
      </c>
      <c r="AB505" s="80" t="str">
        <f>IF(AND($B505&gt;='1332'!$I$9,$B505&lt;='1332'!$I$9,OR($O505=$AB$7,$P505=$AB$7)),"x","")</f>
        <v/>
      </c>
      <c r="AC505" s="80" t="str">
        <f>IF(AND($O505=$AB$7,$B505&lt;'1332'!$I$9),"x","")</f>
        <v/>
      </c>
      <c r="AD505" s="80" t="str">
        <f>IF(AND($P505=$AB$7,$B505&lt;'1332'!$I$9),"x","")</f>
        <v/>
      </c>
      <c r="AE505" s="80" t="str">
        <f>IF(AND('341-CT'!$H$9=H505,OR(LEFT(O505,3)=$AE$7,LEFT(P505,3)=$AE$7)),"x","")</f>
        <v/>
      </c>
      <c r="AF505" s="80" t="str">
        <f>IF(OR(TH!O505=TH!$AF$7,P505=TH!$AF$7),"x","")</f>
        <v/>
      </c>
      <c r="AG505" s="80"/>
      <c r="AH505" s="80" t="str">
        <f>IF(AND(B505&gt;='IN-NX'!$P$3,B505&lt;='IN-NX'!$Q$3,'IN-NX'!$D$7=D505,OR(LEFT(L505,2)="15",AND(LEFT(M505,2)&lt;&gt;"15",LEFT(M505,2)&lt;&gt;"33"))),"x","")</f>
        <v/>
      </c>
      <c r="AI505" s="80" t="str">
        <f>IF(AND(OR(LEFT(TH!O505,2)="15",LEFT(TH!P505,2)="15"),'152-CT'!$J$8=TH!F505),"x","")</f>
        <v/>
      </c>
      <c r="AJ505" s="80" t="str">
        <f>IF(AND(OR(LEFT(TH!O505,2)="15",LEFT(TH!P505,2)="15"),'THE KHO'!$E$7=TH!F505),"x","")</f>
        <v/>
      </c>
      <c r="AK505" s="80" t="str">
        <f>IF(AND(O505="1521",MONTH(C505)='BK NL'!$M$11),"x","")</f>
        <v/>
      </c>
    </row>
    <row r="506" spans="1:39" ht="15.75" customHeight="1">
      <c r="A506" s="362" t="str">
        <f>IF(B506&lt;&gt;"",IF(AND(B506&gt;=_TM1,B506&lt;=_TM2,OR(TH!O506="1111",TH!P506="1111")),TH!D506,""),"")</f>
        <v/>
      </c>
      <c r="B506" s="63">
        <f t="shared" si="35"/>
        <v>7</v>
      </c>
      <c r="C506" s="1045">
        <f>E506</f>
        <v>42580</v>
      </c>
      <c r="D506" s="1045" t="s">
        <v>8</v>
      </c>
      <c r="E506" s="1045">
        <v>42580</v>
      </c>
      <c r="F506" s="1046" t="s">
        <v>22</v>
      </c>
      <c r="G506" s="1047" t="s">
        <v>798</v>
      </c>
      <c r="H506" s="1129"/>
      <c r="I506" s="1135"/>
      <c r="J506" s="1135"/>
      <c r="K506" s="1136"/>
      <c r="L506" s="1135"/>
      <c r="M506" s="1051">
        <v>46568</v>
      </c>
      <c r="N506" s="1051"/>
      <c r="O506" s="1052" t="s">
        <v>135</v>
      </c>
      <c r="P506" s="1052" t="s">
        <v>31</v>
      </c>
      <c r="Q506" s="66" t="str">
        <f>IF(AND('331-CT'!$E$7=TH!H506,OR(O506="331",P506="331")),"x","")</f>
        <v/>
      </c>
      <c r="R506" s="66" t="str">
        <f>IF(AND($B506&gt;='111'!$N$11,$B506&lt;='111'!$O$11,OR($O506=$R$7,$P506=$R$7)),"x","")</f>
        <v/>
      </c>
      <c r="S506" s="66" t="str">
        <f>IF(AND($O506=$R$7,$B506&lt;'111'!$N$11),"x","")</f>
        <v/>
      </c>
      <c r="T506" s="66" t="str">
        <f>IF(AND($P506=$R$7,$B506&lt;'111'!$N$11),"x","")</f>
        <v/>
      </c>
      <c r="U506" s="66" t="str">
        <f>IF(AND($B506&gt;='112'!$M$9,$B506&lt;='112'!$N$9,OR($O506='112'!$I$6,$P506='112'!$I$6)),"x","")</f>
        <v>x</v>
      </c>
      <c r="V506" s="66" t="str">
        <f>IF(AND($O506='112'!$I$6,$B506&lt;'112'!$M$9),"x","")</f>
        <v/>
      </c>
      <c r="W506" s="66" t="str">
        <f>IF(AND($P506='112'!$I$6,$B506&lt;'112'!$M$9),"x","")</f>
        <v/>
      </c>
      <c r="X506" s="66" t="str">
        <f>IF(AND('131-CT'!$H$9=TH!H506,OR(O506="131",P506="131")),"x","")</f>
        <v/>
      </c>
      <c r="Y506" s="80" t="str">
        <f>IF(AND($B506&gt;='1331'!$I$9,$B506&lt;='1331'!$J$9,OR($O506=$Y$7,$P506=$Y$7)),"x","")</f>
        <v/>
      </c>
      <c r="Z506" s="80" t="str">
        <f>IF(AND($O506=$Y$7,$B506&lt;'1331'!$I$9),"x","")</f>
        <v/>
      </c>
      <c r="AA506" s="80" t="str">
        <f>IF(AND($P506=$Y$7,$B506&lt;'1331'!$I$9),"x","")</f>
        <v/>
      </c>
      <c r="AB506" s="80" t="str">
        <f>IF(AND($B506&gt;='1332'!$I$9,$B506&lt;='1332'!$I$9,OR($O506=$AB$7,$P506=$AB$7)),"x","")</f>
        <v/>
      </c>
      <c r="AC506" s="80" t="str">
        <f>IF(AND($O506=$AB$7,$B506&lt;'1332'!$I$9),"x","")</f>
        <v/>
      </c>
      <c r="AD506" s="80" t="str">
        <f>IF(AND($P506=$AB$7,$B506&lt;'1332'!$I$9),"x","")</f>
        <v/>
      </c>
      <c r="AE506" s="80" t="str">
        <f>IF(AND('341-CT'!$H$9=H506,OR(LEFT(O506,3)=$AE$7,LEFT(P506,3)=$AE$7)),"x","")</f>
        <v/>
      </c>
      <c r="AF506" s="80" t="str">
        <f>IF(OR(TH!O506=TH!$AF$7,P506=TH!$AF$7),"x","")</f>
        <v/>
      </c>
      <c r="AG506" s="80"/>
      <c r="AH506" s="80" t="str">
        <f>IF(AND(B506&gt;='IN-NX'!$P$3,B506&lt;='IN-NX'!$Q$3,'IN-NX'!$D$7=D506,OR(LEFT(L506,2)="15",AND(LEFT(M506,2)&lt;&gt;"15",LEFT(M506,2)&lt;&gt;"33"))),"x","")</f>
        <v/>
      </c>
      <c r="AI506" s="80" t="str">
        <f>IF(AND(OR(LEFT(TH!O506,2)="15",LEFT(TH!P506,2)="15"),'152-CT'!$J$8=TH!F506),"x","")</f>
        <v/>
      </c>
      <c r="AJ506" s="80" t="str">
        <f>IF(AND(OR(LEFT(TH!O506,2)="15",LEFT(TH!P506,2)="15"),'THE KHO'!$E$7=TH!F506),"x","")</f>
        <v/>
      </c>
      <c r="AK506" s="80" t="str">
        <f>IF(AND(O506="1521",MONTH(C506)='BK NL'!$M$11),"x","")</f>
        <v/>
      </c>
    </row>
    <row r="507" spans="1:39" ht="15.75" customHeight="1">
      <c r="A507" s="362" t="str">
        <f>IF(B507&lt;&gt;"",IF(AND(B507&gt;=_TM1,B507&lt;=_TM2,OR(TH!O507="1111",TH!P507="1111")),TH!D507,""),"")</f>
        <v/>
      </c>
      <c r="B507" s="63">
        <f t="shared" si="35"/>
        <v>7</v>
      </c>
      <c r="C507" s="1045">
        <f>E507</f>
        <v>42580</v>
      </c>
      <c r="D507" s="1045" t="s">
        <v>8</v>
      </c>
      <c r="E507" s="1045">
        <v>42580</v>
      </c>
      <c r="F507" s="1046" t="s">
        <v>23</v>
      </c>
      <c r="G507" s="1047" t="s">
        <v>798</v>
      </c>
      <c r="H507" s="1048"/>
      <c r="I507" s="1049"/>
      <c r="J507" s="1049"/>
      <c r="K507" s="1050"/>
      <c r="L507" s="1049"/>
      <c r="M507" s="1137">
        <v>4657</v>
      </c>
      <c r="N507" s="1137"/>
      <c r="O507" s="1052" t="s">
        <v>10</v>
      </c>
      <c r="P507" s="1052" t="s">
        <v>31</v>
      </c>
      <c r="Q507" s="66" t="str">
        <f>IF(AND('331-CT'!$E$7=TH!H507,OR(O507="331",P507="331")),"x","")</f>
        <v/>
      </c>
      <c r="R507" s="66" t="str">
        <f>IF(AND($B507&gt;='111'!$N$11,$B507&lt;='111'!$O$11,OR($O507=$R$7,$P507=$R$7)),"x","")</f>
        <v/>
      </c>
      <c r="S507" s="66" t="str">
        <f>IF(AND($O507=$R$7,$B507&lt;'111'!$N$11),"x","")</f>
        <v/>
      </c>
      <c r="T507" s="66" t="str">
        <f>IF(AND($P507=$R$7,$B507&lt;'111'!$N$11),"x","")</f>
        <v/>
      </c>
      <c r="U507" s="66" t="str">
        <f>IF(AND($B507&gt;='112'!$M$9,$B507&lt;='112'!$N$9,OR($O507='112'!$I$6,$P507='112'!$I$6)),"x","")</f>
        <v>x</v>
      </c>
      <c r="V507" s="66" t="str">
        <f>IF(AND($O507='112'!$I$6,$B507&lt;'112'!$M$9),"x","")</f>
        <v/>
      </c>
      <c r="W507" s="66" t="str">
        <f>IF(AND($P507='112'!$I$6,$B507&lt;'112'!$M$9),"x","")</f>
        <v/>
      </c>
      <c r="X507" s="66" t="str">
        <f>IF(AND('131-CT'!$H$9=TH!H507,OR(O507="131",P507="131")),"x","")</f>
        <v/>
      </c>
      <c r="Y507" s="80" t="str">
        <f>IF(AND($B507&gt;='1331'!$I$9,$B507&lt;='1331'!$J$9,OR($O507=$Y$7,$P507=$Y$7)),"x","")</f>
        <v>x</v>
      </c>
      <c r="Z507" s="80" t="str">
        <f>IF(AND($O507=$Y$7,$B507&lt;'1331'!$I$9),"x","")</f>
        <v/>
      </c>
      <c r="AA507" s="80" t="str">
        <f>IF(AND($P507=$Y$7,$B507&lt;'1331'!$I$9),"x","")</f>
        <v/>
      </c>
      <c r="AB507" s="80" t="str">
        <f>IF(AND($B507&gt;='1332'!$I$9,$B507&lt;='1332'!$I$9,OR($O507=$AB$7,$P507=$AB$7)),"x","")</f>
        <v/>
      </c>
      <c r="AC507" s="80" t="str">
        <f>IF(AND($O507=$AB$7,$B507&lt;'1332'!$I$9),"x","")</f>
        <v/>
      </c>
      <c r="AD507" s="80" t="str">
        <f>IF(AND($P507=$AB$7,$B507&lt;'1332'!$I$9),"x","")</f>
        <v/>
      </c>
      <c r="AE507" s="80" t="str">
        <f>IF(AND('341-CT'!$H$9=H507,OR(LEFT(O507,3)=$AE$7,LEFT(P507,3)=$AE$7)),"x","")</f>
        <v/>
      </c>
      <c r="AF507" s="80" t="str">
        <f>IF(OR(TH!O507=TH!$AF$7,P507=TH!$AF$7),"x","")</f>
        <v/>
      </c>
      <c r="AG507" s="80"/>
      <c r="AH507" s="80" t="str">
        <f>IF(AND(B507&gt;='IN-NX'!$P$3,B507&lt;='IN-NX'!$Q$3,'IN-NX'!$D$7=D507,OR(LEFT(L507,2)="15",AND(LEFT(M507,2)&lt;&gt;"15",LEFT(M507,2)&lt;&gt;"33"))),"x","")</f>
        <v/>
      </c>
      <c r="AI507" s="80" t="str">
        <f>IF(AND(OR(LEFT(TH!O507,2)="15",LEFT(TH!P507,2)="15"),'152-CT'!$J$8=TH!F507),"x","")</f>
        <v/>
      </c>
      <c r="AJ507" s="80" t="str">
        <f>IF(AND(OR(LEFT(TH!O507,2)="15",LEFT(TH!P507,2)="15"),'THE KHO'!$E$7=TH!F507),"x","")</f>
        <v/>
      </c>
      <c r="AK507" s="80" t="str">
        <f>IF(AND(O507="1521",MONTH(C507)='BK NL'!$M$11),"x","")</f>
        <v/>
      </c>
    </row>
    <row r="508" spans="1:39" ht="15.75" customHeight="1">
      <c r="A508" s="362" t="str">
        <f>IF(B508&lt;&gt;"",IF(AND(B508&gt;=_TM1,B508&lt;=_TM2,OR(TH!O508="1111",TH!P508="1111")),TH!D508,""),"")</f>
        <v/>
      </c>
      <c r="B508" s="63">
        <f t="shared" si="35"/>
        <v>7</v>
      </c>
      <c r="C508" s="1045">
        <v>42581</v>
      </c>
      <c r="D508" s="337" t="s">
        <v>11</v>
      </c>
      <c r="E508" s="1045">
        <v>42581</v>
      </c>
      <c r="F508" s="338" t="s">
        <v>788</v>
      </c>
      <c r="G508" s="351" t="s">
        <v>798</v>
      </c>
      <c r="H508" s="338" t="s">
        <v>182</v>
      </c>
      <c r="I508" s="476"/>
      <c r="J508" s="476"/>
      <c r="K508" s="469"/>
      <c r="L508" s="476"/>
      <c r="M508" s="65">
        <v>500000000</v>
      </c>
      <c r="N508" s="65"/>
      <c r="O508" s="340" t="s">
        <v>97</v>
      </c>
      <c r="P508" s="340" t="s">
        <v>24</v>
      </c>
      <c r="Q508" s="80" t="s">
        <v>1225</v>
      </c>
      <c r="R508" s="80" t="s">
        <v>1225</v>
      </c>
      <c r="S508" s="80" t="s">
        <v>1225</v>
      </c>
      <c r="T508" s="80" t="s">
        <v>1225</v>
      </c>
      <c r="U508" s="80" t="s">
        <v>1225</v>
      </c>
      <c r="V508" s="80" t="s">
        <v>1225</v>
      </c>
      <c r="W508" s="80" t="s">
        <v>1225</v>
      </c>
      <c r="X508" s="80" t="s">
        <v>26</v>
      </c>
      <c r="Y508" s="80"/>
      <c r="Z508" s="80" t="s">
        <v>1225</v>
      </c>
      <c r="AA508" s="80" t="s">
        <v>1225</v>
      </c>
      <c r="AB508" s="80" t="s">
        <v>1225</v>
      </c>
      <c r="AC508" s="80" t="s">
        <v>1225</v>
      </c>
    </row>
    <row r="509" spans="1:39" ht="15.75" customHeight="1">
      <c r="A509" s="362" t="str">
        <f>IF(B509&lt;&gt;"",IF(AND(B509&gt;=_TM1,B509&lt;=_TM2,OR(TH!O509="1111",TH!P509="1111")),TH!D509,""),"")</f>
        <v/>
      </c>
      <c r="B509" s="63">
        <f t="shared" si="35"/>
        <v>7</v>
      </c>
      <c r="C509" s="1045">
        <v>42581</v>
      </c>
      <c r="D509" s="1045" t="s">
        <v>80</v>
      </c>
      <c r="E509" s="1045">
        <v>42581</v>
      </c>
      <c r="F509" s="1046" t="s">
        <v>1097</v>
      </c>
      <c r="G509" s="1047"/>
      <c r="H509" s="1048"/>
      <c r="I509" s="1049"/>
      <c r="J509" s="1049"/>
      <c r="K509" s="1050"/>
      <c r="L509" s="1049"/>
      <c r="M509" s="1051">
        <f>13318510+22738309+162525990</f>
        <v>198582809</v>
      </c>
      <c r="N509" s="1051"/>
      <c r="O509" s="1052" t="s">
        <v>1020</v>
      </c>
      <c r="P509" s="1052" t="s">
        <v>97</v>
      </c>
      <c r="Q509" s="66" t="str">
        <f>IF(AND('331-CT'!$E$7=TH!H509,OR(O509="331",P509="331")),"x","")</f>
        <v/>
      </c>
      <c r="R509" s="66" t="str">
        <f>IF(AND($B509&gt;='111'!$N$11,$B509&lt;='111'!$O$11,OR($O509=$R$7,$P509=$R$7)),"x","")</f>
        <v>x</v>
      </c>
      <c r="S509" s="66" t="str">
        <f>IF(AND($O509=$R$7,$B509&lt;'111'!$N$11),"x","")</f>
        <v/>
      </c>
      <c r="T509" s="66" t="str">
        <f>IF(AND($P509=$R$7,$B509&lt;'111'!$N$11),"x","")</f>
        <v/>
      </c>
      <c r="U509" s="66" t="str">
        <f>IF(AND($B509&gt;='112'!$M$9,$B509&lt;='112'!$N$9,OR($O509='112'!$I$6,$P509='112'!$I$6)),"x","")</f>
        <v/>
      </c>
      <c r="V509" s="66" t="str">
        <f>IF(AND($O509='112'!$I$6,$B509&lt;'112'!$M$9),"x","")</f>
        <v/>
      </c>
      <c r="W509" s="66" t="str">
        <f>IF(AND($P509='112'!$I$6,$B509&lt;'112'!$M$9),"x","")</f>
        <v/>
      </c>
      <c r="X509" s="66" t="str">
        <f>IF(AND('131-CT'!$H$9=TH!H509,OR(O509="131",P509="131")),"x","")</f>
        <v/>
      </c>
      <c r="Y509" s="80" t="str">
        <f>IF(AND($B509&gt;='1331'!$I$9,$B509&lt;='1331'!$J$9,OR($O509=$Y$7,$P509=$Y$7)),"x","")</f>
        <v/>
      </c>
      <c r="Z509" s="80" t="str">
        <f>IF(AND($O509=$Y$7,$B509&lt;'1331'!$I$9),"x","")</f>
        <v/>
      </c>
      <c r="AA509" s="80" t="str">
        <f>IF(AND($P509=$Y$7,$B509&lt;'1331'!$I$9),"x","")</f>
        <v/>
      </c>
      <c r="AB509" s="80" t="str">
        <f>IF(AND($B509&gt;='1332'!$I$9,$B509&lt;='1332'!$I$9,OR($O509=$AB$7,$P509=$AB$7)),"x","")</f>
        <v/>
      </c>
      <c r="AC509" s="80" t="str">
        <f>IF(AND($O509=$AB$7,$B509&lt;'1332'!$I$9),"x","")</f>
        <v/>
      </c>
      <c r="AD509" s="80" t="str">
        <f>IF(AND($P509=$AB$7,$B509&lt;'1332'!$I$9),"x","")</f>
        <v/>
      </c>
      <c r="AE509" s="80" t="str">
        <f>IF(AND('341-CT'!$H$9=H509,OR(LEFT(O509,3)=$AE$7,LEFT(P509,3)=$AE$7)),"x","")</f>
        <v/>
      </c>
      <c r="AF509" s="80" t="str">
        <f>IF(OR(TH!O509=TH!$AF$7,P509=TH!$AF$7),"x","")</f>
        <v/>
      </c>
      <c r="AG509" s="80"/>
      <c r="AH509" s="80" t="str">
        <f>IF(AND(B509&gt;='IN-NX'!$P$3,B509&lt;='IN-NX'!$Q$3,'IN-NX'!$D$7=D509,OR(LEFT(L509,2)="15",AND(LEFT(M509,2)&lt;&gt;"15",LEFT(M509,2)&lt;&gt;"33"))),"x","")</f>
        <v/>
      </c>
      <c r="AI509" s="80" t="str">
        <f>IF(AND(OR(LEFT(TH!O509,2)="15",LEFT(TH!P509,2)="15"),'152-CT'!$J$8=TH!F509),"x","")</f>
        <v/>
      </c>
      <c r="AJ509" s="80" t="str">
        <f>IF(AND(OR(LEFT(TH!O509,2)="15",LEFT(TH!P509,2)="15"),'THE KHO'!$E$7=TH!F509),"x","")</f>
        <v/>
      </c>
      <c r="AK509" s="80" t="str">
        <f>IF(AND(O509="1521",MONTH(C509)='BK NL'!$M$11),"x","")</f>
        <v/>
      </c>
    </row>
    <row r="510" spans="1:39" ht="15.75" customHeight="1">
      <c r="A510" s="362" t="str">
        <f>IF(B510&lt;&gt;"",IF(AND(B510&gt;=_TM1,B510&lt;=_TM2,OR(TH!O510="1111",TH!P510="1111")),TH!D510,""),"")</f>
        <v/>
      </c>
      <c r="B510" s="63">
        <f t="shared" si="35"/>
        <v>7</v>
      </c>
      <c r="C510" s="1127">
        <v>42581</v>
      </c>
      <c r="D510" s="1045" t="s">
        <v>784</v>
      </c>
      <c r="E510" s="1045">
        <v>42581</v>
      </c>
      <c r="F510" s="1046" t="s">
        <v>308</v>
      </c>
      <c r="G510" s="1126" t="s">
        <v>1098</v>
      </c>
      <c r="H510" s="1048" t="s">
        <v>309</v>
      </c>
      <c r="I510" s="1049">
        <v>240</v>
      </c>
      <c r="J510" s="1049">
        <v>18068</v>
      </c>
      <c r="K510" s="1050"/>
      <c r="L510" s="1049"/>
      <c r="M510" s="1122">
        <v>4336320</v>
      </c>
      <c r="N510" s="1122"/>
      <c r="O510" s="1138" t="s">
        <v>462</v>
      </c>
      <c r="P510" s="1139" t="s">
        <v>9</v>
      </c>
      <c r="Q510" s="66" t="str">
        <f>IF(AND('331-CT'!$E$7=TH!H510,OR(O510="331",P510="331")),"x","")</f>
        <v/>
      </c>
      <c r="R510" s="66" t="str">
        <f>IF(AND($B510&gt;='111'!$N$11,$B510&lt;='111'!$O$11,OR($O510=$R$7,$P510=$R$7)),"x","")</f>
        <v/>
      </c>
      <c r="S510" s="66" t="str">
        <f>IF(AND($O510=$R$7,$B510&lt;'111'!$N$11),"x","")</f>
        <v/>
      </c>
      <c r="T510" s="66" t="str">
        <f>IF(AND($P510=$R$7,$B510&lt;'111'!$N$11),"x","")</f>
        <v/>
      </c>
      <c r="U510" s="66" t="str">
        <f>IF(AND($B510&gt;='112'!$M$9,$B510&lt;='112'!$N$9,OR($O510='112'!$I$6,$P510='112'!$I$6)),"x","")</f>
        <v/>
      </c>
      <c r="V510" s="66" t="str">
        <f>IF(AND($O510='112'!$I$6,$B510&lt;'112'!$M$9),"x","")</f>
        <v/>
      </c>
      <c r="W510" s="66" t="str">
        <f>IF(AND($P510='112'!$I$6,$B510&lt;'112'!$M$9),"x","")</f>
        <v/>
      </c>
      <c r="X510" s="66" t="str">
        <f>IF(AND('131-CT'!$H$9=TH!H510,OR(O510="131",P510="131")),"x","")</f>
        <v/>
      </c>
      <c r="Y510" s="80" t="str">
        <f>IF(AND($B510&gt;='1331'!$I$9,$B510&lt;='1331'!$J$9,OR($O510=$Y$7,$P510=$Y$7)),"x","")</f>
        <v/>
      </c>
      <c r="Z510" s="80" t="str">
        <f>IF(AND($O510=$Y$7,$B510&lt;'1331'!$I$9),"x","")</f>
        <v/>
      </c>
      <c r="AA510" s="80" t="str">
        <f>IF(AND($P510=$Y$7,$B510&lt;'1331'!$I$9),"x","")</f>
        <v/>
      </c>
      <c r="AB510" s="80" t="str">
        <f>IF(AND($B510&gt;='1332'!$I$9,$B510&lt;='1332'!$I$9,OR($O510=$AB$7,$P510=$AB$7)),"x","")</f>
        <v/>
      </c>
      <c r="AC510" s="80" t="str">
        <f>IF(AND($O510=$AB$7,$B510&lt;'1332'!$I$9),"x","")</f>
        <v/>
      </c>
      <c r="AD510" s="80" t="str">
        <f>IF(AND($P510=$AB$7,$B510&lt;'1332'!$I$9),"x","")</f>
        <v/>
      </c>
      <c r="AE510" s="80" t="str">
        <f>IF(AND('341-CT'!$H$9=H510,OR(LEFT(O510,3)=$AE$7,LEFT(P510,3)=$AE$7)),"x","")</f>
        <v/>
      </c>
      <c r="AF510" s="80" t="str">
        <f>IF(OR(TH!O510=TH!$AF$7,P510=TH!$AF$7),"x","")</f>
        <v/>
      </c>
      <c r="AG510" s="80"/>
      <c r="AH510" s="80" t="str">
        <f>IF(AND(B510&gt;='IN-NX'!$P$3,B510&lt;='IN-NX'!$Q$3,'IN-NX'!$D$7=D510,OR(LEFT(L510,2)="15",AND(LEFT(M510,2)&lt;&gt;"15",LEFT(M510,2)&lt;&gt;"33"))),"x","")</f>
        <v/>
      </c>
      <c r="AI510" s="80" t="str">
        <f>IF(AND(OR(LEFT(TH!O510,2)="15",LEFT(TH!P510,2)="15"),'152-CT'!$J$8=TH!F510),"x","")</f>
        <v/>
      </c>
      <c r="AJ510" s="80" t="str">
        <f>IF(AND(OR(LEFT(TH!O510,2)="15",LEFT(TH!P510,2)="15"),'THE KHO'!$E$7=TH!F510),"x","")</f>
        <v/>
      </c>
      <c r="AK510" s="80" t="str">
        <f>IF(AND(O510="1521",MONTH(C510)='BK NL'!$M$11),"x","")</f>
        <v/>
      </c>
    </row>
    <row r="511" spans="1:39" ht="15.75" customHeight="1">
      <c r="A511" s="362" t="str">
        <f>IF(B511&lt;&gt;"",IF(AND(B511&gt;=_TM1,B511&lt;=_TM2,OR(TH!O511="1111",TH!P511="1111")),TH!D511,""),"")</f>
        <v/>
      </c>
      <c r="B511" s="63">
        <f t="shared" si="35"/>
        <v>7</v>
      </c>
      <c r="C511" s="1045">
        <v>42581</v>
      </c>
      <c r="D511" s="1045" t="s">
        <v>784</v>
      </c>
      <c r="E511" s="1045">
        <v>42581</v>
      </c>
      <c r="F511" s="1046" t="s">
        <v>310</v>
      </c>
      <c r="G511" s="1126" t="s">
        <v>1098</v>
      </c>
      <c r="H511" s="1048" t="s">
        <v>309</v>
      </c>
      <c r="I511" s="1049"/>
      <c r="J511" s="1049"/>
      <c r="K511" s="1050"/>
      <c r="L511" s="1049"/>
      <c r="M511" s="1122">
        <v>433632</v>
      </c>
      <c r="N511" s="1122"/>
      <c r="O511" s="1052" t="s">
        <v>10</v>
      </c>
      <c r="P511" s="1139" t="s">
        <v>9</v>
      </c>
      <c r="Q511" s="66" t="str">
        <f>IF(AND('331-CT'!$E$7=TH!H511,OR(O511="331",P511="331")),"x","")</f>
        <v/>
      </c>
      <c r="R511" s="66" t="str">
        <f>IF(AND($B511&gt;='111'!$N$11,$B511&lt;='111'!$O$11,OR($O511=$R$7,$P511=$R$7)),"x","")</f>
        <v/>
      </c>
      <c r="S511" s="66" t="str">
        <f>IF(AND($O511=$R$7,$B511&lt;'111'!$N$11),"x","")</f>
        <v/>
      </c>
      <c r="T511" s="66" t="str">
        <f>IF(AND($P511=$R$7,$B511&lt;'111'!$N$11),"x","")</f>
        <v/>
      </c>
      <c r="U511" s="66" t="str">
        <f>IF(AND($B511&gt;='112'!$M$9,$B511&lt;='112'!$N$9,OR($O511='112'!$I$6,$P511='112'!$I$6)),"x","")</f>
        <v/>
      </c>
      <c r="V511" s="66" t="str">
        <f>IF(AND($O511='112'!$I$6,$B511&lt;'112'!$M$9),"x","")</f>
        <v/>
      </c>
      <c r="W511" s="66" t="str">
        <f>IF(AND($P511='112'!$I$6,$B511&lt;'112'!$M$9),"x","")</f>
        <v/>
      </c>
      <c r="X511" s="66" t="str">
        <f>IF(AND('131-CT'!$H$9=TH!H511,OR(O511="131",P511="131")),"x","")</f>
        <v/>
      </c>
      <c r="Y511" s="80" t="str">
        <f>IF(AND($B511&gt;='1331'!$I$9,$B511&lt;='1331'!$J$9,OR($O511=$Y$7,$P511=$Y$7)),"x","")</f>
        <v>x</v>
      </c>
      <c r="Z511" s="80" t="str">
        <f>IF(AND($O511=$Y$7,$B511&lt;'1331'!$I$9),"x","")</f>
        <v/>
      </c>
      <c r="AA511" s="80" t="str">
        <f>IF(AND($P511=$Y$7,$B511&lt;'1331'!$I$9),"x","")</f>
        <v/>
      </c>
      <c r="AB511" s="80" t="str">
        <f>IF(AND($B511&gt;='1332'!$I$9,$B511&lt;='1332'!$I$9,OR($O511=$AB$7,$P511=$AB$7)),"x","")</f>
        <v/>
      </c>
      <c r="AC511" s="80" t="str">
        <f>IF(AND($O511=$AB$7,$B511&lt;'1332'!$I$9),"x","")</f>
        <v/>
      </c>
      <c r="AD511" s="80" t="str">
        <f>IF(AND($P511=$AB$7,$B511&lt;'1332'!$I$9),"x","")</f>
        <v/>
      </c>
      <c r="AE511" s="80" t="str">
        <f>IF(AND('341-CT'!$H$9=H511,OR(LEFT(O511,3)=$AE$7,LEFT(P511,3)=$AE$7)),"x","")</f>
        <v/>
      </c>
      <c r="AF511" s="80" t="str">
        <f>IF(OR(TH!O511=TH!$AF$7,P511=TH!$AF$7),"x","")</f>
        <v/>
      </c>
      <c r="AG511" s="80"/>
      <c r="AH511" s="80" t="str">
        <f>IF(AND(B511&gt;='IN-NX'!$P$3,B511&lt;='IN-NX'!$Q$3,'IN-NX'!$D$7=D511,OR(LEFT(L511,2)="15",AND(LEFT(M511,2)&lt;&gt;"15",LEFT(M511,2)&lt;&gt;"33"))),"x","")</f>
        <v/>
      </c>
      <c r="AI511" s="80" t="str">
        <f>IF(AND(OR(LEFT(TH!O511,2)="15",LEFT(TH!P511,2)="15"),'152-CT'!$J$8=TH!F511),"x","")</f>
        <v/>
      </c>
      <c r="AJ511" s="80" t="str">
        <f>IF(AND(OR(LEFT(TH!O511,2)="15",LEFT(TH!P511,2)="15"),'THE KHO'!$E$7=TH!F511),"x","")</f>
        <v/>
      </c>
      <c r="AK511" s="80" t="str">
        <f>IF(AND(O511="1521",MONTH(C511)='BK NL'!$M$11),"x","")</f>
        <v/>
      </c>
    </row>
    <row r="512" spans="1:39" ht="15.75" customHeight="1">
      <c r="A512" s="362" t="str">
        <f>IF(B512&lt;&gt;"",IF(AND(B512&gt;=_TM1,B512&lt;=_TM2,OR(TH!O512="1111",TH!P512="1111")),TH!D512,""),"")</f>
        <v/>
      </c>
      <c r="B512" s="63">
        <f>IF(C512&lt;&gt;"",MONTH(C512),"")</f>
        <v>7</v>
      </c>
      <c r="C512" s="1045">
        <v>42581</v>
      </c>
      <c r="D512" s="1045" t="s">
        <v>1099</v>
      </c>
      <c r="E512" s="337">
        <v>42532</v>
      </c>
      <c r="F512" s="338" t="s">
        <v>994</v>
      </c>
      <c r="G512" s="1040" t="s">
        <v>998</v>
      </c>
      <c r="H512" s="339" t="s">
        <v>221</v>
      </c>
      <c r="I512" s="479"/>
      <c r="J512" s="479"/>
      <c r="K512" s="472"/>
      <c r="L512" s="479"/>
      <c r="M512" s="1168">
        <v>25978200</v>
      </c>
      <c r="N512" s="65"/>
      <c r="O512" s="340" t="s">
        <v>135</v>
      </c>
      <c r="P512" s="340" t="s">
        <v>9</v>
      </c>
      <c r="Q512" s="66" t="str">
        <f>IF(AND('331-CT'!$E$7=TH!H512,OR(O512="331",P512="331")),"x","")</f>
        <v/>
      </c>
      <c r="R512" s="66" t="str">
        <f>IF(AND($B512&gt;='111'!$N$11,$B512&lt;='111'!$O$11,OR($O512=$R$7,$P512=$R$7)),"x","")</f>
        <v/>
      </c>
      <c r="S512" s="66" t="str">
        <f>IF(AND($O512=$R$7,$B512&lt;'111'!$N$11),"x","")</f>
        <v/>
      </c>
      <c r="T512" s="66" t="str">
        <f>IF(AND($P512=$R$7,$B512&lt;'111'!$N$11),"x","")</f>
        <v/>
      </c>
      <c r="U512" s="66" t="str">
        <f>IF(AND($B512&gt;='112'!$M$9,$B512&lt;='112'!$N$9,OR($O512='112'!$I$6,$P512='112'!$I$6)),"x","")</f>
        <v/>
      </c>
      <c r="V512" s="66" t="str">
        <f>IF(AND($O512='112'!$I$6,$B512&lt;'112'!$M$9),"x","")</f>
        <v/>
      </c>
      <c r="W512" s="66" t="str">
        <f>IF(AND($P512='112'!$I$6,$B512&lt;'112'!$M$9),"x","")</f>
        <v/>
      </c>
      <c r="X512" s="66" t="str">
        <f>IF(AND('131-CT'!$H$9=TH!H512,OR(O512="131",P512="131")),"x","")</f>
        <v/>
      </c>
      <c r="Y512" s="80" t="str">
        <f>IF(AND($B512&gt;='1331'!$I$9,$B512&lt;='1331'!$J$9,OR($O512=$Y$7,$P512=$Y$7)),"x","")</f>
        <v/>
      </c>
      <c r="Z512" s="80" t="str">
        <f>IF(AND($O512=$Y$7,$B512&lt;'1331'!$I$9),"x","")</f>
        <v/>
      </c>
      <c r="AA512" s="80" t="str">
        <f>IF(AND($P512=$Y$7,$B512&lt;'1331'!$I$9),"x","")</f>
        <v/>
      </c>
      <c r="AB512" s="80" t="str">
        <f>IF(AND($B512&gt;='1332'!$I$9,$B512&lt;='1332'!$I$9,OR($O512=$AB$7,$P512=$AB$7)),"x","")</f>
        <v/>
      </c>
      <c r="AC512" s="80" t="str">
        <f>IF(AND($O512=$AB$7,$B512&lt;'1332'!$I$9),"x","")</f>
        <v/>
      </c>
      <c r="AD512" s="80" t="str">
        <f>IF(AND($P512=$AB$7,$B512&lt;'1332'!$I$9),"x","")</f>
        <v/>
      </c>
      <c r="AE512" s="80" t="str">
        <f>IF(AND('341-CT'!$H$9=H512,OR(LEFT(O512,3)=$AE$7,LEFT(P512,3)=$AE$7)),"x","")</f>
        <v/>
      </c>
      <c r="AF512" s="80" t="str">
        <f>IF(OR(TH!O512=TH!$AF$7,P512=TH!$AF$7),"x","")</f>
        <v/>
      </c>
      <c r="AG512" s="80"/>
      <c r="AH512" s="80" t="str">
        <f>IF(AND(B512&gt;='IN-NX'!$P$3,B512&lt;='IN-NX'!$Q$3,'IN-NX'!$D$7=D512,OR(LEFT(L512,2)="15",AND(LEFT(M512,2)&lt;&gt;"15",LEFT(M512,2)&lt;&gt;"33"))),"x","")</f>
        <v/>
      </c>
      <c r="AI512" s="80" t="str">
        <f>IF(AND(OR(LEFT(TH!O512,2)="15",LEFT(TH!P512,2)="15"),'152-CT'!$J$8=TH!F512),"x","")</f>
        <v/>
      </c>
      <c r="AJ512" s="80" t="str">
        <f>IF(AND(OR(LEFT(TH!O512,2)="15",LEFT(TH!P512,2)="15"),'THE KHO'!$E$7=TH!F512),"x","")</f>
        <v/>
      </c>
      <c r="AK512" s="80" t="str">
        <f>IF(AND(O512="1521",MONTH(C512)='BK NL'!$M$11),"x","")</f>
        <v/>
      </c>
      <c r="AL512" s="370"/>
      <c r="AM512" s="371"/>
    </row>
    <row r="513" spans="1:39" ht="15.75" customHeight="1">
      <c r="A513" s="362" t="str">
        <f>IF(B513&lt;&gt;"",IF(AND(B513&gt;=_TM1,B513&lt;=_TM2,OR(TH!O513="1111",TH!P513="1111")),TH!D513,""),"")</f>
        <v/>
      </c>
      <c r="B513" s="63">
        <f>IF(C513&lt;&gt;"",MONTH(C513),"")</f>
        <v>7</v>
      </c>
      <c r="C513" s="1045">
        <v>42581</v>
      </c>
      <c r="D513" s="1045" t="s">
        <v>1099</v>
      </c>
      <c r="E513" s="337">
        <v>42532</v>
      </c>
      <c r="F513" s="338" t="s">
        <v>995</v>
      </c>
      <c r="G513" s="1040" t="s">
        <v>998</v>
      </c>
      <c r="H513" s="339" t="s">
        <v>221</v>
      </c>
      <c r="I513" s="476"/>
      <c r="J513" s="476"/>
      <c r="K513" s="469"/>
      <c r="L513" s="476"/>
      <c r="M513" s="1168">
        <v>2597820</v>
      </c>
      <c r="N513" s="65"/>
      <c r="O513" s="340" t="s">
        <v>10</v>
      </c>
      <c r="P513" s="340" t="s">
        <v>9</v>
      </c>
      <c r="Q513" s="66" t="str">
        <f>IF(AND('331-CT'!$E$7=TH!H513,OR(O513="331",P513="331")),"x","")</f>
        <v/>
      </c>
      <c r="R513" s="66" t="str">
        <f>IF(AND($B513&gt;='111'!$N$11,$B513&lt;='111'!$O$11,OR($O513=$R$7,$P513=$R$7)),"x","")</f>
        <v/>
      </c>
      <c r="S513" s="66" t="str">
        <f>IF(AND($O513=$R$7,$B513&lt;'111'!$N$11),"x","")</f>
        <v/>
      </c>
      <c r="T513" s="66" t="str">
        <f>IF(AND($P513=$R$7,$B513&lt;'111'!$N$11),"x","")</f>
        <v/>
      </c>
      <c r="U513" s="66" t="str">
        <f>IF(AND($B513&gt;='112'!$M$9,$B513&lt;='112'!$N$9,OR($O513='112'!$I$6,$P513='112'!$I$6)),"x","")</f>
        <v/>
      </c>
      <c r="V513" s="66" t="str">
        <f>IF(AND($O513='112'!$I$6,$B513&lt;'112'!$M$9),"x","")</f>
        <v/>
      </c>
      <c r="W513" s="66" t="str">
        <f>IF(AND($P513='112'!$I$6,$B513&lt;'112'!$M$9),"x","")</f>
        <v/>
      </c>
      <c r="X513" s="66" t="str">
        <f>IF(AND('131-CT'!$H$9=TH!H513,OR(O513="131",P513="131")),"x","")</f>
        <v/>
      </c>
      <c r="Y513" s="80" t="str">
        <f>IF(AND($B513&gt;='1331'!$I$9,$B513&lt;='1331'!$J$9,OR($O513=$Y$7,$P513=$Y$7)),"x","")</f>
        <v>x</v>
      </c>
      <c r="Z513" s="80" t="str">
        <f>IF(AND($O513=$Y$7,$B513&lt;'1331'!$I$9),"x","")</f>
        <v/>
      </c>
      <c r="AA513" s="80" t="str">
        <f>IF(AND($P513=$Y$7,$B513&lt;'1331'!$I$9),"x","")</f>
        <v/>
      </c>
      <c r="AB513" s="80" t="str">
        <f>IF(AND($B513&gt;='1332'!$I$9,$B513&lt;='1332'!$I$9,OR($O513=$AB$7,$P513=$AB$7)),"x","")</f>
        <v/>
      </c>
      <c r="AC513" s="80" t="str">
        <f>IF(AND($O513=$AB$7,$B513&lt;'1332'!$I$9),"x","")</f>
        <v/>
      </c>
      <c r="AD513" s="80" t="str">
        <f>IF(AND($P513=$AB$7,$B513&lt;'1332'!$I$9),"x","")</f>
        <v/>
      </c>
      <c r="AE513" s="80" t="str">
        <f>IF(AND('341-CT'!$H$9=H513,OR(LEFT(O513,3)=$AE$7,LEFT(P513,3)=$AE$7)),"x","")</f>
        <v/>
      </c>
      <c r="AF513" s="80" t="str">
        <f>IF(OR(TH!O513=TH!$AF$7,P513=TH!$AF$7),"x","")</f>
        <v/>
      </c>
      <c r="AG513" s="80"/>
      <c r="AH513" s="80" t="str">
        <f>IF(AND(B513&gt;='IN-NX'!$P$3,B513&lt;='IN-NX'!$Q$3,'IN-NX'!$D$7=D513,OR(LEFT(L513,2)="15",AND(LEFT(M513,2)&lt;&gt;"15",LEFT(M513,2)&lt;&gt;"33"))),"x","")</f>
        <v/>
      </c>
      <c r="AI513" s="80" t="str">
        <f>IF(AND(OR(LEFT(TH!O513,2)="15",LEFT(TH!P513,2)="15"),'152-CT'!$J$8=TH!F513),"x","")</f>
        <v/>
      </c>
      <c r="AJ513" s="80" t="str">
        <f>IF(AND(OR(LEFT(TH!O513,2)="15",LEFT(TH!P513,2)="15"),'THE KHO'!$E$7=TH!F513),"x","")</f>
        <v/>
      </c>
      <c r="AK513" s="80" t="str">
        <f>IF(AND(O513="1521",MONTH(C513)='BK NL'!$M$11),"x","")</f>
        <v/>
      </c>
      <c r="AM513" s="372">
        <v>1</v>
      </c>
    </row>
    <row r="514" spans="1:39" ht="15.75" customHeight="1">
      <c r="A514" s="362" t="str">
        <f>IF(B514&lt;&gt;"",IF(AND(B514&gt;=_TM1,B514&lt;=_TM2,OR(TH!O514="1111",TH!P514="1111")),TH!D514,""),"")</f>
        <v/>
      </c>
      <c r="B514" s="63">
        <f t="shared" si="35"/>
        <v>7</v>
      </c>
      <c r="C514" s="1045">
        <v>42581</v>
      </c>
      <c r="D514" s="1045" t="s">
        <v>1099</v>
      </c>
      <c r="E514" s="1045">
        <v>42562</v>
      </c>
      <c r="F514" s="1046" t="s">
        <v>1100</v>
      </c>
      <c r="G514" s="1047" t="s">
        <v>1101</v>
      </c>
      <c r="H514" s="1048" t="s">
        <v>221</v>
      </c>
      <c r="I514" s="1049"/>
      <c r="J514" s="1049"/>
      <c r="K514" s="1050"/>
      <c r="L514" s="1049"/>
      <c r="M514" s="1051">
        <v>24508900</v>
      </c>
      <c r="N514" s="1051"/>
      <c r="O514" s="1116" t="s">
        <v>135</v>
      </c>
      <c r="P514" s="1052" t="s">
        <v>9</v>
      </c>
      <c r="Q514" s="66" t="str">
        <f>IF(AND('331-CT'!$E$7=TH!H514,OR(O514="331",P514="331")),"x","")</f>
        <v/>
      </c>
      <c r="R514" s="66" t="str">
        <f>IF(AND($B514&gt;='111'!$N$11,$B514&lt;='111'!$O$11,OR($O514=$R$7,$P514=$R$7)),"x","")</f>
        <v/>
      </c>
      <c r="S514" s="66" t="str">
        <f>IF(AND($O514=$R$7,$B514&lt;'111'!$N$11),"x","")</f>
        <v/>
      </c>
      <c r="T514" s="66" t="str">
        <f>IF(AND($P514=$R$7,$B514&lt;'111'!$N$11),"x","")</f>
        <v/>
      </c>
      <c r="U514" s="66" t="str">
        <f>IF(AND($B514&gt;='112'!$M$9,$B514&lt;='112'!$N$9,OR($O514='112'!$I$6,$P514='112'!$I$6)),"x","")</f>
        <v/>
      </c>
      <c r="V514" s="66" t="str">
        <f>IF(AND($O514='112'!$I$6,$B514&lt;'112'!$M$9),"x","")</f>
        <v/>
      </c>
      <c r="W514" s="66" t="str">
        <f>IF(AND($P514='112'!$I$6,$B514&lt;'112'!$M$9),"x","")</f>
        <v/>
      </c>
      <c r="X514" s="66" t="str">
        <f>IF(AND('131-CT'!$H$9=TH!H514,OR(O514="131",P514="131")),"x","")</f>
        <v/>
      </c>
      <c r="Y514" s="80" t="str">
        <f>IF(AND($B514&gt;='1331'!$I$9,$B514&lt;='1331'!$J$9,OR($O514=$Y$7,$P514=$Y$7)),"x","")</f>
        <v/>
      </c>
      <c r="Z514" s="80" t="str">
        <f>IF(AND($O514=$Y$7,$B514&lt;'1331'!$I$9),"x","")</f>
        <v/>
      </c>
      <c r="AA514" s="80" t="str">
        <f>IF(AND($P514=$Y$7,$B514&lt;'1331'!$I$9),"x","")</f>
        <v/>
      </c>
      <c r="AB514" s="80" t="str">
        <f>IF(AND($B514&gt;='1332'!$I$9,$B514&lt;='1332'!$I$9,OR($O514=$AB$7,$P514=$AB$7)),"x","")</f>
        <v/>
      </c>
      <c r="AC514" s="80" t="str">
        <f>IF(AND($O514=$AB$7,$B514&lt;'1332'!$I$9),"x","")</f>
        <v/>
      </c>
      <c r="AD514" s="80" t="str">
        <f>IF(AND($P514=$AB$7,$B514&lt;'1332'!$I$9),"x","")</f>
        <v/>
      </c>
      <c r="AE514" s="80" t="str">
        <f>IF(AND('341-CT'!$H$9=H514,OR(LEFT(O514,3)=$AE$7,LEFT(P514,3)=$AE$7)),"x","")</f>
        <v/>
      </c>
      <c r="AF514" s="80" t="str">
        <f>IF(OR(TH!O514=TH!$AF$7,P514=TH!$AF$7),"x","")</f>
        <v/>
      </c>
      <c r="AG514" s="80"/>
      <c r="AH514" s="80" t="str">
        <f>IF(AND(B514&gt;='IN-NX'!$P$3,B514&lt;='IN-NX'!$Q$3,'IN-NX'!$D$7=D514,OR(LEFT(L514,2)="15",AND(LEFT(M514,2)&lt;&gt;"15",LEFT(M514,2)&lt;&gt;"33"))),"x","")</f>
        <v/>
      </c>
      <c r="AI514" s="80" t="str">
        <f>IF(AND(OR(LEFT(TH!O514,2)="15",LEFT(TH!P514,2)="15"),'152-CT'!$J$8=TH!F514),"x","")</f>
        <v/>
      </c>
      <c r="AJ514" s="80" t="str">
        <f>IF(AND(OR(LEFT(TH!O514,2)="15",LEFT(TH!P514,2)="15"),'THE KHO'!$E$7=TH!F514),"x","")</f>
        <v/>
      </c>
      <c r="AK514" s="80" t="str">
        <f>IF(AND(O514="1521",MONTH(C514)='BK NL'!$M$11),"x","")</f>
        <v/>
      </c>
    </row>
    <row r="515" spans="1:39" ht="15.75" customHeight="1">
      <c r="A515" s="362" t="str">
        <f>IF(B515&lt;&gt;"",IF(AND(B515&gt;=_TM1,B515&lt;=_TM2,OR(TH!O515="1111",TH!P515="1111")),TH!D515,""),"")</f>
        <v/>
      </c>
      <c r="B515" s="63">
        <f t="shared" si="35"/>
        <v>7</v>
      </c>
      <c r="C515" s="1045">
        <v>42581</v>
      </c>
      <c r="D515" s="1045" t="s">
        <v>1099</v>
      </c>
      <c r="E515" s="1045">
        <v>42562</v>
      </c>
      <c r="F515" s="1046" t="s">
        <v>1102</v>
      </c>
      <c r="G515" s="1047" t="s">
        <v>1101</v>
      </c>
      <c r="H515" s="1048" t="s">
        <v>221</v>
      </c>
      <c r="I515" s="1049"/>
      <c r="J515" s="1049"/>
      <c r="K515" s="1050"/>
      <c r="L515" s="1049"/>
      <c r="M515" s="1051">
        <v>2450890</v>
      </c>
      <c r="N515" s="1051"/>
      <c r="O515" s="1052" t="s">
        <v>10</v>
      </c>
      <c r="P515" s="1052" t="s">
        <v>9</v>
      </c>
      <c r="Q515" s="66" t="str">
        <f>IF(AND('331-CT'!$E$7=TH!H515,OR(O515="331",P515="331")),"x","")</f>
        <v/>
      </c>
      <c r="R515" s="66" t="str">
        <f>IF(AND($B515&gt;='111'!$N$11,$B515&lt;='111'!$O$11,OR($O515=$R$7,$P515=$R$7)),"x","")</f>
        <v/>
      </c>
      <c r="S515" s="66" t="str">
        <f>IF(AND($O515=$R$7,$B515&lt;'111'!$N$11),"x","")</f>
        <v/>
      </c>
      <c r="T515" s="66" t="str">
        <f>IF(AND($P515=$R$7,$B515&lt;'111'!$N$11),"x","")</f>
        <v/>
      </c>
      <c r="U515" s="66" t="str">
        <f>IF(AND($B515&gt;='112'!$M$9,$B515&lt;='112'!$N$9,OR($O515='112'!$I$6,$P515='112'!$I$6)),"x","")</f>
        <v/>
      </c>
      <c r="V515" s="66" t="str">
        <f>IF(AND($O515='112'!$I$6,$B515&lt;'112'!$M$9),"x","")</f>
        <v/>
      </c>
      <c r="W515" s="66" t="str">
        <f>IF(AND($P515='112'!$I$6,$B515&lt;'112'!$M$9),"x","")</f>
        <v/>
      </c>
      <c r="X515" s="66" t="str">
        <f>IF(AND('131-CT'!$H$9=TH!H515,OR(O515="131",P515="131")),"x","")</f>
        <v/>
      </c>
      <c r="Y515" s="80" t="str">
        <f>IF(AND($B515&gt;='1331'!$I$9,$B515&lt;='1331'!$J$9,OR($O515=$Y$7,$P515=$Y$7)),"x","")</f>
        <v>x</v>
      </c>
      <c r="Z515" s="80" t="str">
        <f>IF(AND($O515=$Y$7,$B515&lt;'1331'!$I$9),"x","")</f>
        <v/>
      </c>
      <c r="AA515" s="80" t="str">
        <f>IF(AND($P515=$Y$7,$B515&lt;'1331'!$I$9),"x","")</f>
        <v/>
      </c>
      <c r="AB515" s="80" t="str">
        <f>IF(AND($B515&gt;='1332'!$I$9,$B515&lt;='1332'!$I$9,OR($O515=$AB$7,$P515=$AB$7)),"x","")</f>
        <v/>
      </c>
      <c r="AC515" s="80" t="str">
        <f>IF(AND($O515=$AB$7,$B515&lt;'1332'!$I$9),"x","")</f>
        <v/>
      </c>
      <c r="AD515" s="80" t="str">
        <f>IF(AND($P515=$AB$7,$B515&lt;'1332'!$I$9),"x","")</f>
        <v/>
      </c>
      <c r="AE515" s="80" t="str">
        <f>IF(AND('341-CT'!$H$9=H515,OR(LEFT(O515,3)=$AE$7,LEFT(P515,3)=$AE$7)),"x","")</f>
        <v/>
      </c>
      <c r="AF515" s="80" t="str">
        <f>IF(OR(TH!O515=TH!$AF$7,P515=TH!$AF$7),"x","")</f>
        <v/>
      </c>
      <c r="AG515" s="80"/>
      <c r="AH515" s="80" t="str">
        <f>IF(AND(B515&gt;='IN-NX'!$P$3,B515&lt;='IN-NX'!$Q$3,'IN-NX'!$D$7=D515,OR(LEFT(L515,2)="15",AND(LEFT(M515,2)&lt;&gt;"15",LEFT(M515,2)&lt;&gt;"33"))),"x","")</f>
        <v/>
      </c>
      <c r="AI515" s="80" t="str">
        <f>IF(AND(OR(LEFT(TH!O515,2)="15",LEFT(TH!P515,2)="15"),'152-CT'!$J$8=TH!F515),"x","")</f>
        <v/>
      </c>
      <c r="AJ515" s="80" t="str">
        <f>IF(AND(OR(LEFT(TH!O515,2)="15",LEFT(TH!P515,2)="15"),'THE KHO'!$E$7=TH!F515),"x","")</f>
        <v/>
      </c>
      <c r="AK515" s="80" t="str">
        <f>IF(AND(O515="1521",MONTH(C515)='BK NL'!$M$11),"x","")</f>
        <v/>
      </c>
    </row>
    <row r="516" spans="1:39" ht="15.75" customHeight="1">
      <c r="A516" s="362" t="str">
        <f>IF(B516&lt;&gt;"",IF(AND(B516&gt;=_TM1,B516&lt;=_TM2,OR(TH!O516="1111",TH!P516="1111")),TH!D516,""),"")</f>
        <v/>
      </c>
      <c r="B516" s="63">
        <f t="shared" si="35"/>
        <v>7</v>
      </c>
      <c r="C516" s="1045">
        <v>42581</v>
      </c>
      <c r="D516" s="1045" t="s">
        <v>1099</v>
      </c>
      <c r="E516" s="1045">
        <v>42565</v>
      </c>
      <c r="F516" s="1046" t="s">
        <v>1103</v>
      </c>
      <c r="G516" s="1126" t="s">
        <v>1104</v>
      </c>
      <c r="H516" s="1048" t="s">
        <v>1006</v>
      </c>
      <c r="I516" s="1049"/>
      <c r="J516" s="1049"/>
      <c r="K516" s="1050"/>
      <c r="L516" s="1049"/>
      <c r="M516" s="1051">
        <v>28700000</v>
      </c>
      <c r="N516" s="1051" t="s">
        <v>26</v>
      </c>
      <c r="O516" s="1052" t="s">
        <v>135</v>
      </c>
      <c r="P516" s="1052" t="s">
        <v>9</v>
      </c>
      <c r="Q516" s="66" t="str">
        <f>IF(AND('331-CT'!$E$7=TH!H516,OR(O516="331",P516="331")),"x","")</f>
        <v/>
      </c>
      <c r="R516" s="66" t="str">
        <f>IF(AND($B516&gt;='111'!$N$11,$B516&lt;='111'!$O$11,OR($O516=$R$7,$P516=$R$7)),"x","")</f>
        <v/>
      </c>
      <c r="S516" s="66" t="str">
        <f>IF(AND($O516=$R$7,$B516&lt;'111'!$N$11),"x","")</f>
        <v/>
      </c>
      <c r="T516" s="66" t="str">
        <f>IF(AND($P516=$R$7,$B516&lt;'111'!$N$11),"x","")</f>
        <v/>
      </c>
      <c r="U516" s="66" t="str">
        <f>IF(AND($B516&gt;='112'!$M$9,$B516&lt;='112'!$N$9,OR($O516='112'!$I$6,$P516='112'!$I$6)),"x","")</f>
        <v/>
      </c>
      <c r="V516" s="66" t="str">
        <f>IF(AND($O516='112'!$I$6,$B516&lt;'112'!$M$9),"x","")</f>
        <v/>
      </c>
      <c r="W516" s="66" t="str">
        <f>IF(AND($P516='112'!$I$6,$B516&lt;'112'!$M$9),"x","")</f>
        <v/>
      </c>
      <c r="X516" s="66" t="str">
        <f>IF(AND('131-CT'!$H$9=TH!H516,OR(O516="131",P516="131")),"x","")</f>
        <v/>
      </c>
      <c r="Y516" s="80" t="str">
        <f>IF(AND($B516&gt;='1331'!$I$9,$B516&lt;='1331'!$J$9,OR($O516=$Y$7,$P516=$Y$7)),"x","")</f>
        <v/>
      </c>
      <c r="Z516" s="80" t="str">
        <f>IF(AND($O516=$Y$7,$B516&lt;'1331'!$I$9),"x","")</f>
        <v/>
      </c>
      <c r="AA516" s="80" t="str">
        <f>IF(AND($P516=$Y$7,$B516&lt;'1331'!$I$9),"x","")</f>
        <v/>
      </c>
      <c r="AB516" s="80" t="str">
        <f>IF(AND($B516&gt;='1332'!$I$9,$B516&lt;='1332'!$I$9,OR($O516=$AB$7,$P516=$AB$7)),"x","")</f>
        <v/>
      </c>
      <c r="AC516" s="80" t="str">
        <f>IF(AND($O516=$AB$7,$B516&lt;'1332'!$I$9),"x","")</f>
        <v/>
      </c>
      <c r="AD516" s="80" t="str">
        <f>IF(AND($P516=$AB$7,$B516&lt;'1332'!$I$9),"x","")</f>
        <v/>
      </c>
      <c r="AE516" s="80" t="str">
        <f>IF(AND('341-CT'!$H$9=H516,OR(LEFT(O516,3)=$AE$7,LEFT(P516,3)=$AE$7)),"x","")</f>
        <v/>
      </c>
      <c r="AF516" s="80" t="str">
        <f>IF(OR(TH!O516=TH!$AF$7,P516=TH!$AF$7),"x","")</f>
        <v/>
      </c>
      <c r="AG516" s="80"/>
      <c r="AH516" s="80" t="str">
        <f>IF(AND(B516&gt;='IN-NX'!$P$3,B516&lt;='IN-NX'!$Q$3,'IN-NX'!$D$7=D516,OR(LEFT(L516,2)="15",AND(LEFT(M516,2)&lt;&gt;"15",LEFT(M516,2)&lt;&gt;"33"))),"x","")</f>
        <v/>
      </c>
      <c r="AI516" s="80" t="str">
        <f>IF(AND(OR(LEFT(TH!O516,2)="15",LEFT(TH!P516,2)="15"),'152-CT'!$J$8=TH!F516),"x","")</f>
        <v/>
      </c>
      <c r="AJ516" s="80" t="str">
        <f>IF(AND(OR(LEFT(TH!O516,2)="15",LEFT(TH!P516,2)="15"),'THE KHO'!$E$7=TH!F516),"x","")</f>
        <v/>
      </c>
      <c r="AK516" s="80" t="str">
        <f>IF(AND(O516="1521",MONTH(C516)='BK NL'!$M$11),"x","")</f>
        <v/>
      </c>
    </row>
    <row r="517" spans="1:39" ht="15.75" customHeight="1">
      <c r="A517" s="362" t="str">
        <f>IF(B517&lt;&gt;"",IF(AND(B517&gt;=_TM1,B517&lt;=_TM2,OR(TH!O517="1111",TH!P517="1111")),TH!D517,""),"")</f>
        <v/>
      </c>
      <c r="B517" s="63">
        <f t="shared" si="35"/>
        <v>7</v>
      </c>
      <c r="C517" s="1045">
        <v>42581</v>
      </c>
      <c r="D517" s="1045" t="s">
        <v>1099</v>
      </c>
      <c r="E517" s="1045">
        <v>42565</v>
      </c>
      <c r="F517" s="1046" t="s">
        <v>1105</v>
      </c>
      <c r="G517" s="1126" t="s">
        <v>1106</v>
      </c>
      <c r="H517" s="1129" t="s">
        <v>49</v>
      </c>
      <c r="I517" s="1049"/>
      <c r="J517" s="1049"/>
      <c r="K517" s="1050"/>
      <c r="L517" s="1049"/>
      <c r="M517" s="1122">
        <v>27600000</v>
      </c>
      <c r="N517" s="1122"/>
      <c r="O517" s="1052" t="s">
        <v>135</v>
      </c>
      <c r="P517" s="1052" t="s">
        <v>9</v>
      </c>
      <c r="Q517" s="66" t="str">
        <f>IF(AND('331-CT'!$E$7=TH!H517,OR(O517="331",P517="331")),"x","")</f>
        <v/>
      </c>
      <c r="R517" s="66" t="str">
        <f>IF(AND($B517&gt;='111'!$N$11,$B517&lt;='111'!$O$11,OR($O517=$R$7,$P517=$R$7)),"x","")</f>
        <v/>
      </c>
      <c r="S517" s="66" t="str">
        <f>IF(AND($O517=$R$7,$B517&lt;'111'!$N$11),"x","")</f>
        <v/>
      </c>
      <c r="T517" s="66" t="str">
        <f>IF(AND($P517=$R$7,$B517&lt;'111'!$N$11),"x","")</f>
        <v/>
      </c>
      <c r="U517" s="66" t="str">
        <f>IF(AND($B517&gt;='112'!$M$9,$B517&lt;='112'!$N$9,OR($O517='112'!$I$6,$P517='112'!$I$6)),"x","")</f>
        <v/>
      </c>
      <c r="V517" s="66" t="str">
        <f>IF(AND($O517='112'!$I$6,$B517&lt;'112'!$M$9),"x","")</f>
        <v/>
      </c>
      <c r="W517" s="66" t="str">
        <f>IF(AND($P517='112'!$I$6,$B517&lt;'112'!$M$9),"x","")</f>
        <v/>
      </c>
      <c r="X517" s="66" t="str">
        <f>IF(AND('131-CT'!$H$9=TH!H517,OR(O517="131",P517="131")),"x","")</f>
        <v/>
      </c>
      <c r="Y517" s="80" t="str">
        <f>IF(AND($B517&gt;='1331'!$I$9,$B517&lt;='1331'!$J$9,OR($O517=$Y$7,$P517=$Y$7)),"x","")</f>
        <v/>
      </c>
      <c r="Z517" s="80" t="str">
        <f>IF(AND($O517=$Y$7,$B517&lt;'1331'!$I$9),"x","")</f>
        <v/>
      </c>
      <c r="AA517" s="80" t="str">
        <f>IF(AND($P517=$Y$7,$B517&lt;'1331'!$I$9),"x","")</f>
        <v/>
      </c>
      <c r="AB517" s="80" t="str">
        <f>IF(AND($B517&gt;='1332'!$I$9,$B517&lt;='1332'!$I$9,OR($O517=$AB$7,$P517=$AB$7)),"x","")</f>
        <v/>
      </c>
      <c r="AC517" s="80" t="str">
        <f>IF(AND($O517=$AB$7,$B517&lt;'1332'!$I$9),"x","")</f>
        <v/>
      </c>
      <c r="AD517" s="80" t="str">
        <f>IF(AND($P517=$AB$7,$B517&lt;'1332'!$I$9),"x","")</f>
        <v/>
      </c>
      <c r="AE517" s="80" t="str">
        <f>IF(AND('341-CT'!$H$9=H517,OR(LEFT(O517,3)=$AE$7,LEFT(P517,3)=$AE$7)),"x","")</f>
        <v/>
      </c>
      <c r="AF517" s="80" t="str">
        <f>IF(OR(TH!O517=TH!$AF$7,P517=TH!$AF$7),"x","")</f>
        <v/>
      </c>
      <c r="AG517" s="80"/>
      <c r="AH517" s="80" t="str">
        <f>IF(AND(B517&gt;='IN-NX'!$P$3,B517&lt;='IN-NX'!$Q$3,'IN-NX'!$D$7=D517,OR(LEFT(L517,2)="15",AND(LEFT(M517,2)&lt;&gt;"15",LEFT(M517,2)&lt;&gt;"33"))),"x","")</f>
        <v/>
      </c>
      <c r="AI517" s="80" t="str">
        <f>IF(AND(OR(LEFT(TH!O517,2)="15",LEFT(TH!P517,2)="15"),'152-CT'!$J$8=TH!F517),"x","")</f>
        <v/>
      </c>
      <c r="AJ517" s="80" t="str">
        <f>IF(AND(OR(LEFT(TH!O517,2)="15",LEFT(TH!P517,2)="15"),'THE KHO'!$E$7=TH!F517),"x","")</f>
        <v/>
      </c>
      <c r="AK517" s="80" t="str">
        <f>IF(AND(O517="1521",MONTH(C517)='BK NL'!$M$11),"x","")</f>
        <v/>
      </c>
    </row>
    <row r="518" spans="1:39" ht="15.75" customHeight="1">
      <c r="A518" s="362" t="str">
        <f>IF(B518&lt;&gt;"",IF(AND(B518&gt;=_TM1,B518&lt;=_TM2,OR(TH!O518="1111",TH!P518="1111")),TH!D518,""),"")</f>
        <v/>
      </c>
      <c r="B518" s="63">
        <f t="shared" si="35"/>
        <v>7</v>
      </c>
      <c r="C518" s="1045">
        <v>42581</v>
      </c>
      <c r="D518" s="1045" t="s">
        <v>1099</v>
      </c>
      <c r="E518" s="1045">
        <v>42565</v>
      </c>
      <c r="F518" s="1046" t="s">
        <v>1107</v>
      </c>
      <c r="G518" s="1126" t="s">
        <v>1106</v>
      </c>
      <c r="H518" s="1129" t="s">
        <v>49</v>
      </c>
      <c r="I518" s="1049"/>
      <c r="J518" s="1049"/>
      <c r="K518" s="1050"/>
      <c r="L518" s="1049"/>
      <c r="M518" s="1122">
        <v>2760000</v>
      </c>
      <c r="N518" s="1122"/>
      <c r="O518" s="1125" t="s">
        <v>10</v>
      </c>
      <c r="P518" s="1052" t="s">
        <v>9</v>
      </c>
      <c r="Q518" s="66" t="str">
        <f>IF(AND('331-CT'!$E$7=TH!H518,OR(O518="331",P518="331")),"x","")</f>
        <v/>
      </c>
      <c r="R518" s="66" t="str">
        <f>IF(AND($B518&gt;='111'!$N$11,$B518&lt;='111'!$O$11,OR($O518=$R$7,$P518=$R$7)),"x","")</f>
        <v/>
      </c>
      <c r="S518" s="66" t="str">
        <f>IF(AND($O518=$R$7,$B518&lt;'111'!$N$11),"x","")</f>
        <v/>
      </c>
      <c r="T518" s="66" t="str">
        <f>IF(AND($P518=$R$7,$B518&lt;'111'!$N$11),"x","")</f>
        <v/>
      </c>
      <c r="U518" s="66" t="str">
        <f>IF(AND($B518&gt;='112'!$M$9,$B518&lt;='112'!$N$9,OR($O518='112'!$I$6,$P518='112'!$I$6)),"x","")</f>
        <v/>
      </c>
      <c r="V518" s="66" t="str">
        <f>IF(AND($O518='112'!$I$6,$B518&lt;'112'!$M$9),"x","")</f>
        <v/>
      </c>
      <c r="W518" s="66" t="str">
        <f>IF(AND($P518='112'!$I$6,$B518&lt;'112'!$M$9),"x","")</f>
        <v/>
      </c>
      <c r="X518" s="66" t="str">
        <f>IF(AND('131-CT'!$H$9=TH!H518,OR(O518="131",P518="131")),"x","")</f>
        <v/>
      </c>
      <c r="Y518" s="80" t="str">
        <f>IF(AND($B518&gt;='1331'!$I$9,$B518&lt;='1331'!$J$9,OR($O518=$Y$7,$P518=$Y$7)),"x","")</f>
        <v>x</v>
      </c>
      <c r="Z518" s="80" t="str">
        <f>IF(AND($O518=$Y$7,$B518&lt;'1331'!$I$9),"x","")</f>
        <v/>
      </c>
      <c r="AA518" s="80" t="str">
        <f>IF(AND($P518=$Y$7,$B518&lt;'1331'!$I$9),"x","")</f>
        <v/>
      </c>
      <c r="AB518" s="80" t="str">
        <f>IF(AND($B518&gt;='1332'!$I$9,$B518&lt;='1332'!$I$9,OR($O518=$AB$7,$P518=$AB$7)),"x","")</f>
        <v/>
      </c>
      <c r="AC518" s="80" t="str">
        <f>IF(AND($O518=$AB$7,$B518&lt;'1332'!$I$9),"x","")</f>
        <v/>
      </c>
      <c r="AD518" s="80" t="str">
        <f>IF(AND($P518=$AB$7,$B518&lt;'1332'!$I$9),"x","")</f>
        <v/>
      </c>
      <c r="AE518" s="80" t="str">
        <f>IF(AND('341-CT'!$H$9=H518,OR(LEFT(O518,3)=$AE$7,LEFT(P518,3)=$AE$7)),"x","")</f>
        <v/>
      </c>
      <c r="AF518" s="80" t="str">
        <f>IF(OR(TH!O518=TH!$AF$7,P518=TH!$AF$7),"x","")</f>
        <v/>
      </c>
      <c r="AG518" s="80"/>
      <c r="AH518" s="80" t="str">
        <f>IF(AND(B518&gt;='IN-NX'!$P$3,B518&lt;='IN-NX'!$Q$3,'IN-NX'!$D$7=D518,OR(LEFT(L518,2)="15",AND(LEFT(M518,2)&lt;&gt;"15",LEFT(M518,2)&lt;&gt;"33"))),"x","")</f>
        <v/>
      </c>
      <c r="AI518" s="80" t="str">
        <f>IF(AND(OR(LEFT(TH!O518,2)="15",LEFT(TH!P518,2)="15"),'152-CT'!$J$8=TH!F518),"x","")</f>
        <v/>
      </c>
      <c r="AJ518" s="80" t="str">
        <f>IF(AND(OR(LEFT(TH!O518,2)="15",LEFT(TH!P518,2)="15"),'THE KHO'!$E$7=TH!F518),"x","")</f>
        <v/>
      </c>
      <c r="AK518" s="80" t="str">
        <f>IF(AND(O518="1521",MONTH(C518)='BK NL'!$M$11),"x","")</f>
        <v/>
      </c>
    </row>
    <row r="519" spans="1:39" ht="15.75" customHeight="1">
      <c r="A519" s="362" t="str">
        <f>IF(B519&lt;&gt;"",IF(AND(B519&gt;=_TM1,B519&lt;=_TM2,OR(TH!O519="1111",TH!P519="1111")),TH!D519,""),"")</f>
        <v/>
      </c>
      <c r="B519" s="63">
        <f t="shared" si="35"/>
        <v>7</v>
      </c>
      <c r="C519" s="1045">
        <v>42581</v>
      </c>
      <c r="D519" s="1045" t="s">
        <v>1099</v>
      </c>
      <c r="E519" s="1045">
        <v>42577</v>
      </c>
      <c r="F519" s="1046" t="s">
        <v>1108</v>
      </c>
      <c r="G519" s="1047" t="s">
        <v>1109</v>
      </c>
      <c r="H519" s="1048" t="s">
        <v>221</v>
      </c>
      <c r="I519" s="1049"/>
      <c r="J519" s="1049"/>
      <c r="K519" s="1050"/>
      <c r="L519" s="1049"/>
      <c r="M519" s="1051">
        <v>23796000</v>
      </c>
      <c r="N519" s="1051"/>
      <c r="O519" s="1116" t="s">
        <v>135</v>
      </c>
      <c r="P519" s="1052" t="s">
        <v>9</v>
      </c>
      <c r="Q519" s="66" t="str">
        <f>IF(AND('331-CT'!$E$7=TH!H519,OR(O519="331",P519="331")),"x","")</f>
        <v/>
      </c>
      <c r="R519" s="66" t="str">
        <f>IF(AND($B519&gt;='111'!$N$11,$B519&lt;='111'!$O$11,OR($O519=$R$7,$P519=$R$7)),"x","")</f>
        <v/>
      </c>
      <c r="S519" s="66" t="str">
        <f>IF(AND($O519=$R$7,$B519&lt;'111'!$N$11),"x","")</f>
        <v/>
      </c>
      <c r="T519" s="66" t="str">
        <f>IF(AND($P519=$R$7,$B519&lt;'111'!$N$11),"x","")</f>
        <v/>
      </c>
      <c r="U519" s="66" t="str">
        <f>IF(AND($B519&gt;='112'!$M$9,$B519&lt;='112'!$N$9,OR($O519='112'!$I$6,$P519='112'!$I$6)),"x","")</f>
        <v/>
      </c>
      <c r="V519" s="66" t="str">
        <f>IF(AND($O519='112'!$I$6,$B519&lt;'112'!$M$9),"x","")</f>
        <v/>
      </c>
      <c r="W519" s="66" t="str">
        <f>IF(AND($P519='112'!$I$6,$B519&lt;'112'!$M$9),"x","")</f>
        <v/>
      </c>
      <c r="X519" s="66" t="str">
        <f>IF(AND('131-CT'!$H$9=TH!H519,OR(O519="131",P519="131")),"x","")</f>
        <v/>
      </c>
      <c r="Y519" s="80" t="str">
        <f>IF(AND($B519&gt;='1331'!$I$9,$B519&lt;='1331'!$J$9,OR($O519=$Y$7,$P519=$Y$7)),"x","")</f>
        <v/>
      </c>
      <c r="Z519" s="80" t="str">
        <f>IF(AND($O519=$Y$7,$B519&lt;'1331'!$I$9),"x","")</f>
        <v/>
      </c>
      <c r="AA519" s="80" t="str">
        <f>IF(AND($P519=$Y$7,$B519&lt;'1331'!$I$9),"x","")</f>
        <v/>
      </c>
      <c r="AB519" s="80" t="str">
        <f>IF(AND($B519&gt;='1332'!$I$9,$B519&lt;='1332'!$I$9,OR($O519=$AB$7,$P519=$AB$7)),"x","")</f>
        <v/>
      </c>
      <c r="AC519" s="80" t="str">
        <f>IF(AND($O519=$AB$7,$B519&lt;'1332'!$I$9),"x","")</f>
        <v/>
      </c>
      <c r="AD519" s="80" t="str">
        <f>IF(AND($P519=$AB$7,$B519&lt;'1332'!$I$9),"x","")</f>
        <v/>
      </c>
      <c r="AE519" s="80" t="str">
        <f>IF(AND('341-CT'!$H$9=H519,OR(LEFT(O519,3)=$AE$7,LEFT(P519,3)=$AE$7)),"x","")</f>
        <v/>
      </c>
      <c r="AF519" s="80" t="str">
        <f>IF(OR(TH!O519=TH!$AF$7,P519=TH!$AF$7),"x","")</f>
        <v/>
      </c>
      <c r="AG519" s="80"/>
      <c r="AH519" s="80" t="str">
        <f>IF(AND(B519&gt;='IN-NX'!$P$3,B519&lt;='IN-NX'!$Q$3,'IN-NX'!$D$7=D519,OR(LEFT(L519,2)="15",AND(LEFT(M519,2)&lt;&gt;"15",LEFT(M519,2)&lt;&gt;"33"))),"x","")</f>
        <v/>
      </c>
      <c r="AI519" s="80" t="str">
        <f>IF(AND(OR(LEFT(TH!O519,2)="15",LEFT(TH!P519,2)="15"),'152-CT'!$J$8=TH!F519),"x","")</f>
        <v/>
      </c>
      <c r="AJ519" s="80" t="str">
        <f>IF(AND(OR(LEFT(TH!O519,2)="15",LEFT(TH!P519,2)="15"),'THE KHO'!$E$7=TH!F519),"x","")</f>
        <v/>
      </c>
      <c r="AK519" s="80" t="str">
        <f>IF(AND(O519="1521",MONTH(C519)='BK NL'!$M$11),"x","")</f>
        <v/>
      </c>
    </row>
    <row r="520" spans="1:39" ht="15.75" customHeight="1">
      <c r="A520" s="362" t="str">
        <f>IF(B520&lt;&gt;"",IF(AND(B520&gt;=_TM1,B520&lt;=_TM2,OR(TH!O520="1111",TH!P520="1111")),TH!D520,""),"")</f>
        <v/>
      </c>
      <c r="B520" s="63">
        <f t="shared" si="35"/>
        <v>7</v>
      </c>
      <c r="C520" s="1045">
        <v>42581</v>
      </c>
      <c r="D520" s="1045" t="s">
        <v>1099</v>
      </c>
      <c r="E520" s="1045">
        <v>42577</v>
      </c>
      <c r="F520" s="1046" t="s">
        <v>1110</v>
      </c>
      <c r="G520" s="1047" t="s">
        <v>1109</v>
      </c>
      <c r="H520" s="1048" t="s">
        <v>221</v>
      </c>
      <c r="I520" s="1049"/>
      <c r="J520" s="1049"/>
      <c r="K520" s="1050"/>
      <c r="L520" s="1049"/>
      <c r="M520" s="1051">
        <v>2379600</v>
      </c>
      <c r="N520" s="1051"/>
      <c r="O520" s="1052" t="s">
        <v>10</v>
      </c>
      <c r="P520" s="1052" t="s">
        <v>9</v>
      </c>
      <c r="Q520" s="66" t="str">
        <f>IF(AND('331-CT'!$E$7=TH!H520,OR(O520="331",P520="331")),"x","")</f>
        <v/>
      </c>
      <c r="R520" s="66" t="str">
        <f>IF(AND($B520&gt;='111'!$N$11,$B520&lt;='111'!$O$11,OR($O520=$R$7,$P520=$R$7)),"x","")</f>
        <v/>
      </c>
      <c r="S520" s="66" t="str">
        <f>IF(AND($O520=$R$7,$B520&lt;'111'!$N$11),"x","")</f>
        <v/>
      </c>
      <c r="T520" s="66" t="str">
        <f>IF(AND($P520=$R$7,$B520&lt;'111'!$N$11),"x","")</f>
        <v/>
      </c>
      <c r="U520" s="66" t="str">
        <f>IF(AND($B520&gt;='112'!$M$9,$B520&lt;='112'!$N$9,OR($O520='112'!$I$6,$P520='112'!$I$6)),"x","")</f>
        <v/>
      </c>
      <c r="V520" s="66" t="str">
        <f>IF(AND($O520='112'!$I$6,$B520&lt;'112'!$M$9),"x","")</f>
        <v/>
      </c>
      <c r="W520" s="66" t="str">
        <f>IF(AND($P520='112'!$I$6,$B520&lt;'112'!$M$9),"x","")</f>
        <v/>
      </c>
      <c r="X520" s="66" t="str">
        <f>IF(AND('131-CT'!$H$9=TH!H520,OR(O520="131",P520="131")),"x","")</f>
        <v/>
      </c>
      <c r="Y520" s="80" t="str">
        <f>IF(AND($B520&gt;='1331'!$I$9,$B520&lt;='1331'!$J$9,OR($O520=$Y$7,$P520=$Y$7)),"x","")</f>
        <v>x</v>
      </c>
      <c r="Z520" s="80" t="str">
        <f>IF(AND($O520=$Y$7,$B520&lt;'1331'!$I$9),"x","")</f>
        <v/>
      </c>
      <c r="AA520" s="80" t="str">
        <f>IF(AND($P520=$Y$7,$B520&lt;'1331'!$I$9),"x","")</f>
        <v/>
      </c>
      <c r="AB520" s="80" t="str">
        <f>IF(AND($B520&gt;='1332'!$I$9,$B520&lt;='1332'!$I$9,OR($O520=$AB$7,$P520=$AB$7)),"x","")</f>
        <v/>
      </c>
      <c r="AC520" s="80" t="str">
        <f>IF(AND($O520=$AB$7,$B520&lt;'1332'!$I$9),"x","")</f>
        <v/>
      </c>
      <c r="AD520" s="80" t="str">
        <f>IF(AND($P520=$AB$7,$B520&lt;'1332'!$I$9),"x","")</f>
        <v/>
      </c>
      <c r="AE520" s="80" t="str">
        <f>IF(AND('341-CT'!$H$9=H520,OR(LEFT(O520,3)=$AE$7,LEFT(P520,3)=$AE$7)),"x","")</f>
        <v/>
      </c>
      <c r="AF520" s="80" t="str">
        <f>IF(OR(TH!O520=TH!$AF$7,P520=TH!$AF$7),"x","")</f>
        <v/>
      </c>
      <c r="AG520" s="80"/>
      <c r="AH520" s="80" t="str">
        <f>IF(AND(B520&gt;='IN-NX'!$P$3,B520&lt;='IN-NX'!$Q$3,'IN-NX'!$D$7=D520,OR(LEFT(L520,2)="15",AND(LEFT(M520,2)&lt;&gt;"15",LEFT(M520,2)&lt;&gt;"33"))),"x","")</f>
        <v/>
      </c>
      <c r="AI520" s="80" t="str">
        <f>IF(AND(OR(LEFT(TH!O520,2)="15",LEFT(TH!P520,2)="15"),'152-CT'!$J$8=TH!F520),"x","")</f>
        <v/>
      </c>
      <c r="AJ520" s="80" t="str">
        <f>IF(AND(OR(LEFT(TH!O520,2)="15",LEFT(TH!P520,2)="15"),'THE KHO'!$E$7=TH!F520),"x","")</f>
        <v/>
      </c>
      <c r="AK520" s="80" t="str">
        <f>IF(AND(O520="1521",MONTH(C520)='BK NL'!$M$11),"x","")</f>
        <v/>
      </c>
    </row>
    <row r="521" spans="1:39" ht="15.75" customHeight="1">
      <c r="A521" s="362" t="str">
        <f>IF(B521&lt;&gt;"",IF(AND(B521&gt;=_TM1,B521&lt;=_TM2,OR(TH!O521="1111",TH!P521="1111")),TH!D521,""),"")</f>
        <v/>
      </c>
      <c r="B521" s="63">
        <f t="shared" si="35"/>
        <v>7</v>
      </c>
      <c r="C521" s="1045">
        <v>42581</v>
      </c>
      <c r="D521" s="1045" t="s">
        <v>1099</v>
      </c>
      <c r="E521" s="1045">
        <v>42581</v>
      </c>
      <c r="F521" s="1046" t="s">
        <v>1111</v>
      </c>
      <c r="G521" s="1047"/>
      <c r="H521" s="1048"/>
      <c r="I521" s="1049"/>
      <c r="J521" s="1049"/>
      <c r="K521" s="1050"/>
      <c r="L521" s="1049"/>
      <c r="M521" s="1051">
        <v>21315000</v>
      </c>
      <c r="N521" s="1051"/>
      <c r="O521" s="1052" t="s">
        <v>468</v>
      </c>
      <c r="P521" s="1052" t="s">
        <v>1020</v>
      </c>
      <c r="Q521" s="66" t="str">
        <f>IF(AND('331-CT'!$E$7=TH!H521,OR(O521="331",P521="331")),"x","")</f>
        <v/>
      </c>
      <c r="R521" s="66" t="str">
        <f>IF(AND($B521&gt;='111'!$N$11,$B521&lt;='111'!$O$11,OR($O521=$R$7,$P521=$R$7)),"x","")</f>
        <v/>
      </c>
      <c r="S521" s="66" t="str">
        <f>IF(AND($O521=$R$7,$B521&lt;'111'!$N$11),"x","")</f>
        <v/>
      </c>
      <c r="T521" s="66" t="str">
        <f>IF(AND($P521=$R$7,$B521&lt;'111'!$N$11),"x","")</f>
        <v/>
      </c>
      <c r="U521" s="66" t="str">
        <f>IF(AND($B521&gt;='112'!$M$9,$B521&lt;='112'!$N$9,OR($O521='112'!$I$6,$P521='112'!$I$6)),"x","")</f>
        <v/>
      </c>
      <c r="V521" s="66" t="str">
        <f>IF(AND($O521='112'!$I$6,$B521&lt;'112'!$M$9),"x","")</f>
        <v/>
      </c>
      <c r="W521" s="66" t="str">
        <f>IF(AND($P521='112'!$I$6,$B521&lt;'112'!$M$9),"x","")</f>
        <v/>
      </c>
      <c r="X521" s="66" t="str">
        <f>IF(AND('131-CT'!$H$9=TH!H521,OR(O521="131",P521="131")),"x","")</f>
        <v/>
      </c>
      <c r="Y521" s="80" t="str">
        <f>IF(AND($B521&gt;='1331'!$I$9,$B521&lt;='1331'!$J$9,OR($O521=$Y$7,$P521=$Y$7)),"x","")</f>
        <v/>
      </c>
      <c r="Z521" s="80" t="str">
        <f>IF(AND($O521=$Y$7,$B521&lt;'1331'!$I$9),"x","")</f>
        <v/>
      </c>
      <c r="AA521" s="80" t="str">
        <f>IF(AND($P521=$Y$7,$B521&lt;'1331'!$I$9),"x","")</f>
        <v/>
      </c>
      <c r="AB521" s="80" t="str">
        <f>IF(AND($B521&gt;='1332'!$I$9,$B521&lt;='1332'!$I$9,OR($O521=$AB$7,$P521=$AB$7)),"x","")</f>
        <v/>
      </c>
      <c r="AC521" s="80" t="str">
        <f>IF(AND($O521=$AB$7,$B521&lt;'1332'!$I$9),"x","")</f>
        <v/>
      </c>
      <c r="AD521" s="80" t="str">
        <f>IF(AND($P521=$AB$7,$B521&lt;'1332'!$I$9),"x","")</f>
        <v/>
      </c>
      <c r="AE521" s="80" t="str">
        <f>IF(AND('341-CT'!$H$9=H521,OR(LEFT(O521,3)=$AE$7,LEFT(P521,3)=$AE$7)),"x","")</f>
        <v/>
      </c>
      <c r="AF521" s="80" t="str">
        <f>IF(OR(TH!O521=TH!$AF$7,P521=TH!$AF$7),"x","")</f>
        <v/>
      </c>
      <c r="AG521" s="80"/>
      <c r="AH521" s="80" t="str">
        <f>IF(AND(B521&gt;='IN-NX'!$P$3,B521&lt;='IN-NX'!$Q$3,'IN-NX'!$D$7=D521,OR(LEFT(L521,2)="15",AND(LEFT(M521,2)&lt;&gt;"15",LEFT(M521,2)&lt;&gt;"33"))),"x","")</f>
        <v/>
      </c>
      <c r="AI521" s="80" t="str">
        <f>IF(AND(OR(LEFT(TH!O521,2)="15",LEFT(TH!P521,2)="15"),'152-CT'!$J$8=TH!F521),"x","")</f>
        <v/>
      </c>
      <c r="AJ521" s="80" t="str">
        <f>IF(AND(OR(LEFT(TH!O521,2)="15",LEFT(TH!P521,2)="15"),'THE KHO'!$E$7=TH!F521),"x","")</f>
        <v/>
      </c>
      <c r="AK521" s="80" t="str">
        <f>IF(AND(O521="1521",MONTH(C521)='BK NL'!$M$11),"x","")</f>
        <v/>
      </c>
    </row>
    <row r="522" spans="1:39" ht="15.75" customHeight="1">
      <c r="A522" s="362" t="str">
        <f>IF(B522&lt;&gt;"",IF(AND(B522&gt;=_TM1,B522&lt;=_TM2,OR(TH!O522="1111",TH!P522="1111")),TH!D522,""),"")</f>
        <v/>
      </c>
      <c r="B522" s="63">
        <f t="shared" si="35"/>
        <v>7</v>
      </c>
      <c r="C522" s="1045">
        <v>42581</v>
      </c>
      <c r="D522" s="1045" t="s">
        <v>1099</v>
      </c>
      <c r="E522" s="1045">
        <v>42581</v>
      </c>
      <c r="F522" s="1046" t="s">
        <v>1112</v>
      </c>
      <c r="G522" s="1047"/>
      <c r="H522" s="1048"/>
      <c r="I522" s="1049"/>
      <c r="J522" s="1049"/>
      <c r="K522" s="1050"/>
      <c r="L522" s="1049"/>
      <c r="M522" s="1051">
        <v>157894965</v>
      </c>
      <c r="N522" s="1051"/>
      <c r="O522" s="1052" t="s">
        <v>468</v>
      </c>
      <c r="P522" s="1052" t="s">
        <v>1020</v>
      </c>
      <c r="Q522" s="66" t="str">
        <f>IF(AND('331-CT'!$E$7=TH!H522,OR(O522="331",P522="331")),"x","")</f>
        <v/>
      </c>
      <c r="R522" s="66" t="str">
        <f>IF(AND($B522&gt;='111'!$N$11,$B522&lt;='111'!$O$11,OR($O522=$R$7,$P522=$R$7)),"x","")</f>
        <v/>
      </c>
      <c r="S522" s="66" t="str">
        <f>IF(AND($O522=$R$7,$B522&lt;'111'!$N$11),"x","")</f>
        <v/>
      </c>
      <c r="T522" s="66" t="str">
        <f>IF(AND($P522=$R$7,$B522&lt;'111'!$N$11),"x","")</f>
        <v/>
      </c>
      <c r="U522" s="66" t="str">
        <f>IF(AND($B522&gt;='112'!$M$9,$B522&lt;='112'!$N$9,OR($O522='112'!$I$6,$P522='112'!$I$6)),"x","")</f>
        <v/>
      </c>
      <c r="V522" s="66" t="str">
        <f>IF(AND($O522='112'!$I$6,$B522&lt;'112'!$M$9),"x","")</f>
        <v/>
      </c>
      <c r="W522" s="66" t="str">
        <f>IF(AND($P522='112'!$I$6,$B522&lt;'112'!$M$9),"x","")</f>
        <v/>
      </c>
      <c r="X522" s="66" t="str">
        <f>IF(AND('131-CT'!$H$9=TH!H522,OR(O522="131",P522="131")),"x","")</f>
        <v/>
      </c>
      <c r="Y522" s="80" t="str">
        <f>IF(AND($B522&gt;='1331'!$I$9,$B522&lt;='1331'!$J$9,OR($O522=$Y$7,$P522=$Y$7)),"x","")</f>
        <v/>
      </c>
      <c r="Z522" s="80" t="str">
        <f>IF(AND($O522=$Y$7,$B522&lt;'1331'!$I$9),"x","")</f>
        <v/>
      </c>
      <c r="AA522" s="80" t="str">
        <f>IF(AND($P522=$Y$7,$B522&lt;'1331'!$I$9),"x","")</f>
        <v/>
      </c>
      <c r="AB522" s="80" t="str">
        <f>IF(AND($B522&gt;='1332'!$I$9,$B522&lt;='1332'!$I$9,OR($O522=$AB$7,$P522=$AB$7)),"x","")</f>
        <v/>
      </c>
      <c r="AC522" s="80" t="str">
        <f>IF(AND($O522=$AB$7,$B522&lt;'1332'!$I$9),"x","")</f>
        <v/>
      </c>
      <c r="AD522" s="80" t="str">
        <f>IF(AND($P522=$AB$7,$B522&lt;'1332'!$I$9),"x","")</f>
        <v/>
      </c>
      <c r="AE522" s="80" t="str">
        <f>IF(AND('341-CT'!$H$9=H522,OR(LEFT(O522,3)=$AE$7,LEFT(P522,3)=$AE$7)),"x","")</f>
        <v/>
      </c>
      <c r="AF522" s="80" t="str">
        <f>IF(OR(TH!O522=TH!$AF$7,P522=TH!$AF$7),"x","")</f>
        <v/>
      </c>
      <c r="AG522" s="80"/>
      <c r="AH522" s="80" t="str">
        <f>IF(AND(B522&gt;='IN-NX'!$P$3,B522&lt;='IN-NX'!$Q$3,'IN-NX'!$D$7=D522,OR(LEFT(L522,2)="15",AND(LEFT(M522,2)&lt;&gt;"15",LEFT(M522,2)&lt;&gt;"33"))),"x","")</f>
        <v/>
      </c>
      <c r="AI522" s="80" t="str">
        <f>IF(AND(OR(LEFT(TH!O522,2)="15",LEFT(TH!P522,2)="15"),'152-CT'!$J$8=TH!F522),"x","")</f>
        <v/>
      </c>
      <c r="AJ522" s="80" t="str">
        <f>IF(AND(OR(LEFT(TH!O522,2)="15",LEFT(TH!P522,2)="15"),'THE KHO'!$E$7=TH!F522),"x","")</f>
        <v/>
      </c>
      <c r="AK522" s="80" t="str">
        <f>IF(AND(O522="1521",MONTH(C522)='BK NL'!$M$11),"x","")</f>
        <v/>
      </c>
    </row>
    <row r="523" spans="1:39" ht="15.75" customHeight="1">
      <c r="A523" s="362" t="str">
        <f>IF(B523&lt;&gt;"",IF(AND(B523&gt;=_TM1,B523&lt;=_TM2,OR(TH!O523="1111",TH!P523="1111")),TH!D523,""),"")</f>
        <v/>
      </c>
      <c r="B523" s="63">
        <f t="shared" si="35"/>
        <v>7</v>
      </c>
      <c r="C523" s="1045">
        <v>42581</v>
      </c>
      <c r="D523" s="1045" t="s">
        <v>1099</v>
      </c>
      <c r="E523" s="1045">
        <v>42581</v>
      </c>
      <c r="F523" s="1046" t="s">
        <v>1111</v>
      </c>
      <c r="G523" s="1047"/>
      <c r="H523" s="1048"/>
      <c r="I523" s="1049"/>
      <c r="J523" s="1049"/>
      <c r="K523" s="1050"/>
      <c r="L523" s="1049"/>
      <c r="M523" s="1051">
        <f>1560000+2700000</f>
        <v>4260000</v>
      </c>
      <c r="N523" s="1051" t="s">
        <v>26</v>
      </c>
      <c r="O523" s="1052" t="s">
        <v>135</v>
      </c>
      <c r="P523" s="1052" t="s">
        <v>1020</v>
      </c>
      <c r="Q523" s="66" t="str">
        <f>IF(AND('331-CT'!$E$7=TH!H523,OR(O523="331",P523="331")),"x","")</f>
        <v/>
      </c>
      <c r="R523" s="66" t="str">
        <f>IF(AND($B523&gt;='111'!$N$11,$B523&lt;='111'!$O$11,OR($O523=$R$7,$P523=$R$7)),"x","")</f>
        <v/>
      </c>
      <c r="S523" s="66" t="str">
        <f>IF(AND($O523=$R$7,$B523&lt;'111'!$N$11),"x","")</f>
        <v/>
      </c>
      <c r="T523" s="66" t="str">
        <f>IF(AND($P523=$R$7,$B523&lt;'111'!$N$11),"x","")</f>
        <v/>
      </c>
      <c r="U523" s="66" t="str">
        <f>IF(AND($B523&gt;='112'!$M$9,$B523&lt;='112'!$N$9,OR($O523='112'!$I$6,$P523='112'!$I$6)),"x","")</f>
        <v/>
      </c>
      <c r="V523" s="66" t="str">
        <f>IF(AND($O523='112'!$I$6,$B523&lt;'112'!$M$9),"x","")</f>
        <v/>
      </c>
      <c r="W523" s="66" t="str">
        <f>IF(AND($P523='112'!$I$6,$B523&lt;'112'!$M$9),"x","")</f>
        <v/>
      </c>
      <c r="X523" s="66" t="str">
        <f>IF(AND('131-CT'!$H$9=TH!H523,OR(O523="131",P523="131")),"x","")</f>
        <v/>
      </c>
      <c r="Y523" s="80" t="str">
        <f>IF(AND($B523&gt;='1331'!$I$9,$B523&lt;='1331'!$J$9,OR($O523=$Y$7,$P523=$Y$7)),"x","")</f>
        <v/>
      </c>
      <c r="Z523" s="80" t="str">
        <f>IF(AND($O523=$Y$7,$B523&lt;'1331'!$I$9),"x","")</f>
        <v/>
      </c>
      <c r="AA523" s="80" t="str">
        <f>IF(AND($P523=$Y$7,$B523&lt;'1331'!$I$9),"x","")</f>
        <v/>
      </c>
      <c r="AB523" s="80" t="str">
        <f>IF(AND($B523&gt;='1332'!$I$9,$B523&lt;='1332'!$I$9,OR($O523=$AB$7,$P523=$AB$7)),"x","")</f>
        <v/>
      </c>
      <c r="AC523" s="80" t="str">
        <f>IF(AND($O523=$AB$7,$B523&lt;'1332'!$I$9),"x","")</f>
        <v/>
      </c>
      <c r="AD523" s="80" t="str">
        <f>IF(AND($P523=$AB$7,$B523&lt;'1332'!$I$9),"x","")</f>
        <v/>
      </c>
      <c r="AE523" s="80" t="str">
        <f>IF(AND('341-CT'!$H$9=H523,OR(LEFT(O523,3)=$AE$7,LEFT(P523,3)=$AE$7)),"x","")</f>
        <v/>
      </c>
      <c r="AF523" s="80" t="str">
        <f>IF(OR(TH!O523=TH!$AF$7,P523=TH!$AF$7),"x","")</f>
        <v/>
      </c>
      <c r="AG523" s="80"/>
      <c r="AH523" s="80" t="str">
        <f>IF(AND(B523&gt;='IN-NX'!$P$3,B523&lt;='IN-NX'!$Q$3,'IN-NX'!$D$7=D523,OR(LEFT(L523,2)="15",AND(LEFT(M523,2)&lt;&gt;"15",LEFT(M523,2)&lt;&gt;"33"))),"x","")</f>
        <v/>
      </c>
      <c r="AI523" s="80" t="str">
        <f>IF(AND(OR(LEFT(TH!O523,2)="15",LEFT(TH!P523,2)="15"),'152-CT'!$J$8=TH!F523),"x","")</f>
        <v/>
      </c>
      <c r="AJ523" s="80" t="str">
        <f>IF(AND(OR(LEFT(TH!O523,2)="15",LEFT(TH!P523,2)="15"),'THE KHO'!$E$7=TH!F523),"x","")</f>
        <v/>
      </c>
      <c r="AK523" s="80" t="str">
        <f>IF(AND(O523="1521",MONTH(C523)='BK NL'!$M$11),"x","")</f>
        <v/>
      </c>
    </row>
    <row r="524" spans="1:39" ht="15.75" customHeight="1">
      <c r="A524" s="362" t="str">
        <f>IF(B524&lt;&gt;"",IF(AND(B524&gt;=_TM1,B524&lt;=_TM2,OR(TH!O524="1111",TH!P524="1111")),TH!D524,""),"")</f>
        <v/>
      </c>
      <c r="B524" s="63">
        <f t="shared" si="35"/>
        <v>7</v>
      </c>
      <c r="C524" s="1045">
        <v>42581</v>
      </c>
      <c r="D524" s="1045" t="s">
        <v>1099</v>
      </c>
      <c r="E524" s="1045">
        <v>42581</v>
      </c>
      <c r="F524" s="1046" t="s">
        <v>1113</v>
      </c>
      <c r="G524" s="1047"/>
      <c r="H524" s="1048"/>
      <c r="I524" s="1049"/>
      <c r="J524" s="1049"/>
      <c r="K524" s="1050"/>
      <c r="L524" s="1049"/>
      <c r="M524" s="1051">
        <f>13138000+22417924</f>
        <v>35555924</v>
      </c>
      <c r="N524" s="1051" t="s">
        <v>26</v>
      </c>
      <c r="O524" s="1052" t="s">
        <v>135</v>
      </c>
      <c r="P524" s="1052" t="s">
        <v>1020</v>
      </c>
      <c r="Q524" s="66" t="str">
        <f>IF(AND('331-CT'!$E$7=TH!H524,OR(O524="331",P524="331")),"x","")</f>
        <v/>
      </c>
      <c r="R524" s="66" t="str">
        <f>IF(AND($B524&gt;='111'!$N$11,$B524&lt;='111'!$O$11,OR($O524=$R$7,$P524=$R$7)),"x","")</f>
        <v/>
      </c>
      <c r="S524" s="66" t="str">
        <f>IF(AND($O524=$R$7,$B524&lt;'111'!$N$11),"x","")</f>
        <v/>
      </c>
      <c r="T524" s="66" t="str">
        <f>IF(AND($P524=$R$7,$B524&lt;'111'!$N$11),"x","")</f>
        <v/>
      </c>
      <c r="U524" s="66" t="str">
        <f>IF(AND($B524&gt;='112'!$M$9,$B524&lt;='112'!$N$9,OR($O524='112'!$I$6,$P524='112'!$I$6)),"x","")</f>
        <v/>
      </c>
      <c r="V524" s="66" t="str">
        <f>IF(AND($O524='112'!$I$6,$B524&lt;'112'!$M$9),"x","")</f>
        <v/>
      </c>
      <c r="W524" s="66" t="str">
        <f>IF(AND($P524='112'!$I$6,$B524&lt;'112'!$M$9),"x","")</f>
        <v/>
      </c>
      <c r="X524" s="66" t="str">
        <f>IF(AND('131-CT'!$H$9=TH!H524,OR(O524="131",P524="131")),"x","")</f>
        <v/>
      </c>
      <c r="Y524" s="80" t="str">
        <f>IF(AND($B524&gt;='1331'!$I$9,$B524&lt;='1331'!$J$9,OR($O524=$Y$7,$P524=$Y$7)),"x","")</f>
        <v/>
      </c>
      <c r="Z524" s="80" t="str">
        <f>IF(AND($O524=$Y$7,$B524&lt;'1331'!$I$9),"x","")</f>
        <v/>
      </c>
      <c r="AA524" s="80" t="str">
        <f>IF(AND($P524=$Y$7,$B524&lt;'1331'!$I$9),"x","")</f>
        <v/>
      </c>
      <c r="AB524" s="80" t="str">
        <f>IF(AND($B524&gt;='1332'!$I$9,$B524&lt;='1332'!$I$9,OR($O524=$AB$7,$P524=$AB$7)),"x","")</f>
        <v/>
      </c>
      <c r="AC524" s="80" t="str">
        <f>IF(AND($O524=$AB$7,$B524&lt;'1332'!$I$9),"x","")</f>
        <v/>
      </c>
      <c r="AD524" s="80" t="str">
        <f>IF(AND($P524=$AB$7,$B524&lt;'1332'!$I$9),"x","")</f>
        <v/>
      </c>
      <c r="AE524" s="80" t="str">
        <f>IF(AND('341-CT'!$H$9=H524,OR(LEFT(O524,3)=$AE$7,LEFT(P524,3)=$AE$7)),"x","")</f>
        <v/>
      </c>
      <c r="AF524" s="80" t="str">
        <f>IF(OR(TH!O524=TH!$AF$7,P524=TH!$AF$7),"x","")</f>
        <v/>
      </c>
      <c r="AG524" s="80"/>
      <c r="AH524" s="80" t="str">
        <f>IF(AND(B524&gt;='IN-NX'!$P$3,B524&lt;='IN-NX'!$Q$3,'IN-NX'!$D$7=D524,OR(LEFT(L524,2)="15",AND(LEFT(M524,2)&lt;&gt;"15",LEFT(M524,2)&lt;&gt;"33"))),"x","")</f>
        <v/>
      </c>
      <c r="AI524" s="80" t="str">
        <f>IF(AND(OR(LEFT(TH!O524,2)="15",LEFT(TH!P524,2)="15"),'152-CT'!$J$8=TH!F524),"x","")</f>
        <v/>
      </c>
      <c r="AJ524" s="80" t="str">
        <f>IF(AND(OR(LEFT(TH!O524,2)="15",LEFT(TH!P524,2)="15"),'THE KHO'!$E$7=TH!F524),"x","")</f>
        <v/>
      </c>
      <c r="AK524" s="80" t="str">
        <f>IF(AND(O524="1521",MONTH(C524)='BK NL'!$M$11),"x","")</f>
        <v/>
      </c>
    </row>
    <row r="525" spans="1:39" ht="15.75" customHeight="1">
      <c r="A525" s="362" t="str">
        <f>IF(B525&lt;&gt;"",IF(AND(B525&gt;=_TM1,B525&lt;=_TM2,OR(TH!O525="1111",TH!P525="1111")),TH!D525,""),"")</f>
        <v/>
      </c>
      <c r="B525" s="63">
        <f t="shared" si="35"/>
        <v>7</v>
      </c>
      <c r="C525" s="1045">
        <v>42581</v>
      </c>
      <c r="D525" s="1045" t="s">
        <v>1099</v>
      </c>
      <c r="E525" s="1045">
        <v>42581</v>
      </c>
      <c r="F525" s="1046" t="s">
        <v>1026</v>
      </c>
      <c r="G525" s="1047"/>
      <c r="H525" s="1054"/>
      <c r="I525" s="1055"/>
      <c r="J525" s="1055"/>
      <c r="K525" s="1056"/>
      <c r="L525" s="1055"/>
      <c r="M525" s="1051">
        <f>(13138000+22663000+158895000)*8%</f>
        <v>15575680</v>
      </c>
      <c r="N525" s="1051"/>
      <c r="O525" s="1052" t="s">
        <v>1020</v>
      </c>
      <c r="P525" s="1052" t="s">
        <v>1027</v>
      </c>
      <c r="Q525" s="66" t="str">
        <f>IF(AND('331-CT'!$E$7=TH!H525,OR(O525="331",P525="331")),"x","")</f>
        <v/>
      </c>
      <c r="R525" s="66" t="str">
        <f>IF(AND($B525&gt;='111'!$N$11,$B525&lt;='111'!$O$11,OR($O525=$R$7,$P525=$R$7)),"x","")</f>
        <v/>
      </c>
      <c r="S525" s="66" t="str">
        <f>IF(AND($O525=$R$7,$B525&lt;'111'!$N$11),"x","")</f>
        <v/>
      </c>
      <c r="T525" s="66" t="str">
        <f>IF(AND($P525=$R$7,$B525&lt;'111'!$N$11),"x","")</f>
        <v/>
      </c>
      <c r="U525" s="66" t="str">
        <f>IF(AND($B525&gt;='112'!$M$9,$B525&lt;='112'!$N$9,OR($O525='112'!$I$6,$P525='112'!$I$6)),"x","")</f>
        <v/>
      </c>
      <c r="V525" s="66" t="str">
        <f>IF(AND($O525='112'!$I$6,$B525&lt;'112'!$M$9),"x","")</f>
        <v/>
      </c>
      <c r="W525" s="66" t="str">
        <f>IF(AND($P525='112'!$I$6,$B525&lt;'112'!$M$9),"x","")</f>
        <v/>
      </c>
      <c r="X525" s="66" t="str">
        <f>IF(AND('131-CT'!$H$9=TH!H525,OR(O525="131",P525="131")),"x","")</f>
        <v/>
      </c>
      <c r="Y525" s="80" t="str">
        <f>IF(AND($B525&gt;='1331'!$I$9,$B525&lt;='1331'!$J$9,OR($O525=$Y$7,$P525=$Y$7)),"x","")</f>
        <v/>
      </c>
      <c r="Z525" s="80" t="str">
        <f>IF(AND($O525=$Y$7,$B525&lt;'1331'!$I$9),"x","")</f>
        <v/>
      </c>
      <c r="AA525" s="80" t="str">
        <f>IF(AND($P525=$Y$7,$B525&lt;'1331'!$I$9),"x","")</f>
        <v/>
      </c>
      <c r="AB525" s="80" t="str">
        <f>IF(AND($B525&gt;='1332'!$I$9,$B525&lt;='1332'!$I$9,OR($O525=$AB$7,$P525=$AB$7)),"x","")</f>
        <v/>
      </c>
      <c r="AC525" s="80" t="str">
        <f>IF(AND($O525=$AB$7,$B525&lt;'1332'!$I$9),"x","")</f>
        <v/>
      </c>
      <c r="AD525" s="80" t="str">
        <f>IF(AND($P525=$AB$7,$B525&lt;'1332'!$I$9),"x","")</f>
        <v/>
      </c>
      <c r="AE525" s="80" t="str">
        <f>IF(AND('341-CT'!$H$9=H525,OR(LEFT(O525,3)=$AE$7,LEFT(P525,3)=$AE$7)),"x","")</f>
        <v/>
      </c>
      <c r="AF525" s="80" t="str">
        <f>IF(OR(TH!O525=TH!$AF$7,P525=TH!$AF$7),"x","")</f>
        <v/>
      </c>
      <c r="AG525" s="80"/>
      <c r="AH525" s="80" t="str">
        <f>IF(AND(B525&gt;='IN-NX'!$P$3,B525&lt;='IN-NX'!$Q$3,'IN-NX'!$D$7=D525,OR(LEFT(L525,2)="15",AND(LEFT(M525,2)&lt;&gt;"15",LEFT(M525,2)&lt;&gt;"33"))),"x","")</f>
        <v/>
      </c>
      <c r="AI525" s="80" t="str">
        <f>IF(AND(OR(LEFT(TH!O525,2)="15",LEFT(TH!P525,2)="15"),'152-CT'!$J$8=TH!F525),"x","")</f>
        <v/>
      </c>
      <c r="AJ525" s="80" t="str">
        <f>IF(AND(OR(LEFT(TH!O525,2)="15",LEFT(TH!P525,2)="15"),'THE KHO'!$E$7=TH!F525),"x","")</f>
        <v/>
      </c>
      <c r="AK525" s="80" t="str">
        <f>IF(AND(O525="1521",MONTH(C525)='BK NL'!$M$11),"x","")</f>
        <v/>
      </c>
    </row>
    <row r="526" spans="1:39" ht="15.75" customHeight="1">
      <c r="A526" s="362" t="str">
        <f>IF(B526&lt;&gt;"",IF(AND(B526&gt;=_TM1,B526&lt;=_TM2,OR(TH!O526="1111",TH!P526="1111")),TH!D526,""),"")</f>
        <v/>
      </c>
      <c r="B526" s="63">
        <f t="shared" si="35"/>
        <v>7</v>
      </c>
      <c r="C526" s="1045">
        <v>42581</v>
      </c>
      <c r="D526" s="1045" t="s">
        <v>1099</v>
      </c>
      <c r="E526" s="1045">
        <v>42581</v>
      </c>
      <c r="F526" s="1046" t="s">
        <v>1028</v>
      </c>
      <c r="G526" s="1047"/>
      <c r="H526" s="1048"/>
      <c r="I526" s="1049"/>
      <c r="J526" s="1049"/>
      <c r="K526" s="1050"/>
      <c r="L526" s="1049"/>
      <c r="M526" s="1051">
        <f>(13138000+22663000+158895000)*1.5%</f>
        <v>2920440</v>
      </c>
      <c r="N526" s="1051"/>
      <c r="O526" s="1052" t="s">
        <v>1020</v>
      </c>
      <c r="P526" s="1052" t="s">
        <v>1029</v>
      </c>
      <c r="Q526" s="66" t="str">
        <f>IF(AND('331-CT'!$E$7=TH!H526,OR(O526="331",P526="331")),"x","")</f>
        <v/>
      </c>
      <c r="R526" s="66" t="str">
        <f>IF(AND($B526&gt;='111'!$N$11,$B526&lt;='111'!$O$11,OR($O526=$R$7,$P526=$R$7)),"x","")</f>
        <v/>
      </c>
      <c r="S526" s="66" t="str">
        <f>IF(AND($O526=$R$7,$B526&lt;'111'!$N$11),"x","")</f>
        <v/>
      </c>
      <c r="T526" s="66" t="str">
        <f>IF(AND($P526=$R$7,$B526&lt;'111'!$N$11),"x","")</f>
        <v/>
      </c>
      <c r="U526" s="66" t="str">
        <f>IF(AND($B526&gt;='112'!$M$9,$B526&lt;='112'!$N$9,OR($O526='112'!$I$6,$P526='112'!$I$6)),"x","")</f>
        <v/>
      </c>
      <c r="V526" s="66" t="str">
        <f>IF(AND($O526='112'!$I$6,$B526&lt;'112'!$M$9),"x","")</f>
        <v/>
      </c>
      <c r="W526" s="66" t="str">
        <f>IF(AND($P526='112'!$I$6,$B526&lt;'112'!$M$9),"x","")</f>
        <v/>
      </c>
      <c r="X526" s="66" t="str">
        <f>IF(AND('131-CT'!$H$9=TH!H526,OR(O526="131",P526="131")),"x","")</f>
        <v/>
      </c>
      <c r="Y526" s="80" t="str">
        <f>IF(AND($B526&gt;='1331'!$I$9,$B526&lt;='1331'!$J$9,OR($O526=$Y$7,$P526=$Y$7)),"x","")</f>
        <v/>
      </c>
      <c r="Z526" s="80" t="str">
        <f>IF(AND($O526=$Y$7,$B526&lt;'1331'!$I$9),"x","")</f>
        <v/>
      </c>
      <c r="AA526" s="80" t="str">
        <f>IF(AND($P526=$Y$7,$B526&lt;'1331'!$I$9),"x","")</f>
        <v/>
      </c>
      <c r="AB526" s="80" t="str">
        <f>IF(AND($B526&gt;='1332'!$I$9,$B526&lt;='1332'!$I$9,OR($O526=$AB$7,$P526=$AB$7)),"x","")</f>
        <v/>
      </c>
      <c r="AC526" s="80" t="str">
        <f>IF(AND($O526=$AB$7,$B526&lt;'1332'!$I$9),"x","")</f>
        <v/>
      </c>
      <c r="AD526" s="80" t="str">
        <f>IF(AND($P526=$AB$7,$B526&lt;'1332'!$I$9),"x","")</f>
        <v/>
      </c>
      <c r="AE526" s="80" t="str">
        <f>IF(AND('341-CT'!$H$9=H526,OR(LEFT(O526,3)=$AE$7,LEFT(P526,3)=$AE$7)),"x","")</f>
        <v/>
      </c>
      <c r="AF526" s="80" t="str">
        <f>IF(OR(TH!O526=TH!$AF$7,P526=TH!$AF$7),"x","")</f>
        <v/>
      </c>
      <c r="AG526" s="80"/>
      <c r="AH526" s="80" t="str">
        <f>IF(AND(B526&gt;='IN-NX'!$P$3,B526&lt;='IN-NX'!$Q$3,'IN-NX'!$D$7=D526,OR(LEFT(L526,2)="15",AND(LEFT(M526,2)&lt;&gt;"15",LEFT(M526,2)&lt;&gt;"33"))),"x","")</f>
        <v/>
      </c>
      <c r="AI526" s="80" t="str">
        <f>IF(AND(OR(LEFT(TH!O526,2)="15",LEFT(TH!P526,2)="15"),'152-CT'!$J$8=TH!F526),"x","")</f>
        <v/>
      </c>
      <c r="AJ526" s="80" t="str">
        <f>IF(AND(OR(LEFT(TH!O526,2)="15",LEFT(TH!P526,2)="15"),'THE KHO'!$E$7=TH!F526),"x","")</f>
        <v/>
      </c>
      <c r="AK526" s="80" t="str">
        <f>IF(AND(O526="1521",MONTH(C526)='BK NL'!$M$11),"x","")</f>
        <v/>
      </c>
    </row>
    <row r="527" spans="1:39" ht="15.75" customHeight="1">
      <c r="A527" s="362" t="str">
        <f>IF(B527&lt;&gt;"",IF(AND(B527&gt;=_TM1,B527&lt;=_TM2,OR(TH!O527="1111",TH!P527="1111")),TH!D527,""),"")</f>
        <v/>
      </c>
      <c r="B527" s="63">
        <f t="shared" si="35"/>
        <v>7</v>
      </c>
      <c r="C527" s="1045">
        <v>42581</v>
      </c>
      <c r="D527" s="1045" t="s">
        <v>1099</v>
      </c>
      <c r="E527" s="1045">
        <v>42581</v>
      </c>
      <c r="F527" s="1046" t="s">
        <v>1030</v>
      </c>
      <c r="G527" s="1047"/>
      <c r="H527" s="1048"/>
      <c r="I527" s="1049"/>
      <c r="J527" s="1049"/>
      <c r="K527" s="1050"/>
      <c r="L527" s="1049"/>
      <c r="M527" s="1051">
        <f>(13138000+22663000+158895000)*1%</f>
        <v>1946960</v>
      </c>
      <c r="N527" s="1051"/>
      <c r="O527" s="1052" t="s">
        <v>1020</v>
      </c>
      <c r="P527" s="1052" t="s">
        <v>1031</v>
      </c>
      <c r="Q527" s="66" t="str">
        <f>IF(AND('331-CT'!$E$7=TH!H527,OR(O527="331",P527="331")),"x","")</f>
        <v/>
      </c>
      <c r="R527" s="66" t="str">
        <f>IF(AND($B527&gt;='111'!$N$11,$B527&lt;='111'!$O$11,OR($O527=$R$7,$P527=$R$7)),"x","")</f>
        <v/>
      </c>
      <c r="S527" s="66" t="str">
        <f>IF(AND($O527=$R$7,$B527&lt;'111'!$N$11),"x","")</f>
        <v/>
      </c>
      <c r="T527" s="66" t="str">
        <f>IF(AND($P527=$R$7,$B527&lt;'111'!$N$11),"x","")</f>
        <v/>
      </c>
      <c r="U527" s="66" t="str">
        <f>IF(AND($B527&gt;='112'!$M$9,$B527&lt;='112'!$N$9,OR($O527='112'!$I$6,$P527='112'!$I$6)),"x","")</f>
        <v/>
      </c>
      <c r="V527" s="66" t="str">
        <f>IF(AND($O527='112'!$I$6,$B527&lt;'112'!$M$9),"x","")</f>
        <v/>
      </c>
      <c r="W527" s="66" t="str">
        <f>IF(AND($P527='112'!$I$6,$B527&lt;'112'!$M$9),"x","")</f>
        <v/>
      </c>
      <c r="X527" s="66" t="str">
        <f>IF(AND('131-CT'!$H$9=TH!H527,OR(O527="131",P527="131")),"x","")</f>
        <v/>
      </c>
      <c r="Y527" s="80" t="str">
        <f>IF(AND($B527&gt;='1331'!$I$9,$B527&lt;='1331'!$J$9,OR($O527=$Y$7,$P527=$Y$7)),"x","")</f>
        <v/>
      </c>
      <c r="Z527" s="80" t="str">
        <f>IF(AND($O527=$Y$7,$B527&lt;'1331'!$I$9),"x","")</f>
        <v/>
      </c>
      <c r="AA527" s="80" t="str">
        <f>IF(AND($P527=$Y$7,$B527&lt;'1331'!$I$9),"x","")</f>
        <v/>
      </c>
      <c r="AB527" s="80" t="str">
        <f>IF(AND($B527&gt;='1332'!$I$9,$B527&lt;='1332'!$I$9,OR($O527=$AB$7,$P527=$AB$7)),"x","")</f>
        <v/>
      </c>
      <c r="AC527" s="80" t="str">
        <f>IF(AND($O527=$AB$7,$B527&lt;'1332'!$I$9),"x","")</f>
        <v/>
      </c>
      <c r="AD527" s="80" t="str">
        <f>IF(AND($P527=$AB$7,$B527&lt;'1332'!$I$9),"x","")</f>
        <v/>
      </c>
      <c r="AE527" s="80" t="str">
        <f>IF(AND('341-CT'!$H$9=H527,OR(LEFT(O527,3)=$AE$7,LEFT(P527,3)=$AE$7)),"x","")</f>
        <v/>
      </c>
      <c r="AF527" s="80" t="str">
        <f>IF(OR(TH!O527=TH!$AF$7,P527=TH!$AF$7),"x","")</f>
        <v/>
      </c>
      <c r="AG527" s="80"/>
      <c r="AH527" s="80" t="str">
        <f>IF(AND(B527&gt;='IN-NX'!$P$3,B527&lt;='IN-NX'!$Q$3,'IN-NX'!$D$7=D527,OR(LEFT(L527,2)="15",AND(LEFT(M527,2)&lt;&gt;"15",LEFT(M527,2)&lt;&gt;"33"))),"x","")</f>
        <v/>
      </c>
      <c r="AI527" s="80" t="str">
        <f>IF(AND(OR(LEFT(TH!O527,2)="15",LEFT(TH!P527,2)="15"),'152-CT'!$J$8=TH!F527),"x","")</f>
        <v/>
      </c>
      <c r="AJ527" s="80" t="str">
        <f>IF(AND(OR(LEFT(TH!O527,2)="15",LEFT(TH!P527,2)="15"),'THE KHO'!$E$7=TH!F527),"x","")</f>
        <v/>
      </c>
      <c r="AK527" s="80" t="str">
        <f>IF(AND(O527="1521",MONTH(C527)='BK NL'!$M$11),"x","")</f>
        <v/>
      </c>
    </row>
    <row r="528" spans="1:39" ht="15.75" customHeight="1">
      <c r="A528" s="362" t="str">
        <f>IF(B528&lt;&gt;"",IF(AND(B528&gt;=_TM1,B528&lt;=_TM2,OR(TH!O528="1111",TH!P528="1111")),TH!D528,""),"")</f>
        <v/>
      </c>
      <c r="B528" s="63">
        <f t="shared" si="35"/>
        <v>7</v>
      </c>
      <c r="C528" s="1045">
        <v>42581</v>
      </c>
      <c r="D528" s="1045" t="s">
        <v>1099</v>
      </c>
      <c r="E528" s="1045">
        <v>42581</v>
      </c>
      <c r="F528" s="1046" t="s">
        <v>1032</v>
      </c>
      <c r="G528" s="1047"/>
      <c r="H528" s="1054"/>
      <c r="I528" s="1055"/>
      <c r="J528" s="1055"/>
      <c r="K528" s="1056"/>
      <c r="L528" s="1055"/>
      <c r="M528" s="1051">
        <f>(13138000+22663000)*18%</f>
        <v>6444180</v>
      </c>
      <c r="N528" s="1051" t="s">
        <v>26</v>
      </c>
      <c r="O528" s="1052" t="s">
        <v>135</v>
      </c>
      <c r="P528" s="1052" t="s">
        <v>1027</v>
      </c>
      <c r="Q528" s="66" t="str">
        <f>IF(AND('331-CT'!$E$7=TH!H528,OR(O528="331",P528="331")),"x","")</f>
        <v/>
      </c>
      <c r="R528" s="66" t="str">
        <f>IF(AND($B528&gt;='111'!$N$11,$B528&lt;='111'!$O$11,OR($O528=$R$7,$P528=$R$7)),"x","")</f>
        <v/>
      </c>
      <c r="S528" s="66" t="str">
        <f>IF(AND($O528=$R$7,$B528&lt;'111'!$N$11),"x","")</f>
        <v/>
      </c>
      <c r="T528" s="66" t="str">
        <f>IF(AND($P528=$R$7,$B528&lt;'111'!$N$11),"x","")</f>
        <v/>
      </c>
      <c r="U528" s="66" t="str">
        <f>IF(AND($B528&gt;='112'!$M$9,$B528&lt;='112'!$N$9,OR($O528='112'!$I$6,$P528='112'!$I$6)),"x","")</f>
        <v/>
      </c>
      <c r="V528" s="66" t="str">
        <f>IF(AND($O528='112'!$I$6,$B528&lt;'112'!$M$9),"x","")</f>
        <v/>
      </c>
      <c r="W528" s="66" t="str">
        <f>IF(AND($P528='112'!$I$6,$B528&lt;'112'!$M$9),"x","")</f>
        <v/>
      </c>
      <c r="X528" s="66" t="str">
        <f>IF(AND('131-CT'!$H$9=TH!H528,OR(O528="131",P528="131")),"x","")</f>
        <v/>
      </c>
      <c r="Y528" s="80" t="str">
        <f>IF(AND($B528&gt;='1331'!$I$9,$B528&lt;='1331'!$J$9,OR($O528=$Y$7,$P528=$Y$7)),"x","")</f>
        <v/>
      </c>
      <c r="Z528" s="80" t="str">
        <f>IF(AND($O528=$Y$7,$B528&lt;'1331'!$I$9),"x","")</f>
        <v/>
      </c>
      <c r="AA528" s="80" t="str">
        <f>IF(AND($P528=$Y$7,$B528&lt;'1331'!$I$9),"x","")</f>
        <v/>
      </c>
      <c r="AB528" s="80" t="str">
        <f>IF(AND($B528&gt;='1332'!$I$9,$B528&lt;='1332'!$I$9,OR($O528=$AB$7,$P528=$AB$7)),"x","")</f>
        <v/>
      </c>
      <c r="AC528" s="80" t="str">
        <f>IF(AND($O528=$AB$7,$B528&lt;'1332'!$I$9),"x","")</f>
        <v/>
      </c>
      <c r="AD528" s="80" t="str">
        <f>IF(AND($P528=$AB$7,$B528&lt;'1332'!$I$9),"x","")</f>
        <v/>
      </c>
      <c r="AE528" s="80" t="str">
        <f>IF(AND('341-CT'!$H$9=H528,OR(LEFT(O528,3)=$AE$7,LEFT(P528,3)=$AE$7)),"x","")</f>
        <v/>
      </c>
      <c r="AF528" s="80" t="str">
        <f>IF(OR(TH!O528=TH!$AF$7,P528=TH!$AF$7),"x","")</f>
        <v/>
      </c>
      <c r="AG528" s="80"/>
      <c r="AH528" s="80" t="str">
        <f>IF(AND(B528&gt;='IN-NX'!$P$3,B528&lt;='IN-NX'!$Q$3,'IN-NX'!$D$7=D528,OR(LEFT(L528,2)="15",AND(LEFT(M528,2)&lt;&gt;"15",LEFT(M528,2)&lt;&gt;"33"))),"x","")</f>
        <v/>
      </c>
      <c r="AI528" s="80" t="str">
        <f>IF(AND(OR(LEFT(TH!O528,2)="15",LEFT(TH!P528,2)="15"),'152-CT'!$J$8=TH!F528),"x","")</f>
        <v/>
      </c>
      <c r="AJ528" s="80" t="str">
        <f>IF(AND(OR(LEFT(TH!O528,2)="15",LEFT(TH!P528,2)="15"),'THE KHO'!$E$7=TH!F528),"x","")</f>
        <v/>
      </c>
      <c r="AK528" s="80" t="str">
        <f>IF(AND(O528="1521",MONTH(C528)='BK NL'!$M$11),"x","")</f>
        <v/>
      </c>
    </row>
    <row r="529" spans="1:37" ht="15.75" customHeight="1">
      <c r="A529" s="362" t="str">
        <f>IF(B529&lt;&gt;"",IF(AND(B529&gt;=_TM1,B529&lt;=_TM2,OR(TH!O529="1111",TH!P529="1111")),TH!D529,""),"")</f>
        <v/>
      </c>
      <c r="B529" s="63">
        <f t="shared" si="35"/>
        <v>7</v>
      </c>
      <c r="C529" s="1045">
        <v>42581</v>
      </c>
      <c r="D529" s="1045" t="s">
        <v>1099</v>
      </c>
      <c r="E529" s="1045">
        <v>42581</v>
      </c>
      <c r="F529" s="1046" t="s">
        <v>1033</v>
      </c>
      <c r="G529" s="1047"/>
      <c r="H529" s="1048"/>
      <c r="I529" s="1049"/>
      <c r="J529" s="1049"/>
      <c r="K529" s="1050"/>
      <c r="L529" s="1049"/>
      <c r="M529" s="1051">
        <f>(13138000+22663000)*3%</f>
        <v>1074030</v>
      </c>
      <c r="N529" s="1051" t="s">
        <v>26</v>
      </c>
      <c r="O529" s="1052" t="s">
        <v>135</v>
      </c>
      <c r="P529" s="1052" t="s">
        <v>1029</v>
      </c>
      <c r="Q529" s="66" t="str">
        <f>IF(AND('331-CT'!$E$7=TH!H529,OR(O529="331",P529="331")),"x","")</f>
        <v/>
      </c>
      <c r="R529" s="66" t="str">
        <f>IF(AND($B529&gt;='111'!$N$11,$B529&lt;='111'!$O$11,OR($O529=$R$7,$P529=$R$7)),"x","")</f>
        <v/>
      </c>
      <c r="S529" s="66" t="str">
        <f>IF(AND($O529=$R$7,$B529&lt;'111'!$N$11),"x","")</f>
        <v/>
      </c>
      <c r="T529" s="66" t="str">
        <f>IF(AND($P529=$R$7,$B529&lt;'111'!$N$11),"x","")</f>
        <v/>
      </c>
      <c r="U529" s="66" t="str">
        <f>IF(AND($B529&gt;='112'!$M$9,$B529&lt;='112'!$N$9,OR($O529='112'!$I$6,$P529='112'!$I$6)),"x","")</f>
        <v/>
      </c>
      <c r="V529" s="66" t="str">
        <f>IF(AND($O529='112'!$I$6,$B529&lt;'112'!$M$9),"x","")</f>
        <v/>
      </c>
      <c r="W529" s="66" t="str">
        <f>IF(AND($P529='112'!$I$6,$B529&lt;'112'!$M$9),"x","")</f>
        <v/>
      </c>
      <c r="X529" s="66" t="str">
        <f>IF(AND('131-CT'!$H$9=TH!H529,OR(O529="131",P529="131")),"x","")</f>
        <v/>
      </c>
      <c r="Y529" s="80" t="str">
        <f>IF(AND($B529&gt;='1331'!$I$9,$B529&lt;='1331'!$J$9,OR($O529=$Y$7,$P529=$Y$7)),"x","")</f>
        <v/>
      </c>
      <c r="Z529" s="80" t="str">
        <f>IF(AND($O529=$Y$7,$B529&lt;'1331'!$I$9),"x","")</f>
        <v/>
      </c>
      <c r="AA529" s="80" t="str">
        <f>IF(AND($P529=$Y$7,$B529&lt;'1331'!$I$9),"x","")</f>
        <v/>
      </c>
      <c r="AB529" s="80" t="str">
        <f>IF(AND($B529&gt;='1332'!$I$9,$B529&lt;='1332'!$I$9,OR($O529=$AB$7,$P529=$AB$7)),"x","")</f>
        <v/>
      </c>
      <c r="AC529" s="80" t="str">
        <f>IF(AND($O529=$AB$7,$B529&lt;'1332'!$I$9),"x","")</f>
        <v/>
      </c>
      <c r="AD529" s="80" t="str">
        <f>IF(AND($P529=$AB$7,$B529&lt;'1332'!$I$9),"x","")</f>
        <v/>
      </c>
      <c r="AE529" s="80" t="str">
        <f>IF(AND('341-CT'!$H$9=H529,OR(LEFT(O529,3)=$AE$7,LEFT(P529,3)=$AE$7)),"x","")</f>
        <v/>
      </c>
      <c r="AF529" s="80" t="str">
        <f>IF(OR(TH!O529=TH!$AF$7,P529=TH!$AF$7),"x","")</f>
        <v/>
      </c>
      <c r="AG529" s="80"/>
      <c r="AH529" s="80" t="str">
        <f>IF(AND(B529&gt;='IN-NX'!$P$3,B529&lt;='IN-NX'!$Q$3,'IN-NX'!$D$7=D529,OR(LEFT(L529,2)="15",AND(LEFT(M529,2)&lt;&gt;"15",LEFT(M529,2)&lt;&gt;"33"))),"x","")</f>
        <v/>
      </c>
      <c r="AI529" s="80" t="str">
        <f>IF(AND(OR(LEFT(TH!O529,2)="15",LEFT(TH!P529,2)="15"),'152-CT'!$J$8=TH!F529),"x","")</f>
        <v/>
      </c>
      <c r="AJ529" s="80" t="str">
        <f>IF(AND(OR(LEFT(TH!O529,2)="15",LEFT(TH!P529,2)="15"),'THE KHO'!$E$7=TH!F529),"x","")</f>
        <v/>
      </c>
      <c r="AK529" s="80" t="str">
        <f>IF(AND(O529="1521",MONTH(C529)='BK NL'!$M$11),"x","")</f>
        <v/>
      </c>
    </row>
    <row r="530" spans="1:37" ht="15.75" customHeight="1">
      <c r="A530" s="362" t="str">
        <f>IF(B530&lt;&gt;"",IF(AND(B530&gt;=_TM1,B530&lt;=_TM2,OR(TH!O530="1111",TH!P530="1111")),TH!D530,""),"")</f>
        <v/>
      </c>
      <c r="B530" s="63">
        <f t="shared" si="35"/>
        <v>7</v>
      </c>
      <c r="C530" s="1045">
        <v>42581</v>
      </c>
      <c r="D530" s="1045" t="s">
        <v>1099</v>
      </c>
      <c r="E530" s="1045">
        <v>42581</v>
      </c>
      <c r="F530" s="1046" t="s">
        <v>1030</v>
      </c>
      <c r="G530" s="1047"/>
      <c r="H530" s="1048"/>
      <c r="I530" s="1049"/>
      <c r="J530" s="1049"/>
      <c r="K530" s="1050"/>
      <c r="L530" s="1049"/>
      <c r="M530" s="1051">
        <f>(13138000+22663000)*1%</f>
        <v>358010</v>
      </c>
      <c r="N530" s="1051" t="s">
        <v>26</v>
      </c>
      <c r="O530" s="1052" t="s">
        <v>135</v>
      </c>
      <c r="P530" s="1052" t="s">
        <v>1031</v>
      </c>
      <c r="Q530" s="66" t="str">
        <f>IF(AND('331-CT'!$E$7=TH!H530,OR(O530="331",P530="331")),"x","")</f>
        <v/>
      </c>
      <c r="R530" s="66" t="str">
        <f>IF(AND($B530&gt;='111'!$N$11,$B530&lt;='111'!$O$11,OR($O530=$R$7,$P530=$R$7)),"x","")</f>
        <v/>
      </c>
      <c r="S530" s="66" t="str">
        <f>IF(AND($O530=$R$7,$B530&lt;'111'!$N$11),"x","")</f>
        <v/>
      </c>
      <c r="T530" s="66" t="str">
        <f>IF(AND($P530=$R$7,$B530&lt;'111'!$N$11),"x","")</f>
        <v/>
      </c>
      <c r="U530" s="66" t="str">
        <f>IF(AND($B530&gt;='112'!$M$9,$B530&lt;='112'!$N$9,OR($O530='112'!$I$6,$P530='112'!$I$6)),"x","")</f>
        <v/>
      </c>
      <c r="V530" s="66" t="str">
        <f>IF(AND($O530='112'!$I$6,$B530&lt;'112'!$M$9),"x","")</f>
        <v/>
      </c>
      <c r="W530" s="66" t="str">
        <f>IF(AND($P530='112'!$I$6,$B530&lt;'112'!$M$9),"x","")</f>
        <v/>
      </c>
      <c r="X530" s="66" t="str">
        <f>IF(AND('131-CT'!$H$9=TH!H530,OR(O530="131",P530="131")),"x","")</f>
        <v/>
      </c>
      <c r="Y530" s="80" t="str">
        <f>IF(AND($B530&gt;='1331'!$I$9,$B530&lt;='1331'!$J$9,OR($O530=$Y$7,$P530=$Y$7)),"x","")</f>
        <v/>
      </c>
      <c r="Z530" s="80" t="str">
        <f>IF(AND($O530=$Y$7,$B530&lt;'1331'!$I$9),"x","")</f>
        <v/>
      </c>
      <c r="AA530" s="80" t="str">
        <f>IF(AND($P530=$Y$7,$B530&lt;'1331'!$I$9),"x","")</f>
        <v/>
      </c>
      <c r="AB530" s="80" t="str">
        <f>IF(AND($B530&gt;='1332'!$I$9,$B530&lt;='1332'!$I$9,OR($O530=$AB$7,$P530=$AB$7)),"x","")</f>
        <v/>
      </c>
      <c r="AC530" s="80" t="str">
        <f>IF(AND($O530=$AB$7,$B530&lt;'1332'!$I$9),"x","")</f>
        <v/>
      </c>
      <c r="AD530" s="80" t="str">
        <f>IF(AND($P530=$AB$7,$B530&lt;'1332'!$I$9),"x","")</f>
        <v/>
      </c>
      <c r="AE530" s="80" t="str">
        <f>IF(AND('341-CT'!$H$9=H530,OR(LEFT(O530,3)=$AE$7,LEFT(P530,3)=$AE$7)),"x","")</f>
        <v/>
      </c>
      <c r="AF530" s="80" t="str">
        <f>IF(OR(TH!O530=TH!$AF$7,P530=TH!$AF$7),"x","")</f>
        <v/>
      </c>
      <c r="AG530" s="80"/>
      <c r="AH530" s="80" t="str">
        <f>IF(AND(B530&gt;='IN-NX'!$P$3,B530&lt;='IN-NX'!$Q$3,'IN-NX'!$D$7=D530,OR(LEFT(L530,2)="15",AND(LEFT(M530,2)&lt;&gt;"15",LEFT(M530,2)&lt;&gt;"33"))),"x","")</f>
        <v/>
      </c>
      <c r="AI530" s="80" t="str">
        <f>IF(AND(OR(LEFT(TH!O530,2)="15",LEFT(TH!P530,2)="15"),'152-CT'!$J$8=TH!F530),"x","")</f>
        <v/>
      </c>
      <c r="AJ530" s="80" t="str">
        <f>IF(AND(OR(LEFT(TH!O530,2)="15",LEFT(TH!P530,2)="15"),'THE KHO'!$E$7=TH!F530),"x","")</f>
        <v/>
      </c>
      <c r="AK530" s="80" t="str">
        <f>IF(AND(O530="1521",MONTH(C530)='BK NL'!$M$11),"x","")</f>
        <v/>
      </c>
    </row>
    <row r="531" spans="1:37" ht="15.75" customHeight="1">
      <c r="A531" s="362" t="str">
        <f>IF(B531&lt;&gt;"",IF(AND(B531&gt;=_TM1,B531&lt;=_TM2,OR(TH!O531="1111",TH!P531="1111")),TH!D531,""),"")</f>
        <v/>
      </c>
      <c r="B531" s="63">
        <f t="shared" si="35"/>
        <v>7</v>
      </c>
      <c r="C531" s="1045">
        <v>42581</v>
      </c>
      <c r="D531" s="1045" t="s">
        <v>1099</v>
      </c>
      <c r="E531" s="1045">
        <v>42581</v>
      </c>
      <c r="F531" s="1046" t="s">
        <v>1032</v>
      </c>
      <c r="G531" s="1047"/>
      <c r="H531" s="1054"/>
      <c r="I531" s="1055"/>
      <c r="J531" s="1055"/>
      <c r="K531" s="1056"/>
      <c r="L531" s="1055"/>
      <c r="M531" s="1051">
        <f>(158895000)*18%</f>
        <v>28601100</v>
      </c>
      <c r="N531" s="1051"/>
      <c r="O531" s="1052" t="s">
        <v>468</v>
      </c>
      <c r="P531" s="1052" t="s">
        <v>1027</v>
      </c>
      <c r="Q531" s="66" t="str">
        <f>IF(AND('331-CT'!$E$7=TH!H531,OR(O531="331",P531="331")),"x","")</f>
        <v/>
      </c>
      <c r="R531" s="66" t="str">
        <f>IF(AND($B531&gt;='111'!$N$11,$B531&lt;='111'!$O$11,OR($O531=$R$7,$P531=$R$7)),"x","")</f>
        <v/>
      </c>
      <c r="S531" s="66" t="str">
        <f>IF(AND($O531=$R$7,$B531&lt;'111'!$N$11),"x","")</f>
        <v/>
      </c>
      <c r="T531" s="66" t="str">
        <f>IF(AND($P531=$R$7,$B531&lt;'111'!$N$11),"x","")</f>
        <v/>
      </c>
      <c r="U531" s="66" t="str">
        <f>IF(AND($B531&gt;='112'!$M$9,$B531&lt;='112'!$N$9,OR($O531='112'!$I$6,$P531='112'!$I$6)),"x","")</f>
        <v/>
      </c>
      <c r="V531" s="66" t="str">
        <f>IF(AND($O531='112'!$I$6,$B531&lt;'112'!$M$9),"x","")</f>
        <v/>
      </c>
      <c r="W531" s="66" t="str">
        <f>IF(AND($P531='112'!$I$6,$B531&lt;'112'!$M$9),"x","")</f>
        <v/>
      </c>
      <c r="X531" s="66" t="str">
        <f>IF(AND('131-CT'!$H$9=TH!H531,OR(O531="131",P531="131")),"x","")</f>
        <v/>
      </c>
      <c r="Y531" s="80" t="str">
        <f>IF(AND($B531&gt;='1331'!$I$9,$B531&lt;='1331'!$J$9,OR($O531=$Y$7,$P531=$Y$7)),"x","")</f>
        <v/>
      </c>
      <c r="Z531" s="80" t="str">
        <f>IF(AND($O531=$Y$7,$B531&lt;'1331'!$I$9),"x","")</f>
        <v/>
      </c>
      <c r="AA531" s="80" t="str">
        <f>IF(AND($P531=$Y$7,$B531&lt;'1331'!$I$9),"x","")</f>
        <v/>
      </c>
      <c r="AB531" s="80" t="str">
        <f>IF(AND($B531&gt;='1332'!$I$9,$B531&lt;='1332'!$I$9,OR($O531=$AB$7,$P531=$AB$7)),"x","")</f>
        <v/>
      </c>
      <c r="AC531" s="80" t="str">
        <f>IF(AND($O531=$AB$7,$B531&lt;'1332'!$I$9),"x","")</f>
        <v/>
      </c>
      <c r="AD531" s="80" t="str">
        <f>IF(AND($P531=$AB$7,$B531&lt;'1332'!$I$9),"x","")</f>
        <v/>
      </c>
      <c r="AE531" s="80" t="str">
        <f>IF(AND('341-CT'!$H$9=H531,OR(LEFT(O531,3)=$AE$7,LEFT(P531,3)=$AE$7)),"x","")</f>
        <v/>
      </c>
      <c r="AF531" s="80" t="str">
        <f>IF(OR(TH!O531=TH!$AF$7,P531=TH!$AF$7),"x","")</f>
        <v/>
      </c>
      <c r="AG531" s="80"/>
      <c r="AH531" s="80" t="str">
        <f>IF(AND(B531&gt;='IN-NX'!$P$3,B531&lt;='IN-NX'!$Q$3,'IN-NX'!$D$7=D531,OR(LEFT(L531,2)="15",AND(LEFT(M531,2)&lt;&gt;"15",LEFT(M531,2)&lt;&gt;"33"))),"x","")</f>
        <v/>
      </c>
      <c r="AI531" s="80" t="str">
        <f>IF(AND(OR(LEFT(TH!O531,2)="15",LEFT(TH!P531,2)="15"),'152-CT'!$J$8=TH!F531),"x","")</f>
        <v/>
      </c>
      <c r="AJ531" s="80" t="str">
        <f>IF(AND(OR(LEFT(TH!O531,2)="15",LEFT(TH!P531,2)="15"),'THE KHO'!$E$7=TH!F531),"x","")</f>
        <v/>
      </c>
      <c r="AK531" s="80" t="str">
        <f>IF(AND(O531="1521",MONTH(C531)='BK NL'!$M$11),"x","")</f>
        <v/>
      </c>
    </row>
    <row r="532" spans="1:37" ht="15.75" customHeight="1">
      <c r="A532" s="362" t="str">
        <f>IF(B532&lt;&gt;"",IF(AND(B532&gt;=_TM1,B532&lt;=_TM2,OR(TH!O532="1111",TH!P532="1111")),TH!D532,""),"")</f>
        <v/>
      </c>
      <c r="B532" s="63">
        <f t="shared" si="35"/>
        <v>7</v>
      </c>
      <c r="C532" s="1045">
        <v>42581</v>
      </c>
      <c r="D532" s="1045" t="s">
        <v>1099</v>
      </c>
      <c r="E532" s="1045">
        <v>42581</v>
      </c>
      <c r="F532" s="1046" t="s">
        <v>1033</v>
      </c>
      <c r="G532" s="1047"/>
      <c r="H532" s="1048"/>
      <c r="I532" s="1049"/>
      <c r="J532" s="1049"/>
      <c r="K532" s="1050"/>
      <c r="L532" s="1049"/>
      <c r="M532" s="1051">
        <f>(158895000)*3%</f>
        <v>4766850</v>
      </c>
      <c r="N532" s="1051"/>
      <c r="O532" s="1052" t="s">
        <v>468</v>
      </c>
      <c r="P532" s="1052" t="s">
        <v>1029</v>
      </c>
      <c r="Q532" s="66" t="str">
        <f>IF(AND('331-CT'!$E$7=TH!H532,OR(O532="331",P532="331")),"x","")</f>
        <v/>
      </c>
      <c r="R532" s="66" t="str">
        <f>IF(AND($B532&gt;='111'!$N$11,$B532&lt;='111'!$O$11,OR($O532=$R$7,$P532=$R$7)),"x","")</f>
        <v/>
      </c>
      <c r="S532" s="66" t="str">
        <f>IF(AND($O532=$R$7,$B532&lt;'111'!$N$11),"x","")</f>
        <v/>
      </c>
      <c r="T532" s="66" t="str">
        <f>IF(AND($P532=$R$7,$B532&lt;'111'!$N$11),"x","")</f>
        <v/>
      </c>
      <c r="U532" s="66" t="str">
        <f>IF(AND($B532&gt;='112'!$M$9,$B532&lt;='112'!$N$9,OR($O532='112'!$I$6,$P532='112'!$I$6)),"x","")</f>
        <v/>
      </c>
      <c r="V532" s="66" t="str">
        <f>IF(AND($O532='112'!$I$6,$B532&lt;'112'!$M$9),"x","")</f>
        <v/>
      </c>
      <c r="W532" s="66" t="str">
        <f>IF(AND($P532='112'!$I$6,$B532&lt;'112'!$M$9),"x","")</f>
        <v/>
      </c>
      <c r="X532" s="66" t="str">
        <f>IF(AND('131-CT'!$H$9=TH!H532,OR(O532="131",P532="131")),"x","")</f>
        <v/>
      </c>
      <c r="Y532" s="80" t="str">
        <f>IF(AND($B532&gt;='1331'!$I$9,$B532&lt;='1331'!$J$9,OR($O532=$Y$7,$P532=$Y$7)),"x","")</f>
        <v/>
      </c>
      <c r="Z532" s="80" t="str">
        <f>IF(AND($O532=$Y$7,$B532&lt;'1331'!$I$9),"x","")</f>
        <v/>
      </c>
      <c r="AA532" s="80" t="str">
        <f>IF(AND($P532=$Y$7,$B532&lt;'1331'!$I$9),"x","")</f>
        <v/>
      </c>
      <c r="AB532" s="80" t="str">
        <f>IF(AND($B532&gt;='1332'!$I$9,$B532&lt;='1332'!$I$9,OR($O532=$AB$7,$P532=$AB$7)),"x","")</f>
        <v/>
      </c>
      <c r="AC532" s="80" t="str">
        <f>IF(AND($O532=$AB$7,$B532&lt;'1332'!$I$9),"x","")</f>
        <v/>
      </c>
      <c r="AD532" s="80" t="str">
        <f>IF(AND($P532=$AB$7,$B532&lt;'1332'!$I$9),"x","")</f>
        <v/>
      </c>
      <c r="AE532" s="80" t="str">
        <f>IF(AND('341-CT'!$H$9=H532,OR(LEFT(O532,3)=$AE$7,LEFT(P532,3)=$AE$7)),"x","")</f>
        <v/>
      </c>
      <c r="AF532" s="80" t="str">
        <f>IF(OR(TH!O532=TH!$AF$7,P532=TH!$AF$7),"x","")</f>
        <v/>
      </c>
      <c r="AG532" s="80"/>
      <c r="AH532" s="80" t="str">
        <f>IF(AND(B532&gt;='IN-NX'!$P$3,B532&lt;='IN-NX'!$Q$3,'IN-NX'!$D$7=D532,OR(LEFT(L532,2)="15",AND(LEFT(M532,2)&lt;&gt;"15",LEFT(M532,2)&lt;&gt;"33"))),"x","")</f>
        <v/>
      </c>
      <c r="AI532" s="80" t="str">
        <f>IF(AND(OR(LEFT(TH!O532,2)="15",LEFT(TH!P532,2)="15"),'152-CT'!$J$8=TH!F532),"x","")</f>
        <v/>
      </c>
      <c r="AJ532" s="80" t="str">
        <f>IF(AND(OR(LEFT(TH!O532,2)="15",LEFT(TH!P532,2)="15"),'THE KHO'!$E$7=TH!F532),"x","")</f>
        <v/>
      </c>
      <c r="AK532" s="80" t="str">
        <f>IF(AND(O532="1521",MONTH(C532)='BK NL'!$M$11),"x","")</f>
        <v/>
      </c>
    </row>
    <row r="533" spans="1:37" ht="15.75" customHeight="1">
      <c r="A533" s="362" t="str">
        <f>IF(B533&lt;&gt;"",IF(AND(B533&gt;=_TM1,B533&lt;=_TM2,OR(TH!O533="1111",TH!P533="1111")),TH!D533,""),"")</f>
        <v/>
      </c>
      <c r="B533" s="63">
        <f t="shared" si="35"/>
        <v>7</v>
      </c>
      <c r="C533" s="1045">
        <v>42581</v>
      </c>
      <c r="D533" s="1045" t="s">
        <v>1099</v>
      </c>
      <c r="E533" s="1045">
        <v>42581</v>
      </c>
      <c r="F533" s="1046" t="s">
        <v>1030</v>
      </c>
      <c r="G533" s="1047"/>
      <c r="H533" s="1048"/>
      <c r="I533" s="1049"/>
      <c r="J533" s="1049"/>
      <c r="K533" s="1050"/>
      <c r="L533" s="1049"/>
      <c r="M533" s="1051">
        <f>(158895000)*1%</f>
        <v>1588950</v>
      </c>
      <c r="N533" s="1051"/>
      <c r="O533" s="1052" t="s">
        <v>468</v>
      </c>
      <c r="P533" s="1052" t="s">
        <v>1031</v>
      </c>
      <c r="Q533" s="66" t="str">
        <f>IF(AND('331-CT'!$E$7=TH!H533,OR(O533="331",P533="331")),"x","")</f>
        <v/>
      </c>
      <c r="R533" s="66" t="str">
        <f>IF(AND($B533&gt;='111'!$N$11,$B533&lt;='111'!$O$11,OR($O533=$R$7,$P533=$R$7)),"x","")</f>
        <v/>
      </c>
      <c r="S533" s="66" t="str">
        <f>IF(AND($O533=$R$7,$B533&lt;'111'!$N$11),"x","")</f>
        <v/>
      </c>
      <c r="T533" s="66" t="str">
        <f>IF(AND($P533=$R$7,$B533&lt;'111'!$N$11),"x","")</f>
        <v/>
      </c>
      <c r="U533" s="66" t="str">
        <f>IF(AND($B533&gt;='112'!$M$9,$B533&lt;='112'!$N$9,OR($O533='112'!$I$6,$P533='112'!$I$6)),"x","")</f>
        <v/>
      </c>
      <c r="V533" s="66" t="str">
        <f>IF(AND($O533='112'!$I$6,$B533&lt;'112'!$M$9),"x","")</f>
        <v/>
      </c>
      <c r="W533" s="66" t="str">
        <f>IF(AND($P533='112'!$I$6,$B533&lt;'112'!$M$9),"x","")</f>
        <v/>
      </c>
      <c r="X533" s="66" t="str">
        <f>IF(AND('131-CT'!$H$9=TH!H533,OR(O533="131",P533="131")),"x","")</f>
        <v/>
      </c>
      <c r="Y533" s="80" t="str">
        <f>IF(AND($B533&gt;='1331'!$I$9,$B533&lt;='1331'!$J$9,OR($O533=$Y$7,$P533=$Y$7)),"x","")</f>
        <v/>
      </c>
      <c r="Z533" s="80" t="str">
        <f>IF(AND($O533=$Y$7,$B533&lt;'1331'!$I$9),"x","")</f>
        <v/>
      </c>
      <c r="AA533" s="80" t="str">
        <f>IF(AND($P533=$Y$7,$B533&lt;'1331'!$I$9),"x","")</f>
        <v/>
      </c>
      <c r="AB533" s="80" t="str">
        <f>IF(AND($B533&gt;='1332'!$I$9,$B533&lt;='1332'!$I$9,OR($O533=$AB$7,$P533=$AB$7)),"x","")</f>
        <v/>
      </c>
      <c r="AC533" s="80" t="str">
        <f>IF(AND($O533=$AB$7,$B533&lt;'1332'!$I$9),"x","")</f>
        <v/>
      </c>
      <c r="AD533" s="80" t="str">
        <f>IF(AND($P533=$AB$7,$B533&lt;'1332'!$I$9),"x","")</f>
        <v/>
      </c>
      <c r="AE533" s="80" t="str">
        <f>IF(AND('341-CT'!$H$9=H533,OR(LEFT(O533,3)=$AE$7,LEFT(P533,3)=$AE$7)),"x","")</f>
        <v/>
      </c>
      <c r="AF533" s="80" t="str">
        <f>IF(OR(TH!O533=TH!$AF$7,P533=TH!$AF$7),"x","")</f>
        <v/>
      </c>
      <c r="AG533" s="80"/>
      <c r="AH533" s="80" t="str">
        <f>IF(AND(B533&gt;='IN-NX'!$P$3,B533&lt;='IN-NX'!$Q$3,'IN-NX'!$D$7=D533,OR(LEFT(L533,2)="15",AND(LEFT(M533,2)&lt;&gt;"15",LEFT(M533,2)&lt;&gt;"33"))),"x","")</f>
        <v/>
      </c>
      <c r="AI533" s="80" t="str">
        <f>IF(AND(OR(LEFT(TH!O533,2)="15",LEFT(TH!P533,2)="15"),'152-CT'!$J$8=TH!F533),"x","")</f>
        <v/>
      </c>
      <c r="AJ533" s="80" t="str">
        <f>IF(AND(OR(LEFT(TH!O533,2)="15",LEFT(TH!P533,2)="15"),'THE KHO'!$E$7=TH!F533),"x","")</f>
        <v/>
      </c>
      <c r="AK533" s="80" t="str">
        <f>IF(AND(O533="1521",MONTH(C533)='BK NL'!$M$11),"x","")</f>
        <v/>
      </c>
    </row>
    <row r="534" spans="1:37" ht="15.75" customHeight="1">
      <c r="A534" s="362" t="str">
        <f>IF(B534&lt;&gt;"",IF(AND(B534&gt;=_TM1,B534&lt;=_TM2,OR(TH!O534="1111",TH!P534="1111")),TH!D534,""),"")</f>
        <v/>
      </c>
      <c r="B534" s="63">
        <f t="shared" ref="B534:B565" si="36">IF(C534&lt;&gt;"",MONTH(C534),"")</f>
        <v>8</v>
      </c>
      <c r="C534" s="1118">
        <v>42585</v>
      </c>
      <c r="D534" s="1118" t="s">
        <v>81</v>
      </c>
      <c r="E534" s="1118">
        <v>42585</v>
      </c>
      <c r="F534" s="1119" t="s">
        <v>1114</v>
      </c>
      <c r="G534" s="1120" t="s">
        <v>1115</v>
      </c>
      <c r="H534" s="1121" t="s">
        <v>1054</v>
      </c>
      <c r="I534" s="1055"/>
      <c r="J534" s="1055"/>
      <c r="K534" s="1056"/>
      <c r="L534" s="1055"/>
      <c r="M534" s="1122">
        <v>382006</v>
      </c>
      <c r="N534" s="1122"/>
      <c r="O534" s="1052" t="s">
        <v>135</v>
      </c>
      <c r="P534" s="1117" t="s">
        <v>97</v>
      </c>
      <c r="Q534" s="66" t="str">
        <f>IF(AND('331-CT'!$E$7=TH!H534,OR(O534="331",P534="331")),"x","")</f>
        <v/>
      </c>
      <c r="R534" s="66" t="str">
        <f>IF(AND($B534&gt;='111'!$N$11,$B534&lt;='111'!$O$11,OR($O534=$R$7,$P534=$R$7)),"x","")</f>
        <v>x</v>
      </c>
      <c r="S534" s="66" t="str">
        <f>IF(AND($O534=$R$7,$B534&lt;'111'!$N$11),"x","")</f>
        <v/>
      </c>
      <c r="T534" s="66" t="str">
        <f>IF(AND($P534=$R$7,$B534&lt;'111'!$N$11),"x","")</f>
        <v/>
      </c>
      <c r="U534" s="66" t="str">
        <f>IF(AND($B534&gt;='112'!$M$9,$B534&lt;='112'!$N$9,OR($O534='112'!$I$6,$P534='112'!$I$6)),"x","")</f>
        <v/>
      </c>
      <c r="V534" s="66" t="str">
        <f>IF(AND($O534='112'!$I$6,$B534&lt;'112'!$M$9),"x","")</f>
        <v/>
      </c>
      <c r="W534" s="66" t="str">
        <f>IF(AND($P534='112'!$I$6,$B534&lt;'112'!$M$9),"x","")</f>
        <v/>
      </c>
      <c r="X534" s="66" t="str">
        <f>IF(AND('131-CT'!$H$9=TH!H534,OR(O534="131",P534="131")),"x","")</f>
        <v/>
      </c>
      <c r="Y534" s="80" t="str">
        <f>IF(AND($B534&gt;='1331'!$I$9,$B534&lt;='1331'!$J$9,OR($O534=$Y$7,$P534=$Y$7)),"x","")</f>
        <v/>
      </c>
      <c r="Z534" s="80" t="str">
        <f>IF(AND($O534=$Y$7,$B534&lt;'1331'!$I$9),"x","")</f>
        <v/>
      </c>
      <c r="AA534" s="80" t="str">
        <f>IF(AND($P534=$Y$7,$B534&lt;'1331'!$I$9),"x","")</f>
        <v/>
      </c>
      <c r="AB534" s="80" t="str">
        <f>IF(AND($B534&gt;='1332'!$I$9,$B534&lt;='1332'!$I$9,OR($O534=$AB$7,$P534=$AB$7)),"x","")</f>
        <v/>
      </c>
      <c r="AC534" s="80" t="str">
        <f>IF(AND($O534=$AB$7,$B534&lt;'1332'!$I$9),"x","")</f>
        <v/>
      </c>
      <c r="AD534" s="80" t="str">
        <f>IF(AND($P534=$AB$7,$B534&lt;'1332'!$I$9),"x","")</f>
        <v/>
      </c>
      <c r="AE534" s="80" t="str">
        <f>IF(AND('341-CT'!$H$9=H534,OR(LEFT(O534,3)=$AE$7,LEFT(P534,3)=$AE$7)),"x","")</f>
        <v/>
      </c>
      <c r="AF534" s="80" t="str">
        <f>IF(OR(TH!O534=TH!$AF$7,P534=TH!$AF$7),"x","")</f>
        <v/>
      </c>
      <c r="AG534" s="80"/>
      <c r="AH534" s="80" t="str">
        <f>IF(AND(B534&gt;='IN-NX'!$P$3,B534&lt;='IN-NX'!$Q$3,'IN-NX'!$D$7=D534,OR(LEFT(L534,2)="15",AND(LEFT(M534,2)&lt;&gt;"15",LEFT(M534,2)&lt;&gt;"33"))),"x","")</f>
        <v/>
      </c>
      <c r="AI534" s="80" t="str">
        <f>IF(AND(OR(LEFT(TH!O534,2)="15",LEFT(TH!P534,2)="15"),'152-CT'!$J$8=TH!F534),"x","")</f>
        <v/>
      </c>
      <c r="AJ534" s="80" t="str">
        <f>IF(AND(OR(LEFT(TH!O534,2)="15",LEFT(TH!P534,2)="15"),'THE KHO'!$E$7=TH!F534),"x","")</f>
        <v/>
      </c>
      <c r="AK534" s="80" t="str">
        <f>IF(AND(O534="1521",MONTH(C534)='BK NL'!$M$11),"x","")</f>
        <v/>
      </c>
    </row>
    <row r="535" spans="1:37" ht="15.75" customHeight="1">
      <c r="A535" s="362" t="str">
        <f>IF(B535&lt;&gt;"",IF(AND(B535&gt;=_TM1,B535&lt;=_TM2,OR(TH!O535="1111",TH!P535="1111")),TH!D535,""),"")</f>
        <v/>
      </c>
      <c r="B535" s="63">
        <f t="shared" si="36"/>
        <v>8</v>
      </c>
      <c r="C535" s="1118">
        <v>42585</v>
      </c>
      <c r="D535" s="1118" t="s">
        <v>81</v>
      </c>
      <c r="E535" s="1118">
        <v>42585</v>
      </c>
      <c r="F535" s="1119" t="s">
        <v>1116</v>
      </c>
      <c r="G535" s="1120" t="s">
        <v>1117</v>
      </c>
      <c r="H535" s="1121" t="s">
        <v>1054</v>
      </c>
      <c r="I535" s="1055"/>
      <c r="J535" s="1055"/>
      <c r="K535" s="1056"/>
      <c r="L535" s="1055"/>
      <c r="M535" s="1122">
        <v>38201</v>
      </c>
      <c r="N535" s="1122"/>
      <c r="O535" s="1125" t="s">
        <v>10</v>
      </c>
      <c r="P535" s="1117" t="s">
        <v>97</v>
      </c>
      <c r="Q535" s="66" t="str">
        <f>IF(AND('331-CT'!$E$7=TH!H535,OR(O535="331",P535="331")),"x","")</f>
        <v/>
      </c>
      <c r="R535" s="66" t="str">
        <f>IF(AND($B535&gt;='111'!$N$11,$B535&lt;='111'!$O$11,OR($O535=$R$7,$P535=$R$7)),"x","")</f>
        <v>x</v>
      </c>
      <c r="S535" s="66" t="str">
        <f>IF(AND($O535=$R$7,$B535&lt;'111'!$N$11),"x","")</f>
        <v/>
      </c>
      <c r="T535" s="66" t="str">
        <f>IF(AND($P535=$R$7,$B535&lt;'111'!$N$11),"x","")</f>
        <v/>
      </c>
      <c r="U535" s="66" t="str">
        <f>IF(AND($B535&gt;='112'!$M$9,$B535&lt;='112'!$N$9,OR($O535='112'!$I$6,$P535='112'!$I$6)),"x","")</f>
        <v/>
      </c>
      <c r="V535" s="66" t="str">
        <f>IF(AND($O535='112'!$I$6,$B535&lt;'112'!$M$9),"x","")</f>
        <v/>
      </c>
      <c r="W535" s="66" t="str">
        <f>IF(AND($P535='112'!$I$6,$B535&lt;'112'!$M$9),"x","")</f>
        <v/>
      </c>
      <c r="X535" s="66" t="str">
        <f>IF(AND('131-CT'!$H$9=TH!H535,OR(O535="131",P535="131")),"x","")</f>
        <v/>
      </c>
      <c r="Y535" s="80" t="str">
        <f>IF(AND($B535&gt;='1331'!$I$9,$B535&lt;='1331'!$J$9,OR($O535=$Y$7,$P535=$Y$7)),"x","")</f>
        <v>x</v>
      </c>
      <c r="Z535" s="80" t="str">
        <f>IF(AND($O535=$Y$7,$B535&lt;'1331'!$I$9),"x","")</f>
        <v/>
      </c>
      <c r="AA535" s="80" t="str">
        <f>IF(AND($P535=$Y$7,$B535&lt;'1331'!$I$9),"x","")</f>
        <v/>
      </c>
      <c r="AB535" s="80" t="str">
        <f>IF(AND($B535&gt;='1332'!$I$9,$B535&lt;='1332'!$I$9,OR($O535=$AB$7,$P535=$AB$7)),"x","")</f>
        <v/>
      </c>
      <c r="AC535" s="80" t="str">
        <f>IF(AND($O535=$AB$7,$B535&lt;'1332'!$I$9),"x","")</f>
        <v/>
      </c>
      <c r="AD535" s="80" t="str">
        <f>IF(AND($P535=$AB$7,$B535&lt;'1332'!$I$9),"x","")</f>
        <v/>
      </c>
      <c r="AE535" s="80" t="str">
        <f>IF(AND('341-CT'!$H$9=H535,OR(LEFT(O535,3)=$AE$7,LEFT(P535,3)=$AE$7)),"x","")</f>
        <v/>
      </c>
      <c r="AF535" s="80" t="str">
        <f>IF(OR(TH!O535=TH!$AF$7,P535=TH!$AF$7),"x","")</f>
        <v/>
      </c>
      <c r="AG535" s="80"/>
      <c r="AH535" s="80" t="str">
        <f>IF(AND(B535&gt;='IN-NX'!$P$3,B535&lt;='IN-NX'!$Q$3,'IN-NX'!$D$7=D535,OR(LEFT(L535,2)="15",AND(LEFT(M535,2)&lt;&gt;"15",LEFT(M535,2)&lt;&gt;"33"))),"x","")</f>
        <v/>
      </c>
      <c r="AI535" s="80" t="str">
        <f>IF(AND(OR(LEFT(TH!O535,2)="15",LEFT(TH!P535,2)="15"),'152-CT'!$J$8=TH!F535),"x","")</f>
        <v/>
      </c>
      <c r="AJ535" s="80" t="str">
        <f>IF(AND(OR(LEFT(TH!O535,2)="15",LEFT(TH!P535,2)="15"),'THE KHO'!$E$7=TH!F535),"x","")</f>
        <v/>
      </c>
      <c r="AK535" s="80" t="str">
        <f>IF(AND(O535="1521",MONTH(C535)='BK NL'!$M$11),"x","")</f>
        <v/>
      </c>
    </row>
    <row r="536" spans="1:37" ht="15.75" customHeight="1">
      <c r="A536" s="362" t="str">
        <f>IF(B536&lt;&gt;"",IF(AND(B536&gt;=_TM1,B536&lt;=_TM2,OR(TH!O536="1111",TH!P536="1111")),TH!D536,""),"")</f>
        <v/>
      </c>
      <c r="B536" s="63">
        <f t="shared" si="36"/>
        <v>8</v>
      </c>
      <c r="C536" s="1045">
        <v>42585</v>
      </c>
      <c r="D536" s="1045" t="s">
        <v>187</v>
      </c>
      <c r="E536" s="1045">
        <v>42576</v>
      </c>
      <c r="F536" s="1119" t="s">
        <v>1118</v>
      </c>
      <c r="G536" s="1126" t="s">
        <v>1119</v>
      </c>
      <c r="H536" s="1121" t="s">
        <v>1050</v>
      </c>
      <c r="I536" s="1049"/>
      <c r="J536" s="1049"/>
      <c r="K536" s="1050"/>
      <c r="L536" s="1049"/>
      <c r="M536" s="1051">
        <v>8184400</v>
      </c>
      <c r="N536" s="1051"/>
      <c r="O536" s="1116" t="s">
        <v>135</v>
      </c>
      <c r="P536" s="1117" t="s">
        <v>97</v>
      </c>
      <c r="Q536" s="66" t="str">
        <f>IF(AND('331-CT'!$E$7=TH!H536,OR(O536="331",P536="331")),"x","")</f>
        <v/>
      </c>
      <c r="R536" s="66" t="str">
        <f>IF(AND($B536&gt;='111'!$N$11,$B536&lt;='111'!$O$11,OR($O536=$R$7,$P536=$R$7)),"x","")</f>
        <v>x</v>
      </c>
      <c r="S536" s="66" t="str">
        <f>IF(AND($O536=$R$7,$B536&lt;'111'!$N$11),"x","")</f>
        <v/>
      </c>
      <c r="T536" s="66" t="str">
        <f>IF(AND($P536=$R$7,$B536&lt;'111'!$N$11),"x","")</f>
        <v/>
      </c>
      <c r="U536" s="66" t="str">
        <f>IF(AND($B536&gt;='112'!$M$9,$B536&lt;='112'!$N$9,OR($O536='112'!$I$6,$P536='112'!$I$6)),"x","")</f>
        <v/>
      </c>
      <c r="V536" s="66" t="str">
        <f>IF(AND($O536='112'!$I$6,$B536&lt;'112'!$M$9),"x","")</f>
        <v/>
      </c>
      <c r="W536" s="66" t="str">
        <f>IF(AND($P536='112'!$I$6,$B536&lt;'112'!$M$9),"x","")</f>
        <v/>
      </c>
      <c r="X536" s="66" t="str">
        <f>IF(AND('131-CT'!$H$9=TH!H536,OR(O536="131",P536="131")),"x","")</f>
        <v/>
      </c>
      <c r="Y536" s="80" t="str">
        <f>IF(AND($B536&gt;='1331'!$I$9,$B536&lt;='1331'!$J$9,OR($O536=$Y$7,$P536=$Y$7)),"x","")</f>
        <v/>
      </c>
      <c r="Z536" s="80" t="str">
        <f>IF(AND($O536=$Y$7,$B536&lt;'1331'!$I$9),"x","")</f>
        <v/>
      </c>
      <c r="AA536" s="80" t="str">
        <f>IF(AND($P536=$Y$7,$B536&lt;'1331'!$I$9),"x","")</f>
        <v/>
      </c>
      <c r="AB536" s="80" t="str">
        <f>IF(AND($B536&gt;='1332'!$I$9,$B536&lt;='1332'!$I$9,OR($O536=$AB$7,$P536=$AB$7)),"x","")</f>
        <v/>
      </c>
      <c r="AC536" s="80" t="str">
        <f>IF(AND($O536=$AB$7,$B536&lt;'1332'!$I$9),"x","")</f>
        <v/>
      </c>
      <c r="AD536" s="80" t="str">
        <f>IF(AND($P536=$AB$7,$B536&lt;'1332'!$I$9),"x","")</f>
        <v/>
      </c>
      <c r="AE536" s="80" t="str">
        <f>IF(AND('341-CT'!$H$9=H536,OR(LEFT(O536,3)=$AE$7,LEFT(P536,3)=$AE$7)),"x","")</f>
        <v/>
      </c>
      <c r="AF536" s="80" t="str">
        <f>IF(OR(TH!O536=TH!$AF$7,P536=TH!$AF$7),"x","")</f>
        <v/>
      </c>
      <c r="AG536" s="80"/>
      <c r="AH536" s="80" t="str">
        <f>IF(AND(B536&gt;='IN-NX'!$P$3,B536&lt;='IN-NX'!$Q$3,'IN-NX'!$D$7=D536,OR(LEFT(L536,2)="15",AND(LEFT(M536,2)&lt;&gt;"15",LEFT(M536,2)&lt;&gt;"33"))),"x","")</f>
        <v/>
      </c>
      <c r="AI536" s="80" t="str">
        <f>IF(AND(OR(LEFT(TH!O536,2)="15",LEFT(TH!P536,2)="15"),'152-CT'!$J$8=TH!F536),"x","")</f>
        <v/>
      </c>
      <c r="AJ536" s="80" t="str">
        <f>IF(AND(OR(LEFT(TH!O536,2)="15",LEFT(TH!P536,2)="15"),'THE KHO'!$E$7=TH!F536),"x","")</f>
        <v/>
      </c>
      <c r="AK536" s="80" t="str">
        <f>IF(AND(O536="1521",MONTH(C536)='BK NL'!$M$11),"x","")</f>
        <v/>
      </c>
    </row>
    <row r="537" spans="1:37" ht="15.75" customHeight="1">
      <c r="A537" s="362" t="str">
        <f>IF(B537&lt;&gt;"",IF(AND(B537&gt;=_TM1,B537&lt;=_TM2,OR(TH!O537="1111",TH!P537="1111")),TH!D537,""),"")</f>
        <v/>
      </c>
      <c r="B537" s="63">
        <f t="shared" si="36"/>
        <v>8</v>
      </c>
      <c r="C537" s="1045">
        <v>42585</v>
      </c>
      <c r="D537" s="1045" t="s">
        <v>187</v>
      </c>
      <c r="E537" s="1045">
        <v>42576</v>
      </c>
      <c r="F537" s="1119" t="s">
        <v>1120</v>
      </c>
      <c r="G537" s="1126" t="s">
        <v>1119</v>
      </c>
      <c r="H537" s="1121" t="s">
        <v>1050</v>
      </c>
      <c r="I537" s="1049"/>
      <c r="J537" s="1049"/>
      <c r="K537" s="1050"/>
      <c r="L537" s="1049"/>
      <c r="M537" s="1051">
        <v>409220</v>
      </c>
      <c r="N537" s="1051"/>
      <c r="O537" s="1052" t="s">
        <v>10</v>
      </c>
      <c r="P537" s="1117" t="s">
        <v>97</v>
      </c>
      <c r="Q537" s="66" t="str">
        <f>IF(AND('331-CT'!$E$7=TH!H537,OR(O537="331",P537="331")),"x","")</f>
        <v/>
      </c>
      <c r="R537" s="66" t="str">
        <f>IF(AND($B537&gt;='111'!$N$11,$B537&lt;='111'!$O$11,OR($O537=$R$7,$P537=$R$7)),"x","")</f>
        <v>x</v>
      </c>
      <c r="S537" s="66" t="str">
        <f>IF(AND($O537=$R$7,$B537&lt;'111'!$N$11),"x","")</f>
        <v/>
      </c>
      <c r="T537" s="66" t="str">
        <f>IF(AND($P537=$R$7,$B537&lt;'111'!$N$11),"x","")</f>
        <v/>
      </c>
      <c r="U537" s="66" t="str">
        <f>IF(AND($B537&gt;='112'!$M$9,$B537&lt;='112'!$N$9,OR($O537='112'!$I$6,$P537='112'!$I$6)),"x","")</f>
        <v/>
      </c>
      <c r="V537" s="66" t="str">
        <f>IF(AND($O537='112'!$I$6,$B537&lt;'112'!$M$9),"x","")</f>
        <v/>
      </c>
      <c r="W537" s="66" t="str">
        <f>IF(AND($P537='112'!$I$6,$B537&lt;'112'!$M$9),"x","")</f>
        <v/>
      </c>
      <c r="X537" s="66" t="str">
        <f>IF(AND('131-CT'!$H$9=TH!H537,OR(O537="131",P537="131")),"x","")</f>
        <v/>
      </c>
      <c r="Y537" s="80" t="str">
        <f>IF(AND($B537&gt;='1331'!$I$9,$B537&lt;='1331'!$J$9,OR($O537=$Y$7,$P537=$Y$7)),"x","")</f>
        <v>x</v>
      </c>
      <c r="Z537" s="80" t="str">
        <f>IF(AND($O537=$Y$7,$B537&lt;'1331'!$I$9),"x","")</f>
        <v/>
      </c>
      <c r="AA537" s="80" t="str">
        <f>IF(AND($P537=$Y$7,$B537&lt;'1331'!$I$9),"x","")</f>
        <v/>
      </c>
      <c r="AB537" s="80" t="str">
        <f>IF(AND($B537&gt;='1332'!$I$9,$B537&lt;='1332'!$I$9,OR($O537=$AB$7,$P537=$AB$7)),"x","")</f>
        <v/>
      </c>
      <c r="AC537" s="80" t="str">
        <f>IF(AND($O537=$AB$7,$B537&lt;'1332'!$I$9),"x","")</f>
        <v/>
      </c>
      <c r="AD537" s="80" t="str">
        <f>IF(AND($P537=$AB$7,$B537&lt;'1332'!$I$9),"x","")</f>
        <v/>
      </c>
      <c r="AE537" s="80" t="str">
        <f>IF(AND('341-CT'!$H$9=H537,OR(LEFT(O537,3)=$AE$7,LEFT(P537,3)=$AE$7)),"x","")</f>
        <v/>
      </c>
      <c r="AF537" s="80" t="str">
        <f>IF(OR(TH!O537=TH!$AF$7,P537=TH!$AF$7),"x","")</f>
        <v/>
      </c>
      <c r="AG537" s="80"/>
      <c r="AH537" s="80" t="str">
        <f>IF(AND(B537&gt;='IN-NX'!$P$3,B537&lt;='IN-NX'!$Q$3,'IN-NX'!$D$7=D537,OR(LEFT(L537,2)="15",AND(LEFT(M537,2)&lt;&gt;"15",LEFT(M537,2)&lt;&gt;"33"))),"x","")</f>
        <v/>
      </c>
      <c r="AI537" s="80" t="str">
        <f>IF(AND(OR(LEFT(TH!O537,2)="15",LEFT(TH!P537,2)="15"),'152-CT'!$J$8=TH!F537),"x","")</f>
        <v/>
      </c>
      <c r="AJ537" s="80" t="str">
        <f>IF(AND(OR(LEFT(TH!O537,2)="15",LEFT(TH!P537,2)="15"),'THE KHO'!$E$7=TH!F537),"x","")</f>
        <v/>
      </c>
      <c r="AK537" s="80" t="str">
        <f>IF(AND(O537="1521",MONTH(C537)='BK NL'!$M$11),"x","")</f>
        <v/>
      </c>
    </row>
    <row r="538" spans="1:37" ht="15.75" customHeight="1">
      <c r="A538" s="362" t="str">
        <f>IF(B538&lt;&gt;"",IF(AND(B538&gt;=_TM1,B538&lt;=_TM2,OR(TH!O538="1111",TH!P538="1111")),TH!D538,""),"")</f>
        <v/>
      </c>
      <c r="B538" s="63">
        <f t="shared" si="36"/>
        <v>8</v>
      </c>
      <c r="C538" s="1045">
        <v>42586</v>
      </c>
      <c r="D538" s="1045" t="s">
        <v>188</v>
      </c>
      <c r="E538" s="1045">
        <v>42586</v>
      </c>
      <c r="F538" s="1046" t="s">
        <v>1008</v>
      </c>
      <c r="G538" s="1053"/>
      <c r="H538" s="1048" t="s">
        <v>429</v>
      </c>
      <c r="I538" s="1049"/>
      <c r="J538" s="1049"/>
      <c r="K538" s="1050"/>
      <c r="L538" s="1049"/>
      <c r="M538" s="1051">
        <f>43000000</f>
        <v>43000000</v>
      </c>
      <c r="N538" s="1051"/>
      <c r="O538" s="1052" t="s">
        <v>24</v>
      </c>
      <c r="P538" s="1052" t="s">
        <v>97</v>
      </c>
      <c r="Q538" s="66" t="str">
        <f>IF(AND('331-CT'!$E$7=TH!H538,OR(O538="331",P538="331")),"x","")</f>
        <v/>
      </c>
      <c r="R538" s="66" t="str">
        <f>IF(AND($B538&gt;='111'!$N$11,$B538&lt;='111'!$O$11,OR($O538=$R$7,$P538=$R$7)),"x","")</f>
        <v>x</v>
      </c>
      <c r="S538" s="66" t="str">
        <f>IF(AND($O538=$R$7,$B538&lt;'111'!$N$11),"x","")</f>
        <v/>
      </c>
      <c r="T538" s="66" t="str">
        <f>IF(AND($P538=$R$7,$B538&lt;'111'!$N$11),"x","")</f>
        <v/>
      </c>
      <c r="U538" s="66" t="str">
        <f>IF(AND($B538&gt;='112'!$M$9,$B538&lt;='112'!$N$9,OR($O538='112'!$I$6,$P538='112'!$I$6)),"x","")</f>
        <v/>
      </c>
      <c r="V538" s="66" t="str">
        <f>IF(AND($O538='112'!$I$6,$B538&lt;'112'!$M$9),"x","")</f>
        <v/>
      </c>
      <c r="W538" s="66" t="str">
        <f>IF(AND($P538='112'!$I$6,$B538&lt;'112'!$M$9),"x","")</f>
        <v/>
      </c>
      <c r="X538" s="66" t="str">
        <f>IF(AND('131-CT'!$H$9=TH!H538,OR(O538="131",P538="131")),"x","")</f>
        <v/>
      </c>
      <c r="Y538" s="80" t="str">
        <f>IF(AND($B538&gt;='1331'!$I$9,$B538&lt;='1331'!$J$9,OR($O538=$Y$7,$P538=$Y$7)),"x","")</f>
        <v/>
      </c>
      <c r="Z538" s="80" t="str">
        <f>IF(AND($O538=$Y$7,$B538&lt;'1331'!$I$9),"x","")</f>
        <v/>
      </c>
      <c r="AA538" s="80" t="str">
        <f>IF(AND($P538=$Y$7,$B538&lt;'1331'!$I$9),"x","")</f>
        <v/>
      </c>
      <c r="AB538" s="80" t="str">
        <f>IF(AND($B538&gt;='1332'!$I$9,$B538&lt;='1332'!$I$9,OR($O538=$AB$7,$P538=$AB$7)),"x","")</f>
        <v/>
      </c>
      <c r="AC538" s="80" t="str">
        <f>IF(AND($O538=$AB$7,$B538&lt;'1332'!$I$9),"x","")</f>
        <v/>
      </c>
      <c r="AD538" s="80" t="str">
        <f>IF(AND($P538=$AB$7,$B538&lt;'1332'!$I$9),"x","")</f>
        <v/>
      </c>
      <c r="AE538" s="80" t="str">
        <f>IF(AND('341-CT'!$H$9=H538,OR(LEFT(O538,3)=$AE$7,LEFT(P538,3)=$AE$7)),"x","")</f>
        <v/>
      </c>
      <c r="AF538" s="80" t="str">
        <f>IF(OR(TH!O538=TH!$AF$7,P538=TH!$AF$7),"x","")</f>
        <v>x</v>
      </c>
      <c r="AG538" s="80"/>
      <c r="AH538" s="80" t="str">
        <f>IF(AND(B538&gt;='IN-NX'!$P$3,B538&lt;='IN-NX'!$Q$3,'IN-NX'!$D$7=D538,OR(LEFT(L538,2)="15",AND(LEFT(M538,2)&lt;&gt;"15",LEFT(M538,2)&lt;&gt;"33"))),"x","")</f>
        <v/>
      </c>
      <c r="AI538" s="80" t="str">
        <f>IF(AND(OR(LEFT(TH!O538,2)="15",LEFT(TH!P538,2)="15"),'152-CT'!$J$8=TH!F538),"x","")</f>
        <v/>
      </c>
      <c r="AJ538" s="80" t="str">
        <f>IF(AND(OR(LEFT(TH!O538,2)="15",LEFT(TH!P538,2)="15"),'THE KHO'!$E$7=TH!F538),"x","")</f>
        <v/>
      </c>
      <c r="AK538" s="80" t="str">
        <f>IF(AND(O538="1521",MONTH(C538)='BK NL'!$M$11),"x","")</f>
        <v/>
      </c>
    </row>
    <row r="539" spans="1:37" ht="15.75" customHeight="1">
      <c r="A539" s="362" t="str">
        <f>IF(B539&lt;&gt;"",IF(AND(B539&gt;=_TM1,B539&lt;=_TM2,OR(TH!O539="1111",TH!P539="1111")),TH!D539,""),"")</f>
        <v/>
      </c>
      <c r="B539" s="63">
        <f t="shared" si="36"/>
        <v>8</v>
      </c>
      <c r="C539" s="1045">
        <f>E539</f>
        <v>42586</v>
      </c>
      <c r="D539" s="1045" t="s">
        <v>12</v>
      </c>
      <c r="E539" s="1045">
        <v>42586</v>
      </c>
      <c r="F539" s="1046" t="s">
        <v>788</v>
      </c>
      <c r="G539" s="1047" t="s">
        <v>798</v>
      </c>
      <c r="H539" s="1048" t="s">
        <v>429</v>
      </c>
      <c r="I539" s="1049"/>
      <c r="J539" s="1049"/>
      <c r="K539" s="1050"/>
      <c r="L539" s="1049"/>
      <c r="M539" s="1051">
        <v>61000000</v>
      </c>
      <c r="N539" s="1051"/>
      <c r="O539" s="1052" t="s">
        <v>31</v>
      </c>
      <c r="P539" s="1052" t="s">
        <v>24</v>
      </c>
      <c r="Q539" s="66" t="str">
        <f>IF(AND('331-CT'!$E$7=TH!H539,OR(O539="331",P539="331")),"x","")</f>
        <v/>
      </c>
      <c r="R539" s="66" t="str">
        <f>IF(AND($B539&gt;='111'!$N$11,$B539&lt;='111'!$O$11,OR($O539=$R$7,$P539=$R$7)),"x","")</f>
        <v/>
      </c>
      <c r="S539" s="66" t="str">
        <f>IF(AND($O539=$R$7,$B539&lt;'111'!$N$11),"x","")</f>
        <v/>
      </c>
      <c r="T539" s="66" t="str">
        <f>IF(AND($P539=$R$7,$B539&lt;'111'!$N$11),"x","")</f>
        <v/>
      </c>
      <c r="U539" s="66" t="str">
        <f>IF(AND($B539&gt;='112'!$M$9,$B539&lt;='112'!$N$9,OR($O539='112'!$I$6,$P539='112'!$I$6)),"x","")</f>
        <v>x</v>
      </c>
      <c r="V539" s="66" t="str">
        <f>IF(AND($O539='112'!$I$6,$B539&lt;'112'!$M$9),"x","")</f>
        <v/>
      </c>
      <c r="W539" s="66" t="str">
        <f>IF(AND($P539='112'!$I$6,$B539&lt;'112'!$M$9),"x","")</f>
        <v/>
      </c>
      <c r="X539" s="66" t="str">
        <f>IF(AND('131-CT'!$H$9=TH!H539,OR(O539="131",P539="131")),"x","")</f>
        <v/>
      </c>
      <c r="Y539" s="80" t="str">
        <f>IF(AND($B539&gt;='1331'!$I$9,$B539&lt;='1331'!$J$9,OR($O539=$Y$7,$P539=$Y$7)),"x","")</f>
        <v/>
      </c>
      <c r="Z539" s="80" t="str">
        <f>IF(AND($O539=$Y$7,$B539&lt;'1331'!$I$9),"x","")</f>
        <v/>
      </c>
      <c r="AA539" s="80" t="str">
        <f>IF(AND($P539=$Y$7,$B539&lt;'1331'!$I$9),"x","")</f>
        <v/>
      </c>
      <c r="AB539" s="80" t="str">
        <f>IF(AND($B539&gt;='1332'!$I$9,$B539&lt;='1332'!$I$9,OR($O539=$AB$7,$P539=$AB$7)),"x","")</f>
        <v/>
      </c>
      <c r="AC539" s="80" t="str">
        <f>IF(AND($O539=$AB$7,$B539&lt;'1332'!$I$9),"x","")</f>
        <v/>
      </c>
      <c r="AD539" s="80" t="str">
        <f>IF(AND($P539=$AB$7,$B539&lt;'1332'!$I$9),"x","")</f>
        <v/>
      </c>
      <c r="AE539" s="80" t="str">
        <f>IF(AND('341-CT'!$H$9=H539,OR(LEFT(O539,3)=$AE$7,LEFT(P539,3)=$AE$7)),"x","")</f>
        <v/>
      </c>
      <c r="AF539" s="80" t="str">
        <f>IF(OR(TH!O539=TH!$AF$7,P539=TH!$AF$7),"x","")</f>
        <v>x</v>
      </c>
      <c r="AG539" s="80"/>
      <c r="AH539" s="80" t="str">
        <f>IF(AND(B539&gt;='IN-NX'!$P$3,B539&lt;='IN-NX'!$Q$3,'IN-NX'!$D$7=D539,OR(LEFT(L539,2)="15",AND(LEFT(M539,2)&lt;&gt;"15",LEFT(M539,2)&lt;&gt;"33"))),"x","")</f>
        <v/>
      </c>
      <c r="AI539" s="80" t="str">
        <f>IF(AND(OR(LEFT(TH!O539,2)="15",LEFT(TH!P539,2)="15"),'152-CT'!$J$8=TH!F539),"x","")</f>
        <v/>
      </c>
      <c r="AJ539" s="80" t="str">
        <f>IF(AND(OR(LEFT(TH!O539,2)="15",LEFT(TH!P539,2)="15"),'THE KHO'!$E$7=TH!F539),"x","")</f>
        <v/>
      </c>
      <c r="AK539" s="80" t="str">
        <f>IF(AND(O539="1521",MONTH(C539)='BK NL'!$M$11),"x","")</f>
        <v/>
      </c>
    </row>
    <row r="540" spans="1:37" ht="15.75" customHeight="1">
      <c r="A540" s="362" t="str">
        <f>IF(B540&lt;&gt;"",IF(AND(B540&gt;=_TM1,B540&lt;=_TM2,OR(TH!O540="1111",TH!P540="1111")),TH!D540,""),"")</f>
        <v/>
      </c>
      <c r="B540" s="63">
        <f t="shared" si="36"/>
        <v>8</v>
      </c>
      <c r="C540" s="1045">
        <f>E540</f>
        <v>42586</v>
      </c>
      <c r="D540" s="1045" t="s">
        <v>8</v>
      </c>
      <c r="E540" s="1045">
        <v>42586</v>
      </c>
      <c r="F540" s="1046" t="s">
        <v>1121</v>
      </c>
      <c r="G540" s="1047" t="s">
        <v>798</v>
      </c>
      <c r="H540" s="1048" t="s">
        <v>758</v>
      </c>
      <c r="I540" s="1049"/>
      <c r="J540" s="1049"/>
      <c r="K540" s="1050"/>
      <c r="L540" s="1049"/>
      <c r="M540" s="1051">
        <v>40920000</v>
      </c>
      <c r="N540" s="1051"/>
      <c r="O540" s="1052" t="s">
        <v>9</v>
      </c>
      <c r="P540" s="1052" t="s">
        <v>31</v>
      </c>
      <c r="Q540" s="66" t="str">
        <f>IF(AND('331-CT'!$E$7=TH!H540,OR(O540="331",P540="331")),"x","")</f>
        <v/>
      </c>
      <c r="R540" s="66" t="str">
        <f>IF(AND($B540&gt;='111'!$N$11,$B540&lt;='111'!$O$11,OR($O540=$R$7,$P540=$R$7)),"x","")</f>
        <v/>
      </c>
      <c r="S540" s="66" t="str">
        <f>IF(AND($O540=$R$7,$B540&lt;'111'!$N$11),"x","")</f>
        <v/>
      </c>
      <c r="T540" s="66" t="str">
        <f>IF(AND($P540=$R$7,$B540&lt;'111'!$N$11),"x","")</f>
        <v/>
      </c>
      <c r="U540" s="66" t="str">
        <f>IF(AND($B540&gt;='112'!$M$9,$B540&lt;='112'!$N$9,OR($O540='112'!$I$6,$P540='112'!$I$6)),"x","")</f>
        <v>x</v>
      </c>
      <c r="V540" s="66" t="str">
        <f>IF(AND($O540='112'!$I$6,$B540&lt;'112'!$M$9),"x","")</f>
        <v/>
      </c>
      <c r="W540" s="66" t="str">
        <f>IF(AND($P540='112'!$I$6,$B540&lt;'112'!$M$9),"x","")</f>
        <v/>
      </c>
      <c r="X540" s="66" t="str">
        <f>IF(AND('131-CT'!$H$9=TH!H540,OR(O540="131",P540="131")),"x","")</f>
        <v/>
      </c>
      <c r="Y540" s="80" t="str">
        <f>IF(AND($B540&gt;='1331'!$I$9,$B540&lt;='1331'!$J$9,OR($O540=$Y$7,$P540=$Y$7)),"x","")</f>
        <v/>
      </c>
      <c r="Z540" s="80" t="str">
        <f>IF(AND($O540=$Y$7,$B540&lt;'1331'!$I$9),"x","")</f>
        <v/>
      </c>
      <c r="AA540" s="80" t="str">
        <f>IF(AND($P540=$Y$7,$B540&lt;'1331'!$I$9),"x","")</f>
        <v/>
      </c>
      <c r="AB540" s="80" t="str">
        <f>IF(AND($B540&gt;='1332'!$I$9,$B540&lt;='1332'!$I$9,OR($O540=$AB$7,$P540=$AB$7)),"x","")</f>
        <v/>
      </c>
      <c r="AC540" s="80" t="str">
        <f>IF(AND($O540=$AB$7,$B540&lt;'1332'!$I$9),"x","")</f>
        <v/>
      </c>
      <c r="AD540" s="80" t="str">
        <f>IF(AND($P540=$AB$7,$B540&lt;'1332'!$I$9),"x","")</f>
        <v/>
      </c>
      <c r="AE540" s="80" t="str">
        <f>IF(AND('341-CT'!$H$9=H540,OR(LEFT(O540,3)=$AE$7,LEFT(P540,3)=$AE$7)),"x","")</f>
        <v/>
      </c>
      <c r="AF540" s="80" t="str">
        <f>IF(OR(TH!O540=TH!$AF$7,P540=TH!$AF$7),"x","")</f>
        <v/>
      </c>
      <c r="AG540" s="80"/>
      <c r="AH540" s="80" t="str">
        <f>IF(AND(B540&gt;='IN-NX'!$P$3,B540&lt;='IN-NX'!$Q$3,'IN-NX'!$D$7=D540,OR(LEFT(L540,2)="15",AND(LEFT(M540,2)&lt;&gt;"15",LEFT(M540,2)&lt;&gt;"33"))),"x","")</f>
        <v/>
      </c>
      <c r="AI540" s="80" t="str">
        <f>IF(AND(OR(LEFT(TH!O540,2)="15",LEFT(TH!P540,2)="15"),'152-CT'!$J$8=TH!F540),"x","")</f>
        <v/>
      </c>
      <c r="AJ540" s="80" t="str">
        <f>IF(AND(OR(LEFT(TH!O540,2)="15",LEFT(TH!P540,2)="15"),'THE KHO'!$E$7=TH!F540),"x","")</f>
        <v/>
      </c>
      <c r="AK540" s="80" t="str">
        <f>IF(AND(O540="1521",MONTH(C540)='BK NL'!$M$11),"x","")</f>
        <v/>
      </c>
    </row>
    <row r="541" spans="1:37" ht="15.75" customHeight="1">
      <c r="A541" s="362" t="str">
        <f>IF(B541&lt;&gt;"",IF(AND(B541&gt;=_TM1,B541&lt;=_TM2,OR(TH!O541="1111",TH!P541="1111")),TH!D541,""),"")</f>
        <v/>
      </c>
      <c r="B541" s="63">
        <f t="shared" si="36"/>
        <v>8</v>
      </c>
      <c r="C541" s="1045">
        <f>E541</f>
        <v>42586</v>
      </c>
      <c r="D541" s="1045" t="s">
        <v>8</v>
      </c>
      <c r="E541" s="1045">
        <v>42586</v>
      </c>
      <c r="F541" s="1046" t="s">
        <v>22</v>
      </c>
      <c r="G541" s="1047" t="s">
        <v>798</v>
      </c>
      <c r="H541" s="1129"/>
      <c r="I541" s="1135"/>
      <c r="J541" s="1135"/>
      <c r="K541" s="1136"/>
      <c r="L541" s="1135"/>
      <c r="M541" s="1051">
        <v>25000</v>
      </c>
      <c r="N541" s="1051"/>
      <c r="O541" s="1052" t="s">
        <v>135</v>
      </c>
      <c r="P541" s="1052" t="s">
        <v>31</v>
      </c>
      <c r="Q541" s="66" t="str">
        <f>IF(AND('331-CT'!$E$7=TH!H541,OR(O541="331",P541="331")),"x","")</f>
        <v/>
      </c>
      <c r="R541" s="66" t="str">
        <f>IF(AND($B541&gt;='111'!$N$11,$B541&lt;='111'!$O$11,OR($O541=$R$7,$P541=$R$7)),"x","")</f>
        <v/>
      </c>
      <c r="S541" s="66" t="str">
        <f>IF(AND($O541=$R$7,$B541&lt;'111'!$N$11),"x","")</f>
        <v/>
      </c>
      <c r="T541" s="66" t="str">
        <f>IF(AND($P541=$R$7,$B541&lt;'111'!$N$11),"x","")</f>
        <v/>
      </c>
      <c r="U541" s="66" t="str">
        <f>IF(AND($B541&gt;='112'!$M$9,$B541&lt;='112'!$N$9,OR($O541='112'!$I$6,$P541='112'!$I$6)),"x","")</f>
        <v>x</v>
      </c>
      <c r="V541" s="66" t="str">
        <f>IF(AND($O541='112'!$I$6,$B541&lt;'112'!$M$9),"x","")</f>
        <v/>
      </c>
      <c r="W541" s="66" t="str">
        <f>IF(AND($P541='112'!$I$6,$B541&lt;'112'!$M$9),"x","")</f>
        <v/>
      </c>
      <c r="X541" s="66" t="str">
        <f>IF(AND('131-CT'!$H$9=TH!H541,OR(O541="131",P541="131")),"x","")</f>
        <v/>
      </c>
      <c r="Y541" s="80" t="str">
        <f>IF(AND($B541&gt;='1331'!$I$9,$B541&lt;='1331'!$J$9,OR($O541=$Y$7,$P541=$Y$7)),"x","")</f>
        <v/>
      </c>
      <c r="Z541" s="80" t="str">
        <f>IF(AND($O541=$Y$7,$B541&lt;'1331'!$I$9),"x","")</f>
        <v/>
      </c>
      <c r="AA541" s="80" t="str">
        <f>IF(AND($P541=$Y$7,$B541&lt;'1331'!$I$9),"x","")</f>
        <v/>
      </c>
      <c r="AB541" s="80" t="str">
        <f>IF(AND($B541&gt;='1332'!$I$9,$B541&lt;='1332'!$I$9,OR($O541=$AB$7,$P541=$AB$7)),"x","")</f>
        <v/>
      </c>
      <c r="AC541" s="80" t="str">
        <f>IF(AND($O541=$AB$7,$B541&lt;'1332'!$I$9),"x","")</f>
        <v/>
      </c>
      <c r="AD541" s="80" t="str">
        <f>IF(AND($P541=$AB$7,$B541&lt;'1332'!$I$9),"x","")</f>
        <v/>
      </c>
      <c r="AE541" s="80" t="str">
        <f>IF(AND('341-CT'!$H$9=H541,OR(LEFT(O541,3)=$AE$7,LEFT(P541,3)=$AE$7)),"x","")</f>
        <v/>
      </c>
      <c r="AF541" s="80" t="str">
        <f>IF(OR(TH!O541=TH!$AF$7,P541=TH!$AF$7),"x","")</f>
        <v/>
      </c>
      <c r="AG541" s="80"/>
      <c r="AH541" s="80" t="str">
        <f>IF(AND(B541&gt;='IN-NX'!$P$3,B541&lt;='IN-NX'!$Q$3,'IN-NX'!$D$7=D541,OR(LEFT(L541,2)="15",AND(LEFT(M541,2)&lt;&gt;"15",LEFT(M541,2)&lt;&gt;"33"))),"x","")</f>
        <v/>
      </c>
      <c r="AI541" s="80" t="str">
        <f>IF(AND(OR(LEFT(TH!O541,2)="15",LEFT(TH!P541,2)="15"),'152-CT'!$J$8=TH!F541),"x","")</f>
        <v/>
      </c>
      <c r="AJ541" s="80" t="str">
        <f>IF(AND(OR(LEFT(TH!O541,2)="15",LEFT(TH!P541,2)="15"),'THE KHO'!$E$7=TH!F541),"x","")</f>
        <v/>
      </c>
      <c r="AK541" s="80" t="str">
        <f>IF(AND(O541="1521",MONTH(C541)='BK NL'!$M$11),"x","")</f>
        <v/>
      </c>
    </row>
    <row r="542" spans="1:37" ht="15.75" customHeight="1">
      <c r="A542" s="362" t="str">
        <f>IF(B542&lt;&gt;"",IF(AND(B542&gt;=_TM1,B542&lt;=_TM2,OR(TH!O542="1111",TH!P542="1111")),TH!D542,""),"")</f>
        <v/>
      </c>
      <c r="B542" s="63">
        <f t="shared" si="36"/>
        <v>8</v>
      </c>
      <c r="C542" s="1045">
        <f>E542</f>
        <v>42586</v>
      </c>
      <c r="D542" s="1045" t="s">
        <v>8</v>
      </c>
      <c r="E542" s="1045">
        <v>42586</v>
      </c>
      <c r="F542" s="1046" t="s">
        <v>23</v>
      </c>
      <c r="G542" s="1047" t="s">
        <v>798</v>
      </c>
      <c r="H542" s="1048"/>
      <c r="I542" s="1049"/>
      <c r="J542" s="1049"/>
      <c r="K542" s="1050"/>
      <c r="L542" s="1049"/>
      <c r="M542" s="1137">
        <v>2500</v>
      </c>
      <c r="N542" s="1137"/>
      <c r="O542" s="1052" t="s">
        <v>10</v>
      </c>
      <c r="P542" s="1052" t="s">
        <v>31</v>
      </c>
      <c r="Q542" s="66" t="str">
        <f>IF(AND('331-CT'!$E$7=TH!H542,OR(O542="331",P542="331")),"x","")</f>
        <v/>
      </c>
      <c r="R542" s="66" t="str">
        <f>IF(AND($B542&gt;='111'!$N$11,$B542&lt;='111'!$O$11,OR($O542=$R$7,$P542=$R$7)),"x","")</f>
        <v/>
      </c>
      <c r="S542" s="66" t="str">
        <f>IF(AND($O542=$R$7,$B542&lt;'111'!$N$11),"x","")</f>
        <v/>
      </c>
      <c r="T542" s="66" t="str">
        <f>IF(AND($P542=$R$7,$B542&lt;'111'!$N$11),"x","")</f>
        <v/>
      </c>
      <c r="U542" s="66" t="str">
        <f>IF(AND($B542&gt;='112'!$M$9,$B542&lt;='112'!$N$9,OR($O542='112'!$I$6,$P542='112'!$I$6)),"x","")</f>
        <v>x</v>
      </c>
      <c r="V542" s="66" t="str">
        <f>IF(AND($O542='112'!$I$6,$B542&lt;'112'!$M$9),"x","")</f>
        <v/>
      </c>
      <c r="W542" s="66" t="str">
        <f>IF(AND($P542='112'!$I$6,$B542&lt;'112'!$M$9),"x","")</f>
        <v/>
      </c>
      <c r="X542" s="66" t="str">
        <f>IF(AND('131-CT'!$H$9=TH!H542,OR(O542="131",P542="131")),"x","")</f>
        <v/>
      </c>
      <c r="Y542" s="80" t="str">
        <f>IF(AND($B542&gt;='1331'!$I$9,$B542&lt;='1331'!$J$9,OR($O542=$Y$7,$P542=$Y$7)),"x","")</f>
        <v>x</v>
      </c>
      <c r="Z542" s="80" t="str">
        <f>IF(AND($O542=$Y$7,$B542&lt;'1331'!$I$9),"x","")</f>
        <v/>
      </c>
      <c r="AA542" s="80" t="str">
        <f>IF(AND($P542=$Y$7,$B542&lt;'1331'!$I$9),"x","")</f>
        <v/>
      </c>
      <c r="AB542" s="80" t="str">
        <f>IF(AND($B542&gt;='1332'!$I$9,$B542&lt;='1332'!$I$9,OR($O542=$AB$7,$P542=$AB$7)),"x","")</f>
        <v/>
      </c>
      <c r="AC542" s="80" t="str">
        <f>IF(AND($O542=$AB$7,$B542&lt;'1332'!$I$9),"x","")</f>
        <v/>
      </c>
      <c r="AD542" s="80" t="str">
        <f>IF(AND($P542=$AB$7,$B542&lt;'1332'!$I$9),"x","")</f>
        <v/>
      </c>
      <c r="AE542" s="80" t="str">
        <f>IF(AND('341-CT'!$H$9=H542,OR(LEFT(O542,3)=$AE$7,LEFT(P542,3)=$AE$7)),"x","")</f>
        <v/>
      </c>
      <c r="AF542" s="80" t="str">
        <f>IF(OR(TH!O542=TH!$AF$7,P542=TH!$AF$7),"x","")</f>
        <v/>
      </c>
      <c r="AG542" s="80"/>
      <c r="AH542" s="80" t="str">
        <f>IF(AND(B542&gt;='IN-NX'!$P$3,B542&lt;='IN-NX'!$Q$3,'IN-NX'!$D$7=D542,OR(LEFT(L542,2)="15",AND(LEFT(M542,2)&lt;&gt;"15",LEFT(M542,2)&lt;&gt;"33"))),"x","")</f>
        <v/>
      </c>
      <c r="AI542" s="80" t="str">
        <f>IF(AND(OR(LEFT(TH!O542,2)="15",LEFT(TH!P542,2)="15"),'152-CT'!$J$8=TH!F542),"x","")</f>
        <v/>
      </c>
      <c r="AJ542" s="80" t="str">
        <f>IF(AND(OR(LEFT(TH!O542,2)="15",LEFT(TH!P542,2)="15"),'THE KHO'!$E$7=TH!F542),"x","")</f>
        <v/>
      </c>
      <c r="AK542" s="80" t="str">
        <f>IF(AND(O542="1521",MONTH(C542)='BK NL'!$M$11),"x","")</f>
        <v/>
      </c>
    </row>
    <row r="543" spans="1:37" ht="15.75" customHeight="1">
      <c r="A543" s="362" t="str">
        <f>IF(B543&lt;&gt;"",IF(AND(B543&gt;=_TM1,B543&lt;=_TM2,OR(TH!O543="1111",TH!P543="1111")),TH!D543,""),"")</f>
        <v/>
      </c>
      <c r="B543" s="63">
        <f t="shared" si="36"/>
        <v>8</v>
      </c>
      <c r="C543" s="1045">
        <f>E543</f>
        <v>42587</v>
      </c>
      <c r="D543" s="1045" t="s">
        <v>8</v>
      </c>
      <c r="E543" s="1045">
        <v>42587</v>
      </c>
      <c r="F543" s="1046" t="s">
        <v>1122</v>
      </c>
      <c r="G543" s="1047" t="s">
        <v>798</v>
      </c>
      <c r="H543" s="1048" t="s">
        <v>920</v>
      </c>
      <c r="I543" s="1049"/>
      <c r="J543" s="1049"/>
      <c r="K543" s="1050"/>
      <c r="L543" s="1049"/>
      <c r="M543" s="1051">
        <v>21000000</v>
      </c>
      <c r="N543" s="1051"/>
      <c r="O543" s="1052" t="s">
        <v>9</v>
      </c>
      <c r="P543" s="1052" t="s">
        <v>31</v>
      </c>
      <c r="Q543" s="66" t="str">
        <f>IF(AND('331-CT'!$E$7=TH!H543,OR(O543="331",P543="331")),"x","")</f>
        <v/>
      </c>
      <c r="R543" s="66" t="str">
        <f>IF(AND($B543&gt;='111'!$N$11,$B543&lt;='111'!$O$11,OR($O543=$R$7,$P543=$R$7)),"x","")</f>
        <v/>
      </c>
      <c r="S543" s="66" t="str">
        <f>IF(AND($O543=$R$7,$B543&lt;'111'!$N$11),"x","")</f>
        <v/>
      </c>
      <c r="T543" s="66" t="str">
        <f>IF(AND($P543=$R$7,$B543&lt;'111'!$N$11),"x","")</f>
        <v/>
      </c>
      <c r="U543" s="66" t="str">
        <f>IF(AND($B543&gt;='112'!$M$9,$B543&lt;='112'!$N$9,OR($O543='112'!$I$6,$P543='112'!$I$6)),"x","")</f>
        <v>x</v>
      </c>
      <c r="V543" s="66" t="str">
        <f>IF(AND($O543='112'!$I$6,$B543&lt;'112'!$M$9),"x","")</f>
        <v/>
      </c>
      <c r="W543" s="66" t="str">
        <f>IF(AND($P543='112'!$I$6,$B543&lt;'112'!$M$9),"x","")</f>
        <v/>
      </c>
      <c r="X543" s="66" t="str">
        <f>IF(AND('131-CT'!$H$9=TH!H543,OR(O543="131",P543="131")),"x","")</f>
        <v/>
      </c>
      <c r="Y543" s="80" t="str">
        <f>IF(AND($B543&gt;='1331'!$I$9,$B543&lt;='1331'!$J$9,OR($O543=$Y$7,$P543=$Y$7)),"x","")</f>
        <v/>
      </c>
      <c r="Z543" s="80" t="str">
        <f>IF(AND($O543=$Y$7,$B543&lt;'1331'!$I$9),"x","")</f>
        <v/>
      </c>
      <c r="AA543" s="80" t="str">
        <f>IF(AND($P543=$Y$7,$B543&lt;'1331'!$I$9),"x","")</f>
        <v/>
      </c>
      <c r="AB543" s="80" t="str">
        <f>IF(AND($B543&gt;='1332'!$I$9,$B543&lt;='1332'!$I$9,OR($O543=$AB$7,$P543=$AB$7)),"x","")</f>
        <v/>
      </c>
      <c r="AC543" s="80" t="str">
        <f>IF(AND($O543=$AB$7,$B543&lt;'1332'!$I$9),"x","")</f>
        <v/>
      </c>
      <c r="AD543" s="80" t="str">
        <f>IF(AND($P543=$AB$7,$B543&lt;'1332'!$I$9),"x","")</f>
        <v/>
      </c>
      <c r="AE543" s="80" t="str">
        <f>IF(AND('341-CT'!$H$9=H543,OR(LEFT(O543,3)=$AE$7,LEFT(P543,3)=$AE$7)),"x","")</f>
        <v/>
      </c>
      <c r="AF543" s="80" t="str">
        <f>IF(OR(TH!O543=TH!$AF$7,P543=TH!$AF$7),"x","")</f>
        <v/>
      </c>
      <c r="AG543" s="80"/>
      <c r="AH543" s="80" t="str">
        <f>IF(AND(B543&gt;='IN-NX'!$P$3,B543&lt;='IN-NX'!$Q$3,'IN-NX'!$D$7=D543,OR(LEFT(L543,2)="15",AND(LEFT(M543,2)&lt;&gt;"15",LEFT(M543,2)&lt;&gt;"33"))),"x","")</f>
        <v/>
      </c>
      <c r="AI543" s="80" t="str">
        <f>IF(AND(OR(LEFT(TH!O543,2)="15",LEFT(TH!P543,2)="15"),'152-CT'!$J$8=TH!F543),"x","")</f>
        <v/>
      </c>
      <c r="AJ543" s="80" t="str">
        <f>IF(AND(OR(LEFT(TH!O543,2)="15",LEFT(TH!P543,2)="15"),'THE KHO'!$E$7=TH!F543),"x","")</f>
        <v/>
      </c>
      <c r="AK543" s="80" t="str">
        <f>IF(AND(O543="1521",MONTH(C543)='BK NL'!$M$11),"x","")</f>
        <v/>
      </c>
    </row>
    <row r="544" spans="1:37" ht="15.75" customHeight="1">
      <c r="A544" s="362" t="str">
        <f>IF(B544&lt;&gt;"",IF(AND(B544&gt;=_TM1,B544&lt;=_TM2,OR(TH!O544="1111",TH!P544="1111")),TH!D544,""),"")</f>
        <v/>
      </c>
      <c r="B544" s="63">
        <f t="shared" si="36"/>
        <v>8</v>
      </c>
      <c r="C544" s="1045">
        <v>42590</v>
      </c>
      <c r="D544" s="1045" t="s">
        <v>79</v>
      </c>
      <c r="E544" s="1045">
        <v>42590</v>
      </c>
      <c r="F544" s="1046" t="s">
        <v>1080</v>
      </c>
      <c r="G544" s="1126" t="s">
        <v>1123</v>
      </c>
      <c r="H544" s="1048" t="s">
        <v>319</v>
      </c>
      <c r="I544" s="1049"/>
      <c r="J544" s="1049"/>
      <c r="K544" s="1050"/>
      <c r="L544" s="1049"/>
      <c r="M544" s="1122">
        <v>1770000</v>
      </c>
      <c r="N544" s="1122" t="s">
        <v>26</v>
      </c>
      <c r="O544" s="1052" t="s">
        <v>242</v>
      </c>
      <c r="P544" s="1117" t="s">
        <v>97</v>
      </c>
      <c r="Q544" s="66" t="str">
        <f>IF(AND('331-CT'!$E$7=TH!H544,OR(O544="331",P544="331")),"x","")</f>
        <v/>
      </c>
      <c r="R544" s="66" t="str">
        <f>IF(AND($B544&gt;='111'!$N$11,$B544&lt;='111'!$O$11,OR($O544=$R$7,$P544=$R$7)),"x","")</f>
        <v>x</v>
      </c>
      <c r="S544" s="66" t="str">
        <f>IF(AND($O544=$R$7,$B544&lt;'111'!$N$11),"x","")</f>
        <v/>
      </c>
      <c r="T544" s="66" t="str">
        <f>IF(AND($P544=$R$7,$B544&lt;'111'!$N$11),"x","")</f>
        <v/>
      </c>
      <c r="U544" s="66" t="str">
        <f>IF(AND($B544&gt;='112'!$M$9,$B544&lt;='112'!$N$9,OR($O544='112'!$I$6,$P544='112'!$I$6)),"x","")</f>
        <v/>
      </c>
      <c r="V544" s="66" t="str">
        <f>IF(AND($O544='112'!$I$6,$B544&lt;'112'!$M$9),"x","")</f>
        <v/>
      </c>
      <c r="W544" s="66" t="str">
        <f>IF(AND($P544='112'!$I$6,$B544&lt;'112'!$M$9),"x","")</f>
        <v/>
      </c>
      <c r="X544" s="66" t="str">
        <f>IF(AND('131-CT'!$H$9=TH!H544,OR(O544="131",P544="131")),"x","")</f>
        <v/>
      </c>
      <c r="Y544" s="80" t="str">
        <f>IF(AND($B544&gt;='1331'!$I$9,$B544&lt;='1331'!$J$9,OR($O544=$Y$7,$P544=$Y$7)),"x","")</f>
        <v/>
      </c>
      <c r="Z544" s="80" t="str">
        <f>IF(AND($O544=$Y$7,$B544&lt;'1331'!$I$9),"x","")</f>
        <v/>
      </c>
      <c r="AA544" s="80" t="str">
        <f>IF(AND($P544=$Y$7,$B544&lt;'1331'!$I$9),"x","")</f>
        <v/>
      </c>
      <c r="AB544" s="80" t="str">
        <f>IF(AND($B544&gt;='1332'!$I$9,$B544&lt;='1332'!$I$9,OR($O544=$AB$7,$P544=$AB$7)),"x","")</f>
        <v/>
      </c>
      <c r="AC544" s="80" t="str">
        <f>IF(AND($O544=$AB$7,$B544&lt;'1332'!$I$9),"x","")</f>
        <v/>
      </c>
      <c r="AD544" s="80" t="str">
        <f>IF(AND($P544=$AB$7,$B544&lt;'1332'!$I$9),"x","")</f>
        <v/>
      </c>
      <c r="AE544" s="80" t="str">
        <f>IF(AND('341-CT'!$H$9=H544,OR(LEFT(O544,3)=$AE$7,LEFT(P544,3)=$AE$7)),"x","")</f>
        <v/>
      </c>
      <c r="AF544" s="80" t="str">
        <f>IF(OR(TH!O544=TH!$AF$7,P544=TH!$AF$7),"x","")</f>
        <v/>
      </c>
      <c r="AG544" s="80"/>
      <c r="AH544" s="80" t="str">
        <f>IF(AND(B544&gt;='IN-NX'!$P$3,B544&lt;='IN-NX'!$Q$3,'IN-NX'!$D$7=D544,OR(LEFT(L544,2)="15",AND(LEFT(M544,2)&lt;&gt;"15",LEFT(M544,2)&lt;&gt;"33"))),"x","")</f>
        <v/>
      </c>
      <c r="AI544" s="80" t="str">
        <f>IF(AND(OR(LEFT(TH!O544,2)="15",LEFT(TH!P544,2)="15"),'152-CT'!$J$8=TH!F544),"x","")</f>
        <v/>
      </c>
      <c r="AJ544" s="80" t="str">
        <f>IF(AND(OR(LEFT(TH!O544,2)="15",LEFT(TH!P544,2)="15"),'THE KHO'!$E$7=TH!F544),"x","")</f>
        <v/>
      </c>
      <c r="AK544" s="80" t="str">
        <f>IF(AND(O544="1521",MONTH(C544)='BK NL'!$M$11),"x","")</f>
        <v/>
      </c>
    </row>
    <row r="545" spans="1:37" ht="15.75" customHeight="1">
      <c r="A545" s="362" t="str">
        <f>IF(B545&lt;&gt;"",IF(AND(B545&gt;=_TM1,B545&lt;=_TM2,OR(TH!O545="1111",TH!P545="1111")),TH!D545,""),"")</f>
        <v/>
      </c>
      <c r="B545" s="63">
        <f t="shared" si="36"/>
        <v>8</v>
      </c>
      <c r="C545" s="1045">
        <v>42590</v>
      </c>
      <c r="D545" s="1045" t="s">
        <v>191</v>
      </c>
      <c r="E545" s="1045">
        <v>42607</v>
      </c>
      <c r="F545" s="1119" t="s">
        <v>1124</v>
      </c>
      <c r="G545" s="1126" t="s">
        <v>1125</v>
      </c>
      <c r="H545" s="1121" t="s">
        <v>1050</v>
      </c>
      <c r="I545" s="1049"/>
      <c r="J545" s="1049"/>
      <c r="K545" s="1050"/>
      <c r="L545" s="1049"/>
      <c r="M545" s="1051">
        <v>8169600</v>
      </c>
      <c r="N545" s="1051"/>
      <c r="O545" s="1116" t="s">
        <v>135</v>
      </c>
      <c r="P545" s="1117" t="s">
        <v>97</v>
      </c>
      <c r="Q545" s="66" t="str">
        <f>IF(AND('331-CT'!$E$7=TH!H545,OR(O545="331",P545="331")),"x","")</f>
        <v/>
      </c>
      <c r="R545" s="66" t="str">
        <f>IF(AND($B545&gt;='111'!$N$11,$B545&lt;='111'!$O$11,OR($O545=$R$7,$P545=$R$7)),"x","")</f>
        <v>x</v>
      </c>
      <c r="S545" s="66" t="str">
        <f>IF(AND($O545=$R$7,$B545&lt;'111'!$N$11),"x","")</f>
        <v/>
      </c>
      <c r="T545" s="66" t="str">
        <f>IF(AND($P545=$R$7,$B545&lt;'111'!$N$11),"x","")</f>
        <v/>
      </c>
      <c r="U545" s="66" t="str">
        <f>IF(AND($B545&gt;='112'!$M$9,$B545&lt;='112'!$N$9,OR($O545='112'!$I$6,$P545='112'!$I$6)),"x","")</f>
        <v/>
      </c>
      <c r="V545" s="66" t="str">
        <f>IF(AND($O545='112'!$I$6,$B545&lt;'112'!$M$9),"x","")</f>
        <v/>
      </c>
      <c r="W545" s="66" t="str">
        <f>IF(AND($P545='112'!$I$6,$B545&lt;'112'!$M$9),"x","")</f>
        <v/>
      </c>
      <c r="X545" s="66" t="str">
        <f>IF(AND('131-CT'!$H$9=TH!H545,OR(O545="131",P545="131")),"x","")</f>
        <v/>
      </c>
      <c r="Y545" s="80" t="str">
        <f>IF(AND($B545&gt;='1331'!$I$9,$B545&lt;='1331'!$J$9,OR($O545=$Y$7,$P545=$Y$7)),"x","")</f>
        <v/>
      </c>
      <c r="Z545" s="80" t="str">
        <f>IF(AND($O545=$Y$7,$B545&lt;'1331'!$I$9),"x","")</f>
        <v/>
      </c>
      <c r="AA545" s="80" t="str">
        <f>IF(AND($P545=$Y$7,$B545&lt;'1331'!$I$9),"x","")</f>
        <v/>
      </c>
      <c r="AB545" s="80" t="str">
        <f>IF(AND($B545&gt;='1332'!$I$9,$B545&lt;='1332'!$I$9,OR($O545=$AB$7,$P545=$AB$7)),"x","")</f>
        <v/>
      </c>
      <c r="AC545" s="80" t="str">
        <f>IF(AND($O545=$AB$7,$B545&lt;'1332'!$I$9),"x","")</f>
        <v/>
      </c>
      <c r="AD545" s="80" t="str">
        <f>IF(AND($P545=$AB$7,$B545&lt;'1332'!$I$9),"x","")</f>
        <v/>
      </c>
      <c r="AE545" s="80" t="str">
        <f>IF(AND('341-CT'!$H$9=H545,OR(LEFT(O545,3)=$AE$7,LEFT(P545,3)=$AE$7)),"x","")</f>
        <v/>
      </c>
      <c r="AF545" s="80" t="str">
        <f>IF(OR(TH!O545=TH!$AF$7,P545=TH!$AF$7),"x","")</f>
        <v/>
      </c>
      <c r="AG545" s="80"/>
      <c r="AH545" s="80" t="str">
        <f>IF(AND(B545&gt;='IN-NX'!$P$3,B545&lt;='IN-NX'!$Q$3,'IN-NX'!$D$7=D545,OR(LEFT(L545,2)="15",AND(LEFT(M545,2)&lt;&gt;"15",LEFT(M545,2)&lt;&gt;"33"))),"x","")</f>
        <v/>
      </c>
      <c r="AI545" s="80" t="str">
        <f>IF(AND(OR(LEFT(TH!O545,2)="15",LEFT(TH!P545,2)="15"),'152-CT'!$J$8=TH!F545),"x","")</f>
        <v/>
      </c>
      <c r="AJ545" s="80" t="str">
        <f>IF(AND(OR(LEFT(TH!O545,2)="15",LEFT(TH!P545,2)="15"),'THE KHO'!$E$7=TH!F545),"x","")</f>
        <v/>
      </c>
      <c r="AK545" s="80" t="str">
        <f>IF(AND(O545="1521",MONTH(C545)='BK NL'!$M$11),"x","")</f>
        <v/>
      </c>
    </row>
    <row r="546" spans="1:37" ht="15.75" customHeight="1">
      <c r="A546" s="362" t="str">
        <f>IF(B546&lt;&gt;"",IF(AND(B546&gt;=_TM1,B546&lt;=_TM2,OR(TH!O546="1111",TH!P546="1111")),TH!D546,""),"")</f>
        <v/>
      </c>
      <c r="B546" s="63">
        <f t="shared" si="36"/>
        <v>8</v>
      </c>
      <c r="C546" s="1045">
        <v>42590</v>
      </c>
      <c r="D546" s="1045" t="s">
        <v>191</v>
      </c>
      <c r="E546" s="1045">
        <v>42607</v>
      </c>
      <c r="F546" s="1119" t="s">
        <v>1148</v>
      </c>
      <c r="G546" s="1126" t="s">
        <v>1125</v>
      </c>
      <c r="H546" s="1121" t="s">
        <v>1050</v>
      </c>
      <c r="I546" s="1049"/>
      <c r="J546" s="1049"/>
      <c r="K546" s="1050"/>
      <c r="L546" s="1049"/>
      <c r="M546" s="1051">
        <v>408480</v>
      </c>
      <c r="N546" s="1051"/>
      <c r="O546" s="1116" t="s">
        <v>10</v>
      </c>
      <c r="P546" s="1117" t="s">
        <v>97</v>
      </c>
      <c r="Q546" s="66" t="str">
        <f>IF(AND('331-CT'!$E$7=TH!H546,OR(O546="331",P546="331")),"x","")</f>
        <v/>
      </c>
      <c r="R546" s="66" t="str">
        <f>IF(AND($B546&gt;='111'!$N$11,$B546&lt;='111'!$O$11,OR($O546=$R$7,$P546=$R$7)),"x","")</f>
        <v>x</v>
      </c>
      <c r="S546" s="66" t="str">
        <f>IF(AND($O546=$R$7,$B546&lt;'111'!$N$11),"x","")</f>
        <v/>
      </c>
      <c r="T546" s="66" t="str">
        <f>IF(AND($P546=$R$7,$B546&lt;'111'!$N$11),"x","")</f>
        <v/>
      </c>
      <c r="U546" s="66" t="str">
        <f>IF(AND($B546&gt;='112'!$M$9,$B546&lt;='112'!$N$9,OR($O546='112'!$I$6,$P546='112'!$I$6)),"x","")</f>
        <v/>
      </c>
      <c r="V546" s="66" t="str">
        <f>IF(AND($O546='112'!$I$6,$B546&lt;'112'!$M$9),"x","")</f>
        <v/>
      </c>
      <c r="W546" s="66" t="str">
        <f>IF(AND($P546='112'!$I$6,$B546&lt;'112'!$M$9),"x","")</f>
        <v/>
      </c>
      <c r="X546" s="66" t="str">
        <f>IF(AND('131-CT'!$H$9=TH!H546,OR(O546="131",P546="131")),"x","")</f>
        <v/>
      </c>
      <c r="Y546" s="80" t="str">
        <f>IF(AND($B546&gt;='1331'!$I$9,$B546&lt;='1331'!$J$9,OR($O546=$Y$7,$P546=$Y$7)),"x","")</f>
        <v>x</v>
      </c>
      <c r="Z546" s="80" t="str">
        <f>IF(AND($O546=$Y$7,$B546&lt;'1331'!$I$9),"x","")</f>
        <v/>
      </c>
      <c r="AA546" s="80" t="str">
        <f>IF(AND($P546=$Y$7,$B546&lt;'1331'!$I$9),"x","")</f>
        <v/>
      </c>
      <c r="AB546" s="80" t="str">
        <f>IF(AND($B546&gt;='1332'!$I$9,$B546&lt;='1332'!$I$9,OR($O546=$AB$7,$P546=$AB$7)),"x","")</f>
        <v/>
      </c>
      <c r="AC546" s="80" t="str">
        <f>IF(AND($O546=$AB$7,$B546&lt;'1332'!$I$9),"x","")</f>
        <v/>
      </c>
      <c r="AD546" s="80" t="str">
        <f>IF(AND($P546=$AB$7,$B546&lt;'1332'!$I$9),"x","")</f>
        <v/>
      </c>
      <c r="AE546" s="80" t="str">
        <f>IF(AND('341-CT'!$H$9=H546,OR(LEFT(O546,3)=$AE$7,LEFT(P546,3)=$AE$7)),"x","")</f>
        <v/>
      </c>
      <c r="AF546" s="80" t="str">
        <f>IF(OR(TH!O546=TH!$AF$7,P546=TH!$AF$7),"x","")</f>
        <v/>
      </c>
      <c r="AG546" s="80"/>
      <c r="AH546" s="80" t="str">
        <f>IF(AND(B546&gt;='IN-NX'!$P$3,B546&lt;='IN-NX'!$Q$3,'IN-NX'!$D$7=D546,OR(LEFT(L546,2)="15",AND(LEFT(M546,2)&lt;&gt;"15",LEFT(M546,2)&lt;&gt;"33"))),"x","")</f>
        <v/>
      </c>
      <c r="AI546" s="80" t="str">
        <f>IF(AND(OR(LEFT(TH!O546,2)="15",LEFT(TH!P546,2)="15"),'152-CT'!$J$8=TH!F546),"x","")</f>
        <v/>
      </c>
      <c r="AJ546" s="80" t="str">
        <f>IF(AND(OR(LEFT(TH!O546,2)="15",LEFT(TH!P546,2)="15"),'THE KHO'!$E$7=TH!F546),"x","")</f>
        <v/>
      </c>
      <c r="AK546" s="80" t="str">
        <f>IF(AND(O546="1521",MONTH(C546)='BK NL'!$M$11),"x","")</f>
        <v/>
      </c>
    </row>
    <row r="547" spans="1:37" ht="15.75" customHeight="1">
      <c r="A547" s="362" t="str">
        <f>IF(B547&lt;&gt;"",IF(AND(B547&gt;=_TM1,B547&lt;=_TM2,OR(TH!O547="1111",TH!P547="1111")),TH!D547,""),"")</f>
        <v/>
      </c>
      <c r="B547" s="63">
        <f t="shared" si="36"/>
        <v>8</v>
      </c>
      <c r="C547" s="1045">
        <f>E547</f>
        <v>42590</v>
      </c>
      <c r="D547" s="1045" t="s">
        <v>12</v>
      </c>
      <c r="E547" s="1045">
        <v>42590</v>
      </c>
      <c r="F547" s="1046" t="s">
        <v>1126</v>
      </c>
      <c r="G547" s="1047"/>
      <c r="H547" s="1140" t="s">
        <v>874</v>
      </c>
      <c r="I547" s="1049"/>
      <c r="J547" s="1049"/>
      <c r="K547" s="1050"/>
      <c r="L547" s="1049"/>
      <c r="M547" s="1051">
        <v>1219554047</v>
      </c>
      <c r="N547" s="1051"/>
      <c r="O547" s="1052" t="s">
        <v>31</v>
      </c>
      <c r="P547" s="1052" t="s">
        <v>106</v>
      </c>
      <c r="Q547" s="66" t="str">
        <f>IF(AND('331-CT'!$E$7=TH!H547,OR(O547="331",P547="331")),"x","")</f>
        <v/>
      </c>
      <c r="R547" s="66" t="str">
        <f>IF(AND($B547&gt;='111'!$N$11,$B547&lt;='111'!$O$11,OR($O547=$R$7,$P547=$R$7)),"x","")</f>
        <v/>
      </c>
      <c r="S547" s="66" t="str">
        <f>IF(AND($O547=$R$7,$B547&lt;'111'!$N$11),"x","")</f>
        <v/>
      </c>
      <c r="T547" s="66" t="str">
        <f>IF(AND($P547=$R$7,$B547&lt;'111'!$N$11),"x","")</f>
        <v/>
      </c>
      <c r="U547" s="66" t="str">
        <f>IF(AND($B547&gt;='112'!$M$9,$B547&lt;='112'!$N$9,OR($O547='112'!$I$6,$P547='112'!$I$6)),"x","")</f>
        <v>x</v>
      </c>
      <c r="V547" s="66" t="str">
        <f>IF(AND($O547='112'!$I$6,$B547&lt;'112'!$M$9),"x","")</f>
        <v/>
      </c>
      <c r="W547" s="66" t="str">
        <f>IF(AND($P547='112'!$I$6,$B547&lt;'112'!$M$9),"x","")</f>
        <v/>
      </c>
      <c r="X547" s="66" t="str">
        <f>IF(AND('131-CT'!$H$9=TH!H547,OR(O547="131",P547="131")),"x","")</f>
        <v/>
      </c>
      <c r="Y547" s="80" t="str">
        <f>IF(AND($B547&gt;='1331'!$I$9,$B547&lt;='1331'!$J$9,OR($O547=$Y$7,$P547=$Y$7)),"x","")</f>
        <v/>
      </c>
      <c r="Z547" s="80" t="str">
        <f>IF(AND($O547=$Y$7,$B547&lt;'1331'!$I$9),"x","")</f>
        <v/>
      </c>
      <c r="AA547" s="80" t="str">
        <f>IF(AND($P547=$Y$7,$B547&lt;'1331'!$I$9),"x","")</f>
        <v/>
      </c>
      <c r="AB547" s="80" t="str">
        <f>IF(AND($B547&gt;='1332'!$I$9,$B547&lt;='1332'!$I$9,OR($O547=$AB$7,$P547=$AB$7)),"x","")</f>
        <v/>
      </c>
      <c r="AC547" s="80" t="str">
        <f>IF(AND($O547=$AB$7,$B547&lt;'1332'!$I$9),"x","")</f>
        <v/>
      </c>
      <c r="AD547" s="80" t="str">
        <f>IF(AND($P547=$AB$7,$B547&lt;'1332'!$I$9),"x","")</f>
        <v/>
      </c>
      <c r="AE547" s="80" t="str">
        <f>IF(AND('341-CT'!$H$9=H547,OR(LEFT(O547,3)=$AE$7,LEFT(P547,3)=$AE$7)),"x","")</f>
        <v/>
      </c>
      <c r="AF547" s="80" t="str">
        <f>IF(OR(TH!O547=TH!$AF$7,P547=TH!$AF$7),"x","")</f>
        <v/>
      </c>
      <c r="AG547" s="80"/>
      <c r="AH547" s="80" t="str">
        <f>IF(AND(B547&gt;='IN-NX'!$P$3,B547&lt;='IN-NX'!$Q$3,'IN-NX'!$D$7=D547,OR(LEFT(L547,2)="15",AND(LEFT(M547,2)&lt;&gt;"15",LEFT(M547,2)&lt;&gt;"33"))),"x","")</f>
        <v/>
      </c>
      <c r="AI547" s="80" t="str">
        <f>IF(AND(OR(LEFT(TH!O547,2)="15",LEFT(TH!P547,2)="15"),'152-CT'!$J$8=TH!F547),"x","")</f>
        <v/>
      </c>
      <c r="AJ547" s="80" t="str">
        <f>IF(AND(OR(LEFT(TH!O547,2)="15",LEFT(TH!P547,2)="15"),'THE KHO'!$E$7=TH!F547),"x","")</f>
        <v/>
      </c>
      <c r="AK547" s="80" t="str">
        <f>IF(AND(O547="1521",MONTH(C547)='BK NL'!$M$11),"x","")</f>
        <v/>
      </c>
    </row>
    <row r="548" spans="1:37" ht="15.75" customHeight="1">
      <c r="A548" s="362" t="str">
        <f>IF(B548&lt;&gt;"",IF(AND(B548&gt;=_TM1,B548&lt;=_TM2,OR(TH!O548="1111",TH!P548="1111")),TH!D548,""),"")</f>
        <v/>
      </c>
      <c r="B548" s="63">
        <f t="shared" si="36"/>
        <v>8</v>
      </c>
      <c r="C548" s="1045">
        <v>42592</v>
      </c>
      <c r="D548" s="1045" t="s">
        <v>80</v>
      </c>
      <c r="E548" s="1045">
        <v>42592</v>
      </c>
      <c r="F548" s="1046" t="s">
        <v>1127</v>
      </c>
      <c r="G548" s="1126" t="s">
        <v>1128</v>
      </c>
      <c r="H548" s="1048" t="s">
        <v>315</v>
      </c>
      <c r="I548" s="1049"/>
      <c r="J548" s="1049"/>
      <c r="K548" s="1050"/>
      <c r="L548" s="1049"/>
      <c r="M548" s="1122">
        <v>7272727</v>
      </c>
      <c r="N548" s="1122"/>
      <c r="O548" s="1052" t="s">
        <v>135</v>
      </c>
      <c r="P548" s="1117" t="s">
        <v>97</v>
      </c>
      <c r="Q548" s="66" t="str">
        <f>IF(AND('331-CT'!$E$7=TH!H548,OR(O548="331",P548="331")),"x","")</f>
        <v/>
      </c>
      <c r="R548" s="66" t="str">
        <f>IF(AND($B548&gt;='111'!$N$11,$B548&lt;='111'!$O$11,OR($O548=$R$7,$P548=$R$7)),"x","")</f>
        <v>x</v>
      </c>
      <c r="S548" s="66" t="str">
        <f>IF(AND($O548=$R$7,$B548&lt;'111'!$N$11),"x","")</f>
        <v/>
      </c>
      <c r="T548" s="66" t="str">
        <f>IF(AND($P548=$R$7,$B548&lt;'111'!$N$11),"x","")</f>
        <v/>
      </c>
      <c r="U548" s="66" t="str">
        <f>IF(AND($B548&gt;='112'!$M$9,$B548&lt;='112'!$N$9,OR($O548='112'!$I$6,$P548='112'!$I$6)),"x","")</f>
        <v/>
      </c>
      <c r="V548" s="66" t="str">
        <f>IF(AND($O548='112'!$I$6,$B548&lt;'112'!$M$9),"x","")</f>
        <v/>
      </c>
      <c r="W548" s="66" t="str">
        <f>IF(AND($P548='112'!$I$6,$B548&lt;'112'!$M$9),"x","")</f>
        <v/>
      </c>
      <c r="X548" s="66" t="str">
        <f>IF(AND('131-CT'!$H$9=TH!H548,OR(O548="131",P548="131")),"x","")</f>
        <v/>
      </c>
      <c r="Y548" s="80" t="str">
        <f>IF(AND($B548&gt;='1331'!$I$9,$B548&lt;='1331'!$J$9,OR($O548=$Y$7,$P548=$Y$7)),"x","")</f>
        <v/>
      </c>
      <c r="Z548" s="80" t="str">
        <f>IF(AND($O548=$Y$7,$B548&lt;'1331'!$I$9),"x","")</f>
        <v/>
      </c>
      <c r="AA548" s="80" t="str">
        <f>IF(AND($P548=$Y$7,$B548&lt;'1331'!$I$9),"x","")</f>
        <v/>
      </c>
      <c r="AB548" s="80" t="str">
        <f>IF(AND($B548&gt;='1332'!$I$9,$B548&lt;='1332'!$I$9,OR($O548=$AB$7,$P548=$AB$7)),"x","")</f>
        <v/>
      </c>
      <c r="AC548" s="80" t="str">
        <f>IF(AND($O548=$AB$7,$B548&lt;'1332'!$I$9),"x","")</f>
        <v/>
      </c>
      <c r="AD548" s="80" t="str">
        <f>IF(AND($P548=$AB$7,$B548&lt;'1332'!$I$9),"x","")</f>
        <v/>
      </c>
      <c r="AE548" s="80" t="str">
        <f>IF(AND('341-CT'!$H$9=H548,OR(LEFT(O548,3)=$AE$7,LEFT(P548,3)=$AE$7)),"x","")</f>
        <v/>
      </c>
      <c r="AF548" s="80" t="str">
        <f>IF(OR(TH!O548=TH!$AF$7,P548=TH!$AF$7),"x","")</f>
        <v/>
      </c>
      <c r="AG548" s="80"/>
      <c r="AH548" s="80" t="str">
        <f>IF(AND(B548&gt;='IN-NX'!$P$3,B548&lt;='IN-NX'!$Q$3,'IN-NX'!$D$7=D548,OR(LEFT(L548,2)="15",AND(LEFT(M548,2)&lt;&gt;"15",LEFT(M548,2)&lt;&gt;"33"))),"x","")</f>
        <v/>
      </c>
      <c r="AI548" s="80" t="str">
        <f>IF(AND(OR(LEFT(TH!O548,2)="15",LEFT(TH!P548,2)="15"),'152-CT'!$J$8=TH!F548),"x","")</f>
        <v/>
      </c>
      <c r="AJ548" s="80" t="str">
        <f>IF(AND(OR(LEFT(TH!O548,2)="15",LEFT(TH!P548,2)="15"),'THE KHO'!$E$7=TH!F548),"x","")</f>
        <v/>
      </c>
      <c r="AK548" s="80" t="str">
        <f>IF(AND(O548="1521",MONTH(C548)='BK NL'!$M$11),"x","")</f>
        <v/>
      </c>
    </row>
    <row r="549" spans="1:37" ht="15.75" customHeight="1">
      <c r="A549" s="362" t="str">
        <f>IF(B549&lt;&gt;"",IF(AND(B549&gt;=_TM1,B549&lt;=_TM2,OR(TH!O549="1111",TH!P549="1111")),TH!D549,""),"")</f>
        <v/>
      </c>
      <c r="B549" s="63">
        <f t="shared" si="36"/>
        <v>8</v>
      </c>
      <c r="C549" s="1045">
        <v>42592</v>
      </c>
      <c r="D549" s="1045" t="s">
        <v>80</v>
      </c>
      <c r="E549" s="1045">
        <v>42592</v>
      </c>
      <c r="F549" s="1046" t="s">
        <v>1129</v>
      </c>
      <c r="G549" s="1126" t="s">
        <v>1128</v>
      </c>
      <c r="H549" s="1048" t="s">
        <v>315</v>
      </c>
      <c r="I549" s="1049"/>
      <c r="J549" s="1049"/>
      <c r="K549" s="1050"/>
      <c r="L549" s="1049"/>
      <c r="M549" s="1122">
        <v>727273</v>
      </c>
      <c r="N549" s="1122"/>
      <c r="O549" s="1052" t="s">
        <v>10</v>
      </c>
      <c r="P549" s="1117" t="s">
        <v>97</v>
      </c>
      <c r="Q549" s="66" t="str">
        <f>IF(AND('331-CT'!$E$7=TH!H549,OR(O549="331",P549="331")),"x","")</f>
        <v/>
      </c>
      <c r="R549" s="66" t="str">
        <f>IF(AND($B549&gt;='111'!$N$11,$B549&lt;='111'!$O$11,OR($O549=$R$7,$P549=$R$7)),"x","")</f>
        <v>x</v>
      </c>
      <c r="S549" s="66" t="str">
        <f>IF(AND($O549=$R$7,$B549&lt;'111'!$N$11),"x","")</f>
        <v/>
      </c>
      <c r="T549" s="66" t="str">
        <f>IF(AND($P549=$R$7,$B549&lt;'111'!$N$11),"x","")</f>
        <v/>
      </c>
      <c r="U549" s="66" t="str">
        <f>IF(AND($B549&gt;='112'!$M$9,$B549&lt;='112'!$N$9,OR($O549='112'!$I$6,$P549='112'!$I$6)),"x","")</f>
        <v/>
      </c>
      <c r="V549" s="66" t="str">
        <f>IF(AND($O549='112'!$I$6,$B549&lt;'112'!$M$9),"x","")</f>
        <v/>
      </c>
      <c r="W549" s="66" t="str">
        <f>IF(AND($P549='112'!$I$6,$B549&lt;'112'!$M$9),"x","")</f>
        <v/>
      </c>
      <c r="X549" s="66" t="str">
        <f>IF(AND('131-CT'!$H$9=TH!H549,OR(O549="131",P549="131")),"x","")</f>
        <v/>
      </c>
      <c r="Y549" s="80" t="str">
        <f>IF(AND($B549&gt;='1331'!$I$9,$B549&lt;='1331'!$J$9,OR($O549=$Y$7,$P549=$Y$7)),"x","")</f>
        <v>x</v>
      </c>
      <c r="Z549" s="80" t="str">
        <f>IF(AND($O549=$Y$7,$B549&lt;'1331'!$I$9),"x","")</f>
        <v/>
      </c>
      <c r="AA549" s="80" t="str">
        <f>IF(AND($P549=$Y$7,$B549&lt;'1331'!$I$9),"x","")</f>
        <v/>
      </c>
      <c r="AB549" s="80" t="str">
        <f>IF(AND($B549&gt;='1332'!$I$9,$B549&lt;='1332'!$I$9,OR($O549=$AB$7,$P549=$AB$7)),"x","")</f>
        <v/>
      </c>
      <c r="AC549" s="80" t="str">
        <f>IF(AND($O549=$AB$7,$B549&lt;'1332'!$I$9),"x","")</f>
        <v/>
      </c>
      <c r="AD549" s="80" t="str">
        <f>IF(AND($P549=$AB$7,$B549&lt;'1332'!$I$9),"x","")</f>
        <v/>
      </c>
      <c r="AE549" s="80" t="str">
        <f>IF(AND('341-CT'!$H$9=H549,OR(LEFT(O549,3)=$AE$7,LEFT(P549,3)=$AE$7)),"x","")</f>
        <v/>
      </c>
      <c r="AF549" s="80" t="str">
        <f>IF(OR(TH!O549=TH!$AF$7,P549=TH!$AF$7),"x","")</f>
        <v/>
      </c>
      <c r="AG549" s="80"/>
      <c r="AH549" s="80" t="str">
        <f>IF(AND(B549&gt;='IN-NX'!$P$3,B549&lt;='IN-NX'!$Q$3,'IN-NX'!$D$7=D549,OR(LEFT(L549,2)="15",AND(LEFT(M549,2)&lt;&gt;"15",LEFT(M549,2)&lt;&gt;"33"))),"x","")</f>
        <v/>
      </c>
      <c r="AI549" s="80" t="str">
        <f>IF(AND(OR(LEFT(TH!O549,2)="15",LEFT(TH!P549,2)="15"),'152-CT'!$J$8=TH!F549),"x","")</f>
        <v/>
      </c>
      <c r="AJ549" s="80" t="str">
        <f>IF(AND(OR(LEFT(TH!O549,2)="15",LEFT(TH!P549,2)="15"),'THE KHO'!$E$7=TH!F549),"x","")</f>
        <v/>
      </c>
      <c r="AK549" s="80" t="str">
        <f>IF(AND(O549="1521",MONTH(C549)='BK NL'!$M$11),"x","")</f>
        <v/>
      </c>
    </row>
    <row r="550" spans="1:37" ht="15.75" customHeight="1">
      <c r="A550" s="362" t="str">
        <f>IF(B550&lt;&gt;"",IF(AND(B550&gt;=_TM1,B550&lt;=_TM2,OR(TH!O550="1111",TH!P550="1111")),TH!D550,""),"")</f>
        <v/>
      </c>
      <c r="B550" s="63">
        <f t="shared" si="36"/>
        <v>8</v>
      </c>
      <c r="C550" s="1045">
        <f t="shared" ref="C550:C571" si="37">E550</f>
        <v>42592</v>
      </c>
      <c r="D550" s="1045" t="s">
        <v>11</v>
      </c>
      <c r="E550" s="1045">
        <v>42592</v>
      </c>
      <c r="F550" s="1046" t="s">
        <v>1130</v>
      </c>
      <c r="G550" s="1047"/>
      <c r="H550" s="1048" t="s">
        <v>160</v>
      </c>
      <c r="I550" s="1049"/>
      <c r="J550" s="1049"/>
      <c r="K550" s="1050"/>
      <c r="L550" s="1049"/>
      <c r="M550" s="1051">
        <v>500000000</v>
      </c>
      <c r="N550" s="1051"/>
      <c r="O550" s="1052" t="s">
        <v>97</v>
      </c>
      <c r="P550" s="1052" t="s">
        <v>31</v>
      </c>
      <c r="Q550" s="66" t="str">
        <f>IF(AND('331-CT'!$E$7=TH!H550,OR(O550="331",P550="331")),"x","")</f>
        <v/>
      </c>
      <c r="R550" s="66" t="str">
        <f>IF(AND($B550&gt;='111'!$N$11,$B550&lt;='111'!$O$11,OR($O550=$R$7,$P550=$R$7)),"x","")</f>
        <v>x</v>
      </c>
      <c r="S550" s="66" t="str">
        <f>IF(AND($O550=$R$7,$B550&lt;'111'!$N$11),"x","")</f>
        <v/>
      </c>
      <c r="T550" s="66" t="str">
        <f>IF(AND($P550=$R$7,$B550&lt;'111'!$N$11),"x","")</f>
        <v/>
      </c>
      <c r="U550" s="66" t="str">
        <f>IF(AND($B550&gt;='112'!$M$9,$B550&lt;='112'!$N$9,OR($O550='112'!$I$6,$P550='112'!$I$6)),"x","")</f>
        <v>x</v>
      </c>
      <c r="V550" s="66" t="str">
        <f>IF(AND($O550='112'!$I$6,$B550&lt;'112'!$M$9),"x","")</f>
        <v/>
      </c>
      <c r="W550" s="66" t="str">
        <f>IF(AND($P550='112'!$I$6,$B550&lt;'112'!$M$9),"x","")</f>
        <v/>
      </c>
      <c r="X550" s="66" t="str">
        <f>IF(AND('131-CT'!$H$9=TH!H550,OR(O550="131",P550="131")),"x","")</f>
        <v/>
      </c>
      <c r="Y550" s="80" t="str">
        <f>IF(AND($B550&gt;='1331'!$I$9,$B550&lt;='1331'!$J$9,OR($O550=$Y$7,$P550=$Y$7)),"x","")</f>
        <v/>
      </c>
      <c r="Z550" s="80" t="str">
        <f>IF(AND($O550=$Y$7,$B550&lt;'1331'!$I$9),"x","")</f>
        <v/>
      </c>
      <c r="AA550" s="80" t="str">
        <f>IF(AND($P550=$Y$7,$B550&lt;'1331'!$I$9),"x","")</f>
        <v/>
      </c>
      <c r="AB550" s="80" t="str">
        <f>IF(AND($B550&gt;='1332'!$I$9,$B550&lt;='1332'!$I$9,OR($O550=$AB$7,$P550=$AB$7)),"x","")</f>
        <v/>
      </c>
      <c r="AC550" s="80" t="str">
        <f>IF(AND($O550=$AB$7,$B550&lt;'1332'!$I$9),"x","")</f>
        <v/>
      </c>
      <c r="AD550" s="80" t="str">
        <f>IF(AND($P550=$AB$7,$B550&lt;'1332'!$I$9),"x","")</f>
        <v/>
      </c>
      <c r="AE550" s="80" t="str">
        <f>IF(AND('341-CT'!$H$9=H550,OR(LEFT(O550,3)=$AE$7,LEFT(P550,3)=$AE$7)),"x","")</f>
        <v/>
      </c>
      <c r="AF550" s="80" t="str">
        <f>IF(OR(TH!O550=TH!$AF$7,P550=TH!$AF$7),"x","")</f>
        <v/>
      </c>
      <c r="AG550" s="80"/>
      <c r="AH550" s="80" t="str">
        <f>IF(AND(B550&gt;='IN-NX'!$P$3,B550&lt;='IN-NX'!$Q$3,'IN-NX'!$D$7=D550,OR(LEFT(L550,2)="15",AND(LEFT(M550,2)&lt;&gt;"15",LEFT(M550,2)&lt;&gt;"33"))),"x","")</f>
        <v/>
      </c>
      <c r="AI550" s="80" t="str">
        <f>IF(AND(OR(LEFT(TH!O550,2)="15",LEFT(TH!P550,2)="15"),'152-CT'!$J$8=TH!F550),"x","")</f>
        <v/>
      </c>
      <c r="AJ550" s="80" t="str">
        <f>IF(AND(OR(LEFT(TH!O550,2)="15",LEFT(TH!P550,2)="15"),'THE KHO'!$E$7=TH!F550),"x","")</f>
        <v/>
      </c>
      <c r="AK550" s="80" t="str">
        <f>IF(AND(O550="1521",MONTH(C550)='BK NL'!$M$11),"x","")</f>
        <v/>
      </c>
    </row>
    <row r="551" spans="1:37" ht="15.75" customHeight="1">
      <c r="A551" s="362" t="str">
        <f>IF(B551&lt;&gt;"",IF(AND(B551&gt;=_TM1,B551&lt;=_TM2,OR(TH!O551="1111",TH!P551="1111")),TH!D551,""),"")</f>
        <v/>
      </c>
      <c r="B551" s="63">
        <f t="shared" si="36"/>
        <v>8</v>
      </c>
      <c r="C551" s="1045">
        <f t="shared" si="37"/>
        <v>42593</v>
      </c>
      <c r="D551" s="1045" t="s">
        <v>8</v>
      </c>
      <c r="E551" s="1045">
        <v>42593</v>
      </c>
      <c r="F551" s="1046" t="s">
        <v>1131</v>
      </c>
      <c r="G551" s="1047"/>
      <c r="H551" s="1048" t="s">
        <v>1007</v>
      </c>
      <c r="I551" s="1049"/>
      <c r="J551" s="1049"/>
      <c r="K551" s="1050"/>
      <c r="L551" s="1049"/>
      <c r="M551" s="1051">
        <v>31034850</v>
      </c>
      <c r="N551" s="1051"/>
      <c r="O551" s="1052" t="s">
        <v>9</v>
      </c>
      <c r="P551" s="1052" t="s">
        <v>31</v>
      </c>
      <c r="Q551" s="66" t="str">
        <f>IF(AND('331-CT'!$E$7=TH!H551,OR(O551="331",P551="331")),"x","")</f>
        <v/>
      </c>
      <c r="R551" s="66" t="str">
        <f>IF(AND($B551&gt;='111'!$N$11,$B551&lt;='111'!$O$11,OR($O551=$R$7,$P551=$R$7)),"x","")</f>
        <v/>
      </c>
      <c r="S551" s="66" t="str">
        <f>IF(AND($O551=$R$7,$B551&lt;'111'!$N$11),"x","")</f>
        <v/>
      </c>
      <c r="T551" s="66" t="str">
        <f>IF(AND($P551=$R$7,$B551&lt;'111'!$N$11),"x","")</f>
        <v/>
      </c>
      <c r="U551" s="66" t="str">
        <f>IF(AND($B551&gt;='112'!$M$9,$B551&lt;='112'!$N$9,OR($O551='112'!$I$6,$P551='112'!$I$6)),"x","")</f>
        <v>x</v>
      </c>
      <c r="V551" s="66" t="str">
        <f>IF(AND($O551='112'!$I$6,$B551&lt;'112'!$M$9),"x","")</f>
        <v/>
      </c>
      <c r="W551" s="66" t="str">
        <f>IF(AND($P551='112'!$I$6,$B551&lt;'112'!$M$9),"x","")</f>
        <v/>
      </c>
      <c r="X551" s="66" t="str">
        <f>IF(AND('131-CT'!$H$9=TH!H551,OR(O551="131",P551="131")),"x","")</f>
        <v/>
      </c>
      <c r="Y551" s="80" t="str">
        <f>IF(AND($B551&gt;='1331'!$I$9,$B551&lt;='1331'!$J$9,OR($O551=$Y$7,$P551=$Y$7)),"x","")</f>
        <v/>
      </c>
      <c r="Z551" s="80" t="str">
        <f>IF(AND($O551=$Y$7,$B551&lt;'1331'!$I$9),"x","")</f>
        <v/>
      </c>
      <c r="AA551" s="80" t="str">
        <f>IF(AND($P551=$Y$7,$B551&lt;'1331'!$I$9),"x","")</f>
        <v/>
      </c>
      <c r="AB551" s="80" t="str">
        <f>IF(AND($B551&gt;='1332'!$I$9,$B551&lt;='1332'!$I$9,OR($O551=$AB$7,$P551=$AB$7)),"x","")</f>
        <v/>
      </c>
      <c r="AC551" s="80" t="str">
        <f>IF(AND($O551=$AB$7,$B551&lt;'1332'!$I$9),"x","")</f>
        <v/>
      </c>
      <c r="AD551" s="80" t="str">
        <f>IF(AND($P551=$AB$7,$B551&lt;'1332'!$I$9),"x","")</f>
        <v/>
      </c>
      <c r="AE551" s="80" t="str">
        <f>IF(AND('341-CT'!$H$9=H551,OR(LEFT(O551,3)=$AE$7,LEFT(P551,3)=$AE$7)),"x","")</f>
        <v/>
      </c>
      <c r="AF551" s="80" t="str">
        <f>IF(OR(TH!O551=TH!$AF$7,P551=TH!$AF$7),"x","")</f>
        <v/>
      </c>
      <c r="AG551" s="80"/>
      <c r="AH551" s="80" t="str">
        <f>IF(AND(B551&gt;='IN-NX'!$P$3,B551&lt;='IN-NX'!$Q$3,'IN-NX'!$D$7=D551,OR(LEFT(L551,2)="15",AND(LEFT(M551,2)&lt;&gt;"15",LEFT(M551,2)&lt;&gt;"33"))),"x","")</f>
        <v/>
      </c>
      <c r="AI551" s="80" t="str">
        <f>IF(AND(OR(LEFT(TH!O551,2)="15",LEFT(TH!P551,2)="15"),'152-CT'!$J$8=TH!F551),"x","")</f>
        <v/>
      </c>
      <c r="AJ551" s="80" t="str">
        <f>IF(AND(OR(LEFT(TH!O551,2)="15",LEFT(TH!P551,2)="15"),'THE KHO'!$E$7=TH!F551),"x","")</f>
        <v/>
      </c>
      <c r="AK551" s="80" t="str">
        <f>IF(AND(O551="1521",MONTH(C551)='BK NL'!$M$11),"x","")</f>
        <v/>
      </c>
    </row>
    <row r="552" spans="1:37" ht="15.75" customHeight="1">
      <c r="A552" s="362" t="str">
        <f>IF(B552&lt;&gt;"",IF(AND(B552&gt;=_TM1,B552&lt;=_TM2,OR(TH!O552="1111",TH!P552="1111")),TH!D552,""),"")</f>
        <v/>
      </c>
      <c r="B552" s="63">
        <f t="shared" si="36"/>
        <v>8</v>
      </c>
      <c r="C552" s="1045">
        <f t="shared" si="37"/>
        <v>42593</v>
      </c>
      <c r="D552" s="1045" t="s">
        <v>8</v>
      </c>
      <c r="E552" s="1045">
        <v>42593</v>
      </c>
      <c r="F552" s="1046" t="s">
        <v>22</v>
      </c>
      <c r="G552" s="1047" t="s">
        <v>798</v>
      </c>
      <c r="H552" s="1129"/>
      <c r="I552" s="1135"/>
      <c r="J552" s="1135"/>
      <c r="K552" s="1136"/>
      <c r="L552" s="1135"/>
      <c r="M552" s="1051">
        <v>25000</v>
      </c>
      <c r="N552" s="1051"/>
      <c r="O552" s="1052" t="s">
        <v>135</v>
      </c>
      <c r="P552" s="1052" t="s">
        <v>31</v>
      </c>
      <c r="Q552" s="66" t="str">
        <f>IF(AND('331-CT'!$E$7=TH!H552,OR(O552="331",P552="331")),"x","")</f>
        <v/>
      </c>
      <c r="R552" s="66" t="str">
        <f>IF(AND($B552&gt;='111'!$N$11,$B552&lt;='111'!$O$11,OR($O552=$R$7,$P552=$R$7)),"x","")</f>
        <v/>
      </c>
      <c r="S552" s="66" t="str">
        <f>IF(AND($O552=$R$7,$B552&lt;'111'!$N$11),"x","")</f>
        <v/>
      </c>
      <c r="T552" s="66" t="str">
        <f>IF(AND($P552=$R$7,$B552&lt;'111'!$N$11),"x","")</f>
        <v/>
      </c>
      <c r="U552" s="66" t="str">
        <f>IF(AND($B552&gt;='112'!$M$9,$B552&lt;='112'!$N$9,OR($O552='112'!$I$6,$P552='112'!$I$6)),"x","")</f>
        <v>x</v>
      </c>
      <c r="V552" s="66" t="str">
        <f>IF(AND($O552='112'!$I$6,$B552&lt;'112'!$M$9),"x","")</f>
        <v/>
      </c>
      <c r="W552" s="66" t="str">
        <f>IF(AND($P552='112'!$I$6,$B552&lt;'112'!$M$9),"x","")</f>
        <v/>
      </c>
      <c r="X552" s="66" t="str">
        <f>IF(AND('131-CT'!$H$9=TH!H552,OR(O552="131",P552="131")),"x","")</f>
        <v/>
      </c>
      <c r="Y552" s="80" t="str">
        <f>IF(AND($B552&gt;='1331'!$I$9,$B552&lt;='1331'!$J$9,OR($O552=$Y$7,$P552=$Y$7)),"x","")</f>
        <v/>
      </c>
      <c r="Z552" s="80" t="str">
        <f>IF(AND($O552=$Y$7,$B552&lt;'1331'!$I$9),"x","")</f>
        <v/>
      </c>
      <c r="AA552" s="80" t="str">
        <f>IF(AND($P552=$Y$7,$B552&lt;'1331'!$I$9),"x","")</f>
        <v/>
      </c>
      <c r="AB552" s="80" t="str">
        <f>IF(AND($B552&gt;='1332'!$I$9,$B552&lt;='1332'!$I$9,OR($O552=$AB$7,$P552=$AB$7)),"x","")</f>
        <v/>
      </c>
      <c r="AC552" s="80" t="str">
        <f>IF(AND($O552=$AB$7,$B552&lt;'1332'!$I$9),"x","")</f>
        <v/>
      </c>
      <c r="AD552" s="80" t="str">
        <f>IF(AND($P552=$AB$7,$B552&lt;'1332'!$I$9),"x","")</f>
        <v/>
      </c>
      <c r="AE552" s="80" t="str">
        <f>IF(AND('341-CT'!$H$9=H552,OR(LEFT(O552,3)=$AE$7,LEFT(P552,3)=$AE$7)),"x","")</f>
        <v/>
      </c>
      <c r="AF552" s="80" t="str">
        <f>IF(OR(TH!O552=TH!$AF$7,P552=TH!$AF$7),"x","")</f>
        <v/>
      </c>
      <c r="AG552" s="80"/>
      <c r="AH552" s="80" t="str">
        <f>IF(AND(B552&gt;='IN-NX'!$P$3,B552&lt;='IN-NX'!$Q$3,'IN-NX'!$D$7=D552,OR(LEFT(L552,2)="15",AND(LEFT(M552,2)&lt;&gt;"15",LEFT(M552,2)&lt;&gt;"33"))),"x","")</f>
        <v/>
      </c>
      <c r="AI552" s="80" t="str">
        <f>IF(AND(OR(LEFT(TH!O552,2)="15",LEFT(TH!P552,2)="15"),'152-CT'!$J$8=TH!F552),"x","")</f>
        <v/>
      </c>
      <c r="AJ552" s="80" t="str">
        <f>IF(AND(OR(LEFT(TH!O552,2)="15",LEFT(TH!P552,2)="15"),'THE KHO'!$E$7=TH!F552),"x","")</f>
        <v/>
      </c>
      <c r="AK552" s="80" t="str">
        <f>IF(AND(O552="1521",MONTH(C552)='BK NL'!$M$11),"x","")</f>
        <v/>
      </c>
    </row>
    <row r="553" spans="1:37" ht="15.75" customHeight="1">
      <c r="A553" s="362" t="str">
        <f>IF(B553&lt;&gt;"",IF(AND(B553&gt;=_TM1,B553&lt;=_TM2,OR(TH!O553="1111",TH!P553="1111")),TH!D553,""),"")</f>
        <v/>
      </c>
      <c r="B553" s="63">
        <f t="shared" si="36"/>
        <v>8</v>
      </c>
      <c r="C553" s="1045">
        <f t="shared" si="37"/>
        <v>42593</v>
      </c>
      <c r="D553" s="1045" t="s">
        <v>8</v>
      </c>
      <c r="E553" s="1045">
        <v>42593</v>
      </c>
      <c r="F553" s="1046" t="s">
        <v>23</v>
      </c>
      <c r="G553" s="1047" t="s">
        <v>798</v>
      </c>
      <c r="H553" s="1048"/>
      <c r="I553" s="1049"/>
      <c r="J553" s="1049"/>
      <c r="K553" s="1050"/>
      <c r="L553" s="1049"/>
      <c r="M553" s="1137">
        <v>2500</v>
      </c>
      <c r="N553" s="1137"/>
      <c r="O553" s="1052" t="s">
        <v>10</v>
      </c>
      <c r="P553" s="1052" t="s">
        <v>31</v>
      </c>
      <c r="Q553" s="66" t="str">
        <f>IF(AND('331-CT'!$E$7=TH!H553,OR(O553="331",P553="331")),"x","")</f>
        <v/>
      </c>
      <c r="R553" s="66" t="str">
        <f>IF(AND($B553&gt;='111'!$N$11,$B553&lt;='111'!$O$11,OR($O553=$R$7,$P553=$R$7)),"x","")</f>
        <v/>
      </c>
      <c r="S553" s="66" t="str">
        <f>IF(AND($O553=$R$7,$B553&lt;'111'!$N$11),"x","")</f>
        <v/>
      </c>
      <c r="T553" s="66" t="str">
        <f>IF(AND($P553=$R$7,$B553&lt;'111'!$N$11),"x","")</f>
        <v/>
      </c>
      <c r="U553" s="66" t="str">
        <f>IF(AND($B553&gt;='112'!$M$9,$B553&lt;='112'!$N$9,OR($O553='112'!$I$6,$P553='112'!$I$6)),"x","")</f>
        <v>x</v>
      </c>
      <c r="V553" s="66" t="str">
        <f>IF(AND($O553='112'!$I$6,$B553&lt;'112'!$M$9),"x","")</f>
        <v/>
      </c>
      <c r="W553" s="66" t="str">
        <f>IF(AND($P553='112'!$I$6,$B553&lt;'112'!$M$9),"x","")</f>
        <v/>
      </c>
      <c r="X553" s="66" t="str">
        <f>IF(AND('131-CT'!$H$9=TH!H553,OR(O553="131",P553="131")),"x","")</f>
        <v/>
      </c>
      <c r="Y553" s="80" t="str">
        <f>IF(AND($B553&gt;='1331'!$I$9,$B553&lt;='1331'!$J$9,OR($O553=$Y$7,$P553=$Y$7)),"x","")</f>
        <v>x</v>
      </c>
      <c r="Z553" s="80" t="str">
        <f>IF(AND($O553=$Y$7,$B553&lt;'1331'!$I$9),"x","")</f>
        <v/>
      </c>
      <c r="AA553" s="80" t="str">
        <f>IF(AND($P553=$Y$7,$B553&lt;'1331'!$I$9),"x","")</f>
        <v/>
      </c>
      <c r="AB553" s="80" t="str">
        <f>IF(AND($B553&gt;='1332'!$I$9,$B553&lt;='1332'!$I$9,OR($O553=$AB$7,$P553=$AB$7)),"x","")</f>
        <v/>
      </c>
      <c r="AC553" s="80" t="str">
        <f>IF(AND($O553=$AB$7,$B553&lt;'1332'!$I$9),"x","")</f>
        <v/>
      </c>
      <c r="AD553" s="80" t="str">
        <f>IF(AND($P553=$AB$7,$B553&lt;'1332'!$I$9),"x","")</f>
        <v/>
      </c>
      <c r="AE553" s="80" t="str">
        <f>IF(AND('341-CT'!$H$9=H553,OR(LEFT(O553,3)=$AE$7,LEFT(P553,3)=$AE$7)),"x","")</f>
        <v/>
      </c>
      <c r="AF553" s="80" t="str">
        <f>IF(OR(TH!O553=TH!$AF$7,P553=TH!$AF$7),"x","")</f>
        <v/>
      </c>
      <c r="AG553" s="80"/>
      <c r="AH553" s="80" t="str">
        <f>IF(AND(B553&gt;='IN-NX'!$P$3,B553&lt;='IN-NX'!$Q$3,'IN-NX'!$D$7=D553,OR(LEFT(L553,2)="15",AND(LEFT(M553,2)&lt;&gt;"15",LEFT(M553,2)&lt;&gt;"33"))),"x","")</f>
        <v/>
      </c>
      <c r="AI553" s="80" t="str">
        <f>IF(AND(OR(LEFT(TH!O553,2)="15",LEFT(TH!P553,2)="15"),'152-CT'!$J$8=TH!F553),"x","")</f>
        <v/>
      </c>
      <c r="AJ553" s="80" t="str">
        <f>IF(AND(OR(LEFT(TH!O553,2)="15",LEFT(TH!P553,2)="15"),'THE KHO'!$E$7=TH!F553),"x","")</f>
        <v/>
      </c>
      <c r="AK553" s="80" t="str">
        <f>IF(AND(O553="1521",MONTH(C553)='BK NL'!$M$11),"x","")</f>
        <v/>
      </c>
    </row>
    <row r="554" spans="1:37" ht="15.75" customHeight="1">
      <c r="A554" s="362" t="str">
        <f>IF(B554&lt;&gt;"",IF(AND(B554&gt;=_TM1,B554&lt;=_TM2,OR(TH!O554="1111",TH!P554="1111")),TH!D554,""),"")</f>
        <v/>
      </c>
      <c r="B554" s="63">
        <f t="shared" si="36"/>
        <v>8</v>
      </c>
      <c r="C554" s="1141">
        <f t="shared" si="37"/>
        <v>42593</v>
      </c>
      <c r="D554" s="1045" t="s">
        <v>8</v>
      </c>
      <c r="E554" s="1141">
        <v>42593</v>
      </c>
      <c r="F554" s="1142" t="s">
        <v>1132</v>
      </c>
      <c r="G554" s="1143"/>
      <c r="H554" s="1144" t="s">
        <v>924</v>
      </c>
      <c r="I554" s="1049"/>
      <c r="J554" s="1049"/>
      <c r="K554" s="1050"/>
      <c r="L554" s="1049"/>
      <c r="M554" s="1145">
        <v>17500000</v>
      </c>
      <c r="N554" s="1145"/>
      <c r="O554" s="1146" t="s">
        <v>9</v>
      </c>
      <c r="P554" s="1146" t="s">
        <v>31</v>
      </c>
      <c r="Q554" s="66" t="str">
        <f>IF(AND('331-CT'!$E$7=TH!H554,OR(O554="331",P554="331")),"x","")</f>
        <v/>
      </c>
      <c r="R554" s="66" t="str">
        <f>IF(AND($B554&gt;='111'!$N$11,$B554&lt;='111'!$O$11,OR($O554=$R$7,$P554=$R$7)),"x","")</f>
        <v/>
      </c>
      <c r="S554" s="66" t="str">
        <f>IF(AND($O554=$R$7,$B554&lt;'111'!$N$11),"x","")</f>
        <v/>
      </c>
      <c r="T554" s="66" t="str">
        <f>IF(AND($P554=$R$7,$B554&lt;'111'!$N$11),"x","")</f>
        <v/>
      </c>
      <c r="U554" s="66" t="str">
        <f>IF(AND($B554&gt;='112'!$M$9,$B554&lt;='112'!$N$9,OR($O554='112'!$I$6,$P554='112'!$I$6)),"x","")</f>
        <v>x</v>
      </c>
      <c r="V554" s="66" t="str">
        <f>IF(AND($O554='112'!$I$6,$B554&lt;'112'!$M$9),"x","")</f>
        <v/>
      </c>
      <c r="W554" s="66" t="str">
        <f>IF(AND($P554='112'!$I$6,$B554&lt;'112'!$M$9),"x","")</f>
        <v/>
      </c>
      <c r="X554" s="66" t="str">
        <f>IF(AND('131-CT'!$H$9=TH!H554,OR(O554="131",P554="131")),"x","")</f>
        <v/>
      </c>
      <c r="Y554" s="80" t="str">
        <f>IF(AND($B554&gt;='1331'!$I$9,$B554&lt;='1331'!$J$9,OR($O554=$Y$7,$P554=$Y$7)),"x","")</f>
        <v/>
      </c>
      <c r="Z554" s="80" t="str">
        <f>IF(AND($O554=$Y$7,$B554&lt;'1331'!$I$9),"x","")</f>
        <v/>
      </c>
      <c r="AA554" s="80" t="str">
        <f>IF(AND($P554=$Y$7,$B554&lt;'1331'!$I$9),"x","")</f>
        <v/>
      </c>
      <c r="AB554" s="80" t="str">
        <f>IF(AND($B554&gt;='1332'!$I$9,$B554&lt;='1332'!$I$9,OR($O554=$AB$7,$P554=$AB$7)),"x","")</f>
        <v/>
      </c>
      <c r="AC554" s="80" t="str">
        <f>IF(AND($O554=$AB$7,$B554&lt;'1332'!$I$9),"x","")</f>
        <v/>
      </c>
      <c r="AD554" s="80" t="str">
        <f>IF(AND($P554=$AB$7,$B554&lt;'1332'!$I$9),"x","")</f>
        <v/>
      </c>
      <c r="AE554" s="80" t="str">
        <f>IF(AND('341-CT'!$H$9=H554,OR(LEFT(O554,3)=$AE$7,LEFT(P554,3)=$AE$7)),"x","")</f>
        <v/>
      </c>
      <c r="AF554" s="80" t="str">
        <f>IF(OR(TH!O554=TH!$AF$7,P554=TH!$AF$7),"x","")</f>
        <v/>
      </c>
      <c r="AG554" s="80"/>
      <c r="AH554" s="80" t="str">
        <f>IF(AND(B554&gt;='IN-NX'!$P$3,B554&lt;='IN-NX'!$Q$3,'IN-NX'!$D$7=D554,OR(LEFT(L554,2)="15",AND(LEFT(M554,2)&lt;&gt;"15",LEFT(M554,2)&lt;&gt;"33"))),"x","")</f>
        <v/>
      </c>
      <c r="AI554" s="80" t="str">
        <f>IF(AND(OR(LEFT(TH!O554,2)="15",LEFT(TH!P554,2)="15"),'152-CT'!$J$8=TH!F554),"x","")</f>
        <v/>
      </c>
      <c r="AJ554" s="80" t="str">
        <f>IF(AND(OR(LEFT(TH!O554,2)="15",LEFT(TH!P554,2)="15"),'THE KHO'!$E$7=TH!F554),"x","")</f>
        <v/>
      </c>
      <c r="AK554" s="80" t="str">
        <f>IF(AND(O554="1521",MONTH(C554)='BK NL'!$M$11),"x","")</f>
        <v/>
      </c>
    </row>
    <row r="555" spans="1:37" ht="15.75" customHeight="1">
      <c r="A555" s="362" t="str">
        <f>IF(B555&lt;&gt;"",IF(AND(B555&gt;=_TM1,B555&lt;=_TM2,OR(TH!O555="1111",TH!P555="1111")),TH!D555,""),"")</f>
        <v/>
      </c>
      <c r="B555" s="63">
        <f t="shared" si="36"/>
        <v>8</v>
      </c>
      <c r="C555" s="1045">
        <f t="shared" si="37"/>
        <v>42593</v>
      </c>
      <c r="D555" s="1045" t="s">
        <v>8</v>
      </c>
      <c r="E555" s="1045">
        <v>42593</v>
      </c>
      <c r="F555" s="1046" t="s">
        <v>22</v>
      </c>
      <c r="G555" s="1047" t="s">
        <v>798</v>
      </c>
      <c r="H555" s="1129"/>
      <c r="I555" s="1135"/>
      <c r="J555" s="1135"/>
      <c r="K555" s="1136"/>
      <c r="L555" s="1135"/>
      <c r="M555" s="1051">
        <v>25000</v>
      </c>
      <c r="N555" s="1051"/>
      <c r="O555" s="1052" t="s">
        <v>135</v>
      </c>
      <c r="P555" s="1052" t="s">
        <v>31</v>
      </c>
      <c r="Q555" s="66" t="str">
        <f>IF(AND('331-CT'!$E$7=TH!H555,OR(O555="331",P555="331")),"x","")</f>
        <v/>
      </c>
      <c r="R555" s="66" t="str">
        <f>IF(AND($B555&gt;='111'!$N$11,$B555&lt;='111'!$O$11,OR($O555=$R$7,$P555=$R$7)),"x","")</f>
        <v/>
      </c>
      <c r="S555" s="66" t="str">
        <f>IF(AND($O555=$R$7,$B555&lt;'111'!$N$11),"x","")</f>
        <v/>
      </c>
      <c r="T555" s="66" t="str">
        <f>IF(AND($P555=$R$7,$B555&lt;'111'!$N$11),"x","")</f>
        <v/>
      </c>
      <c r="U555" s="66" t="str">
        <f>IF(AND($B555&gt;='112'!$M$9,$B555&lt;='112'!$N$9,OR($O555='112'!$I$6,$P555='112'!$I$6)),"x","")</f>
        <v>x</v>
      </c>
      <c r="V555" s="66" t="str">
        <f>IF(AND($O555='112'!$I$6,$B555&lt;'112'!$M$9),"x","")</f>
        <v/>
      </c>
      <c r="W555" s="66" t="str">
        <f>IF(AND($P555='112'!$I$6,$B555&lt;'112'!$M$9),"x","")</f>
        <v/>
      </c>
      <c r="X555" s="66" t="str">
        <f>IF(AND('131-CT'!$H$9=TH!H555,OR(O555="131",P555="131")),"x","")</f>
        <v/>
      </c>
      <c r="Y555" s="80" t="str">
        <f>IF(AND($B555&gt;='1331'!$I$9,$B555&lt;='1331'!$J$9,OR($O555=$Y$7,$P555=$Y$7)),"x","")</f>
        <v/>
      </c>
      <c r="Z555" s="80" t="str">
        <f>IF(AND($O555=$Y$7,$B555&lt;'1331'!$I$9),"x","")</f>
        <v/>
      </c>
      <c r="AA555" s="80" t="str">
        <f>IF(AND($P555=$Y$7,$B555&lt;'1331'!$I$9),"x","")</f>
        <v/>
      </c>
      <c r="AB555" s="80" t="str">
        <f>IF(AND($B555&gt;='1332'!$I$9,$B555&lt;='1332'!$I$9,OR($O555=$AB$7,$P555=$AB$7)),"x","")</f>
        <v/>
      </c>
      <c r="AC555" s="80" t="str">
        <f>IF(AND($O555=$AB$7,$B555&lt;'1332'!$I$9),"x","")</f>
        <v/>
      </c>
      <c r="AD555" s="80" t="str">
        <f>IF(AND($P555=$AB$7,$B555&lt;'1332'!$I$9),"x","")</f>
        <v/>
      </c>
      <c r="AE555" s="80" t="str">
        <f>IF(AND('341-CT'!$H$9=H555,OR(LEFT(O555,3)=$AE$7,LEFT(P555,3)=$AE$7)),"x","")</f>
        <v/>
      </c>
      <c r="AF555" s="80" t="str">
        <f>IF(OR(TH!O555=TH!$AF$7,P555=TH!$AF$7),"x","")</f>
        <v/>
      </c>
      <c r="AG555" s="80"/>
      <c r="AH555" s="80" t="str">
        <f>IF(AND(B555&gt;='IN-NX'!$P$3,B555&lt;='IN-NX'!$Q$3,'IN-NX'!$D$7=D555,OR(LEFT(L555,2)="15",AND(LEFT(M555,2)&lt;&gt;"15",LEFT(M555,2)&lt;&gt;"33"))),"x","")</f>
        <v/>
      </c>
      <c r="AI555" s="80" t="str">
        <f>IF(AND(OR(LEFT(TH!O555,2)="15",LEFT(TH!P555,2)="15"),'152-CT'!$J$8=TH!F555),"x","")</f>
        <v/>
      </c>
      <c r="AJ555" s="80" t="str">
        <f>IF(AND(OR(LEFT(TH!O555,2)="15",LEFT(TH!P555,2)="15"),'THE KHO'!$E$7=TH!F555),"x","")</f>
        <v/>
      </c>
      <c r="AK555" s="80" t="str">
        <f>IF(AND(O555="1521",MONTH(C555)='BK NL'!$M$11),"x","")</f>
        <v/>
      </c>
    </row>
    <row r="556" spans="1:37" ht="15.75" customHeight="1">
      <c r="A556" s="362" t="str">
        <f>IF(B556&lt;&gt;"",IF(AND(B556&gt;=_TM1,B556&lt;=_TM2,OR(TH!O556="1111",TH!P556="1111")),TH!D556,""),"")</f>
        <v/>
      </c>
      <c r="B556" s="63">
        <f t="shared" si="36"/>
        <v>8</v>
      </c>
      <c r="C556" s="1045">
        <f t="shared" si="37"/>
        <v>42593</v>
      </c>
      <c r="D556" s="1045" t="s">
        <v>8</v>
      </c>
      <c r="E556" s="1045">
        <v>42593</v>
      </c>
      <c r="F556" s="1046" t="s">
        <v>23</v>
      </c>
      <c r="G556" s="1047" t="s">
        <v>798</v>
      </c>
      <c r="H556" s="1048"/>
      <c r="I556" s="1049"/>
      <c r="J556" s="1049"/>
      <c r="K556" s="1050"/>
      <c r="L556" s="1049"/>
      <c r="M556" s="1137">
        <v>2500</v>
      </c>
      <c r="N556" s="1137"/>
      <c r="O556" s="1052" t="s">
        <v>10</v>
      </c>
      <c r="P556" s="1052" t="s">
        <v>31</v>
      </c>
      <c r="Q556" s="66" t="str">
        <f>IF(AND('331-CT'!$E$7=TH!H556,OR(O556="331",P556="331")),"x","")</f>
        <v/>
      </c>
      <c r="R556" s="66" t="str">
        <f>IF(AND($B556&gt;='111'!$N$11,$B556&lt;='111'!$O$11,OR($O556=$R$7,$P556=$R$7)),"x","")</f>
        <v/>
      </c>
      <c r="S556" s="66" t="str">
        <f>IF(AND($O556=$R$7,$B556&lt;'111'!$N$11),"x","")</f>
        <v/>
      </c>
      <c r="T556" s="66" t="str">
        <f>IF(AND($P556=$R$7,$B556&lt;'111'!$N$11),"x","")</f>
        <v/>
      </c>
      <c r="U556" s="66" t="str">
        <f>IF(AND($B556&gt;='112'!$M$9,$B556&lt;='112'!$N$9,OR($O556='112'!$I$6,$P556='112'!$I$6)),"x","")</f>
        <v>x</v>
      </c>
      <c r="V556" s="66" t="str">
        <f>IF(AND($O556='112'!$I$6,$B556&lt;'112'!$M$9),"x","")</f>
        <v/>
      </c>
      <c r="W556" s="66" t="str">
        <f>IF(AND($P556='112'!$I$6,$B556&lt;'112'!$M$9),"x","")</f>
        <v/>
      </c>
      <c r="X556" s="66" t="str">
        <f>IF(AND('131-CT'!$H$9=TH!H556,OR(O556="131",P556="131")),"x","")</f>
        <v/>
      </c>
      <c r="Y556" s="80" t="str">
        <f>IF(AND($B556&gt;='1331'!$I$9,$B556&lt;='1331'!$J$9,OR($O556=$Y$7,$P556=$Y$7)),"x","")</f>
        <v>x</v>
      </c>
      <c r="Z556" s="80" t="str">
        <f>IF(AND($O556=$Y$7,$B556&lt;'1331'!$I$9),"x","")</f>
        <v/>
      </c>
      <c r="AA556" s="80" t="str">
        <f>IF(AND($P556=$Y$7,$B556&lt;'1331'!$I$9),"x","")</f>
        <v/>
      </c>
      <c r="AB556" s="80" t="str">
        <f>IF(AND($B556&gt;='1332'!$I$9,$B556&lt;='1332'!$I$9,OR($O556=$AB$7,$P556=$AB$7)),"x","")</f>
        <v/>
      </c>
      <c r="AC556" s="80" t="str">
        <f>IF(AND($O556=$AB$7,$B556&lt;'1332'!$I$9),"x","")</f>
        <v/>
      </c>
      <c r="AD556" s="80" t="str">
        <f>IF(AND($P556=$AB$7,$B556&lt;'1332'!$I$9),"x","")</f>
        <v/>
      </c>
      <c r="AE556" s="80" t="str">
        <f>IF(AND('341-CT'!$H$9=H556,OR(LEFT(O556,3)=$AE$7,LEFT(P556,3)=$AE$7)),"x","")</f>
        <v/>
      </c>
      <c r="AF556" s="80" t="str">
        <f>IF(OR(TH!O556=TH!$AF$7,P556=TH!$AF$7),"x","")</f>
        <v/>
      </c>
      <c r="AG556" s="80"/>
      <c r="AH556" s="80" t="str">
        <f>IF(AND(B556&gt;='IN-NX'!$P$3,B556&lt;='IN-NX'!$Q$3,'IN-NX'!$D$7=D556,OR(LEFT(L556,2)="15",AND(LEFT(M556,2)&lt;&gt;"15",LEFT(M556,2)&lt;&gt;"33"))),"x","")</f>
        <v/>
      </c>
      <c r="AI556" s="80" t="str">
        <f>IF(AND(OR(LEFT(TH!O556,2)="15",LEFT(TH!P556,2)="15"),'152-CT'!$J$8=TH!F556),"x","")</f>
        <v/>
      </c>
      <c r="AJ556" s="80" t="str">
        <f>IF(AND(OR(LEFT(TH!O556,2)="15",LEFT(TH!P556,2)="15"),'THE KHO'!$E$7=TH!F556),"x","")</f>
        <v/>
      </c>
      <c r="AK556" s="80" t="str">
        <f>IF(AND(O556="1521",MONTH(C556)='BK NL'!$M$11),"x","")</f>
        <v/>
      </c>
    </row>
    <row r="557" spans="1:37" ht="15.75" customHeight="1">
      <c r="A557" s="362" t="str">
        <f>IF(B557&lt;&gt;"",IF(AND(B557&gt;=_TM1,B557&lt;=_TM2,OR(TH!O557="1111",TH!P557="1111")),TH!D557,""),"")</f>
        <v/>
      </c>
      <c r="B557" s="63">
        <f t="shared" si="36"/>
        <v>8</v>
      </c>
      <c r="C557" s="1045">
        <f t="shared" si="37"/>
        <v>42594</v>
      </c>
      <c r="D557" s="1045" t="s">
        <v>8</v>
      </c>
      <c r="E557" s="1045">
        <v>42594</v>
      </c>
      <c r="F557" s="1046" t="s">
        <v>1136</v>
      </c>
      <c r="G557" s="1047"/>
      <c r="H557" s="1129" t="s">
        <v>162</v>
      </c>
      <c r="I557" s="1049"/>
      <c r="J557" s="1049"/>
      <c r="K557" s="1050"/>
      <c r="L557" s="1049"/>
      <c r="M557" s="1051">
        <v>64474776</v>
      </c>
      <c r="N557" s="1051"/>
      <c r="O557" s="1052" t="s">
        <v>106</v>
      </c>
      <c r="P557" s="1052" t="s">
        <v>31</v>
      </c>
      <c r="Q557" s="66" t="str">
        <f>IF(AND('331-CT'!$E$7=TH!H557,OR(O557="331",P557="331")),"x","")</f>
        <v/>
      </c>
      <c r="R557" s="66" t="str">
        <f>IF(AND($B557&gt;='111'!$N$11,$B557&lt;='111'!$O$11,OR($O557=$R$7,$P557=$R$7)),"x","")</f>
        <v/>
      </c>
      <c r="S557" s="66" t="str">
        <f>IF(AND($O557=$R$7,$B557&lt;'111'!$N$11),"x","")</f>
        <v/>
      </c>
      <c r="T557" s="66" t="str">
        <f>IF(AND($P557=$R$7,$B557&lt;'111'!$N$11),"x","")</f>
        <v/>
      </c>
      <c r="U557" s="66" t="str">
        <f>IF(AND($B557&gt;='112'!$M$9,$B557&lt;='112'!$N$9,OR($O557='112'!$I$6,$P557='112'!$I$6)),"x","")</f>
        <v>x</v>
      </c>
      <c r="V557" s="66" t="str">
        <f>IF(AND($O557='112'!$I$6,$B557&lt;'112'!$M$9),"x","")</f>
        <v/>
      </c>
      <c r="W557" s="66" t="str">
        <f>IF(AND($P557='112'!$I$6,$B557&lt;'112'!$M$9),"x","")</f>
        <v/>
      </c>
      <c r="X557" s="66" t="str">
        <f>IF(AND('131-CT'!$H$9=TH!H557,OR(O557="131",P557="131")),"x","")</f>
        <v/>
      </c>
      <c r="Y557" s="80" t="str">
        <f>IF(AND($B557&gt;='1331'!$I$9,$B557&lt;='1331'!$J$9,OR($O557=$Y$7,$P557=$Y$7)),"x","")</f>
        <v/>
      </c>
      <c r="Z557" s="80" t="str">
        <f>IF(AND($O557=$Y$7,$B557&lt;'1331'!$I$9),"x","")</f>
        <v/>
      </c>
      <c r="AA557" s="80" t="str">
        <f>IF(AND($P557=$Y$7,$B557&lt;'1331'!$I$9),"x","")</f>
        <v/>
      </c>
      <c r="AB557" s="80" t="str">
        <f>IF(AND($B557&gt;='1332'!$I$9,$B557&lt;='1332'!$I$9,OR($O557=$AB$7,$P557=$AB$7)),"x","")</f>
        <v/>
      </c>
      <c r="AC557" s="80" t="str">
        <f>IF(AND($O557=$AB$7,$B557&lt;'1332'!$I$9),"x","")</f>
        <v/>
      </c>
      <c r="AD557" s="80" t="str">
        <f>IF(AND($P557=$AB$7,$B557&lt;'1332'!$I$9),"x","")</f>
        <v/>
      </c>
      <c r="AE557" s="80" t="str">
        <f>IF(AND('341-CT'!$H$9=H557,OR(LEFT(O557,3)=$AE$7,LEFT(P557,3)=$AE$7)),"x","")</f>
        <v/>
      </c>
      <c r="AF557" s="80" t="str">
        <f>IF(OR(TH!O557=TH!$AF$7,P557=TH!$AF$7),"x","")</f>
        <v/>
      </c>
      <c r="AG557" s="80"/>
      <c r="AH557" s="80" t="str">
        <f>IF(AND(B557&gt;='IN-NX'!$P$3,B557&lt;='IN-NX'!$Q$3,'IN-NX'!$D$7=D557,OR(LEFT(L557,2)="15",AND(LEFT(M557,2)&lt;&gt;"15",LEFT(M557,2)&lt;&gt;"33"))),"x","")</f>
        <v/>
      </c>
      <c r="AI557" s="80" t="str">
        <f>IF(AND(OR(LEFT(TH!O557,2)="15",LEFT(TH!P557,2)="15"),'152-CT'!$J$8=TH!F557),"x","")</f>
        <v/>
      </c>
      <c r="AJ557" s="80" t="str">
        <f>IF(AND(OR(LEFT(TH!O557,2)="15",LEFT(TH!P557,2)="15"),'THE KHO'!$E$7=TH!F557),"x","")</f>
        <v/>
      </c>
      <c r="AK557" s="80" t="str">
        <f>IF(AND(O557="1521",MONTH(C557)='BK NL'!$M$11),"x","")</f>
        <v/>
      </c>
    </row>
    <row r="558" spans="1:37" ht="15.75" customHeight="1">
      <c r="A558" s="362" t="str">
        <f>IF(B558&lt;&gt;"",IF(AND(B558&gt;=_TM1,B558&lt;=_TM2,OR(TH!O558="1111",TH!P558="1111")),TH!D558,""),"")</f>
        <v/>
      </c>
      <c r="B558" s="63">
        <f t="shared" si="36"/>
        <v>8</v>
      </c>
      <c r="C558" s="1045">
        <f t="shared" si="37"/>
        <v>42594</v>
      </c>
      <c r="D558" s="1045" t="s">
        <v>8</v>
      </c>
      <c r="E558" s="1045">
        <v>42594</v>
      </c>
      <c r="F558" s="1046" t="s">
        <v>1137</v>
      </c>
      <c r="G558" s="1047" t="s">
        <v>798</v>
      </c>
      <c r="H558" s="1129"/>
      <c r="I558" s="1135"/>
      <c r="J558" s="1135"/>
      <c r="K558" s="1136"/>
      <c r="L558" s="1135"/>
      <c r="M558" s="1051">
        <v>25000</v>
      </c>
      <c r="N558" s="1051"/>
      <c r="O558" s="1052" t="s">
        <v>106</v>
      </c>
      <c r="P558" s="1052" t="s">
        <v>31</v>
      </c>
      <c r="Q558" s="66" t="str">
        <f>IF(AND('331-CT'!$E$7=TH!H558,OR(O558="331",P558="331")),"x","")</f>
        <v/>
      </c>
      <c r="R558" s="66" t="str">
        <f>IF(AND($B558&gt;='111'!$N$11,$B558&lt;='111'!$O$11,OR($O558=$R$7,$P558=$R$7)),"x","")</f>
        <v/>
      </c>
      <c r="S558" s="66" t="str">
        <f>IF(AND($O558=$R$7,$B558&lt;'111'!$N$11),"x","")</f>
        <v/>
      </c>
      <c r="T558" s="66" t="str">
        <f>IF(AND($P558=$R$7,$B558&lt;'111'!$N$11),"x","")</f>
        <v/>
      </c>
      <c r="U558" s="66" t="str">
        <f>IF(AND($B558&gt;='112'!$M$9,$B558&lt;='112'!$N$9,OR($O558='112'!$I$6,$P558='112'!$I$6)),"x","")</f>
        <v>x</v>
      </c>
      <c r="V558" s="66" t="str">
        <f>IF(AND($O558='112'!$I$6,$B558&lt;'112'!$M$9),"x","")</f>
        <v/>
      </c>
      <c r="W558" s="66" t="str">
        <f>IF(AND($P558='112'!$I$6,$B558&lt;'112'!$M$9),"x","")</f>
        <v/>
      </c>
      <c r="X558" s="66" t="str">
        <f>IF(AND('131-CT'!$H$9=TH!H558,OR(O558="131",P558="131")),"x","")</f>
        <v/>
      </c>
      <c r="Y558" s="80" t="str">
        <f>IF(AND($B558&gt;='1331'!$I$9,$B558&lt;='1331'!$J$9,OR($O558=$Y$7,$P558=$Y$7)),"x","")</f>
        <v/>
      </c>
      <c r="Z558" s="80" t="str">
        <f>IF(AND($O558=$Y$7,$B558&lt;'1331'!$I$9),"x","")</f>
        <v/>
      </c>
      <c r="AA558" s="80" t="str">
        <f>IF(AND($P558=$Y$7,$B558&lt;'1331'!$I$9),"x","")</f>
        <v/>
      </c>
      <c r="AB558" s="80" t="str">
        <f>IF(AND($B558&gt;='1332'!$I$9,$B558&lt;='1332'!$I$9,OR($O558=$AB$7,$P558=$AB$7)),"x","")</f>
        <v/>
      </c>
      <c r="AC558" s="80" t="str">
        <f>IF(AND($O558=$AB$7,$B558&lt;'1332'!$I$9),"x","")</f>
        <v/>
      </c>
      <c r="AD558" s="80" t="str">
        <f>IF(AND($P558=$AB$7,$B558&lt;'1332'!$I$9),"x","")</f>
        <v/>
      </c>
      <c r="AE558" s="80" t="str">
        <f>IF(AND('341-CT'!$H$9=H558,OR(LEFT(O558,3)=$AE$7,LEFT(P558,3)=$AE$7)),"x","")</f>
        <v/>
      </c>
      <c r="AF558" s="80" t="str">
        <f>IF(OR(TH!O558=TH!$AF$7,P558=TH!$AF$7),"x","")</f>
        <v/>
      </c>
      <c r="AG558" s="80"/>
      <c r="AH558" s="80" t="str">
        <f>IF(AND(B558&gt;='IN-NX'!$P$3,B558&lt;='IN-NX'!$Q$3,'IN-NX'!$D$7=D558,OR(LEFT(L558,2)="15",AND(LEFT(M558,2)&lt;&gt;"15",LEFT(M558,2)&lt;&gt;"33"))),"x","")</f>
        <v/>
      </c>
      <c r="AI558" s="80" t="str">
        <f>IF(AND(OR(LEFT(TH!O558,2)="15",LEFT(TH!P558,2)="15"),'152-CT'!$J$8=TH!F558),"x","")</f>
        <v/>
      </c>
      <c r="AJ558" s="80" t="str">
        <f>IF(AND(OR(LEFT(TH!O558,2)="15",LEFT(TH!P558,2)="15"),'THE KHO'!$E$7=TH!F558),"x","")</f>
        <v/>
      </c>
      <c r="AK558" s="80" t="str">
        <f>IF(AND(O558="1521",MONTH(C558)='BK NL'!$M$11),"x","")</f>
        <v/>
      </c>
    </row>
    <row r="559" spans="1:37" ht="15.75" customHeight="1">
      <c r="A559" s="362" t="str">
        <f>IF(B559&lt;&gt;"",IF(AND(B559&gt;=_TM1,B559&lt;=_TM2,OR(TH!O559="1111",TH!P559="1111")),TH!D559,""),"")</f>
        <v/>
      </c>
      <c r="B559" s="63">
        <f t="shared" si="36"/>
        <v>8</v>
      </c>
      <c r="C559" s="1045">
        <f t="shared" si="37"/>
        <v>42594</v>
      </c>
      <c r="D559" s="1045" t="s">
        <v>8</v>
      </c>
      <c r="E559" s="1045">
        <v>42594</v>
      </c>
      <c r="F559" s="1046" t="s">
        <v>1138</v>
      </c>
      <c r="G559" s="1047" t="s">
        <v>798</v>
      </c>
      <c r="H559" s="1048"/>
      <c r="I559" s="1049"/>
      <c r="J559" s="1049"/>
      <c r="K559" s="1050"/>
      <c r="L559" s="1049"/>
      <c r="M559" s="1137">
        <v>2500</v>
      </c>
      <c r="N559" s="1137"/>
      <c r="O559" s="1052" t="s">
        <v>106</v>
      </c>
      <c r="P559" s="1052" t="s">
        <v>31</v>
      </c>
      <c r="Q559" s="66" t="str">
        <f>IF(AND('331-CT'!$E$7=TH!H559,OR(O559="331",P559="331")),"x","")</f>
        <v/>
      </c>
      <c r="R559" s="66" t="str">
        <f>IF(AND($B559&gt;='111'!$N$11,$B559&lt;='111'!$O$11,OR($O559=$R$7,$P559=$R$7)),"x","")</f>
        <v/>
      </c>
      <c r="S559" s="66" t="str">
        <f>IF(AND($O559=$R$7,$B559&lt;'111'!$N$11),"x","")</f>
        <v/>
      </c>
      <c r="T559" s="66" t="str">
        <f>IF(AND($P559=$R$7,$B559&lt;'111'!$N$11),"x","")</f>
        <v/>
      </c>
      <c r="U559" s="66" t="str">
        <f>IF(AND($B559&gt;='112'!$M$9,$B559&lt;='112'!$N$9,OR($O559='112'!$I$6,$P559='112'!$I$6)),"x","")</f>
        <v>x</v>
      </c>
      <c r="V559" s="66" t="str">
        <f>IF(AND($O559='112'!$I$6,$B559&lt;'112'!$M$9),"x","")</f>
        <v/>
      </c>
      <c r="W559" s="66" t="str">
        <f>IF(AND($P559='112'!$I$6,$B559&lt;'112'!$M$9),"x","")</f>
        <v/>
      </c>
      <c r="X559" s="66" t="str">
        <f>IF(AND('131-CT'!$H$9=TH!H559,OR(O559="131",P559="131")),"x","")</f>
        <v/>
      </c>
      <c r="Y559" s="80" t="str">
        <f>IF(AND($B559&gt;='1331'!$I$9,$B559&lt;='1331'!$J$9,OR($O559=$Y$7,$P559=$Y$7)),"x","")</f>
        <v/>
      </c>
      <c r="Z559" s="80" t="str">
        <f>IF(AND($O559=$Y$7,$B559&lt;'1331'!$I$9),"x","")</f>
        <v/>
      </c>
      <c r="AA559" s="80" t="str">
        <f>IF(AND($P559=$Y$7,$B559&lt;'1331'!$I$9),"x","")</f>
        <v/>
      </c>
      <c r="AB559" s="80" t="str">
        <f>IF(AND($B559&gt;='1332'!$I$9,$B559&lt;='1332'!$I$9,OR($O559=$AB$7,$P559=$AB$7)),"x","")</f>
        <v/>
      </c>
      <c r="AC559" s="80" t="str">
        <f>IF(AND($O559=$AB$7,$B559&lt;'1332'!$I$9),"x","")</f>
        <v/>
      </c>
      <c r="AD559" s="80" t="str">
        <f>IF(AND($P559=$AB$7,$B559&lt;'1332'!$I$9),"x","")</f>
        <v/>
      </c>
      <c r="AE559" s="80" t="str">
        <f>IF(AND('341-CT'!$H$9=H559,OR(LEFT(O559,3)=$AE$7,LEFT(P559,3)=$AE$7)),"x","")</f>
        <v/>
      </c>
      <c r="AF559" s="80" t="str">
        <f>IF(OR(TH!O559=TH!$AF$7,P559=TH!$AF$7),"x","")</f>
        <v/>
      </c>
      <c r="AG559" s="80"/>
      <c r="AH559" s="80" t="str">
        <f>IF(AND(B559&gt;='IN-NX'!$P$3,B559&lt;='IN-NX'!$Q$3,'IN-NX'!$D$7=D559,OR(LEFT(L559,2)="15",AND(LEFT(M559,2)&lt;&gt;"15",LEFT(M559,2)&lt;&gt;"33"))),"x","")</f>
        <v/>
      </c>
      <c r="AI559" s="80" t="str">
        <f>IF(AND(OR(LEFT(TH!O559,2)="15",LEFT(TH!P559,2)="15"),'152-CT'!$J$8=TH!F559),"x","")</f>
        <v/>
      </c>
      <c r="AJ559" s="80" t="str">
        <f>IF(AND(OR(LEFT(TH!O559,2)="15",LEFT(TH!P559,2)="15"),'THE KHO'!$E$7=TH!F559),"x","")</f>
        <v/>
      </c>
      <c r="AK559" s="80" t="str">
        <f>IF(AND(O559="1521",MONTH(C559)='BK NL'!$M$11),"x","")</f>
        <v/>
      </c>
    </row>
    <row r="560" spans="1:37" ht="15.75" customHeight="1">
      <c r="A560" s="362" t="str">
        <f>IF(B560&lt;&gt;"",IF(AND(B560&gt;=_TM1,B560&lt;=_TM2,OR(TH!O560="1111",TH!P560="1111")),TH!D560,""),"")</f>
        <v/>
      </c>
      <c r="B560" s="63">
        <f t="shared" si="36"/>
        <v>8</v>
      </c>
      <c r="C560" s="1045">
        <f t="shared" si="37"/>
        <v>42594</v>
      </c>
      <c r="D560" s="1045" t="s">
        <v>12</v>
      </c>
      <c r="E560" s="1045">
        <v>42594</v>
      </c>
      <c r="F560" s="1046" t="s">
        <v>1133</v>
      </c>
      <c r="G560" s="1047"/>
      <c r="H560" s="1129" t="s">
        <v>162</v>
      </c>
      <c r="I560" s="1049"/>
      <c r="J560" s="1049"/>
      <c r="K560" s="1050"/>
      <c r="L560" s="1049"/>
      <c r="M560" s="1051">
        <v>-64474776</v>
      </c>
      <c r="N560" s="1051"/>
      <c r="O560" s="1052" t="s">
        <v>106</v>
      </c>
      <c r="P560" s="1052" t="s">
        <v>31</v>
      </c>
      <c r="Q560" s="66" t="str">
        <f>IF(AND('331-CT'!$E$7=TH!H560,OR(O560="331",P560="331")),"x","")</f>
        <v/>
      </c>
      <c r="R560" s="66" t="str">
        <f>IF(AND($B560&gt;='111'!$N$11,$B560&lt;='111'!$O$11,OR($O560=$R$7,$P560=$R$7)),"x","")</f>
        <v/>
      </c>
      <c r="S560" s="66" t="str">
        <f>IF(AND($O560=$R$7,$B560&lt;'111'!$N$11),"x","")</f>
        <v/>
      </c>
      <c r="T560" s="66" t="str">
        <f>IF(AND($P560=$R$7,$B560&lt;'111'!$N$11),"x","")</f>
        <v/>
      </c>
      <c r="U560" s="66" t="str">
        <f>IF(AND($B560&gt;='112'!$M$9,$B560&lt;='112'!$N$9,OR($O560='112'!$I$6,$P560='112'!$I$6)),"x","")</f>
        <v>x</v>
      </c>
      <c r="V560" s="66" t="str">
        <f>IF(AND($O560='112'!$I$6,$B560&lt;'112'!$M$9),"x","")</f>
        <v/>
      </c>
      <c r="W560" s="66" t="str">
        <f>IF(AND($P560='112'!$I$6,$B560&lt;'112'!$M$9),"x","")</f>
        <v/>
      </c>
      <c r="X560" s="66" t="str">
        <f>IF(AND('131-CT'!$H$9=TH!H560,OR(O560="131",P560="131")),"x","")</f>
        <v/>
      </c>
      <c r="Y560" s="80" t="str">
        <f>IF(AND($B560&gt;='1331'!$I$9,$B560&lt;='1331'!$J$9,OR($O560=$Y$7,$P560=$Y$7)),"x","")</f>
        <v/>
      </c>
      <c r="Z560" s="80" t="str">
        <f>IF(AND($O560=$Y$7,$B560&lt;'1331'!$I$9),"x","")</f>
        <v/>
      </c>
      <c r="AA560" s="80" t="str">
        <f>IF(AND($P560=$Y$7,$B560&lt;'1331'!$I$9),"x","")</f>
        <v/>
      </c>
      <c r="AB560" s="80" t="str">
        <f>IF(AND($B560&gt;='1332'!$I$9,$B560&lt;='1332'!$I$9,OR($O560=$AB$7,$P560=$AB$7)),"x","")</f>
        <v/>
      </c>
      <c r="AC560" s="80" t="str">
        <f>IF(AND($O560=$AB$7,$B560&lt;'1332'!$I$9),"x","")</f>
        <v/>
      </c>
      <c r="AD560" s="80" t="str">
        <f>IF(AND($P560=$AB$7,$B560&lt;'1332'!$I$9),"x","")</f>
        <v/>
      </c>
      <c r="AE560" s="80" t="str">
        <f>IF(AND('341-CT'!$H$9=H560,OR(LEFT(O560,3)=$AE$7,LEFT(P560,3)=$AE$7)),"x","")</f>
        <v/>
      </c>
      <c r="AF560" s="80" t="str">
        <f>IF(OR(TH!O560=TH!$AF$7,P560=TH!$AF$7),"x","")</f>
        <v/>
      </c>
      <c r="AG560" s="80"/>
      <c r="AH560" s="80" t="str">
        <f>IF(AND(B560&gt;='IN-NX'!$P$3,B560&lt;='IN-NX'!$Q$3,'IN-NX'!$D$7=D560,OR(LEFT(L560,2)="15",AND(LEFT(M560,2)&lt;&gt;"15",LEFT(M560,2)&lt;&gt;"33"))),"x","")</f>
        <v/>
      </c>
      <c r="AI560" s="80" t="str">
        <f>IF(AND(OR(LEFT(TH!O560,2)="15",LEFT(TH!P560,2)="15"),'152-CT'!$J$8=TH!F560),"x","")</f>
        <v/>
      </c>
      <c r="AJ560" s="80" t="str">
        <f>IF(AND(OR(LEFT(TH!O560,2)="15",LEFT(TH!P560,2)="15"),'THE KHO'!$E$7=TH!F560),"x","")</f>
        <v/>
      </c>
      <c r="AK560" s="80" t="str">
        <f>IF(AND(O560="1521",MONTH(C560)='BK NL'!$M$11),"x","")</f>
        <v/>
      </c>
    </row>
    <row r="561" spans="1:37" ht="15.75" customHeight="1">
      <c r="A561" s="362" t="str">
        <f>IF(B561&lt;&gt;"",IF(AND(B561&gt;=_TM1,B561&lt;=_TM2,OR(TH!O561="1111",TH!P561="1111")),TH!D561,""),"")</f>
        <v/>
      </c>
      <c r="B561" s="63">
        <f t="shared" si="36"/>
        <v>8</v>
      </c>
      <c r="C561" s="1045">
        <f t="shared" si="37"/>
        <v>42594</v>
      </c>
      <c r="D561" s="1045" t="s">
        <v>12</v>
      </c>
      <c r="E561" s="1045">
        <v>42594</v>
      </c>
      <c r="F561" s="1046" t="s">
        <v>1134</v>
      </c>
      <c r="G561" s="1047" t="s">
        <v>798</v>
      </c>
      <c r="H561" s="1129"/>
      <c r="I561" s="1135"/>
      <c r="J561" s="1135"/>
      <c r="K561" s="1136"/>
      <c r="L561" s="1135"/>
      <c r="M561" s="1051">
        <v>-25000</v>
      </c>
      <c r="N561" s="1051"/>
      <c r="O561" s="1052" t="s">
        <v>106</v>
      </c>
      <c r="P561" s="1052" t="s">
        <v>31</v>
      </c>
      <c r="Q561" s="66" t="str">
        <f>IF(AND('331-CT'!$E$7=TH!H561,OR(O561="331",P561="331")),"x","")</f>
        <v/>
      </c>
      <c r="R561" s="66" t="str">
        <f>IF(AND($B561&gt;='111'!$N$11,$B561&lt;='111'!$O$11,OR($O561=$R$7,$P561=$R$7)),"x","")</f>
        <v/>
      </c>
      <c r="S561" s="66" t="str">
        <f>IF(AND($O561=$R$7,$B561&lt;'111'!$N$11),"x","")</f>
        <v/>
      </c>
      <c r="T561" s="66" t="str">
        <f>IF(AND($P561=$R$7,$B561&lt;'111'!$N$11),"x","")</f>
        <v/>
      </c>
      <c r="U561" s="66" t="str">
        <f>IF(AND($B561&gt;='112'!$M$9,$B561&lt;='112'!$N$9,OR($O561='112'!$I$6,$P561='112'!$I$6)),"x","")</f>
        <v>x</v>
      </c>
      <c r="V561" s="66" t="str">
        <f>IF(AND($O561='112'!$I$6,$B561&lt;'112'!$M$9),"x","")</f>
        <v/>
      </c>
      <c r="W561" s="66" t="str">
        <f>IF(AND($P561='112'!$I$6,$B561&lt;'112'!$M$9),"x","")</f>
        <v/>
      </c>
      <c r="X561" s="66" t="str">
        <f>IF(AND('131-CT'!$H$9=TH!H561,OR(O561="131",P561="131")),"x","")</f>
        <v/>
      </c>
      <c r="Y561" s="80" t="str">
        <f>IF(AND($B561&gt;='1331'!$I$9,$B561&lt;='1331'!$J$9,OR($O561=$Y$7,$P561=$Y$7)),"x","")</f>
        <v/>
      </c>
      <c r="Z561" s="80" t="str">
        <f>IF(AND($O561=$Y$7,$B561&lt;'1331'!$I$9),"x","")</f>
        <v/>
      </c>
      <c r="AA561" s="80" t="str">
        <f>IF(AND($P561=$Y$7,$B561&lt;'1331'!$I$9),"x","")</f>
        <v/>
      </c>
      <c r="AB561" s="80" t="str">
        <f>IF(AND($B561&gt;='1332'!$I$9,$B561&lt;='1332'!$I$9,OR($O561=$AB$7,$P561=$AB$7)),"x","")</f>
        <v/>
      </c>
      <c r="AC561" s="80" t="str">
        <f>IF(AND($O561=$AB$7,$B561&lt;'1332'!$I$9),"x","")</f>
        <v/>
      </c>
      <c r="AD561" s="80" t="str">
        <f>IF(AND($P561=$AB$7,$B561&lt;'1332'!$I$9),"x","")</f>
        <v/>
      </c>
      <c r="AE561" s="80" t="str">
        <f>IF(AND('341-CT'!$H$9=H561,OR(LEFT(O561,3)=$AE$7,LEFT(P561,3)=$AE$7)),"x","")</f>
        <v/>
      </c>
      <c r="AF561" s="80" t="str">
        <f>IF(OR(TH!O561=TH!$AF$7,P561=TH!$AF$7),"x","")</f>
        <v/>
      </c>
      <c r="AG561" s="80"/>
      <c r="AH561" s="80" t="str">
        <f>IF(AND(B561&gt;='IN-NX'!$P$3,B561&lt;='IN-NX'!$Q$3,'IN-NX'!$D$7=D561,OR(LEFT(L561,2)="15",AND(LEFT(M561,2)&lt;&gt;"15",LEFT(M561,2)&lt;&gt;"33"))),"x","")</f>
        <v/>
      </c>
      <c r="AI561" s="80" t="str">
        <f>IF(AND(OR(LEFT(TH!O561,2)="15",LEFT(TH!P561,2)="15"),'152-CT'!$J$8=TH!F561),"x","")</f>
        <v/>
      </c>
      <c r="AJ561" s="80" t="str">
        <f>IF(AND(OR(LEFT(TH!O561,2)="15",LEFT(TH!P561,2)="15"),'THE KHO'!$E$7=TH!F561),"x","")</f>
        <v/>
      </c>
      <c r="AK561" s="80" t="str">
        <f>IF(AND(O561="1521",MONTH(C561)='BK NL'!$M$11),"x","")</f>
        <v/>
      </c>
    </row>
    <row r="562" spans="1:37" ht="15.75" customHeight="1">
      <c r="A562" s="362" t="str">
        <f>IF(B562&lt;&gt;"",IF(AND(B562&gt;=_TM1,B562&lt;=_TM2,OR(TH!O562="1111",TH!P562="1111")),TH!D562,""),"")</f>
        <v/>
      </c>
      <c r="B562" s="63">
        <f t="shared" si="36"/>
        <v>8</v>
      </c>
      <c r="C562" s="1045">
        <f t="shared" si="37"/>
        <v>42594</v>
      </c>
      <c r="D562" s="1045" t="s">
        <v>12</v>
      </c>
      <c r="E562" s="1045">
        <v>42594</v>
      </c>
      <c r="F562" s="1046" t="s">
        <v>1135</v>
      </c>
      <c r="G562" s="1047" t="s">
        <v>798</v>
      </c>
      <c r="H562" s="1048"/>
      <c r="I562" s="1049"/>
      <c r="J562" s="1049"/>
      <c r="K562" s="1050"/>
      <c r="L562" s="1049"/>
      <c r="M562" s="1137">
        <v>-2500</v>
      </c>
      <c r="N562" s="1137"/>
      <c r="O562" s="1052" t="s">
        <v>106</v>
      </c>
      <c r="P562" s="1052" t="s">
        <v>31</v>
      </c>
      <c r="Q562" s="66" t="str">
        <f>IF(AND('331-CT'!$E$7=TH!H562,OR(O562="331",P562="331")),"x","")</f>
        <v/>
      </c>
      <c r="R562" s="66" t="str">
        <f>IF(AND($B562&gt;='111'!$N$11,$B562&lt;='111'!$O$11,OR($O562=$R$7,$P562=$R$7)),"x","")</f>
        <v/>
      </c>
      <c r="S562" s="66" t="str">
        <f>IF(AND($O562=$R$7,$B562&lt;'111'!$N$11),"x","")</f>
        <v/>
      </c>
      <c r="T562" s="66" t="str">
        <f>IF(AND($P562=$R$7,$B562&lt;'111'!$N$11),"x","")</f>
        <v/>
      </c>
      <c r="U562" s="66" t="str">
        <f>IF(AND($B562&gt;='112'!$M$9,$B562&lt;='112'!$N$9,OR($O562='112'!$I$6,$P562='112'!$I$6)),"x","")</f>
        <v>x</v>
      </c>
      <c r="V562" s="66" t="str">
        <f>IF(AND($O562='112'!$I$6,$B562&lt;'112'!$M$9),"x","")</f>
        <v/>
      </c>
      <c r="W562" s="66" t="str">
        <f>IF(AND($P562='112'!$I$6,$B562&lt;'112'!$M$9),"x","")</f>
        <v/>
      </c>
      <c r="X562" s="66" t="str">
        <f>IF(AND('131-CT'!$H$9=TH!H562,OR(O562="131",P562="131")),"x","")</f>
        <v/>
      </c>
      <c r="Y562" s="80" t="str">
        <f>IF(AND($B562&gt;='1331'!$I$9,$B562&lt;='1331'!$J$9,OR($O562=$Y$7,$P562=$Y$7)),"x","")</f>
        <v/>
      </c>
      <c r="Z562" s="80" t="str">
        <f>IF(AND($O562=$Y$7,$B562&lt;'1331'!$I$9),"x","")</f>
        <v/>
      </c>
      <c r="AA562" s="80" t="str">
        <f>IF(AND($P562=$Y$7,$B562&lt;'1331'!$I$9),"x","")</f>
        <v/>
      </c>
      <c r="AB562" s="80" t="str">
        <f>IF(AND($B562&gt;='1332'!$I$9,$B562&lt;='1332'!$I$9,OR($O562=$AB$7,$P562=$AB$7)),"x","")</f>
        <v/>
      </c>
      <c r="AC562" s="80" t="str">
        <f>IF(AND($O562=$AB$7,$B562&lt;'1332'!$I$9),"x","")</f>
        <v/>
      </c>
      <c r="AD562" s="80" t="str">
        <f>IF(AND($P562=$AB$7,$B562&lt;'1332'!$I$9),"x","")</f>
        <v/>
      </c>
      <c r="AE562" s="80" t="str">
        <f>IF(AND('341-CT'!$H$9=H562,OR(LEFT(O562,3)=$AE$7,LEFT(P562,3)=$AE$7)),"x","")</f>
        <v/>
      </c>
      <c r="AF562" s="80" t="str">
        <f>IF(OR(TH!O562=TH!$AF$7,P562=TH!$AF$7),"x","")</f>
        <v/>
      </c>
      <c r="AG562" s="80"/>
      <c r="AH562" s="80" t="str">
        <f>IF(AND(B562&gt;='IN-NX'!$P$3,B562&lt;='IN-NX'!$Q$3,'IN-NX'!$D$7=D562,OR(LEFT(L562,2)="15",AND(LEFT(M562,2)&lt;&gt;"15",LEFT(M562,2)&lt;&gt;"33"))),"x","")</f>
        <v/>
      </c>
      <c r="AI562" s="80" t="str">
        <f>IF(AND(OR(LEFT(TH!O562,2)="15",LEFT(TH!P562,2)="15"),'152-CT'!$J$8=TH!F562),"x","")</f>
        <v/>
      </c>
      <c r="AJ562" s="80" t="str">
        <f>IF(AND(OR(LEFT(TH!O562,2)="15",LEFT(TH!P562,2)="15"),'THE KHO'!$E$7=TH!F562),"x","")</f>
        <v/>
      </c>
      <c r="AK562" s="80" t="str">
        <f>IF(AND(O562="1521",MONTH(C562)='BK NL'!$M$11),"x","")</f>
        <v/>
      </c>
    </row>
    <row r="563" spans="1:37" ht="15.75" customHeight="1">
      <c r="A563" s="362" t="str">
        <f>IF(B563&lt;&gt;"",IF(AND(B563&gt;=_TM1,B563&lt;=_TM2,OR(TH!O563="1111",TH!P563="1111")),TH!D563,""),"")</f>
        <v/>
      </c>
      <c r="B563" s="63">
        <f t="shared" si="36"/>
        <v>8</v>
      </c>
      <c r="C563" s="1045">
        <f t="shared" si="37"/>
        <v>42594</v>
      </c>
      <c r="D563" s="1045" t="s">
        <v>8</v>
      </c>
      <c r="E563" s="1045">
        <v>42594</v>
      </c>
      <c r="F563" s="1046" t="s">
        <v>1139</v>
      </c>
      <c r="G563" s="1047"/>
      <c r="H563" s="1129" t="s">
        <v>162</v>
      </c>
      <c r="I563" s="1049"/>
      <c r="J563" s="1049"/>
      <c r="K563" s="1050"/>
      <c r="L563" s="1049"/>
      <c r="M563" s="1051">
        <v>62466820</v>
      </c>
      <c r="N563" s="1051"/>
      <c r="O563" s="1052" t="s">
        <v>9</v>
      </c>
      <c r="P563" s="1052" t="s">
        <v>31</v>
      </c>
      <c r="Q563" s="66" t="str">
        <f>IF(AND('331-CT'!$E$7=TH!H563,OR(O563="331",P563="331")),"x","")</f>
        <v/>
      </c>
      <c r="R563" s="66" t="str">
        <f>IF(AND($B563&gt;='111'!$N$11,$B563&lt;='111'!$O$11,OR($O563=$R$7,$P563=$R$7)),"x","")</f>
        <v/>
      </c>
      <c r="S563" s="66" t="str">
        <f>IF(AND($O563=$R$7,$B563&lt;'111'!$N$11),"x","")</f>
        <v/>
      </c>
      <c r="T563" s="66" t="str">
        <f>IF(AND($P563=$R$7,$B563&lt;'111'!$N$11),"x","")</f>
        <v/>
      </c>
      <c r="U563" s="66" t="str">
        <f>IF(AND($B563&gt;='112'!$M$9,$B563&lt;='112'!$N$9,OR($O563='112'!$I$6,$P563='112'!$I$6)),"x","")</f>
        <v>x</v>
      </c>
      <c r="V563" s="66" t="str">
        <f>IF(AND($O563='112'!$I$6,$B563&lt;'112'!$M$9),"x","")</f>
        <v/>
      </c>
      <c r="W563" s="66" t="str">
        <f>IF(AND($P563='112'!$I$6,$B563&lt;'112'!$M$9),"x","")</f>
        <v/>
      </c>
      <c r="X563" s="66" t="str">
        <f>IF(AND('131-CT'!$H$9=TH!H563,OR(O563="131",P563="131")),"x","")</f>
        <v/>
      </c>
      <c r="Y563" s="80" t="str">
        <f>IF(AND($B563&gt;='1331'!$I$9,$B563&lt;='1331'!$J$9,OR($O563=$Y$7,$P563=$Y$7)),"x","")</f>
        <v/>
      </c>
      <c r="Z563" s="80" t="str">
        <f>IF(AND($O563=$Y$7,$B563&lt;'1331'!$I$9),"x","")</f>
        <v/>
      </c>
      <c r="AA563" s="80" t="str">
        <f>IF(AND($P563=$Y$7,$B563&lt;'1331'!$I$9),"x","")</f>
        <v/>
      </c>
      <c r="AB563" s="80" t="str">
        <f>IF(AND($B563&gt;='1332'!$I$9,$B563&lt;='1332'!$I$9,OR($O563=$AB$7,$P563=$AB$7)),"x","")</f>
        <v/>
      </c>
      <c r="AC563" s="80" t="str">
        <f>IF(AND($O563=$AB$7,$B563&lt;'1332'!$I$9),"x","")</f>
        <v/>
      </c>
      <c r="AD563" s="80" t="str">
        <f>IF(AND($P563=$AB$7,$B563&lt;'1332'!$I$9),"x","")</f>
        <v/>
      </c>
      <c r="AE563" s="80" t="str">
        <f>IF(AND('341-CT'!$H$9=H563,OR(LEFT(O563,3)=$AE$7,LEFT(P563,3)=$AE$7)),"x","")</f>
        <v/>
      </c>
      <c r="AF563" s="80" t="str">
        <f>IF(OR(TH!O563=TH!$AF$7,P563=TH!$AF$7),"x","")</f>
        <v/>
      </c>
      <c r="AG563" s="80"/>
      <c r="AH563" s="80" t="str">
        <f>IF(AND(B563&gt;='IN-NX'!$P$3,B563&lt;='IN-NX'!$Q$3,'IN-NX'!$D$7=D563,OR(LEFT(L563,2)="15",AND(LEFT(M563,2)&lt;&gt;"15",LEFT(M563,2)&lt;&gt;"33"))),"x","")</f>
        <v/>
      </c>
      <c r="AI563" s="80" t="str">
        <f>IF(AND(OR(LEFT(TH!O563,2)="15",LEFT(TH!P563,2)="15"),'152-CT'!$J$8=TH!F563),"x","")</f>
        <v/>
      </c>
      <c r="AJ563" s="80" t="str">
        <f>IF(AND(OR(LEFT(TH!O563,2)="15",LEFT(TH!P563,2)="15"),'THE KHO'!$E$7=TH!F563),"x","")</f>
        <v/>
      </c>
      <c r="AK563" s="80" t="str">
        <f>IF(AND(O563="1521",MONTH(C563)='BK NL'!$M$11),"x","")</f>
        <v/>
      </c>
    </row>
    <row r="564" spans="1:37" ht="15.75" customHeight="1">
      <c r="A564" s="362" t="str">
        <f>IF(B564&lt;&gt;"",IF(AND(B564&gt;=_TM1,B564&lt;=_TM2,OR(TH!O564="1111",TH!P564="1111")),TH!D564,""),"")</f>
        <v/>
      </c>
      <c r="B564" s="63">
        <f t="shared" si="36"/>
        <v>8</v>
      </c>
      <c r="C564" s="1045">
        <f t="shared" si="37"/>
        <v>42594</v>
      </c>
      <c r="D564" s="1045" t="s">
        <v>8</v>
      </c>
      <c r="E564" s="1045">
        <v>42594</v>
      </c>
      <c r="F564" s="1046" t="s">
        <v>22</v>
      </c>
      <c r="G564" s="1047" t="s">
        <v>798</v>
      </c>
      <c r="H564" s="1129"/>
      <c r="I564" s="1135"/>
      <c r="J564" s="1135"/>
      <c r="K564" s="1136"/>
      <c r="L564" s="1135"/>
      <c r="M564" s="1051">
        <v>31233</v>
      </c>
      <c r="N564" s="1051"/>
      <c r="O564" s="1052" t="s">
        <v>135</v>
      </c>
      <c r="P564" s="1052" t="s">
        <v>31</v>
      </c>
      <c r="Q564" s="66" t="str">
        <f>IF(AND('331-CT'!$E$7=TH!H564,OR(O564="331",P564="331")),"x","")</f>
        <v/>
      </c>
      <c r="R564" s="66" t="str">
        <f>IF(AND($B564&gt;='111'!$N$11,$B564&lt;='111'!$O$11,OR($O564=$R$7,$P564=$R$7)),"x","")</f>
        <v/>
      </c>
      <c r="S564" s="66" t="str">
        <f>IF(AND($O564=$R$7,$B564&lt;'111'!$N$11),"x","")</f>
        <v/>
      </c>
      <c r="T564" s="66" t="str">
        <f>IF(AND($P564=$R$7,$B564&lt;'111'!$N$11),"x","")</f>
        <v/>
      </c>
      <c r="U564" s="66" t="str">
        <f>IF(AND($B564&gt;='112'!$M$9,$B564&lt;='112'!$N$9,OR($O564='112'!$I$6,$P564='112'!$I$6)),"x","")</f>
        <v>x</v>
      </c>
      <c r="V564" s="66" t="str">
        <f>IF(AND($O564='112'!$I$6,$B564&lt;'112'!$M$9),"x","")</f>
        <v/>
      </c>
      <c r="W564" s="66" t="str">
        <f>IF(AND($P564='112'!$I$6,$B564&lt;'112'!$M$9),"x","")</f>
        <v/>
      </c>
      <c r="X564" s="66" t="str">
        <f>IF(AND('131-CT'!$H$9=TH!H564,OR(O564="131",P564="131")),"x","")</f>
        <v/>
      </c>
      <c r="Y564" s="80" t="str">
        <f>IF(AND($B564&gt;='1331'!$I$9,$B564&lt;='1331'!$J$9,OR($O564=$Y$7,$P564=$Y$7)),"x","")</f>
        <v/>
      </c>
      <c r="Z564" s="80" t="str">
        <f>IF(AND($O564=$Y$7,$B564&lt;'1331'!$I$9),"x","")</f>
        <v/>
      </c>
      <c r="AA564" s="80" t="str">
        <f>IF(AND($P564=$Y$7,$B564&lt;'1331'!$I$9),"x","")</f>
        <v/>
      </c>
      <c r="AB564" s="80" t="str">
        <f>IF(AND($B564&gt;='1332'!$I$9,$B564&lt;='1332'!$I$9,OR($O564=$AB$7,$P564=$AB$7)),"x","")</f>
        <v/>
      </c>
      <c r="AC564" s="80" t="str">
        <f>IF(AND($O564=$AB$7,$B564&lt;'1332'!$I$9),"x","")</f>
        <v/>
      </c>
      <c r="AD564" s="80" t="str">
        <f>IF(AND($P564=$AB$7,$B564&lt;'1332'!$I$9),"x","")</f>
        <v/>
      </c>
      <c r="AE564" s="80" t="str">
        <f>IF(AND('341-CT'!$H$9=H564,OR(LEFT(O564,3)=$AE$7,LEFT(P564,3)=$AE$7)),"x","")</f>
        <v/>
      </c>
      <c r="AF564" s="80" t="str">
        <f>IF(OR(TH!O564=TH!$AF$7,P564=TH!$AF$7),"x","")</f>
        <v/>
      </c>
      <c r="AG564" s="80"/>
      <c r="AH564" s="80" t="str">
        <f>IF(AND(B564&gt;='IN-NX'!$P$3,B564&lt;='IN-NX'!$Q$3,'IN-NX'!$D$7=D564,OR(LEFT(L564,2)="15",AND(LEFT(M564,2)&lt;&gt;"15",LEFT(M564,2)&lt;&gt;"33"))),"x","")</f>
        <v/>
      </c>
      <c r="AI564" s="80" t="str">
        <f>IF(AND(OR(LEFT(TH!O564,2)="15",LEFT(TH!P564,2)="15"),'152-CT'!$J$8=TH!F564),"x","")</f>
        <v/>
      </c>
      <c r="AJ564" s="80" t="str">
        <f>IF(AND(OR(LEFT(TH!O564,2)="15",LEFT(TH!P564,2)="15"),'THE KHO'!$E$7=TH!F564),"x","")</f>
        <v/>
      </c>
      <c r="AK564" s="80" t="str">
        <f>IF(AND(O564="1521",MONTH(C564)='BK NL'!$M$11),"x","")</f>
        <v/>
      </c>
    </row>
    <row r="565" spans="1:37" ht="15.75" customHeight="1">
      <c r="A565" s="362" t="str">
        <f>IF(B565&lt;&gt;"",IF(AND(B565&gt;=_TM1,B565&lt;=_TM2,OR(TH!O565="1111",TH!P565="1111")),TH!D565,""),"")</f>
        <v/>
      </c>
      <c r="B565" s="63">
        <f t="shared" si="36"/>
        <v>8</v>
      </c>
      <c r="C565" s="1045">
        <f t="shared" si="37"/>
        <v>42594</v>
      </c>
      <c r="D565" s="1045" t="s">
        <v>8</v>
      </c>
      <c r="E565" s="1045">
        <v>42594</v>
      </c>
      <c r="F565" s="1046" t="s">
        <v>23</v>
      </c>
      <c r="G565" s="1047" t="s">
        <v>798</v>
      </c>
      <c r="H565" s="1048"/>
      <c r="I565" s="1049"/>
      <c r="J565" s="1049"/>
      <c r="K565" s="1050"/>
      <c r="L565" s="1049"/>
      <c r="M565" s="1137">
        <v>3123</v>
      </c>
      <c r="N565" s="1137"/>
      <c r="O565" s="1052" t="s">
        <v>10</v>
      </c>
      <c r="P565" s="1052" t="s">
        <v>31</v>
      </c>
      <c r="Q565" s="66" t="str">
        <f>IF(AND('331-CT'!$E$7=TH!H565,OR(O565="331",P565="331")),"x","")</f>
        <v/>
      </c>
      <c r="R565" s="66" t="str">
        <f>IF(AND($B565&gt;='111'!$N$11,$B565&lt;='111'!$O$11,OR($O565=$R$7,$P565=$R$7)),"x","")</f>
        <v/>
      </c>
      <c r="S565" s="66" t="str">
        <f>IF(AND($O565=$R$7,$B565&lt;'111'!$N$11),"x","")</f>
        <v/>
      </c>
      <c r="T565" s="66" t="str">
        <f>IF(AND($P565=$R$7,$B565&lt;'111'!$N$11),"x","")</f>
        <v/>
      </c>
      <c r="U565" s="66" t="str">
        <f>IF(AND($B565&gt;='112'!$M$9,$B565&lt;='112'!$N$9,OR($O565='112'!$I$6,$P565='112'!$I$6)),"x","")</f>
        <v>x</v>
      </c>
      <c r="V565" s="66" t="str">
        <f>IF(AND($O565='112'!$I$6,$B565&lt;'112'!$M$9),"x","")</f>
        <v/>
      </c>
      <c r="W565" s="66" t="str">
        <f>IF(AND($P565='112'!$I$6,$B565&lt;'112'!$M$9),"x","")</f>
        <v/>
      </c>
      <c r="X565" s="66" t="str">
        <f>IF(AND('131-CT'!$H$9=TH!H565,OR(O565="131",P565="131")),"x","")</f>
        <v/>
      </c>
      <c r="Y565" s="80" t="str">
        <f>IF(AND($B565&gt;='1331'!$I$9,$B565&lt;='1331'!$J$9,OR($O565=$Y$7,$P565=$Y$7)),"x","")</f>
        <v>x</v>
      </c>
      <c r="Z565" s="80" t="str">
        <f>IF(AND($O565=$Y$7,$B565&lt;'1331'!$I$9),"x","")</f>
        <v/>
      </c>
      <c r="AA565" s="80" t="str">
        <f>IF(AND($P565=$Y$7,$B565&lt;'1331'!$I$9),"x","")</f>
        <v/>
      </c>
      <c r="AB565" s="80" t="str">
        <f>IF(AND($B565&gt;='1332'!$I$9,$B565&lt;='1332'!$I$9,OR($O565=$AB$7,$P565=$AB$7)),"x","")</f>
        <v/>
      </c>
      <c r="AC565" s="80" t="str">
        <f>IF(AND($O565=$AB$7,$B565&lt;'1332'!$I$9),"x","")</f>
        <v/>
      </c>
      <c r="AD565" s="80" t="str">
        <f>IF(AND($P565=$AB$7,$B565&lt;'1332'!$I$9),"x","")</f>
        <v/>
      </c>
      <c r="AE565" s="80" t="str">
        <f>IF(AND('341-CT'!$H$9=H565,OR(LEFT(O565,3)=$AE$7,LEFT(P565,3)=$AE$7)),"x","")</f>
        <v/>
      </c>
      <c r="AF565" s="80" t="str">
        <f>IF(OR(TH!O565=TH!$AF$7,P565=TH!$AF$7),"x","")</f>
        <v/>
      </c>
      <c r="AG565" s="80"/>
      <c r="AH565" s="80" t="str">
        <f>IF(AND(B565&gt;='IN-NX'!$P$3,B565&lt;='IN-NX'!$Q$3,'IN-NX'!$D$7=D565,OR(LEFT(L565,2)="15",AND(LEFT(M565,2)&lt;&gt;"15",LEFT(M565,2)&lt;&gt;"33"))),"x","")</f>
        <v/>
      </c>
      <c r="AI565" s="80" t="str">
        <f>IF(AND(OR(LEFT(TH!O565,2)="15",LEFT(TH!P565,2)="15"),'152-CT'!$J$8=TH!F565),"x","")</f>
        <v/>
      </c>
      <c r="AJ565" s="80" t="str">
        <f>IF(AND(OR(LEFT(TH!O565,2)="15",LEFT(TH!P565,2)="15"),'THE KHO'!$E$7=TH!F565),"x","")</f>
        <v/>
      </c>
      <c r="AK565" s="80" t="str">
        <f>IF(AND(O565="1521",MONTH(C565)='BK NL'!$M$11),"x","")</f>
        <v/>
      </c>
    </row>
    <row r="566" spans="1:37" ht="15.75" customHeight="1">
      <c r="A566" s="362" t="str">
        <f>IF(B566&lt;&gt;"",IF(AND(B566&gt;=_TM1,B566&lt;=_TM2,OR(TH!O566="1111",TH!P566="1111")),TH!D566,""),"")</f>
        <v/>
      </c>
      <c r="B566" s="63">
        <f t="shared" ref="B566:B597" si="38">IF(C566&lt;&gt;"",MONTH(C566),"")</f>
        <v>8</v>
      </c>
      <c r="C566" s="1045">
        <f t="shared" si="37"/>
        <v>42594</v>
      </c>
      <c r="D566" s="1045" t="s">
        <v>8</v>
      </c>
      <c r="E566" s="1045">
        <v>42594</v>
      </c>
      <c r="F566" s="1046" t="s">
        <v>1140</v>
      </c>
      <c r="G566" s="1047" t="s">
        <v>798</v>
      </c>
      <c r="H566" s="1048" t="s">
        <v>429</v>
      </c>
      <c r="I566" s="1049"/>
      <c r="J566" s="1049"/>
      <c r="K566" s="1050"/>
      <c r="L566" s="1049"/>
      <c r="M566" s="1051">
        <v>18000000</v>
      </c>
      <c r="N566" s="1051"/>
      <c r="O566" s="1052" t="s">
        <v>24</v>
      </c>
      <c r="P566" s="1052" t="s">
        <v>31</v>
      </c>
      <c r="Q566" s="66" t="str">
        <f>IF(AND('331-CT'!$E$7=TH!H566,OR(O566="331",P566="331")),"x","")</f>
        <v/>
      </c>
      <c r="R566" s="66" t="str">
        <f>IF(AND($B566&gt;='111'!$N$11,$B566&lt;='111'!$O$11,OR($O566=$R$7,$P566=$R$7)),"x","")</f>
        <v/>
      </c>
      <c r="S566" s="66" t="str">
        <f>IF(AND($O566=$R$7,$B566&lt;'111'!$N$11),"x","")</f>
        <v/>
      </c>
      <c r="T566" s="66" t="str">
        <f>IF(AND($P566=$R$7,$B566&lt;'111'!$N$11),"x","")</f>
        <v/>
      </c>
      <c r="U566" s="66" t="str">
        <f>IF(AND($B566&gt;='112'!$M$9,$B566&lt;='112'!$N$9,OR($O566='112'!$I$6,$P566='112'!$I$6)),"x","")</f>
        <v>x</v>
      </c>
      <c r="V566" s="66" t="str">
        <f>IF(AND($O566='112'!$I$6,$B566&lt;'112'!$M$9),"x","")</f>
        <v/>
      </c>
      <c r="W566" s="66" t="str">
        <f>IF(AND($P566='112'!$I$6,$B566&lt;'112'!$M$9),"x","")</f>
        <v/>
      </c>
      <c r="X566" s="66" t="str">
        <f>IF(AND('131-CT'!$H$9=TH!H566,OR(O566="131",P566="131")),"x","")</f>
        <v/>
      </c>
      <c r="Y566" s="80" t="str">
        <f>IF(AND($B566&gt;='1331'!$I$9,$B566&lt;='1331'!$J$9,OR($O566=$Y$7,$P566=$Y$7)),"x","")</f>
        <v/>
      </c>
      <c r="Z566" s="80" t="str">
        <f>IF(AND($O566=$Y$7,$B566&lt;'1331'!$I$9),"x","")</f>
        <v/>
      </c>
      <c r="AA566" s="80" t="str">
        <f>IF(AND($P566=$Y$7,$B566&lt;'1331'!$I$9),"x","")</f>
        <v/>
      </c>
      <c r="AB566" s="80" t="str">
        <f>IF(AND($B566&gt;='1332'!$I$9,$B566&lt;='1332'!$I$9,OR($O566=$AB$7,$P566=$AB$7)),"x","")</f>
        <v/>
      </c>
      <c r="AC566" s="80" t="str">
        <f>IF(AND($O566=$AB$7,$B566&lt;'1332'!$I$9),"x","")</f>
        <v/>
      </c>
      <c r="AD566" s="80" t="str">
        <f>IF(AND($P566=$AB$7,$B566&lt;'1332'!$I$9),"x","")</f>
        <v/>
      </c>
      <c r="AE566" s="80" t="str">
        <f>IF(AND('341-CT'!$H$9=H566,OR(LEFT(O566,3)=$AE$7,LEFT(P566,3)=$AE$7)),"x","")</f>
        <v/>
      </c>
      <c r="AF566" s="80" t="str">
        <f>IF(OR(TH!O566=TH!$AF$7,P566=TH!$AF$7),"x","")</f>
        <v>x</v>
      </c>
      <c r="AG566" s="80"/>
      <c r="AH566" s="80" t="str">
        <f>IF(AND(B566&gt;='IN-NX'!$P$3,B566&lt;='IN-NX'!$Q$3,'IN-NX'!$D$7=D566,OR(LEFT(L566,2)="15",AND(LEFT(M566,2)&lt;&gt;"15",LEFT(M566,2)&lt;&gt;"33"))),"x","")</f>
        <v/>
      </c>
      <c r="AI566" s="80" t="str">
        <f>IF(AND(OR(LEFT(TH!O566,2)="15",LEFT(TH!P566,2)="15"),'152-CT'!$J$8=TH!F566),"x","")</f>
        <v/>
      </c>
      <c r="AJ566" s="80" t="str">
        <f>IF(AND(OR(LEFT(TH!O566,2)="15",LEFT(TH!P566,2)="15"),'THE KHO'!$E$7=TH!F566),"x","")</f>
        <v/>
      </c>
      <c r="AK566" s="80" t="str">
        <f>IF(AND(O566="1521",MONTH(C566)='BK NL'!$M$11),"x","")</f>
        <v/>
      </c>
    </row>
    <row r="567" spans="1:37" ht="15.75" customHeight="1">
      <c r="A567" s="362" t="str">
        <f>IF(B567&lt;&gt;"",IF(AND(B567&gt;=_TM1,B567&lt;=_TM2,OR(TH!O567="1111",TH!P567="1111")),TH!D567,""),"")</f>
        <v/>
      </c>
      <c r="B567" s="63">
        <f t="shared" si="38"/>
        <v>8</v>
      </c>
      <c r="C567" s="1045">
        <f t="shared" si="37"/>
        <v>42594</v>
      </c>
      <c r="D567" s="1045" t="s">
        <v>8</v>
      </c>
      <c r="E567" s="1045">
        <v>42594</v>
      </c>
      <c r="F567" s="1046" t="s">
        <v>1141</v>
      </c>
      <c r="G567" s="1047"/>
      <c r="H567" s="1129" t="s">
        <v>50</v>
      </c>
      <c r="I567" s="1049"/>
      <c r="J567" s="1049"/>
      <c r="K567" s="1050"/>
      <c r="L567" s="1049"/>
      <c r="M567" s="1051">
        <v>200000000</v>
      </c>
      <c r="N567" s="1051"/>
      <c r="O567" s="1052" t="s">
        <v>9</v>
      </c>
      <c r="P567" s="1052" t="s">
        <v>31</v>
      </c>
      <c r="Q567" s="66" t="str">
        <f>IF(AND('331-CT'!$E$7=TH!H567,OR(O567="331",P567="331")),"x","")</f>
        <v/>
      </c>
      <c r="R567" s="66" t="str">
        <f>IF(AND($B567&gt;='111'!$N$11,$B567&lt;='111'!$O$11,OR($O567=$R$7,$P567=$R$7)),"x","")</f>
        <v/>
      </c>
      <c r="S567" s="66" t="str">
        <f>IF(AND($O567=$R$7,$B567&lt;'111'!$N$11),"x","")</f>
        <v/>
      </c>
      <c r="T567" s="66" t="str">
        <f>IF(AND($P567=$R$7,$B567&lt;'111'!$N$11),"x","")</f>
        <v/>
      </c>
      <c r="U567" s="66" t="str">
        <f>IF(AND($B567&gt;='112'!$M$9,$B567&lt;='112'!$N$9,OR($O567='112'!$I$6,$P567='112'!$I$6)),"x","")</f>
        <v>x</v>
      </c>
      <c r="V567" s="66" t="str">
        <f>IF(AND($O567='112'!$I$6,$B567&lt;'112'!$M$9),"x","")</f>
        <v/>
      </c>
      <c r="W567" s="66" t="str">
        <f>IF(AND($P567='112'!$I$6,$B567&lt;'112'!$M$9),"x","")</f>
        <v/>
      </c>
      <c r="X567" s="66" t="str">
        <f>IF(AND('131-CT'!$H$9=TH!H567,OR(O567="131",P567="131")),"x","")</f>
        <v/>
      </c>
      <c r="Y567" s="80" t="str">
        <f>IF(AND($B567&gt;='1331'!$I$9,$B567&lt;='1331'!$J$9,OR($O567=$Y$7,$P567=$Y$7)),"x","")</f>
        <v/>
      </c>
      <c r="Z567" s="80" t="str">
        <f>IF(AND($O567=$Y$7,$B567&lt;'1331'!$I$9),"x","")</f>
        <v/>
      </c>
      <c r="AA567" s="80" t="str">
        <f>IF(AND($P567=$Y$7,$B567&lt;'1331'!$I$9),"x","")</f>
        <v/>
      </c>
      <c r="AB567" s="80" t="str">
        <f>IF(AND($B567&gt;='1332'!$I$9,$B567&lt;='1332'!$I$9,OR($O567=$AB$7,$P567=$AB$7)),"x","")</f>
        <v/>
      </c>
      <c r="AC567" s="80" t="str">
        <f>IF(AND($O567=$AB$7,$B567&lt;'1332'!$I$9),"x","")</f>
        <v/>
      </c>
      <c r="AD567" s="80" t="str">
        <f>IF(AND($P567=$AB$7,$B567&lt;'1332'!$I$9),"x","")</f>
        <v/>
      </c>
      <c r="AE567" s="80" t="str">
        <f>IF(AND('341-CT'!$H$9=H567,OR(LEFT(O567,3)=$AE$7,LEFT(P567,3)=$AE$7)),"x","")</f>
        <v/>
      </c>
      <c r="AF567" s="80" t="str">
        <f>IF(OR(TH!O567=TH!$AF$7,P567=TH!$AF$7),"x","")</f>
        <v/>
      </c>
      <c r="AG567" s="80"/>
      <c r="AH567" s="80" t="str">
        <f>IF(AND(B567&gt;='IN-NX'!$P$3,B567&lt;='IN-NX'!$Q$3,'IN-NX'!$D$7=D567,OR(LEFT(L567,2)="15",AND(LEFT(M567,2)&lt;&gt;"15",LEFT(M567,2)&lt;&gt;"33"))),"x","")</f>
        <v/>
      </c>
      <c r="AI567" s="80" t="str">
        <f>IF(AND(OR(LEFT(TH!O567,2)="15",LEFT(TH!P567,2)="15"),'152-CT'!$J$8=TH!F567),"x","")</f>
        <v/>
      </c>
      <c r="AJ567" s="80" t="str">
        <f>IF(AND(OR(LEFT(TH!O567,2)="15",LEFT(TH!P567,2)="15"),'THE KHO'!$E$7=TH!F567),"x","")</f>
        <v/>
      </c>
      <c r="AK567" s="80" t="str">
        <f>IF(AND(O567="1521",MONTH(C567)='BK NL'!$M$11),"x","")</f>
        <v/>
      </c>
    </row>
    <row r="568" spans="1:37" ht="15.75" customHeight="1">
      <c r="A568" s="362" t="str">
        <f>IF(B568&lt;&gt;"",IF(AND(B568&gt;=_TM1,B568&lt;=_TM2,OR(TH!O568="1111",TH!P568="1111")),TH!D568,""),"")</f>
        <v/>
      </c>
      <c r="B568" s="63">
        <f t="shared" si="38"/>
        <v>8</v>
      </c>
      <c r="C568" s="1045">
        <f t="shared" si="37"/>
        <v>42594</v>
      </c>
      <c r="D568" s="1045" t="s">
        <v>8</v>
      </c>
      <c r="E568" s="1045">
        <v>42594</v>
      </c>
      <c r="F568" s="1046" t="s">
        <v>22</v>
      </c>
      <c r="G568" s="1047" t="s">
        <v>798</v>
      </c>
      <c r="H568" s="1129"/>
      <c r="I568" s="1135"/>
      <c r="J568" s="1135"/>
      <c r="K568" s="1136"/>
      <c r="L568" s="1135"/>
      <c r="M568" s="1051">
        <v>100000</v>
      </c>
      <c r="N568" s="1051"/>
      <c r="O568" s="1052" t="s">
        <v>135</v>
      </c>
      <c r="P568" s="1052" t="s">
        <v>31</v>
      </c>
      <c r="Q568" s="66" t="str">
        <f>IF(AND('331-CT'!$E$7=TH!H568,OR(O568="331",P568="331")),"x","")</f>
        <v/>
      </c>
      <c r="R568" s="66" t="str">
        <f>IF(AND($B568&gt;='111'!$N$11,$B568&lt;='111'!$O$11,OR($O568=$R$7,$P568=$R$7)),"x","")</f>
        <v/>
      </c>
      <c r="S568" s="66" t="str">
        <f>IF(AND($O568=$R$7,$B568&lt;'111'!$N$11),"x","")</f>
        <v/>
      </c>
      <c r="T568" s="66" t="str">
        <f>IF(AND($P568=$R$7,$B568&lt;'111'!$N$11),"x","")</f>
        <v/>
      </c>
      <c r="U568" s="66" t="str">
        <f>IF(AND($B568&gt;='112'!$M$9,$B568&lt;='112'!$N$9,OR($O568='112'!$I$6,$P568='112'!$I$6)),"x","")</f>
        <v>x</v>
      </c>
      <c r="V568" s="66" t="str">
        <f>IF(AND($O568='112'!$I$6,$B568&lt;'112'!$M$9),"x","")</f>
        <v/>
      </c>
      <c r="W568" s="66" t="str">
        <f>IF(AND($P568='112'!$I$6,$B568&lt;'112'!$M$9),"x","")</f>
        <v/>
      </c>
      <c r="X568" s="66" t="str">
        <f>IF(AND('131-CT'!$H$9=TH!H568,OR(O568="131",P568="131")),"x","")</f>
        <v/>
      </c>
      <c r="Y568" s="80" t="str">
        <f>IF(AND($B568&gt;='1331'!$I$9,$B568&lt;='1331'!$J$9,OR($O568=$Y$7,$P568=$Y$7)),"x","")</f>
        <v/>
      </c>
      <c r="Z568" s="80" t="str">
        <f>IF(AND($O568=$Y$7,$B568&lt;'1331'!$I$9),"x","")</f>
        <v/>
      </c>
      <c r="AA568" s="80" t="str">
        <f>IF(AND($P568=$Y$7,$B568&lt;'1331'!$I$9),"x","")</f>
        <v/>
      </c>
      <c r="AB568" s="80" t="str">
        <f>IF(AND($B568&gt;='1332'!$I$9,$B568&lt;='1332'!$I$9,OR($O568=$AB$7,$P568=$AB$7)),"x","")</f>
        <v/>
      </c>
      <c r="AC568" s="80" t="str">
        <f>IF(AND($O568=$AB$7,$B568&lt;'1332'!$I$9),"x","")</f>
        <v/>
      </c>
      <c r="AD568" s="80" t="str">
        <f>IF(AND($P568=$AB$7,$B568&lt;'1332'!$I$9),"x","")</f>
        <v/>
      </c>
      <c r="AE568" s="80" t="str">
        <f>IF(AND('341-CT'!$H$9=H568,OR(LEFT(O568,3)=$AE$7,LEFT(P568,3)=$AE$7)),"x","")</f>
        <v/>
      </c>
      <c r="AF568" s="80" t="str">
        <f>IF(OR(TH!O568=TH!$AF$7,P568=TH!$AF$7),"x","")</f>
        <v/>
      </c>
      <c r="AG568" s="80"/>
      <c r="AH568" s="80" t="str">
        <f>IF(AND(B568&gt;='IN-NX'!$P$3,B568&lt;='IN-NX'!$Q$3,'IN-NX'!$D$7=D568,OR(LEFT(L568,2)="15",AND(LEFT(M568,2)&lt;&gt;"15",LEFT(M568,2)&lt;&gt;"33"))),"x","")</f>
        <v/>
      </c>
      <c r="AI568" s="80" t="str">
        <f>IF(AND(OR(LEFT(TH!O568,2)="15",LEFT(TH!P568,2)="15"),'152-CT'!$J$8=TH!F568),"x","")</f>
        <v/>
      </c>
      <c r="AJ568" s="80" t="str">
        <f>IF(AND(OR(LEFT(TH!O568,2)="15",LEFT(TH!P568,2)="15"),'THE KHO'!$E$7=TH!F568),"x","")</f>
        <v/>
      </c>
      <c r="AK568" s="80" t="str">
        <f>IF(AND(O568="1521",MONTH(C568)='BK NL'!$M$11),"x","")</f>
        <v/>
      </c>
    </row>
    <row r="569" spans="1:37" ht="15.75" customHeight="1">
      <c r="A569" s="362" t="str">
        <f>IF(B569&lt;&gt;"",IF(AND(B569&gt;=_TM1,B569&lt;=_TM2,OR(TH!O569="1111",TH!P569="1111")),TH!D569,""),"")</f>
        <v/>
      </c>
      <c r="B569" s="63">
        <f t="shared" si="38"/>
        <v>8</v>
      </c>
      <c r="C569" s="1045">
        <f t="shared" si="37"/>
        <v>42594</v>
      </c>
      <c r="D569" s="1045" t="s">
        <v>8</v>
      </c>
      <c r="E569" s="1045">
        <v>42594</v>
      </c>
      <c r="F569" s="1046" t="s">
        <v>23</v>
      </c>
      <c r="G569" s="1047" t="s">
        <v>798</v>
      </c>
      <c r="H569" s="1048"/>
      <c r="I569" s="1049"/>
      <c r="J569" s="1049"/>
      <c r="K569" s="1050"/>
      <c r="L569" s="1049"/>
      <c r="M569" s="1137">
        <v>10000</v>
      </c>
      <c r="N569" s="1137"/>
      <c r="O569" s="1052" t="s">
        <v>10</v>
      </c>
      <c r="P569" s="1052" t="s">
        <v>31</v>
      </c>
      <c r="Q569" s="66" t="str">
        <f>IF(AND('331-CT'!$E$7=TH!H569,OR(O569="331",P569="331")),"x","")</f>
        <v/>
      </c>
      <c r="R569" s="66" t="str">
        <f>IF(AND($B569&gt;='111'!$N$11,$B569&lt;='111'!$O$11,OR($O569=$R$7,$P569=$R$7)),"x","")</f>
        <v/>
      </c>
      <c r="S569" s="66" t="str">
        <f>IF(AND($O569=$R$7,$B569&lt;'111'!$N$11),"x","")</f>
        <v/>
      </c>
      <c r="T569" s="66" t="str">
        <f>IF(AND($P569=$R$7,$B569&lt;'111'!$N$11),"x","")</f>
        <v/>
      </c>
      <c r="U569" s="66" t="str">
        <f>IF(AND($B569&gt;='112'!$M$9,$B569&lt;='112'!$N$9,OR($O569='112'!$I$6,$P569='112'!$I$6)),"x","")</f>
        <v>x</v>
      </c>
      <c r="V569" s="66" t="str">
        <f>IF(AND($O569='112'!$I$6,$B569&lt;'112'!$M$9),"x","")</f>
        <v/>
      </c>
      <c r="W569" s="66" t="str">
        <f>IF(AND($P569='112'!$I$6,$B569&lt;'112'!$M$9),"x","")</f>
        <v/>
      </c>
      <c r="X569" s="66" t="str">
        <f>IF(AND('131-CT'!$H$9=TH!H569,OR(O569="131",P569="131")),"x","")</f>
        <v/>
      </c>
      <c r="Y569" s="80" t="str">
        <f>IF(AND($B569&gt;='1331'!$I$9,$B569&lt;='1331'!$J$9,OR($O569=$Y$7,$P569=$Y$7)),"x","")</f>
        <v>x</v>
      </c>
      <c r="Z569" s="80" t="str">
        <f>IF(AND($O569=$Y$7,$B569&lt;'1331'!$I$9),"x","")</f>
        <v/>
      </c>
      <c r="AA569" s="80" t="str">
        <f>IF(AND($P569=$Y$7,$B569&lt;'1331'!$I$9),"x","")</f>
        <v/>
      </c>
      <c r="AB569" s="80" t="str">
        <f>IF(AND($B569&gt;='1332'!$I$9,$B569&lt;='1332'!$I$9,OR($O569=$AB$7,$P569=$AB$7)),"x","")</f>
        <v/>
      </c>
      <c r="AC569" s="80" t="str">
        <f>IF(AND($O569=$AB$7,$B569&lt;'1332'!$I$9),"x","")</f>
        <v/>
      </c>
      <c r="AD569" s="80" t="str">
        <f>IF(AND($P569=$AB$7,$B569&lt;'1332'!$I$9),"x","")</f>
        <v/>
      </c>
      <c r="AE569" s="80" t="str">
        <f>IF(AND('341-CT'!$H$9=H569,OR(LEFT(O569,3)=$AE$7,LEFT(P569,3)=$AE$7)),"x","")</f>
        <v/>
      </c>
      <c r="AF569" s="80" t="str">
        <f>IF(OR(TH!O569=TH!$AF$7,P569=TH!$AF$7),"x","")</f>
        <v/>
      </c>
      <c r="AG569" s="80"/>
      <c r="AH569" s="80" t="str">
        <f>IF(AND(B569&gt;='IN-NX'!$P$3,B569&lt;='IN-NX'!$Q$3,'IN-NX'!$D$7=D569,OR(LEFT(L569,2)="15",AND(LEFT(M569,2)&lt;&gt;"15",LEFT(M569,2)&lt;&gt;"33"))),"x","")</f>
        <v/>
      </c>
      <c r="AI569" s="80" t="str">
        <f>IF(AND(OR(LEFT(TH!O569,2)="15",LEFT(TH!P569,2)="15"),'152-CT'!$J$8=TH!F569),"x","")</f>
        <v/>
      </c>
      <c r="AJ569" s="80" t="str">
        <f>IF(AND(OR(LEFT(TH!O569,2)="15",LEFT(TH!P569,2)="15"),'THE KHO'!$E$7=TH!F569),"x","")</f>
        <v/>
      </c>
      <c r="AK569" s="80" t="str">
        <f>IF(AND(O569="1521",MONTH(C569)='BK NL'!$M$11),"x","")</f>
        <v/>
      </c>
    </row>
    <row r="570" spans="1:37" ht="15.75" customHeight="1">
      <c r="A570" s="362" t="str">
        <f>IF(B570&lt;&gt;"",IF(AND(B570&gt;=_TM1,B570&lt;=_TM2,OR(TH!O570="1111",TH!P570="1111")),TH!D570,""),"")</f>
        <v/>
      </c>
      <c r="B570" s="63">
        <f t="shared" si="38"/>
        <v>8</v>
      </c>
      <c r="C570" s="1045">
        <f t="shared" si="37"/>
        <v>42597</v>
      </c>
      <c r="D570" s="1045" t="s">
        <v>8</v>
      </c>
      <c r="E570" s="1045">
        <v>42597</v>
      </c>
      <c r="F570" s="1046" t="s">
        <v>405</v>
      </c>
      <c r="G570" s="1047" t="s">
        <v>798</v>
      </c>
      <c r="H570" s="1048" t="s">
        <v>965</v>
      </c>
      <c r="I570" s="1049"/>
      <c r="J570" s="1049"/>
      <c r="K570" s="1050"/>
      <c r="L570" s="1049"/>
      <c r="M570" s="1051">
        <v>8842680</v>
      </c>
      <c r="N570" s="1051"/>
      <c r="O570" s="1052" t="s">
        <v>133</v>
      </c>
      <c r="P570" s="1052" t="s">
        <v>31</v>
      </c>
      <c r="Q570" s="66" t="str">
        <f>IF(AND('331-CT'!$E$7=TH!H570,OR(O570="331",P570="331")),"x","")</f>
        <v/>
      </c>
      <c r="R570" s="66" t="str">
        <f>IF(AND($B570&gt;='111'!$N$11,$B570&lt;='111'!$O$11,OR($O570=$R$7,$P570=$R$7)),"x","")</f>
        <v/>
      </c>
      <c r="S570" s="66" t="str">
        <f>IF(AND($O570=$R$7,$B570&lt;'111'!$N$11),"x","")</f>
        <v/>
      </c>
      <c r="T570" s="66" t="str">
        <f>IF(AND($P570=$R$7,$B570&lt;'111'!$N$11),"x","")</f>
        <v/>
      </c>
      <c r="U570" s="66" t="str">
        <f>IF(AND($B570&gt;='112'!$M$9,$B570&lt;='112'!$N$9,OR($O570='112'!$I$6,$P570='112'!$I$6)),"x","")</f>
        <v>x</v>
      </c>
      <c r="V570" s="66" t="str">
        <f>IF(AND($O570='112'!$I$6,$B570&lt;'112'!$M$9),"x","")</f>
        <v/>
      </c>
      <c r="W570" s="66" t="str">
        <f>IF(AND($P570='112'!$I$6,$B570&lt;'112'!$M$9),"x","")</f>
        <v/>
      </c>
      <c r="X570" s="66" t="str">
        <f>IF(AND('131-CT'!$H$9=TH!H570,OR(O570="131",P570="131")),"x","")</f>
        <v/>
      </c>
      <c r="Y570" s="80" t="str">
        <f>IF(AND($B570&gt;='1331'!$I$9,$B570&lt;='1331'!$J$9,OR($O570=$Y$7,$P570=$Y$7)),"x","")</f>
        <v/>
      </c>
      <c r="Z570" s="80" t="str">
        <f>IF(AND($O570=$Y$7,$B570&lt;'1331'!$I$9),"x","")</f>
        <v/>
      </c>
      <c r="AA570" s="80" t="str">
        <f>IF(AND($P570=$Y$7,$B570&lt;'1331'!$I$9),"x","")</f>
        <v/>
      </c>
      <c r="AB570" s="80" t="str">
        <f>IF(AND($B570&gt;='1332'!$I$9,$B570&lt;='1332'!$I$9,OR($O570=$AB$7,$P570=$AB$7)),"x","")</f>
        <v/>
      </c>
      <c r="AC570" s="80" t="str">
        <f>IF(AND($O570=$AB$7,$B570&lt;'1332'!$I$9),"x","")</f>
        <v/>
      </c>
      <c r="AD570" s="80" t="str">
        <f>IF(AND($P570=$AB$7,$B570&lt;'1332'!$I$9),"x","")</f>
        <v/>
      </c>
      <c r="AE570" s="80" t="str">
        <f>IF(AND('341-CT'!$H$9=H570,OR(LEFT(O570,3)=$AE$7,LEFT(P570,3)=$AE$7)),"x","")</f>
        <v/>
      </c>
      <c r="AF570" s="80" t="str">
        <f>IF(OR(TH!O570=TH!$AF$7,P570=TH!$AF$7),"x","")</f>
        <v/>
      </c>
      <c r="AG570" s="80"/>
      <c r="AH570" s="80" t="str">
        <f>IF(AND(B570&gt;='IN-NX'!$P$3,B570&lt;='IN-NX'!$Q$3,'IN-NX'!$D$7=D570,OR(LEFT(L570,2)="15",AND(LEFT(M570,2)&lt;&gt;"15",LEFT(M570,2)&lt;&gt;"33"))),"x","")</f>
        <v/>
      </c>
      <c r="AI570" s="80" t="str">
        <f>IF(AND(OR(LEFT(TH!O570,2)="15",LEFT(TH!P570,2)="15"),'152-CT'!$J$8=TH!F570),"x","")</f>
        <v/>
      </c>
      <c r="AJ570" s="80" t="str">
        <f>IF(AND(OR(LEFT(TH!O570,2)="15",LEFT(TH!P570,2)="15"),'THE KHO'!$E$7=TH!F570),"x","")</f>
        <v/>
      </c>
      <c r="AK570" s="80" t="str">
        <f>IF(AND(O570="1521",MONTH(C570)='BK NL'!$M$11),"x","")</f>
        <v/>
      </c>
    </row>
    <row r="571" spans="1:37" ht="15.75" customHeight="1">
      <c r="A571" s="362" t="str">
        <f>IF(B571&lt;&gt;"",IF(AND(B571&gt;=_TM1,B571&lt;=_TM2,OR(TH!O571="1111",TH!P571="1111")),TH!D571,""),"")</f>
        <v/>
      </c>
      <c r="B571" s="63">
        <f t="shared" si="38"/>
        <v>8</v>
      </c>
      <c r="C571" s="1045">
        <f t="shared" si="37"/>
        <v>42598</v>
      </c>
      <c r="D571" s="1045" t="s">
        <v>314</v>
      </c>
      <c r="E571" s="1045">
        <v>42598</v>
      </c>
      <c r="F571" s="1046" t="s">
        <v>1130</v>
      </c>
      <c r="G571" s="1047"/>
      <c r="H571" s="1048" t="s">
        <v>160</v>
      </c>
      <c r="I571" s="1049"/>
      <c r="J571" s="1049"/>
      <c r="K571" s="1050"/>
      <c r="L571" s="1049"/>
      <c r="M571" s="1051">
        <v>380000000</v>
      </c>
      <c r="N571" s="1051"/>
      <c r="O571" s="1052" t="s">
        <v>97</v>
      </c>
      <c r="P571" s="1052" t="s">
        <v>31</v>
      </c>
      <c r="Q571" s="66" t="str">
        <f>IF(AND('331-CT'!$E$7=TH!H571,OR(O571="331",P571="331")),"x","")</f>
        <v/>
      </c>
      <c r="R571" s="66" t="str">
        <f>IF(AND($B571&gt;='111'!$N$11,$B571&lt;='111'!$O$11,OR($O571=$R$7,$P571=$R$7)),"x","")</f>
        <v>x</v>
      </c>
      <c r="S571" s="66" t="str">
        <f>IF(AND($O571=$R$7,$B571&lt;'111'!$N$11),"x","")</f>
        <v/>
      </c>
      <c r="T571" s="66" t="str">
        <f>IF(AND($P571=$R$7,$B571&lt;'111'!$N$11),"x","")</f>
        <v/>
      </c>
      <c r="U571" s="66" t="str">
        <f>IF(AND($B571&gt;='112'!$M$9,$B571&lt;='112'!$N$9,OR($O571='112'!$I$6,$P571='112'!$I$6)),"x","")</f>
        <v>x</v>
      </c>
      <c r="V571" s="66" t="str">
        <f>IF(AND($O571='112'!$I$6,$B571&lt;'112'!$M$9),"x","")</f>
        <v/>
      </c>
      <c r="W571" s="66" t="str">
        <f>IF(AND($P571='112'!$I$6,$B571&lt;'112'!$M$9),"x","")</f>
        <v/>
      </c>
      <c r="X571" s="66" t="str">
        <f>IF(AND('131-CT'!$H$9=TH!H571,OR(O571="131",P571="131")),"x","")</f>
        <v/>
      </c>
      <c r="Y571" s="80" t="str">
        <f>IF(AND($B571&gt;='1331'!$I$9,$B571&lt;='1331'!$J$9,OR($O571=$Y$7,$P571=$Y$7)),"x","")</f>
        <v/>
      </c>
      <c r="Z571" s="80" t="str">
        <f>IF(AND($O571=$Y$7,$B571&lt;'1331'!$I$9),"x","")</f>
        <v/>
      </c>
      <c r="AA571" s="80" t="str">
        <f>IF(AND($P571=$Y$7,$B571&lt;'1331'!$I$9),"x","")</f>
        <v/>
      </c>
      <c r="AB571" s="80" t="str">
        <f>IF(AND($B571&gt;='1332'!$I$9,$B571&lt;='1332'!$I$9,OR($O571=$AB$7,$P571=$AB$7)),"x","")</f>
        <v/>
      </c>
      <c r="AC571" s="80" t="str">
        <f>IF(AND($O571=$AB$7,$B571&lt;'1332'!$I$9),"x","")</f>
        <v/>
      </c>
      <c r="AD571" s="80" t="str">
        <f>IF(AND($P571=$AB$7,$B571&lt;'1332'!$I$9),"x","")</f>
        <v/>
      </c>
      <c r="AE571" s="80" t="str">
        <f>IF(AND('341-CT'!$H$9=H571,OR(LEFT(O571,3)=$AE$7,LEFT(P571,3)=$AE$7)),"x","")</f>
        <v/>
      </c>
      <c r="AF571" s="80" t="str">
        <f>IF(OR(TH!O571=TH!$AF$7,P571=TH!$AF$7),"x","")</f>
        <v/>
      </c>
      <c r="AG571" s="80"/>
      <c r="AH571" s="80" t="str">
        <f>IF(AND(B571&gt;='IN-NX'!$P$3,B571&lt;='IN-NX'!$Q$3,'IN-NX'!$D$7=D571,OR(LEFT(L571,2)="15",AND(LEFT(M571,2)&lt;&gt;"15",LEFT(M571,2)&lt;&gt;"33"))),"x","")</f>
        <v/>
      </c>
      <c r="AI571" s="80" t="str">
        <f>IF(AND(OR(LEFT(TH!O571,2)="15",LEFT(TH!P571,2)="15"),'152-CT'!$J$8=TH!F571),"x","")</f>
        <v/>
      </c>
      <c r="AJ571" s="80" t="str">
        <f>IF(AND(OR(LEFT(TH!O571,2)="15",LEFT(TH!P571,2)="15"),'THE KHO'!$E$7=TH!F571),"x","")</f>
        <v/>
      </c>
      <c r="AK571" s="80" t="str">
        <f>IF(AND(O571="1521",MONTH(C571)='BK NL'!$M$11),"x","")</f>
        <v/>
      </c>
    </row>
    <row r="572" spans="1:37" ht="15.75" customHeight="1">
      <c r="A572" s="362" t="str">
        <f>IF(B572&lt;&gt;"",IF(AND(B572&gt;=_TM1,B572&lt;=_TM2,OR(TH!O572="1111",TH!P572="1111")),TH!D572,""),"")</f>
        <v/>
      </c>
      <c r="B572" s="63">
        <f t="shared" si="38"/>
        <v>8</v>
      </c>
      <c r="C572" s="1045">
        <v>42601</v>
      </c>
      <c r="D572" s="1045" t="s">
        <v>81</v>
      </c>
      <c r="E572" s="1045">
        <v>42601</v>
      </c>
      <c r="F572" s="1046" t="s">
        <v>1008</v>
      </c>
      <c r="G572" s="1053"/>
      <c r="H572" s="1048" t="s">
        <v>429</v>
      </c>
      <c r="I572" s="1049"/>
      <c r="J572" s="1049"/>
      <c r="K572" s="1050"/>
      <c r="L572" s="1049"/>
      <c r="M572" s="1051">
        <v>50000000</v>
      </c>
      <c r="N572" s="1051"/>
      <c r="O572" s="1052" t="s">
        <v>24</v>
      </c>
      <c r="P572" s="1052" t="s">
        <v>97</v>
      </c>
      <c r="Q572" s="66" t="str">
        <f>IF(AND('331-CT'!$E$7=TH!H572,OR(O572="331",P572="331")),"x","")</f>
        <v/>
      </c>
      <c r="R572" s="66" t="str">
        <f>IF(AND($B572&gt;='111'!$N$11,$B572&lt;='111'!$O$11,OR($O572=$R$7,$P572=$R$7)),"x","")</f>
        <v>x</v>
      </c>
      <c r="S572" s="66" t="str">
        <f>IF(AND($O572=$R$7,$B572&lt;'111'!$N$11),"x","")</f>
        <v/>
      </c>
      <c r="T572" s="66" t="str">
        <f>IF(AND($P572=$R$7,$B572&lt;'111'!$N$11),"x","")</f>
        <v/>
      </c>
      <c r="U572" s="66" t="str">
        <f>IF(AND($B572&gt;='112'!$M$9,$B572&lt;='112'!$N$9,OR($O572='112'!$I$6,$P572='112'!$I$6)),"x","")</f>
        <v/>
      </c>
      <c r="V572" s="66" t="str">
        <f>IF(AND($O572='112'!$I$6,$B572&lt;'112'!$M$9),"x","")</f>
        <v/>
      </c>
      <c r="W572" s="66" t="str">
        <f>IF(AND($P572='112'!$I$6,$B572&lt;'112'!$M$9),"x","")</f>
        <v/>
      </c>
      <c r="X572" s="66" t="str">
        <f>IF(AND('131-CT'!$H$9=TH!H572,OR(O572="131",P572="131")),"x","")</f>
        <v/>
      </c>
      <c r="Y572" s="80" t="str">
        <f>IF(AND($B572&gt;='1331'!$I$9,$B572&lt;='1331'!$J$9,OR($O572=$Y$7,$P572=$Y$7)),"x","")</f>
        <v/>
      </c>
      <c r="Z572" s="80" t="str">
        <f>IF(AND($O572=$Y$7,$B572&lt;'1331'!$I$9),"x","")</f>
        <v/>
      </c>
      <c r="AA572" s="80" t="str">
        <f>IF(AND($P572=$Y$7,$B572&lt;'1331'!$I$9),"x","")</f>
        <v/>
      </c>
      <c r="AB572" s="80" t="str">
        <f>IF(AND($B572&gt;='1332'!$I$9,$B572&lt;='1332'!$I$9,OR($O572=$AB$7,$P572=$AB$7)),"x","")</f>
        <v/>
      </c>
      <c r="AC572" s="80" t="str">
        <f>IF(AND($O572=$AB$7,$B572&lt;'1332'!$I$9),"x","")</f>
        <v/>
      </c>
      <c r="AD572" s="80" t="str">
        <f>IF(AND($P572=$AB$7,$B572&lt;'1332'!$I$9),"x","")</f>
        <v/>
      </c>
      <c r="AE572" s="80" t="str">
        <f>IF(AND('341-CT'!$H$9=H572,OR(LEFT(O572,3)=$AE$7,LEFT(P572,3)=$AE$7)),"x","")</f>
        <v/>
      </c>
      <c r="AF572" s="80" t="str">
        <f>IF(OR(TH!O572=TH!$AF$7,P572=TH!$AF$7),"x","")</f>
        <v>x</v>
      </c>
      <c r="AG572" s="80"/>
      <c r="AH572" s="80" t="str">
        <f>IF(AND(B572&gt;='IN-NX'!$P$3,B572&lt;='IN-NX'!$Q$3,'IN-NX'!$D$7=D572,OR(LEFT(L572,2)="15",AND(LEFT(M572,2)&lt;&gt;"15",LEFT(M572,2)&lt;&gt;"33"))),"x","")</f>
        <v/>
      </c>
      <c r="AI572" s="80" t="str">
        <f>IF(AND(OR(LEFT(TH!O572,2)="15",LEFT(TH!P572,2)="15"),'152-CT'!$J$8=TH!F572),"x","")</f>
        <v/>
      </c>
      <c r="AJ572" s="80" t="str">
        <f>IF(AND(OR(LEFT(TH!O572,2)="15",LEFT(TH!P572,2)="15"),'THE KHO'!$E$7=TH!F572),"x","")</f>
        <v/>
      </c>
      <c r="AK572" s="80" t="str">
        <f>IF(AND(O572="1521",MONTH(C572)='BK NL'!$M$11),"x","")</f>
        <v/>
      </c>
    </row>
    <row r="573" spans="1:37" ht="15.75" customHeight="1">
      <c r="A573" s="362" t="str">
        <f>IF(B573&lt;&gt;"",IF(AND(B573&gt;=_TM1,B573&lt;=_TM2,OR(TH!O573="1111",TH!P573="1111")),TH!D573,""),"")</f>
        <v/>
      </c>
      <c r="B573" s="63">
        <f t="shared" si="38"/>
        <v>8</v>
      </c>
      <c r="C573" s="1045">
        <f t="shared" ref="C573:C583" si="39">E573</f>
        <v>42601</v>
      </c>
      <c r="D573" s="1045" t="s">
        <v>12</v>
      </c>
      <c r="E573" s="1045">
        <v>42601</v>
      </c>
      <c r="F573" s="1046" t="s">
        <v>788</v>
      </c>
      <c r="G573" s="1047" t="s">
        <v>798</v>
      </c>
      <c r="H573" s="1048" t="s">
        <v>429</v>
      </c>
      <c r="I573" s="1049"/>
      <c r="J573" s="1049"/>
      <c r="K573" s="1050"/>
      <c r="L573" s="1049"/>
      <c r="M573" s="1051">
        <v>30000000</v>
      </c>
      <c r="N573" s="1051"/>
      <c r="O573" s="1052" t="s">
        <v>31</v>
      </c>
      <c r="P573" s="1052" t="s">
        <v>24</v>
      </c>
      <c r="Q573" s="66" t="str">
        <f>IF(AND('331-CT'!$E$7=TH!H573,OR(O573="331",P573="331")),"x","")</f>
        <v/>
      </c>
      <c r="R573" s="66" t="str">
        <f>IF(AND($B573&gt;='111'!$N$11,$B573&lt;='111'!$O$11,OR($O573=$R$7,$P573=$R$7)),"x","")</f>
        <v/>
      </c>
      <c r="S573" s="66" t="str">
        <f>IF(AND($O573=$R$7,$B573&lt;'111'!$N$11),"x","")</f>
        <v/>
      </c>
      <c r="T573" s="66" t="str">
        <f>IF(AND($P573=$R$7,$B573&lt;'111'!$N$11),"x","")</f>
        <v/>
      </c>
      <c r="U573" s="66" t="str">
        <f>IF(AND($B573&gt;='112'!$M$9,$B573&lt;='112'!$N$9,OR($O573='112'!$I$6,$P573='112'!$I$6)),"x","")</f>
        <v>x</v>
      </c>
      <c r="V573" s="66" t="str">
        <f>IF(AND($O573='112'!$I$6,$B573&lt;'112'!$M$9),"x","")</f>
        <v/>
      </c>
      <c r="W573" s="66" t="str">
        <f>IF(AND($P573='112'!$I$6,$B573&lt;'112'!$M$9),"x","")</f>
        <v/>
      </c>
      <c r="X573" s="66" t="str">
        <f>IF(AND('131-CT'!$H$9=TH!H573,OR(O573="131",P573="131")),"x","")</f>
        <v/>
      </c>
      <c r="Y573" s="80" t="str">
        <f>IF(AND($B573&gt;='1331'!$I$9,$B573&lt;='1331'!$J$9,OR($O573=$Y$7,$P573=$Y$7)),"x","")</f>
        <v/>
      </c>
      <c r="Z573" s="80" t="str">
        <f>IF(AND($O573=$Y$7,$B573&lt;'1331'!$I$9),"x","")</f>
        <v/>
      </c>
      <c r="AA573" s="80" t="str">
        <f>IF(AND($P573=$Y$7,$B573&lt;'1331'!$I$9),"x","")</f>
        <v/>
      </c>
      <c r="AB573" s="80" t="str">
        <f>IF(AND($B573&gt;='1332'!$I$9,$B573&lt;='1332'!$I$9,OR($O573=$AB$7,$P573=$AB$7)),"x","")</f>
        <v/>
      </c>
      <c r="AC573" s="80" t="str">
        <f>IF(AND($O573=$AB$7,$B573&lt;'1332'!$I$9),"x","")</f>
        <v/>
      </c>
      <c r="AD573" s="80" t="str">
        <f>IF(AND($P573=$AB$7,$B573&lt;'1332'!$I$9),"x","")</f>
        <v/>
      </c>
      <c r="AE573" s="80" t="str">
        <f>IF(AND('341-CT'!$H$9=H573,OR(LEFT(O573,3)=$AE$7,LEFT(P573,3)=$AE$7)),"x","")</f>
        <v/>
      </c>
      <c r="AF573" s="80" t="str">
        <f>IF(OR(TH!O573=TH!$AF$7,P573=TH!$AF$7),"x","")</f>
        <v>x</v>
      </c>
      <c r="AG573" s="80"/>
      <c r="AH573" s="80" t="str">
        <f>IF(AND(B573&gt;='IN-NX'!$P$3,B573&lt;='IN-NX'!$Q$3,'IN-NX'!$D$7=D573,OR(LEFT(L573,2)="15",AND(LEFT(M573,2)&lt;&gt;"15",LEFT(M573,2)&lt;&gt;"33"))),"x","")</f>
        <v/>
      </c>
      <c r="AI573" s="80" t="str">
        <f>IF(AND(OR(LEFT(TH!O573,2)="15",LEFT(TH!P573,2)="15"),'152-CT'!$J$8=TH!F573),"x","")</f>
        <v/>
      </c>
      <c r="AJ573" s="80" t="str">
        <f>IF(AND(OR(LEFT(TH!O573,2)="15",LEFT(TH!P573,2)="15"),'THE KHO'!$E$7=TH!F573),"x","")</f>
        <v/>
      </c>
      <c r="AK573" s="80" t="str">
        <f>IF(AND(O573="1521",MONTH(C573)='BK NL'!$M$11),"x","")</f>
        <v/>
      </c>
    </row>
    <row r="574" spans="1:37" ht="15.75" customHeight="1">
      <c r="A574" s="362" t="str">
        <f>IF(B574&lt;&gt;"",IF(AND(B574&gt;=_TM1,B574&lt;=_TM2,OR(TH!O574="1111",TH!P574="1111")),TH!D574,""),"")</f>
        <v/>
      </c>
      <c r="B574" s="63">
        <f t="shared" si="38"/>
        <v>8</v>
      </c>
      <c r="C574" s="1045">
        <f t="shared" si="39"/>
        <v>42601</v>
      </c>
      <c r="D574" s="1045" t="s">
        <v>12</v>
      </c>
      <c r="E574" s="1045">
        <v>42601</v>
      </c>
      <c r="F574" s="1046" t="s">
        <v>788</v>
      </c>
      <c r="G574" s="1047"/>
      <c r="H574" s="1048" t="s">
        <v>429</v>
      </c>
      <c r="I574" s="1049"/>
      <c r="J574" s="1049"/>
      <c r="K574" s="1050"/>
      <c r="L574" s="1049"/>
      <c r="M574" s="1051">
        <v>20000000</v>
      </c>
      <c r="N574" s="1051"/>
      <c r="O574" s="1052" t="s">
        <v>31</v>
      </c>
      <c r="P574" s="1052" t="s">
        <v>24</v>
      </c>
      <c r="Q574" s="66" t="str">
        <f>IF(AND('331-CT'!$E$7=TH!H574,OR(O574="331",P574="331")),"x","")</f>
        <v/>
      </c>
      <c r="R574" s="66" t="str">
        <f>IF(AND($B574&gt;='111'!$N$11,$B574&lt;='111'!$O$11,OR($O574=$R$7,$P574=$R$7)),"x","")</f>
        <v/>
      </c>
      <c r="S574" s="66" t="str">
        <f>IF(AND($O574=$R$7,$B574&lt;'111'!$N$11),"x","")</f>
        <v/>
      </c>
      <c r="T574" s="66" t="str">
        <f>IF(AND($P574=$R$7,$B574&lt;'111'!$N$11),"x","")</f>
        <v/>
      </c>
      <c r="U574" s="66" t="str">
        <f>IF(AND($B574&gt;='112'!$M$9,$B574&lt;='112'!$N$9,OR($O574='112'!$I$6,$P574='112'!$I$6)),"x","")</f>
        <v>x</v>
      </c>
      <c r="V574" s="66" t="str">
        <f>IF(AND($O574='112'!$I$6,$B574&lt;'112'!$M$9),"x","")</f>
        <v/>
      </c>
      <c r="W574" s="66" t="str">
        <f>IF(AND($P574='112'!$I$6,$B574&lt;'112'!$M$9),"x","")</f>
        <v/>
      </c>
      <c r="X574" s="66" t="str">
        <f>IF(AND('131-CT'!$H$9=TH!H574,OR(O574="131",P574="131")),"x","")</f>
        <v/>
      </c>
      <c r="Y574" s="80" t="str">
        <f>IF(AND($B574&gt;='1331'!$I$9,$B574&lt;='1331'!$J$9,OR($O574=$Y$7,$P574=$Y$7)),"x","")</f>
        <v/>
      </c>
      <c r="Z574" s="80" t="str">
        <f>IF(AND($O574=$Y$7,$B574&lt;'1331'!$I$9),"x","")</f>
        <v/>
      </c>
      <c r="AA574" s="80" t="str">
        <f>IF(AND($P574=$Y$7,$B574&lt;'1331'!$I$9),"x","")</f>
        <v/>
      </c>
      <c r="AB574" s="80" t="str">
        <f>IF(AND($B574&gt;='1332'!$I$9,$B574&lt;='1332'!$I$9,OR($O574=$AB$7,$P574=$AB$7)),"x","")</f>
        <v/>
      </c>
      <c r="AC574" s="80" t="str">
        <f>IF(AND($O574=$AB$7,$B574&lt;'1332'!$I$9),"x","")</f>
        <v/>
      </c>
      <c r="AD574" s="80" t="str">
        <f>IF(AND($P574=$AB$7,$B574&lt;'1332'!$I$9),"x","")</f>
        <v/>
      </c>
      <c r="AE574" s="80" t="str">
        <f>IF(AND('341-CT'!$H$9=H574,OR(LEFT(O574,3)=$AE$7,LEFT(P574,3)=$AE$7)),"x","")</f>
        <v/>
      </c>
      <c r="AF574" s="80" t="str">
        <f>IF(OR(TH!O574=TH!$AF$7,P574=TH!$AF$7),"x","")</f>
        <v>x</v>
      </c>
      <c r="AG574" s="80"/>
      <c r="AH574" s="80" t="str">
        <f>IF(AND(B574&gt;='IN-NX'!$P$3,B574&lt;='IN-NX'!$Q$3,'IN-NX'!$D$7=D574,OR(LEFT(L574,2)="15",AND(LEFT(M574,2)&lt;&gt;"15",LEFT(M574,2)&lt;&gt;"33"))),"x","")</f>
        <v/>
      </c>
      <c r="AI574" s="80" t="str">
        <f>IF(AND(OR(LEFT(TH!O574,2)="15",LEFT(TH!P574,2)="15"),'152-CT'!$J$8=TH!F574),"x","")</f>
        <v/>
      </c>
      <c r="AJ574" s="80" t="str">
        <f>IF(AND(OR(LEFT(TH!O574,2)="15",LEFT(TH!P574,2)="15"),'THE KHO'!$E$7=TH!F574),"x","")</f>
        <v/>
      </c>
      <c r="AK574" s="80" t="str">
        <f>IF(AND(O574="1521",MONTH(C574)='BK NL'!$M$11),"x","")</f>
        <v/>
      </c>
    </row>
    <row r="575" spans="1:37" ht="15.75" customHeight="1">
      <c r="A575" s="362" t="str">
        <f>IF(B575&lt;&gt;"",IF(AND(B575&gt;=_TM1,B575&lt;=_TM2,OR(TH!O575="1111",TH!P575="1111")),TH!D575,""),"")</f>
        <v/>
      </c>
      <c r="B575" s="63">
        <f t="shared" si="38"/>
        <v>8</v>
      </c>
      <c r="C575" s="1045">
        <f t="shared" si="39"/>
        <v>42601</v>
      </c>
      <c r="D575" s="1045" t="s">
        <v>8</v>
      </c>
      <c r="E575" s="1045">
        <v>42601</v>
      </c>
      <c r="F575" s="1046" t="s">
        <v>1142</v>
      </c>
      <c r="G575" s="1047"/>
      <c r="H575" s="1129" t="s">
        <v>1143</v>
      </c>
      <c r="I575" s="1049"/>
      <c r="J575" s="1049"/>
      <c r="K575" s="1050"/>
      <c r="L575" s="1049"/>
      <c r="M575" s="1051">
        <v>9487000</v>
      </c>
      <c r="N575" s="1051"/>
      <c r="O575" s="1052" t="s">
        <v>9</v>
      </c>
      <c r="P575" s="1052" t="s">
        <v>31</v>
      </c>
      <c r="Q575" s="66" t="str">
        <f>IF(AND('331-CT'!$E$7=TH!H575,OR(O575="331",P575="331")),"x","")</f>
        <v/>
      </c>
      <c r="R575" s="66" t="str">
        <f>IF(AND($B575&gt;='111'!$N$11,$B575&lt;='111'!$O$11,OR($O575=$R$7,$P575=$R$7)),"x","")</f>
        <v/>
      </c>
      <c r="S575" s="66" t="str">
        <f>IF(AND($O575=$R$7,$B575&lt;'111'!$N$11),"x","")</f>
        <v/>
      </c>
      <c r="T575" s="66" t="str">
        <f>IF(AND($P575=$R$7,$B575&lt;'111'!$N$11),"x","")</f>
        <v/>
      </c>
      <c r="U575" s="66" t="str">
        <f>IF(AND($B575&gt;='112'!$M$9,$B575&lt;='112'!$N$9,OR($O575='112'!$I$6,$P575='112'!$I$6)),"x","")</f>
        <v>x</v>
      </c>
      <c r="V575" s="66" t="str">
        <f>IF(AND($O575='112'!$I$6,$B575&lt;'112'!$M$9),"x","")</f>
        <v/>
      </c>
      <c r="W575" s="66" t="str">
        <f>IF(AND($P575='112'!$I$6,$B575&lt;'112'!$M$9),"x","")</f>
        <v/>
      </c>
      <c r="X575" s="66" t="str">
        <f>IF(AND('131-CT'!$H$9=TH!H575,OR(O575="131",P575="131")),"x","")</f>
        <v/>
      </c>
      <c r="Y575" s="80" t="str">
        <f>IF(AND($B575&gt;='1331'!$I$9,$B575&lt;='1331'!$J$9,OR($O575=$Y$7,$P575=$Y$7)),"x","")</f>
        <v/>
      </c>
      <c r="Z575" s="80" t="str">
        <f>IF(AND($O575=$Y$7,$B575&lt;'1331'!$I$9),"x","")</f>
        <v/>
      </c>
      <c r="AA575" s="80" t="str">
        <f>IF(AND($P575=$Y$7,$B575&lt;'1331'!$I$9),"x","")</f>
        <v/>
      </c>
      <c r="AB575" s="80" t="str">
        <f>IF(AND($B575&gt;='1332'!$I$9,$B575&lt;='1332'!$I$9,OR($O575=$AB$7,$P575=$AB$7)),"x","")</f>
        <v/>
      </c>
      <c r="AC575" s="80" t="str">
        <f>IF(AND($O575=$AB$7,$B575&lt;'1332'!$I$9),"x","")</f>
        <v/>
      </c>
      <c r="AD575" s="80" t="str">
        <f>IF(AND($P575=$AB$7,$B575&lt;'1332'!$I$9),"x","")</f>
        <v/>
      </c>
      <c r="AE575" s="80" t="str">
        <f>IF(AND('341-CT'!$H$9=H575,OR(LEFT(O575,3)=$AE$7,LEFT(P575,3)=$AE$7)),"x","")</f>
        <v/>
      </c>
      <c r="AF575" s="80" t="str">
        <f>IF(OR(TH!O575=TH!$AF$7,P575=TH!$AF$7),"x","")</f>
        <v/>
      </c>
      <c r="AG575" s="80"/>
      <c r="AH575" s="80" t="str">
        <f>IF(AND(B575&gt;='IN-NX'!$P$3,B575&lt;='IN-NX'!$Q$3,'IN-NX'!$D$7=D575,OR(LEFT(L575,2)="15",AND(LEFT(M575,2)&lt;&gt;"15",LEFT(M575,2)&lt;&gt;"33"))),"x","")</f>
        <v/>
      </c>
      <c r="AI575" s="80" t="str">
        <f>IF(AND(OR(LEFT(TH!O575,2)="15",LEFT(TH!P575,2)="15"),'152-CT'!$J$8=TH!F575),"x","")</f>
        <v/>
      </c>
      <c r="AJ575" s="80" t="str">
        <f>IF(AND(OR(LEFT(TH!O575,2)="15",LEFT(TH!P575,2)="15"),'THE KHO'!$E$7=TH!F575),"x","")</f>
        <v/>
      </c>
      <c r="AK575" s="80" t="str">
        <f>IF(AND(O575="1521",MONTH(C575)='BK NL'!$M$11),"x","")</f>
        <v/>
      </c>
    </row>
    <row r="576" spans="1:37" ht="15.75" customHeight="1">
      <c r="A576" s="362" t="str">
        <f>IF(B576&lt;&gt;"",IF(AND(B576&gt;=_TM1,B576&lt;=_TM2,OR(TH!O576="1111",TH!P576="1111")),TH!D576,""),"")</f>
        <v/>
      </c>
      <c r="B576" s="63">
        <f t="shared" si="38"/>
        <v>8</v>
      </c>
      <c r="C576" s="1045">
        <f t="shared" si="39"/>
        <v>42601</v>
      </c>
      <c r="D576" s="1045" t="s">
        <v>8</v>
      </c>
      <c r="E576" s="1045">
        <v>42601</v>
      </c>
      <c r="F576" s="1046" t="s">
        <v>22</v>
      </c>
      <c r="G576" s="1047" t="s">
        <v>798</v>
      </c>
      <c r="H576" s="1129"/>
      <c r="I576" s="1135"/>
      <c r="J576" s="1135"/>
      <c r="K576" s="1136"/>
      <c r="L576" s="1135"/>
      <c r="M576" s="1051">
        <v>25000</v>
      </c>
      <c r="N576" s="1051"/>
      <c r="O576" s="1052" t="s">
        <v>135</v>
      </c>
      <c r="P576" s="1052" t="s">
        <v>31</v>
      </c>
      <c r="Q576" s="66" t="str">
        <f>IF(AND('331-CT'!$E$7=TH!H576,OR(O576="331",P576="331")),"x","")</f>
        <v/>
      </c>
      <c r="R576" s="66" t="str">
        <f>IF(AND($B576&gt;='111'!$N$11,$B576&lt;='111'!$O$11,OR($O576=$R$7,$P576=$R$7)),"x","")</f>
        <v/>
      </c>
      <c r="S576" s="66" t="str">
        <f>IF(AND($O576=$R$7,$B576&lt;'111'!$N$11),"x","")</f>
        <v/>
      </c>
      <c r="T576" s="66" t="str">
        <f>IF(AND($P576=$R$7,$B576&lt;'111'!$N$11),"x","")</f>
        <v/>
      </c>
      <c r="U576" s="66" t="str">
        <f>IF(AND($B576&gt;='112'!$M$9,$B576&lt;='112'!$N$9,OR($O576='112'!$I$6,$P576='112'!$I$6)),"x","")</f>
        <v>x</v>
      </c>
      <c r="V576" s="66" t="str">
        <f>IF(AND($O576='112'!$I$6,$B576&lt;'112'!$M$9),"x","")</f>
        <v/>
      </c>
      <c r="W576" s="66" t="str">
        <f>IF(AND($P576='112'!$I$6,$B576&lt;'112'!$M$9),"x","")</f>
        <v/>
      </c>
      <c r="X576" s="66" t="str">
        <f>IF(AND('131-CT'!$H$9=TH!H576,OR(O576="131",P576="131")),"x","")</f>
        <v/>
      </c>
      <c r="Y576" s="80" t="str">
        <f>IF(AND($B576&gt;='1331'!$I$9,$B576&lt;='1331'!$J$9,OR($O576=$Y$7,$P576=$Y$7)),"x","")</f>
        <v/>
      </c>
      <c r="Z576" s="80" t="str">
        <f>IF(AND($O576=$Y$7,$B576&lt;'1331'!$I$9),"x","")</f>
        <v/>
      </c>
      <c r="AA576" s="80" t="str">
        <f>IF(AND($P576=$Y$7,$B576&lt;'1331'!$I$9),"x","")</f>
        <v/>
      </c>
      <c r="AB576" s="80" t="str">
        <f>IF(AND($B576&gt;='1332'!$I$9,$B576&lt;='1332'!$I$9,OR($O576=$AB$7,$P576=$AB$7)),"x","")</f>
        <v/>
      </c>
      <c r="AC576" s="80" t="str">
        <f>IF(AND($O576=$AB$7,$B576&lt;'1332'!$I$9),"x","")</f>
        <v/>
      </c>
      <c r="AD576" s="80" t="str">
        <f>IF(AND($P576=$AB$7,$B576&lt;'1332'!$I$9),"x","")</f>
        <v/>
      </c>
      <c r="AE576" s="80" t="str">
        <f>IF(AND('341-CT'!$H$9=H576,OR(LEFT(O576,3)=$AE$7,LEFT(P576,3)=$AE$7)),"x","")</f>
        <v/>
      </c>
      <c r="AF576" s="80" t="str">
        <f>IF(OR(TH!O576=TH!$AF$7,P576=TH!$AF$7),"x","")</f>
        <v/>
      </c>
      <c r="AG576" s="80"/>
      <c r="AH576" s="80" t="str">
        <f>IF(AND(B576&gt;='IN-NX'!$P$3,B576&lt;='IN-NX'!$Q$3,'IN-NX'!$D$7=D576,OR(LEFT(L576,2)="15",AND(LEFT(M576,2)&lt;&gt;"15",LEFT(M576,2)&lt;&gt;"33"))),"x","")</f>
        <v/>
      </c>
      <c r="AI576" s="80" t="str">
        <f>IF(AND(OR(LEFT(TH!O576,2)="15",LEFT(TH!P576,2)="15"),'152-CT'!$J$8=TH!F576),"x","")</f>
        <v/>
      </c>
      <c r="AJ576" s="80" t="str">
        <f>IF(AND(OR(LEFT(TH!O576,2)="15",LEFT(TH!P576,2)="15"),'THE KHO'!$E$7=TH!F576),"x","")</f>
        <v/>
      </c>
      <c r="AK576" s="80" t="str">
        <f>IF(AND(O576="1521",MONTH(C576)='BK NL'!$M$11),"x","")</f>
        <v/>
      </c>
    </row>
    <row r="577" spans="1:37" ht="15.75" customHeight="1">
      <c r="A577" s="362" t="str">
        <f>IF(B577&lt;&gt;"",IF(AND(B577&gt;=_TM1,B577&lt;=_TM2,OR(TH!O577="1111",TH!P577="1111")),TH!D577,""),"")</f>
        <v/>
      </c>
      <c r="B577" s="63">
        <f t="shared" si="38"/>
        <v>8</v>
      </c>
      <c r="C577" s="1045">
        <f t="shared" si="39"/>
        <v>42601</v>
      </c>
      <c r="D577" s="1045" t="s">
        <v>8</v>
      </c>
      <c r="E577" s="1045">
        <v>42601</v>
      </c>
      <c r="F577" s="1046" t="s">
        <v>23</v>
      </c>
      <c r="G577" s="1047" t="s">
        <v>798</v>
      </c>
      <c r="H577" s="1048"/>
      <c r="I577" s="1049"/>
      <c r="J577" s="1049"/>
      <c r="K577" s="1050"/>
      <c r="L577" s="1049"/>
      <c r="M577" s="1137">
        <v>2500</v>
      </c>
      <c r="N577" s="1137"/>
      <c r="O577" s="1052" t="s">
        <v>10</v>
      </c>
      <c r="P577" s="1052" t="s">
        <v>31</v>
      </c>
      <c r="Q577" s="66" t="str">
        <f>IF(AND('331-CT'!$E$7=TH!H577,OR(O577="331",P577="331")),"x","")</f>
        <v/>
      </c>
      <c r="R577" s="66" t="str">
        <f>IF(AND($B577&gt;='111'!$N$11,$B577&lt;='111'!$O$11,OR($O577=$R$7,$P577=$R$7)),"x","")</f>
        <v/>
      </c>
      <c r="S577" s="66" t="str">
        <f>IF(AND($O577=$R$7,$B577&lt;'111'!$N$11),"x","")</f>
        <v/>
      </c>
      <c r="T577" s="66" t="str">
        <f>IF(AND($P577=$R$7,$B577&lt;'111'!$N$11),"x","")</f>
        <v/>
      </c>
      <c r="U577" s="66" t="str">
        <f>IF(AND($B577&gt;='112'!$M$9,$B577&lt;='112'!$N$9,OR($O577='112'!$I$6,$P577='112'!$I$6)),"x","")</f>
        <v>x</v>
      </c>
      <c r="V577" s="66" t="str">
        <f>IF(AND($O577='112'!$I$6,$B577&lt;'112'!$M$9),"x","")</f>
        <v/>
      </c>
      <c r="W577" s="66" t="str">
        <f>IF(AND($P577='112'!$I$6,$B577&lt;'112'!$M$9),"x","")</f>
        <v/>
      </c>
      <c r="X577" s="66" t="str">
        <f>IF(AND('131-CT'!$H$9=TH!H577,OR(O577="131",P577="131")),"x","")</f>
        <v/>
      </c>
      <c r="Y577" s="80" t="str">
        <f>IF(AND($B577&gt;='1331'!$I$9,$B577&lt;='1331'!$J$9,OR($O577=$Y$7,$P577=$Y$7)),"x","")</f>
        <v>x</v>
      </c>
      <c r="Z577" s="80" t="str">
        <f>IF(AND($O577=$Y$7,$B577&lt;'1331'!$I$9),"x","")</f>
        <v/>
      </c>
      <c r="AA577" s="80" t="str">
        <f>IF(AND($P577=$Y$7,$B577&lt;'1331'!$I$9),"x","")</f>
        <v/>
      </c>
      <c r="AB577" s="80" t="str">
        <f>IF(AND($B577&gt;='1332'!$I$9,$B577&lt;='1332'!$I$9,OR($O577=$AB$7,$P577=$AB$7)),"x","")</f>
        <v/>
      </c>
      <c r="AC577" s="80" t="str">
        <f>IF(AND($O577=$AB$7,$B577&lt;'1332'!$I$9),"x","")</f>
        <v/>
      </c>
      <c r="AD577" s="80" t="str">
        <f>IF(AND($P577=$AB$7,$B577&lt;'1332'!$I$9),"x","")</f>
        <v/>
      </c>
      <c r="AE577" s="80" t="str">
        <f>IF(AND('341-CT'!$H$9=H577,OR(LEFT(O577,3)=$AE$7,LEFT(P577,3)=$AE$7)),"x","")</f>
        <v/>
      </c>
      <c r="AF577" s="80" t="str">
        <f>IF(OR(TH!O577=TH!$AF$7,P577=TH!$AF$7),"x","")</f>
        <v/>
      </c>
      <c r="AG577" s="80"/>
      <c r="AH577" s="80" t="str">
        <f>IF(AND(B577&gt;='IN-NX'!$P$3,B577&lt;='IN-NX'!$Q$3,'IN-NX'!$D$7=D577,OR(LEFT(L577,2)="15",AND(LEFT(M577,2)&lt;&gt;"15",LEFT(M577,2)&lt;&gt;"33"))),"x","")</f>
        <v/>
      </c>
      <c r="AI577" s="80" t="str">
        <f>IF(AND(OR(LEFT(TH!O577,2)="15",LEFT(TH!P577,2)="15"),'152-CT'!$J$8=TH!F577),"x","")</f>
        <v/>
      </c>
      <c r="AJ577" s="80" t="str">
        <f>IF(AND(OR(LEFT(TH!O577,2)="15",LEFT(TH!P577,2)="15"),'THE KHO'!$E$7=TH!F577),"x","")</f>
        <v/>
      </c>
      <c r="AK577" s="80" t="str">
        <f>IF(AND(O577="1521",MONTH(C577)='BK NL'!$M$11),"x","")</f>
        <v/>
      </c>
    </row>
    <row r="578" spans="1:37" ht="15.75" customHeight="1">
      <c r="A578" s="362" t="str">
        <f>IF(B578&lt;&gt;"",IF(AND(B578&gt;=_TM1,B578&lt;=_TM2,OR(TH!O578="1111",TH!P578="1111")),TH!D578,""),"")</f>
        <v/>
      </c>
      <c r="B578" s="63">
        <f t="shared" si="38"/>
        <v>8</v>
      </c>
      <c r="C578" s="1045">
        <f t="shared" si="39"/>
        <v>42601</v>
      </c>
      <c r="D578" s="1045" t="s">
        <v>8</v>
      </c>
      <c r="E578" s="1045">
        <v>42601</v>
      </c>
      <c r="F578" s="1046" t="s">
        <v>1144</v>
      </c>
      <c r="G578" s="1047" t="s">
        <v>798</v>
      </c>
      <c r="H578" s="1048" t="s">
        <v>221</v>
      </c>
      <c r="I578" s="1049"/>
      <c r="J578" s="1049"/>
      <c r="K578" s="1050"/>
      <c r="L578" s="1049"/>
      <c r="M578" s="1051">
        <v>30533800</v>
      </c>
      <c r="N578" s="1051"/>
      <c r="O578" s="1052" t="s">
        <v>9</v>
      </c>
      <c r="P578" s="1052" t="s">
        <v>31</v>
      </c>
      <c r="Q578" s="66" t="str">
        <f>IF(AND('331-CT'!$E$7=TH!H578,OR(O578="331",P578="331")),"x","")</f>
        <v/>
      </c>
      <c r="R578" s="66" t="str">
        <f>IF(AND($B578&gt;='111'!$N$11,$B578&lt;='111'!$O$11,OR($O578=$R$7,$P578=$R$7)),"x","")</f>
        <v/>
      </c>
      <c r="S578" s="66" t="str">
        <f>IF(AND($O578=$R$7,$B578&lt;'111'!$N$11),"x","")</f>
        <v/>
      </c>
      <c r="T578" s="66" t="str">
        <f>IF(AND($P578=$R$7,$B578&lt;'111'!$N$11),"x","")</f>
        <v/>
      </c>
      <c r="U578" s="66" t="str">
        <f>IF(AND($B578&gt;='112'!$M$9,$B578&lt;='112'!$N$9,OR($O578='112'!$I$6,$P578='112'!$I$6)),"x","")</f>
        <v>x</v>
      </c>
      <c r="V578" s="66" t="str">
        <f>IF(AND($O578='112'!$I$6,$B578&lt;'112'!$M$9),"x","")</f>
        <v/>
      </c>
      <c r="W578" s="66" t="str">
        <f>IF(AND($P578='112'!$I$6,$B578&lt;'112'!$M$9),"x","")</f>
        <v/>
      </c>
      <c r="X578" s="66" t="str">
        <f>IF(AND('131-CT'!$H$9=TH!H578,OR(O578="131",P578="131")),"x","")</f>
        <v/>
      </c>
      <c r="Y578" s="80" t="str">
        <f>IF(AND($B578&gt;='1331'!$I$9,$B578&lt;='1331'!$J$9,OR($O578=$Y$7,$P578=$Y$7)),"x","")</f>
        <v/>
      </c>
      <c r="Z578" s="80" t="str">
        <f>IF(AND($O578=$Y$7,$B578&lt;'1331'!$I$9),"x","")</f>
        <v/>
      </c>
      <c r="AA578" s="80" t="str">
        <f>IF(AND($P578=$Y$7,$B578&lt;'1331'!$I$9),"x","")</f>
        <v/>
      </c>
      <c r="AB578" s="80" t="str">
        <f>IF(AND($B578&gt;='1332'!$I$9,$B578&lt;='1332'!$I$9,OR($O578=$AB$7,$P578=$AB$7)),"x","")</f>
        <v/>
      </c>
      <c r="AC578" s="80" t="str">
        <f>IF(AND($O578=$AB$7,$B578&lt;'1332'!$I$9),"x","")</f>
        <v/>
      </c>
      <c r="AD578" s="80" t="str">
        <f>IF(AND($P578=$AB$7,$B578&lt;'1332'!$I$9),"x","")</f>
        <v/>
      </c>
      <c r="AE578" s="80" t="str">
        <f>IF(AND('341-CT'!$H$9=H578,OR(LEFT(O578,3)=$AE$7,LEFT(P578,3)=$AE$7)),"x","")</f>
        <v/>
      </c>
      <c r="AF578" s="80" t="str">
        <f>IF(OR(TH!O578=TH!$AF$7,P578=TH!$AF$7),"x","")</f>
        <v/>
      </c>
      <c r="AG578" s="80"/>
      <c r="AH578" s="80" t="str">
        <f>IF(AND(B578&gt;='IN-NX'!$P$3,B578&lt;='IN-NX'!$Q$3,'IN-NX'!$D$7=D578,OR(LEFT(L578,2)="15",AND(LEFT(M578,2)&lt;&gt;"15",LEFT(M578,2)&lt;&gt;"33"))),"x","")</f>
        <v/>
      </c>
      <c r="AI578" s="80" t="str">
        <f>IF(AND(OR(LEFT(TH!O578,2)="15",LEFT(TH!P578,2)="15"),'152-CT'!$J$8=TH!F578),"x","")</f>
        <v/>
      </c>
      <c r="AJ578" s="80" t="str">
        <f>IF(AND(OR(LEFT(TH!O578,2)="15",LEFT(TH!P578,2)="15"),'THE KHO'!$E$7=TH!F578),"x","")</f>
        <v/>
      </c>
      <c r="AK578" s="80" t="str">
        <f>IF(AND(O578="1521",MONTH(C578)='BK NL'!$M$11),"x","")</f>
        <v/>
      </c>
    </row>
    <row r="579" spans="1:37" ht="15.75" customHeight="1">
      <c r="A579" s="362" t="str">
        <f>IF(B579&lt;&gt;"",IF(AND(B579&gt;=_TM1,B579&lt;=_TM2,OR(TH!O579="1111",TH!P579="1111")),TH!D579,""),"")</f>
        <v/>
      </c>
      <c r="B579" s="63">
        <f t="shared" si="38"/>
        <v>8</v>
      </c>
      <c r="C579" s="1045">
        <f t="shared" si="39"/>
        <v>42601</v>
      </c>
      <c r="D579" s="1045" t="s">
        <v>8</v>
      </c>
      <c r="E579" s="1045">
        <v>42601</v>
      </c>
      <c r="F579" s="1046" t="s">
        <v>22</v>
      </c>
      <c r="G579" s="1047" t="s">
        <v>798</v>
      </c>
      <c r="H579" s="1129"/>
      <c r="I579" s="1135"/>
      <c r="J579" s="1135"/>
      <c r="K579" s="1136"/>
      <c r="L579" s="1135"/>
      <c r="M579" s="1051">
        <v>25000</v>
      </c>
      <c r="N579" s="1051"/>
      <c r="O579" s="1052" t="s">
        <v>135</v>
      </c>
      <c r="P579" s="1052" t="s">
        <v>31</v>
      </c>
      <c r="Q579" s="66" t="str">
        <f>IF(AND('331-CT'!$E$7=TH!H579,OR(O579="331",P579="331")),"x","")</f>
        <v/>
      </c>
      <c r="R579" s="66" t="str">
        <f>IF(AND($B579&gt;='111'!$N$11,$B579&lt;='111'!$O$11,OR($O579=$R$7,$P579=$R$7)),"x","")</f>
        <v/>
      </c>
      <c r="S579" s="66" t="str">
        <f>IF(AND($O579=$R$7,$B579&lt;'111'!$N$11),"x","")</f>
        <v/>
      </c>
      <c r="T579" s="66" t="str">
        <f>IF(AND($P579=$R$7,$B579&lt;'111'!$N$11),"x","")</f>
        <v/>
      </c>
      <c r="U579" s="66" t="str">
        <f>IF(AND($B579&gt;='112'!$M$9,$B579&lt;='112'!$N$9,OR($O579='112'!$I$6,$P579='112'!$I$6)),"x","")</f>
        <v>x</v>
      </c>
      <c r="V579" s="66" t="str">
        <f>IF(AND($O579='112'!$I$6,$B579&lt;'112'!$M$9),"x","")</f>
        <v/>
      </c>
      <c r="W579" s="66" t="str">
        <f>IF(AND($P579='112'!$I$6,$B579&lt;'112'!$M$9),"x","")</f>
        <v/>
      </c>
      <c r="X579" s="66" t="str">
        <f>IF(AND('131-CT'!$H$9=TH!H579,OR(O579="131",P579="131")),"x","")</f>
        <v/>
      </c>
      <c r="Y579" s="80" t="str">
        <f>IF(AND($B579&gt;='1331'!$I$9,$B579&lt;='1331'!$J$9,OR($O579=$Y$7,$P579=$Y$7)),"x","")</f>
        <v/>
      </c>
      <c r="Z579" s="80" t="str">
        <f>IF(AND($O579=$Y$7,$B579&lt;'1331'!$I$9),"x","")</f>
        <v/>
      </c>
      <c r="AA579" s="80" t="str">
        <f>IF(AND($P579=$Y$7,$B579&lt;'1331'!$I$9),"x","")</f>
        <v/>
      </c>
      <c r="AB579" s="80" t="str">
        <f>IF(AND($B579&gt;='1332'!$I$9,$B579&lt;='1332'!$I$9,OR($O579=$AB$7,$P579=$AB$7)),"x","")</f>
        <v/>
      </c>
      <c r="AC579" s="80" t="str">
        <f>IF(AND($O579=$AB$7,$B579&lt;'1332'!$I$9),"x","")</f>
        <v/>
      </c>
      <c r="AD579" s="80" t="str">
        <f>IF(AND($P579=$AB$7,$B579&lt;'1332'!$I$9),"x","")</f>
        <v/>
      </c>
      <c r="AE579" s="80" t="str">
        <f>IF(AND('341-CT'!$H$9=H579,OR(LEFT(O579,3)=$AE$7,LEFT(P579,3)=$AE$7)),"x","")</f>
        <v/>
      </c>
      <c r="AF579" s="80" t="str">
        <f>IF(OR(TH!O579=TH!$AF$7,P579=TH!$AF$7),"x","")</f>
        <v/>
      </c>
      <c r="AG579" s="80"/>
      <c r="AH579" s="80" t="str">
        <f>IF(AND(B579&gt;='IN-NX'!$P$3,B579&lt;='IN-NX'!$Q$3,'IN-NX'!$D$7=D579,OR(LEFT(L579,2)="15",AND(LEFT(M579,2)&lt;&gt;"15",LEFT(M579,2)&lt;&gt;"33"))),"x","")</f>
        <v/>
      </c>
      <c r="AI579" s="80" t="str">
        <f>IF(AND(OR(LEFT(TH!O579,2)="15",LEFT(TH!P579,2)="15"),'152-CT'!$J$8=TH!F579),"x","")</f>
        <v/>
      </c>
      <c r="AJ579" s="80" t="str">
        <f>IF(AND(OR(LEFT(TH!O579,2)="15",LEFT(TH!P579,2)="15"),'THE KHO'!$E$7=TH!F579),"x","")</f>
        <v/>
      </c>
      <c r="AK579" s="80" t="str">
        <f>IF(AND(O579="1521",MONTH(C579)='BK NL'!$M$11),"x","")</f>
        <v/>
      </c>
    </row>
    <row r="580" spans="1:37" ht="15.75" customHeight="1">
      <c r="A580" s="362" t="str">
        <f>IF(B580&lt;&gt;"",IF(AND(B580&gt;=_TM1,B580&lt;=_TM2,OR(TH!O580="1111",TH!P580="1111")),TH!D580,""),"")</f>
        <v/>
      </c>
      <c r="B580" s="63">
        <f t="shared" si="38"/>
        <v>8</v>
      </c>
      <c r="C580" s="1045">
        <f t="shared" si="39"/>
        <v>42601</v>
      </c>
      <c r="D580" s="1045" t="s">
        <v>8</v>
      </c>
      <c r="E580" s="1045">
        <v>42601</v>
      </c>
      <c r="F580" s="1046" t="s">
        <v>23</v>
      </c>
      <c r="G580" s="1047" t="s">
        <v>798</v>
      </c>
      <c r="H580" s="1048"/>
      <c r="I580" s="1049"/>
      <c r="J580" s="1049"/>
      <c r="K580" s="1050"/>
      <c r="L580" s="1049"/>
      <c r="M580" s="1137">
        <v>2500</v>
      </c>
      <c r="N580" s="1137"/>
      <c r="O580" s="1052" t="s">
        <v>10</v>
      </c>
      <c r="P580" s="1052" t="s">
        <v>31</v>
      </c>
      <c r="Q580" s="66" t="str">
        <f>IF(AND('331-CT'!$E$7=TH!H580,OR(O580="331",P580="331")),"x","")</f>
        <v/>
      </c>
      <c r="R580" s="66" t="str">
        <f>IF(AND($B580&gt;='111'!$N$11,$B580&lt;='111'!$O$11,OR($O580=$R$7,$P580=$R$7)),"x","")</f>
        <v/>
      </c>
      <c r="S580" s="66" t="str">
        <f>IF(AND($O580=$R$7,$B580&lt;'111'!$N$11),"x","")</f>
        <v/>
      </c>
      <c r="T580" s="66" t="str">
        <f>IF(AND($P580=$R$7,$B580&lt;'111'!$N$11),"x","")</f>
        <v/>
      </c>
      <c r="U580" s="66" t="str">
        <f>IF(AND($B580&gt;='112'!$M$9,$B580&lt;='112'!$N$9,OR($O580='112'!$I$6,$P580='112'!$I$6)),"x","")</f>
        <v>x</v>
      </c>
      <c r="V580" s="66" t="str">
        <f>IF(AND($O580='112'!$I$6,$B580&lt;'112'!$M$9),"x","")</f>
        <v/>
      </c>
      <c r="W580" s="66" t="str">
        <f>IF(AND($P580='112'!$I$6,$B580&lt;'112'!$M$9),"x","")</f>
        <v/>
      </c>
      <c r="X580" s="66" t="str">
        <f>IF(AND('131-CT'!$H$9=TH!H580,OR(O580="131",P580="131")),"x","")</f>
        <v/>
      </c>
      <c r="Y580" s="80" t="str">
        <f>IF(AND($B580&gt;='1331'!$I$9,$B580&lt;='1331'!$J$9,OR($O580=$Y$7,$P580=$Y$7)),"x","")</f>
        <v>x</v>
      </c>
      <c r="Z580" s="80" t="str">
        <f>IF(AND($O580=$Y$7,$B580&lt;'1331'!$I$9),"x","")</f>
        <v/>
      </c>
      <c r="AA580" s="80" t="str">
        <f>IF(AND($P580=$Y$7,$B580&lt;'1331'!$I$9),"x","")</f>
        <v/>
      </c>
      <c r="AB580" s="80" t="str">
        <f>IF(AND($B580&gt;='1332'!$I$9,$B580&lt;='1332'!$I$9,OR($O580=$AB$7,$P580=$AB$7)),"x","")</f>
        <v/>
      </c>
      <c r="AC580" s="80" t="str">
        <f>IF(AND($O580=$AB$7,$B580&lt;'1332'!$I$9),"x","")</f>
        <v/>
      </c>
      <c r="AD580" s="80" t="str">
        <f>IF(AND($P580=$AB$7,$B580&lt;'1332'!$I$9),"x","")</f>
        <v/>
      </c>
      <c r="AE580" s="80" t="str">
        <f>IF(AND('341-CT'!$H$9=H580,OR(LEFT(O580,3)=$AE$7,LEFT(P580,3)=$AE$7)),"x","")</f>
        <v/>
      </c>
      <c r="AF580" s="80" t="str">
        <f>IF(OR(TH!O580=TH!$AF$7,P580=TH!$AF$7),"x","")</f>
        <v/>
      </c>
      <c r="AG580" s="80"/>
      <c r="AH580" s="80" t="str">
        <f>IF(AND(B580&gt;='IN-NX'!$P$3,B580&lt;='IN-NX'!$Q$3,'IN-NX'!$D$7=D580,OR(LEFT(L580,2)="15",AND(LEFT(M580,2)&lt;&gt;"15",LEFT(M580,2)&lt;&gt;"33"))),"x","")</f>
        <v/>
      </c>
      <c r="AI580" s="80" t="str">
        <f>IF(AND(OR(LEFT(TH!O580,2)="15",LEFT(TH!P580,2)="15"),'152-CT'!$J$8=TH!F580),"x","")</f>
        <v/>
      </c>
      <c r="AJ580" s="80" t="str">
        <f>IF(AND(OR(LEFT(TH!O580,2)="15",LEFT(TH!P580,2)="15"),'THE KHO'!$E$7=TH!F580),"x","")</f>
        <v/>
      </c>
      <c r="AK580" s="80" t="str">
        <f>IF(AND(O580="1521",MONTH(C580)='BK NL'!$M$11),"x","")</f>
        <v/>
      </c>
    </row>
    <row r="581" spans="1:37" ht="17.25" customHeight="1">
      <c r="A581" s="362" t="str">
        <f>IF(B581&lt;&gt;"",IF(AND(B581&gt;=_TM1,B581&lt;=_TM2,OR(TH!O581="1111",TH!P581="1111")),TH!D581,""),"")</f>
        <v/>
      </c>
      <c r="B581" s="63">
        <f t="shared" si="38"/>
        <v>8</v>
      </c>
      <c r="C581" s="1045">
        <f t="shared" si="39"/>
        <v>42601</v>
      </c>
      <c r="D581" s="1045" t="s">
        <v>8</v>
      </c>
      <c r="E581" s="1045">
        <v>42601</v>
      </c>
      <c r="F581" s="1046" t="s">
        <v>792</v>
      </c>
      <c r="G581" s="1047" t="s">
        <v>798</v>
      </c>
      <c r="H581" s="1129" t="s">
        <v>309</v>
      </c>
      <c r="I581" s="1049"/>
      <c r="J581" s="1049"/>
      <c r="K581" s="1050"/>
      <c r="L581" s="1049"/>
      <c r="M581" s="1051">
        <v>8143872</v>
      </c>
      <c r="N581" s="1051"/>
      <c r="O581" s="1052" t="s">
        <v>9</v>
      </c>
      <c r="P581" s="1052" t="s">
        <v>31</v>
      </c>
      <c r="Q581" s="66" t="str">
        <f>IF(AND('331-CT'!$E$7=TH!H581,OR(O581="331",P581="331")),"x","")</f>
        <v/>
      </c>
      <c r="R581" s="66" t="str">
        <f>IF(AND($B581&gt;='111'!$N$11,$B581&lt;='111'!$O$11,OR($O581=$R$7,$P581=$R$7)),"x","")</f>
        <v/>
      </c>
      <c r="S581" s="66" t="str">
        <f>IF(AND($O581=$R$7,$B581&lt;'111'!$N$11),"x","")</f>
        <v/>
      </c>
      <c r="T581" s="66" t="str">
        <f>IF(AND($P581=$R$7,$B581&lt;'111'!$N$11),"x","")</f>
        <v/>
      </c>
      <c r="U581" s="66" t="str">
        <f>IF(AND($B581&gt;='112'!$M$9,$B581&lt;='112'!$N$9,OR($O581='112'!$I$6,$P581='112'!$I$6)),"x","")</f>
        <v>x</v>
      </c>
      <c r="V581" s="66" t="str">
        <f>IF(AND($O581='112'!$I$6,$B581&lt;'112'!$M$9),"x","")</f>
        <v/>
      </c>
      <c r="W581" s="66" t="str">
        <f>IF(AND($P581='112'!$I$6,$B581&lt;'112'!$M$9),"x","")</f>
        <v/>
      </c>
      <c r="X581" s="66" t="str">
        <f>IF(AND('131-CT'!$H$9=TH!H581,OR(O581="131",P581="131")),"x","")</f>
        <v/>
      </c>
      <c r="Y581" s="80" t="str">
        <f>IF(AND($B581&gt;='1331'!$I$9,$B581&lt;='1331'!$J$9,OR($O581=$Y$7,$P581=$Y$7)),"x","")</f>
        <v/>
      </c>
      <c r="Z581" s="80" t="str">
        <f>IF(AND($O581=$Y$7,$B581&lt;'1331'!$I$9),"x","")</f>
        <v/>
      </c>
      <c r="AA581" s="80" t="str">
        <f>IF(AND($P581=$Y$7,$B581&lt;'1331'!$I$9),"x","")</f>
        <v/>
      </c>
      <c r="AB581" s="80" t="str">
        <f>IF(AND($B581&gt;='1332'!$I$9,$B581&lt;='1332'!$I$9,OR($O581=$AB$7,$P581=$AB$7)),"x","")</f>
        <v/>
      </c>
      <c r="AC581" s="80" t="str">
        <f>IF(AND($O581=$AB$7,$B581&lt;'1332'!$I$9),"x","")</f>
        <v/>
      </c>
      <c r="AD581" s="80" t="str">
        <f>IF(AND($P581=$AB$7,$B581&lt;'1332'!$I$9),"x","")</f>
        <v/>
      </c>
      <c r="AE581" s="80" t="str">
        <f>IF(AND('341-CT'!$H$9=H581,OR(LEFT(O581,3)=$AE$7,LEFT(P581,3)=$AE$7)),"x","")</f>
        <v/>
      </c>
      <c r="AF581" s="80" t="str">
        <f>IF(OR(TH!O581=TH!$AF$7,P581=TH!$AF$7),"x","")</f>
        <v/>
      </c>
      <c r="AG581" s="80"/>
      <c r="AH581" s="80" t="str">
        <f>IF(AND(B581&gt;='IN-NX'!$P$3,B581&lt;='IN-NX'!$Q$3,'IN-NX'!$D$7=D581,OR(LEFT(L581,2)="15",AND(LEFT(M581,2)&lt;&gt;"15",LEFT(M581,2)&lt;&gt;"33"))),"x","")</f>
        <v/>
      </c>
      <c r="AI581" s="80" t="str">
        <f>IF(AND(OR(LEFT(TH!O581,2)="15",LEFT(TH!P581,2)="15"),'152-CT'!$J$8=TH!F581),"x","")</f>
        <v/>
      </c>
      <c r="AJ581" s="80" t="str">
        <f>IF(AND(OR(LEFT(TH!O581,2)="15",LEFT(TH!P581,2)="15"),'THE KHO'!$E$7=TH!F581),"x","")</f>
        <v/>
      </c>
      <c r="AK581" s="80" t="str">
        <f>IF(AND(O581="1521",MONTH(C581)='BK NL'!$M$11),"x","")</f>
        <v/>
      </c>
    </row>
    <row r="582" spans="1:37" ht="17.25" customHeight="1">
      <c r="A582" s="362" t="str">
        <f>IF(B582&lt;&gt;"",IF(AND(B582&gt;=_TM1,B582&lt;=_TM2,OR(TH!O582="1111",TH!P582="1111")),TH!D582,""),"")</f>
        <v/>
      </c>
      <c r="B582" s="63">
        <f t="shared" si="38"/>
        <v>8</v>
      </c>
      <c r="C582" s="1045">
        <f t="shared" si="39"/>
        <v>42601</v>
      </c>
      <c r="D582" s="1045" t="s">
        <v>8</v>
      </c>
      <c r="E582" s="1045">
        <v>42601</v>
      </c>
      <c r="F582" s="1046" t="s">
        <v>22</v>
      </c>
      <c r="G582" s="1047" t="s">
        <v>798</v>
      </c>
      <c r="H582" s="1129"/>
      <c r="I582" s="1135"/>
      <c r="J582" s="1135"/>
      <c r="K582" s="1136"/>
      <c r="L582" s="1135"/>
      <c r="M582" s="1051">
        <v>25000</v>
      </c>
      <c r="N582" s="1051"/>
      <c r="O582" s="1052" t="s">
        <v>135</v>
      </c>
      <c r="P582" s="1052" t="s">
        <v>31</v>
      </c>
      <c r="Q582" s="66" t="str">
        <f>IF(AND('331-CT'!$E$7=TH!H582,OR(O582="331",P582="331")),"x","")</f>
        <v/>
      </c>
      <c r="R582" s="66" t="str">
        <f>IF(AND($B582&gt;='111'!$N$11,$B582&lt;='111'!$O$11,OR($O582=$R$7,$P582=$R$7)),"x","")</f>
        <v/>
      </c>
      <c r="S582" s="66" t="str">
        <f>IF(AND($O582=$R$7,$B582&lt;'111'!$N$11),"x","")</f>
        <v/>
      </c>
      <c r="T582" s="66" t="str">
        <f>IF(AND($P582=$R$7,$B582&lt;'111'!$N$11),"x","")</f>
        <v/>
      </c>
      <c r="U582" s="66" t="str">
        <f>IF(AND($B582&gt;='112'!$M$9,$B582&lt;='112'!$N$9,OR($O582='112'!$I$6,$P582='112'!$I$6)),"x","")</f>
        <v>x</v>
      </c>
      <c r="V582" s="66" t="str">
        <f>IF(AND($O582='112'!$I$6,$B582&lt;'112'!$M$9),"x","")</f>
        <v/>
      </c>
      <c r="W582" s="66" t="str">
        <f>IF(AND($P582='112'!$I$6,$B582&lt;'112'!$M$9),"x","")</f>
        <v/>
      </c>
      <c r="X582" s="66" t="str">
        <f>IF(AND('131-CT'!$H$9=TH!H582,OR(O582="131",P582="131")),"x","")</f>
        <v/>
      </c>
      <c r="Y582" s="80" t="str">
        <f>IF(AND($B582&gt;='1331'!$I$9,$B582&lt;='1331'!$J$9,OR($O582=$Y$7,$P582=$Y$7)),"x","")</f>
        <v/>
      </c>
      <c r="Z582" s="80" t="str">
        <f>IF(AND($O582=$Y$7,$B582&lt;'1331'!$I$9),"x","")</f>
        <v/>
      </c>
      <c r="AA582" s="80" t="str">
        <f>IF(AND($P582=$Y$7,$B582&lt;'1331'!$I$9),"x","")</f>
        <v/>
      </c>
      <c r="AB582" s="80" t="str">
        <f>IF(AND($B582&gt;='1332'!$I$9,$B582&lt;='1332'!$I$9,OR($O582=$AB$7,$P582=$AB$7)),"x","")</f>
        <v/>
      </c>
      <c r="AC582" s="80" t="str">
        <f>IF(AND($O582=$AB$7,$B582&lt;'1332'!$I$9),"x","")</f>
        <v/>
      </c>
      <c r="AD582" s="80" t="str">
        <f>IF(AND($P582=$AB$7,$B582&lt;'1332'!$I$9),"x","")</f>
        <v/>
      </c>
      <c r="AE582" s="80" t="str">
        <f>IF(AND('341-CT'!$H$9=H582,OR(LEFT(O582,3)=$AE$7,LEFT(P582,3)=$AE$7)),"x","")</f>
        <v/>
      </c>
      <c r="AF582" s="80" t="str">
        <f>IF(OR(TH!O582=TH!$AF$7,P582=TH!$AF$7),"x","")</f>
        <v/>
      </c>
      <c r="AG582" s="80"/>
      <c r="AH582" s="80" t="str">
        <f>IF(AND(B582&gt;='IN-NX'!$P$3,B582&lt;='IN-NX'!$Q$3,'IN-NX'!$D$7=D582,OR(LEFT(L582,2)="15",AND(LEFT(M582,2)&lt;&gt;"15",LEFT(M582,2)&lt;&gt;"33"))),"x","")</f>
        <v/>
      </c>
      <c r="AI582" s="80" t="str">
        <f>IF(AND(OR(LEFT(TH!O582,2)="15",LEFT(TH!P582,2)="15"),'152-CT'!$J$8=TH!F582),"x","")</f>
        <v/>
      </c>
      <c r="AJ582" s="80" t="str">
        <f>IF(AND(OR(LEFT(TH!O582,2)="15",LEFT(TH!P582,2)="15"),'THE KHO'!$E$7=TH!F582),"x","")</f>
        <v/>
      </c>
      <c r="AK582" s="80" t="str">
        <f>IF(AND(O582="1521",MONTH(C582)='BK NL'!$M$11),"x","")</f>
        <v/>
      </c>
    </row>
    <row r="583" spans="1:37" ht="17.25" customHeight="1">
      <c r="A583" s="362" t="str">
        <f>IF(B583&lt;&gt;"",IF(AND(B583&gt;=_TM1,B583&lt;=_TM2,OR(TH!O583="1111",TH!P583="1111")),TH!D583,""),"")</f>
        <v/>
      </c>
      <c r="B583" s="63">
        <f t="shared" si="38"/>
        <v>8</v>
      </c>
      <c r="C583" s="1045">
        <f t="shared" si="39"/>
        <v>42601</v>
      </c>
      <c r="D583" s="1045" t="s">
        <v>8</v>
      </c>
      <c r="E583" s="1045">
        <v>42601</v>
      </c>
      <c r="F583" s="1046" t="s">
        <v>23</v>
      </c>
      <c r="G583" s="1047" t="s">
        <v>798</v>
      </c>
      <c r="H583" s="1048"/>
      <c r="I583" s="1049"/>
      <c r="J583" s="1049"/>
      <c r="K583" s="1050"/>
      <c r="L583" s="1049"/>
      <c r="M583" s="1137">
        <v>2500</v>
      </c>
      <c r="N583" s="1137"/>
      <c r="O583" s="1052" t="s">
        <v>10</v>
      </c>
      <c r="P583" s="1052" t="s">
        <v>31</v>
      </c>
      <c r="Q583" s="66" t="str">
        <f>IF(AND('331-CT'!$E$7=TH!H583,OR(O583="331",P583="331")),"x","")</f>
        <v/>
      </c>
      <c r="R583" s="66" t="str">
        <f>IF(AND($B583&gt;='111'!$N$11,$B583&lt;='111'!$O$11,OR($O583=$R$7,$P583=$R$7)),"x","")</f>
        <v/>
      </c>
      <c r="S583" s="66" t="str">
        <f>IF(AND($O583=$R$7,$B583&lt;'111'!$N$11),"x","")</f>
        <v/>
      </c>
      <c r="T583" s="66" t="str">
        <f>IF(AND($P583=$R$7,$B583&lt;'111'!$N$11),"x","")</f>
        <v/>
      </c>
      <c r="U583" s="66" t="str">
        <f>IF(AND($B583&gt;='112'!$M$9,$B583&lt;='112'!$N$9,OR($O583='112'!$I$6,$P583='112'!$I$6)),"x","")</f>
        <v>x</v>
      </c>
      <c r="V583" s="66" t="str">
        <f>IF(AND($O583='112'!$I$6,$B583&lt;'112'!$M$9),"x","")</f>
        <v/>
      </c>
      <c r="W583" s="66" t="str">
        <f>IF(AND($P583='112'!$I$6,$B583&lt;'112'!$M$9),"x","")</f>
        <v/>
      </c>
      <c r="X583" s="66" t="str">
        <f>IF(AND('131-CT'!$H$9=TH!H583,OR(O583="131",P583="131")),"x","")</f>
        <v/>
      </c>
      <c r="Y583" s="80" t="str">
        <f>IF(AND($B583&gt;='1331'!$I$9,$B583&lt;='1331'!$J$9,OR($O583=$Y$7,$P583=$Y$7)),"x","")</f>
        <v>x</v>
      </c>
      <c r="Z583" s="80" t="str">
        <f>IF(AND($O583=$Y$7,$B583&lt;'1331'!$I$9),"x","")</f>
        <v/>
      </c>
      <c r="AA583" s="80" t="str">
        <f>IF(AND($P583=$Y$7,$B583&lt;'1331'!$I$9),"x","")</f>
        <v/>
      </c>
      <c r="AB583" s="80" t="str">
        <f>IF(AND($B583&gt;='1332'!$I$9,$B583&lt;='1332'!$I$9,OR($O583=$AB$7,$P583=$AB$7)),"x","")</f>
        <v/>
      </c>
      <c r="AC583" s="80" t="str">
        <f>IF(AND($O583=$AB$7,$B583&lt;'1332'!$I$9),"x","")</f>
        <v/>
      </c>
      <c r="AD583" s="80" t="str">
        <f>IF(AND($P583=$AB$7,$B583&lt;'1332'!$I$9),"x","")</f>
        <v/>
      </c>
      <c r="AE583" s="80" t="str">
        <f>IF(AND('341-CT'!$H$9=H583,OR(LEFT(O583,3)=$AE$7,LEFT(P583,3)=$AE$7)),"x","")</f>
        <v/>
      </c>
      <c r="AF583" s="80" t="str">
        <f>IF(OR(TH!O583=TH!$AF$7,P583=TH!$AF$7),"x","")</f>
        <v/>
      </c>
      <c r="AG583" s="80"/>
      <c r="AH583" s="80" t="str">
        <f>IF(AND(B583&gt;='IN-NX'!$P$3,B583&lt;='IN-NX'!$Q$3,'IN-NX'!$D$7=D583,OR(LEFT(L583,2)="15",AND(LEFT(M583,2)&lt;&gt;"15",LEFT(M583,2)&lt;&gt;"33"))),"x","")</f>
        <v/>
      </c>
      <c r="AI583" s="80" t="str">
        <f>IF(AND(OR(LEFT(TH!O583,2)="15",LEFT(TH!P583,2)="15"),'152-CT'!$J$8=TH!F583),"x","")</f>
        <v/>
      </c>
      <c r="AJ583" s="80" t="str">
        <f>IF(AND(OR(LEFT(TH!O583,2)="15",LEFT(TH!P583,2)="15"),'THE KHO'!$E$7=TH!F583),"x","")</f>
        <v/>
      </c>
      <c r="AK583" s="80" t="str">
        <f>IF(AND(O583="1521",MONTH(C583)='BK NL'!$M$11),"x","")</f>
        <v/>
      </c>
    </row>
    <row r="584" spans="1:37" ht="17.25" customHeight="1">
      <c r="A584" s="362" t="str">
        <f>IF(B584&lt;&gt;"",IF(AND(B584&gt;=_TM1,B584&lt;=_TM2,OR(TH!O584="1111",TH!P584="1111")),TH!D584,""),"")</f>
        <v/>
      </c>
      <c r="B584" s="63">
        <f t="shared" si="38"/>
        <v>8</v>
      </c>
      <c r="C584" s="1127">
        <v>42602</v>
      </c>
      <c r="D584" s="1045" t="s">
        <v>187</v>
      </c>
      <c r="E584" s="1045">
        <v>42602</v>
      </c>
      <c r="F584" s="1046" t="s">
        <v>1146</v>
      </c>
      <c r="G584" s="1126" t="s">
        <v>1147</v>
      </c>
      <c r="H584" s="1129" t="s">
        <v>162</v>
      </c>
      <c r="I584" s="1049"/>
      <c r="J584" s="1049"/>
      <c r="K584" s="1050"/>
      <c r="L584" s="1049"/>
      <c r="M584" s="1051">
        <v>7500000</v>
      </c>
      <c r="N584" s="1051"/>
      <c r="O584" s="1052" t="s">
        <v>9</v>
      </c>
      <c r="P584" s="1052" t="s">
        <v>97</v>
      </c>
      <c r="Q584" s="66" t="str">
        <f>IF(AND('331-CT'!$E$7=TH!H584,OR(O584="331",P584="331")),"x","")</f>
        <v/>
      </c>
      <c r="R584" s="66" t="str">
        <f>IF(AND($B584&gt;='111'!$N$11,$B584&lt;='111'!$O$11,OR($O584=$R$7,$P584=$R$7)),"x","")</f>
        <v>x</v>
      </c>
      <c r="S584" s="66" t="str">
        <f>IF(AND($O584=$R$7,$B584&lt;'111'!$N$11),"x","")</f>
        <v/>
      </c>
      <c r="T584" s="66" t="str">
        <f>IF(AND($P584=$R$7,$B584&lt;'111'!$N$11),"x","")</f>
        <v/>
      </c>
      <c r="U584" s="66" t="str">
        <f>IF(AND($B584&gt;='112'!$M$9,$B584&lt;='112'!$N$9,OR($O584='112'!$I$6,$P584='112'!$I$6)),"x","")</f>
        <v/>
      </c>
      <c r="V584" s="66" t="str">
        <f>IF(AND($O584='112'!$I$6,$B584&lt;'112'!$M$9),"x","")</f>
        <v/>
      </c>
      <c r="W584" s="66" t="str">
        <f>IF(AND($P584='112'!$I$6,$B584&lt;'112'!$M$9),"x","")</f>
        <v/>
      </c>
      <c r="X584" s="66" t="str">
        <f>IF(AND('131-CT'!$H$9=TH!H584,OR(O584="131",P584="131")),"x","")</f>
        <v/>
      </c>
      <c r="Y584" s="80" t="str">
        <f>IF(AND($B584&gt;='1331'!$I$9,$B584&lt;='1331'!$J$9,OR($O584=$Y$7,$P584=$Y$7)),"x","")</f>
        <v/>
      </c>
      <c r="Z584" s="80" t="str">
        <f>IF(AND($O584=$Y$7,$B584&lt;'1331'!$I$9),"x","")</f>
        <v/>
      </c>
      <c r="AA584" s="80" t="str">
        <f>IF(AND($P584=$Y$7,$B584&lt;'1331'!$I$9),"x","")</f>
        <v/>
      </c>
      <c r="AB584" s="80" t="str">
        <f>IF(AND($B584&gt;='1332'!$I$9,$B584&lt;='1332'!$I$9,OR($O584=$AB$7,$P584=$AB$7)),"x","")</f>
        <v/>
      </c>
      <c r="AC584" s="80" t="str">
        <f>IF(AND($O584=$AB$7,$B584&lt;'1332'!$I$9),"x","")</f>
        <v/>
      </c>
      <c r="AD584" s="80" t="str">
        <f>IF(AND($P584=$AB$7,$B584&lt;'1332'!$I$9),"x","")</f>
        <v/>
      </c>
      <c r="AE584" s="80" t="str">
        <f>IF(AND('341-CT'!$H$9=H584,OR(LEFT(O584,3)=$AE$7,LEFT(P584,3)=$AE$7)),"x","")</f>
        <v/>
      </c>
      <c r="AF584" s="80" t="str">
        <f>IF(OR(TH!O584=TH!$AF$7,P584=TH!$AF$7),"x","")</f>
        <v/>
      </c>
      <c r="AG584" s="80"/>
      <c r="AH584" s="80" t="str">
        <f>IF(AND(B584&gt;='IN-NX'!$P$3,B584&lt;='IN-NX'!$Q$3,'IN-NX'!$D$7=D584,OR(LEFT(L584,2)="15",AND(LEFT(M584,2)&lt;&gt;"15",LEFT(M584,2)&lt;&gt;"33"))),"x","")</f>
        <v/>
      </c>
      <c r="AI584" s="80" t="str">
        <f>IF(AND(OR(LEFT(TH!O584,2)="15",LEFT(TH!P584,2)="15"),'152-CT'!$J$8=TH!F584),"x","")</f>
        <v/>
      </c>
      <c r="AJ584" s="80" t="str">
        <f>IF(AND(OR(LEFT(TH!O584,2)="15",LEFT(TH!P584,2)="15"),'THE KHO'!$E$7=TH!F584),"x","")</f>
        <v/>
      </c>
      <c r="AK584" s="80" t="str">
        <f>IF(AND(O584="1521",MONTH(C584)='BK NL'!$M$11),"x","")</f>
        <v/>
      </c>
    </row>
    <row r="585" spans="1:37" ht="17.25" customHeight="1">
      <c r="A585" s="362" t="str">
        <f>IF(B585&lt;&gt;"",IF(AND(B585&gt;=_TM1,B585&lt;=_TM2,OR(TH!O585="1111",TH!P585="1111")),TH!D585,""),"")</f>
        <v/>
      </c>
      <c r="B585" s="63">
        <f t="shared" si="38"/>
        <v>8</v>
      </c>
      <c r="C585" s="1045">
        <f t="shared" ref="C585:C600" si="40">E585</f>
        <v>42606</v>
      </c>
      <c r="D585" s="1045" t="s">
        <v>188</v>
      </c>
      <c r="E585" s="1045">
        <v>42606</v>
      </c>
      <c r="F585" s="1046" t="s">
        <v>1074</v>
      </c>
      <c r="G585" s="1047"/>
      <c r="H585" s="1048" t="s">
        <v>160</v>
      </c>
      <c r="I585" s="1049"/>
      <c r="J585" s="1049"/>
      <c r="K585" s="1050"/>
      <c r="L585" s="1049"/>
      <c r="M585" s="1051">
        <v>165000000</v>
      </c>
      <c r="N585" s="1051"/>
      <c r="O585" s="1052" t="s">
        <v>31</v>
      </c>
      <c r="P585" s="1052" t="s">
        <v>97</v>
      </c>
      <c r="Q585" s="66" t="str">
        <f>IF(AND('331-CT'!$E$7=TH!H585,OR(O585="331",P585="331")),"x","")</f>
        <v/>
      </c>
      <c r="R585" s="66" t="str">
        <f>IF(AND($B585&gt;='111'!$N$11,$B585&lt;='111'!$O$11,OR($O585=$R$7,$P585=$R$7)),"x","")</f>
        <v>x</v>
      </c>
      <c r="S585" s="66" t="str">
        <f>IF(AND($O585=$R$7,$B585&lt;'111'!$N$11),"x","")</f>
        <v/>
      </c>
      <c r="T585" s="66" t="str">
        <f>IF(AND($P585=$R$7,$B585&lt;'111'!$N$11),"x","")</f>
        <v/>
      </c>
      <c r="U585" s="66" t="str">
        <f>IF(AND($B585&gt;='112'!$M$9,$B585&lt;='112'!$N$9,OR($O585='112'!$I$6,$P585='112'!$I$6)),"x","")</f>
        <v>x</v>
      </c>
      <c r="V585" s="66" t="str">
        <f>IF(AND($O585='112'!$I$6,$B585&lt;'112'!$M$9),"x","")</f>
        <v/>
      </c>
      <c r="W585" s="66" t="str">
        <f>IF(AND($P585='112'!$I$6,$B585&lt;'112'!$M$9),"x","")</f>
        <v/>
      </c>
      <c r="X585" s="66" t="str">
        <f>IF(AND('131-CT'!$H$9=TH!H585,OR(O585="131",P585="131")),"x","")</f>
        <v/>
      </c>
      <c r="Y585" s="80" t="str">
        <f>IF(AND($B585&gt;='1331'!$I$9,$B585&lt;='1331'!$J$9,OR($O585=$Y$7,$P585=$Y$7)),"x","")</f>
        <v/>
      </c>
      <c r="Z585" s="80" t="str">
        <f>IF(AND($O585=$Y$7,$B585&lt;'1331'!$I$9),"x","")</f>
        <v/>
      </c>
      <c r="AA585" s="80" t="str">
        <f>IF(AND($P585=$Y$7,$B585&lt;'1331'!$I$9),"x","")</f>
        <v/>
      </c>
      <c r="AB585" s="80" t="str">
        <f>IF(AND($B585&gt;='1332'!$I$9,$B585&lt;='1332'!$I$9,OR($O585=$AB$7,$P585=$AB$7)),"x","")</f>
        <v/>
      </c>
      <c r="AC585" s="80" t="str">
        <f>IF(AND($O585=$AB$7,$B585&lt;'1332'!$I$9),"x","")</f>
        <v/>
      </c>
      <c r="AD585" s="80" t="str">
        <f>IF(AND($P585=$AB$7,$B585&lt;'1332'!$I$9),"x","")</f>
        <v/>
      </c>
      <c r="AE585" s="80" t="str">
        <f>IF(AND('341-CT'!$H$9=H585,OR(LEFT(O585,3)=$AE$7,LEFT(P585,3)=$AE$7)),"x","")</f>
        <v/>
      </c>
      <c r="AF585" s="80" t="str">
        <f>IF(OR(TH!O585=TH!$AF$7,P585=TH!$AF$7),"x","")</f>
        <v/>
      </c>
      <c r="AG585" s="80"/>
      <c r="AH585" s="80" t="str">
        <f>IF(AND(B585&gt;='IN-NX'!$P$3,B585&lt;='IN-NX'!$Q$3,'IN-NX'!$D$7=D585,OR(LEFT(L585,2)="15",AND(LEFT(M585,2)&lt;&gt;"15",LEFT(M585,2)&lt;&gt;"33"))),"x","")</f>
        <v/>
      </c>
      <c r="AI585" s="80" t="str">
        <f>IF(AND(OR(LEFT(TH!O585,2)="15",LEFT(TH!P585,2)="15"),'152-CT'!$J$8=TH!F585),"x","")</f>
        <v/>
      </c>
      <c r="AJ585" s="80" t="str">
        <f>IF(AND(OR(LEFT(TH!O585,2)="15",LEFT(TH!P585,2)="15"),'THE KHO'!$E$7=TH!F585),"x","")</f>
        <v/>
      </c>
      <c r="AK585" s="80" t="str">
        <f>IF(AND(O585="1521",MONTH(C585)='BK NL'!$M$11),"x","")</f>
        <v/>
      </c>
    </row>
    <row r="586" spans="1:37" ht="17.25" customHeight="1">
      <c r="A586" s="362" t="str">
        <f>IF(B586&lt;&gt;"",IF(AND(B586&gt;=_TM1,B586&lt;=_TM2,OR(TH!O586="1111",TH!P586="1111")),TH!D586,""),"")</f>
        <v/>
      </c>
      <c r="B586" s="63">
        <f t="shared" si="38"/>
        <v>8</v>
      </c>
      <c r="C586" s="1045">
        <f t="shared" si="40"/>
        <v>42606</v>
      </c>
      <c r="D586" s="1045" t="s">
        <v>12</v>
      </c>
      <c r="E586" s="1045">
        <v>42606</v>
      </c>
      <c r="F586" s="1046" t="s">
        <v>827</v>
      </c>
      <c r="G586" s="1053"/>
      <c r="H586" s="1048"/>
      <c r="I586" s="1049"/>
      <c r="J586" s="1049"/>
      <c r="K586" s="1050"/>
      <c r="L586" s="1049"/>
      <c r="M586" s="1051">
        <v>45848</v>
      </c>
      <c r="N586" s="1051"/>
      <c r="O586" s="1052" t="s">
        <v>31</v>
      </c>
      <c r="P586" s="1052" t="s">
        <v>58</v>
      </c>
      <c r="Q586" s="66" t="str">
        <f>IF(AND('331-CT'!$E$7=TH!H586,OR(O586="331",P586="331")),"x","")</f>
        <v/>
      </c>
      <c r="R586" s="66" t="str">
        <f>IF(AND($B586&gt;='111'!$N$11,$B586&lt;='111'!$O$11,OR($O586=$R$7,$P586=$R$7)),"x","")</f>
        <v/>
      </c>
      <c r="S586" s="66" t="str">
        <f>IF(AND($O586=$R$7,$B586&lt;'111'!$N$11),"x","")</f>
        <v/>
      </c>
      <c r="T586" s="66" t="str">
        <f>IF(AND($P586=$R$7,$B586&lt;'111'!$N$11),"x","")</f>
        <v/>
      </c>
      <c r="U586" s="66" t="str">
        <f>IF(AND($B586&gt;='112'!$M$9,$B586&lt;='112'!$N$9,OR($O586='112'!$I$6,$P586='112'!$I$6)),"x","")</f>
        <v>x</v>
      </c>
      <c r="V586" s="66" t="str">
        <f>IF(AND($O586='112'!$I$6,$B586&lt;'112'!$M$9),"x","")</f>
        <v/>
      </c>
      <c r="W586" s="66" t="str">
        <f>IF(AND($P586='112'!$I$6,$B586&lt;'112'!$M$9),"x","")</f>
        <v/>
      </c>
      <c r="X586" s="66" t="str">
        <f>IF(AND('131-CT'!$H$9=TH!H586,OR(O586="131",P586="131")),"x","")</f>
        <v/>
      </c>
      <c r="Y586" s="80" t="str">
        <f>IF(AND($B586&gt;='1331'!$I$9,$B586&lt;='1331'!$J$9,OR($O586=$Y$7,$P586=$Y$7)),"x","")</f>
        <v/>
      </c>
      <c r="Z586" s="80" t="str">
        <f>IF(AND($O586=$Y$7,$B586&lt;'1331'!$I$9),"x","")</f>
        <v/>
      </c>
      <c r="AA586" s="80" t="str">
        <f>IF(AND($P586=$Y$7,$B586&lt;'1331'!$I$9),"x","")</f>
        <v/>
      </c>
      <c r="AB586" s="80" t="str">
        <f>IF(AND($B586&gt;='1332'!$I$9,$B586&lt;='1332'!$I$9,OR($O586=$AB$7,$P586=$AB$7)),"x","")</f>
        <v/>
      </c>
      <c r="AC586" s="80" t="str">
        <f>IF(AND($O586=$AB$7,$B586&lt;'1332'!$I$9),"x","")</f>
        <v/>
      </c>
      <c r="AD586" s="80" t="str">
        <f>IF(AND($P586=$AB$7,$B586&lt;'1332'!$I$9),"x","")</f>
        <v/>
      </c>
      <c r="AE586" s="80" t="str">
        <f>IF(AND('341-CT'!$H$9=H586,OR(LEFT(O586,3)=$AE$7,LEFT(P586,3)=$AE$7)),"x","")</f>
        <v/>
      </c>
      <c r="AF586" s="80" t="str">
        <f>IF(OR(TH!O586=TH!$AF$7,P586=TH!$AF$7),"x","")</f>
        <v/>
      </c>
      <c r="AG586" s="80"/>
      <c r="AH586" s="80" t="str">
        <f>IF(AND(B586&gt;='IN-NX'!$P$3,B586&lt;='IN-NX'!$Q$3,'IN-NX'!$D$7=D586,OR(LEFT(L586,2)="15",AND(LEFT(M586,2)&lt;&gt;"15",LEFT(M586,2)&lt;&gt;"33"))),"x","")</f>
        <v/>
      </c>
      <c r="AI586" s="80" t="str">
        <f>IF(AND(OR(LEFT(TH!O586,2)="15",LEFT(TH!P586,2)="15"),'152-CT'!$J$8=TH!F586),"x","")</f>
        <v/>
      </c>
      <c r="AJ586" s="80" t="str">
        <f>IF(AND(OR(LEFT(TH!O586,2)="15",LEFT(TH!P586,2)="15"),'THE KHO'!$E$7=TH!F586),"x","")</f>
        <v/>
      </c>
      <c r="AK586" s="80" t="str">
        <f>IF(AND(O586="1521",MONTH(C586)='BK NL'!$M$11),"x","")</f>
        <v/>
      </c>
    </row>
    <row r="587" spans="1:37" ht="15.75" customHeight="1">
      <c r="A587" s="362" t="str">
        <f>IF(B587&lt;&gt;"",IF(AND(B587&gt;=_TM1,B587&lt;=_TM2,OR(TH!O587="1111",TH!P587="1111")),TH!D587,""),"")</f>
        <v/>
      </c>
      <c r="B587" s="63">
        <f t="shared" si="38"/>
        <v>8</v>
      </c>
      <c r="C587" s="1045">
        <f t="shared" si="40"/>
        <v>42606</v>
      </c>
      <c r="D587" s="1045" t="s">
        <v>8</v>
      </c>
      <c r="E587" s="1045">
        <v>42606</v>
      </c>
      <c r="F587" s="1046" t="s">
        <v>405</v>
      </c>
      <c r="G587" s="1047" t="s">
        <v>798</v>
      </c>
      <c r="H587" s="1048" t="s">
        <v>166</v>
      </c>
      <c r="I587" s="1049"/>
      <c r="J587" s="1049"/>
      <c r="K587" s="1050"/>
      <c r="L587" s="1049"/>
      <c r="M587" s="1051">
        <v>8196747</v>
      </c>
      <c r="N587" s="1051"/>
      <c r="O587" s="1052" t="s">
        <v>133</v>
      </c>
      <c r="P587" s="1052" t="s">
        <v>31</v>
      </c>
      <c r="Q587" s="66" t="str">
        <f>IF(AND('331-CT'!$E$7=TH!H587,OR(O587="331",P587="331")),"x","")</f>
        <v/>
      </c>
      <c r="R587" s="66" t="str">
        <f>IF(AND($B587&gt;='111'!$N$11,$B587&lt;='111'!$O$11,OR($O587=$R$7,$P587=$R$7)),"x","")</f>
        <v/>
      </c>
      <c r="S587" s="66" t="str">
        <f>IF(AND($O587=$R$7,$B587&lt;'111'!$N$11),"x","")</f>
        <v/>
      </c>
      <c r="T587" s="66" t="str">
        <f>IF(AND($P587=$R$7,$B587&lt;'111'!$N$11),"x","")</f>
        <v/>
      </c>
      <c r="U587" s="66" t="str">
        <f>IF(AND($B587&gt;='112'!$M$9,$B587&lt;='112'!$N$9,OR($O587='112'!$I$6,$P587='112'!$I$6)),"x","")</f>
        <v>x</v>
      </c>
      <c r="V587" s="66" t="str">
        <f>IF(AND($O587='112'!$I$6,$B587&lt;'112'!$M$9),"x","")</f>
        <v/>
      </c>
      <c r="W587" s="66" t="str">
        <f>IF(AND($P587='112'!$I$6,$B587&lt;'112'!$M$9),"x","")</f>
        <v/>
      </c>
      <c r="X587" s="66" t="str">
        <f>IF(AND('131-CT'!$H$9=TH!H587,OR(O587="131",P587="131")),"x","")</f>
        <v/>
      </c>
      <c r="Y587" s="80" t="str">
        <f>IF(AND($B587&gt;='1331'!$I$9,$B587&lt;='1331'!$J$9,OR($O587=$Y$7,$P587=$Y$7)),"x","")</f>
        <v/>
      </c>
      <c r="Z587" s="80" t="str">
        <f>IF(AND($O587=$Y$7,$B587&lt;'1331'!$I$9),"x","")</f>
        <v/>
      </c>
      <c r="AA587" s="80" t="str">
        <f>IF(AND($P587=$Y$7,$B587&lt;'1331'!$I$9),"x","")</f>
        <v/>
      </c>
      <c r="AB587" s="80" t="str">
        <f>IF(AND($B587&gt;='1332'!$I$9,$B587&lt;='1332'!$I$9,OR($O587=$AB$7,$P587=$AB$7)),"x","")</f>
        <v/>
      </c>
      <c r="AC587" s="80" t="str">
        <f>IF(AND($O587=$AB$7,$B587&lt;'1332'!$I$9),"x","")</f>
        <v/>
      </c>
      <c r="AD587" s="80" t="str">
        <f>IF(AND($P587=$AB$7,$B587&lt;'1332'!$I$9),"x","")</f>
        <v/>
      </c>
      <c r="AE587" s="80" t="str">
        <f>IF(AND('341-CT'!$H$9=H587,OR(LEFT(O587,3)=$AE$7,LEFT(P587,3)=$AE$7)),"x","")</f>
        <v/>
      </c>
      <c r="AF587" s="80" t="str">
        <f>IF(OR(TH!O587=TH!$AF$7,P587=TH!$AF$7),"x","")</f>
        <v/>
      </c>
      <c r="AG587" s="80"/>
      <c r="AH587" s="80" t="str">
        <f>IF(AND(B587&gt;='IN-NX'!$P$3,B587&lt;='IN-NX'!$Q$3,'IN-NX'!$D$7=D587,OR(LEFT(L587,2)="15",AND(LEFT(M587,2)&lt;&gt;"15",LEFT(M587,2)&lt;&gt;"33"))),"x","")</f>
        <v/>
      </c>
      <c r="AI587" s="80" t="str">
        <f>IF(AND(OR(LEFT(TH!O587,2)="15",LEFT(TH!P587,2)="15"),'152-CT'!$J$8=TH!F587),"x","")</f>
        <v/>
      </c>
      <c r="AJ587" s="80" t="str">
        <f>IF(AND(OR(LEFT(TH!O587,2)="15",LEFT(TH!P587,2)="15"),'THE KHO'!$E$7=TH!F587),"x","")</f>
        <v/>
      </c>
      <c r="AK587" s="80" t="str">
        <f>IF(AND(O587="1521",MONTH(C587)='BK NL'!$M$11),"x","")</f>
        <v/>
      </c>
    </row>
    <row r="588" spans="1:37" ht="15.75" customHeight="1">
      <c r="A588" s="362" t="str">
        <f>IF(B588&lt;&gt;"",IF(AND(B588&gt;=_TM1,B588&lt;=_TM2,OR(TH!O588="1111",TH!P588="1111")),TH!D588,""),"")</f>
        <v/>
      </c>
      <c r="B588" s="63">
        <f t="shared" si="38"/>
        <v>8</v>
      </c>
      <c r="C588" s="1045">
        <f t="shared" si="40"/>
        <v>42606</v>
      </c>
      <c r="D588" s="1045" t="s">
        <v>8</v>
      </c>
      <c r="E588" s="1045">
        <v>42606</v>
      </c>
      <c r="F588" s="1046" t="s">
        <v>405</v>
      </c>
      <c r="G588" s="1047" t="s">
        <v>798</v>
      </c>
      <c r="H588" s="1048" t="s">
        <v>167</v>
      </c>
      <c r="I588" s="1049"/>
      <c r="J588" s="1049"/>
      <c r="K588" s="1050"/>
      <c r="L588" s="1049"/>
      <c r="M588" s="1051">
        <v>16393492</v>
      </c>
      <c r="N588" s="1051"/>
      <c r="O588" s="1052" t="s">
        <v>133</v>
      </c>
      <c r="P588" s="1052" t="s">
        <v>31</v>
      </c>
      <c r="Q588" s="66" t="str">
        <f>IF(AND('331-CT'!$E$7=TH!H588,OR(O588="331",P588="331")),"x","")</f>
        <v/>
      </c>
      <c r="R588" s="66" t="str">
        <f>IF(AND($B588&gt;='111'!$N$11,$B588&lt;='111'!$O$11,OR($O588=$R$7,$P588=$R$7)),"x","")</f>
        <v/>
      </c>
      <c r="S588" s="66" t="str">
        <f>IF(AND($O588=$R$7,$B588&lt;'111'!$N$11),"x","")</f>
        <v/>
      </c>
      <c r="T588" s="66" t="str">
        <f>IF(AND($P588=$R$7,$B588&lt;'111'!$N$11),"x","")</f>
        <v/>
      </c>
      <c r="U588" s="66" t="str">
        <f>IF(AND($B588&gt;='112'!$M$9,$B588&lt;='112'!$N$9,OR($O588='112'!$I$6,$P588='112'!$I$6)),"x","")</f>
        <v>x</v>
      </c>
      <c r="V588" s="66" t="str">
        <f>IF(AND($O588='112'!$I$6,$B588&lt;'112'!$M$9),"x","")</f>
        <v/>
      </c>
      <c r="W588" s="66" t="str">
        <f>IF(AND($P588='112'!$I$6,$B588&lt;'112'!$M$9),"x","")</f>
        <v/>
      </c>
      <c r="X588" s="66" t="str">
        <f>IF(AND('131-CT'!$H$9=TH!H588,OR(O588="131",P588="131")),"x","")</f>
        <v/>
      </c>
      <c r="Y588" s="80" t="str">
        <f>IF(AND($B588&gt;='1331'!$I$9,$B588&lt;='1331'!$J$9,OR($O588=$Y$7,$P588=$Y$7)),"x","")</f>
        <v/>
      </c>
      <c r="Z588" s="80" t="str">
        <f>IF(AND($O588=$Y$7,$B588&lt;'1331'!$I$9),"x","")</f>
        <v/>
      </c>
      <c r="AA588" s="80" t="str">
        <f>IF(AND($P588=$Y$7,$B588&lt;'1331'!$I$9),"x","")</f>
        <v/>
      </c>
      <c r="AB588" s="80" t="str">
        <f>IF(AND($B588&gt;='1332'!$I$9,$B588&lt;='1332'!$I$9,OR($O588=$AB$7,$P588=$AB$7)),"x","")</f>
        <v/>
      </c>
      <c r="AC588" s="80" t="str">
        <f>IF(AND($O588=$AB$7,$B588&lt;'1332'!$I$9),"x","")</f>
        <v/>
      </c>
      <c r="AD588" s="80" t="str">
        <f>IF(AND($P588=$AB$7,$B588&lt;'1332'!$I$9),"x","")</f>
        <v/>
      </c>
      <c r="AE588" s="80" t="str">
        <f>IF(AND('341-CT'!$H$9=H588,OR(LEFT(O588,3)=$AE$7,LEFT(P588,3)=$AE$7)),"x","")</f>
        <v/>
      </c>
      <c r="AF588" s="80" t="str">
        <f>IF(OR(TH!O588=TH!$AF$7,P588=TH!$AF$7),"x","")</f>
        <v/>
      </c>
      <c r="AG588" s="80"/>
      <c r="AH588" s="80" t="str">
        <f>IF(AND(B588&gt;='IN-NX'!$P$3,B588&lt;='IN-NX'!$Q$3,'IN-NX'!$D$7=D588,OR(LEFT(L588,2)="15",AND(LEFT(M588,2)&lt;&gt;"15",LEFT(M588,2)&lt;&gt;"33"))),"x","")</f>
        <v/>
      </c>
      <c r="AI588" s="80" t="str">
        <f>IF(AND(OR(LEFT(TH!O588,2)="15",LEFT(TH!P588,2)="15"),'152-CT'!$J$8=TH!F588),"x","")</f>
        <v/>
      </c>
      <c r="AJ588" s="80" t="str">
        <f>IF(AND(OR(LEFT(TH!O588,2)="15",LEFT(TH!P588,2)="15"),'THE KHO'!$E$7=TH!F588),"x","")</f>
        <v/>
      </c>
      <c r="AK588" s="80" t="str">
        <f>IF(AND(O588="1521",MONTH(C588)='BK NL'!$M$11),"x","")</f>
        <v/>
      </c>
    </row>
    <row r="589" spans="1:37" ht="15.75" customHeight="1">
      <c r="A589" s="362" t="str">
        <f>IF(B589&lt;&gt;"",IF(AND(B589&gt;=_TM1,B589&lt;=_TM2,OR(TH!O589="1111",TH!P589="1111")),TH!D589,""),"")</f>
        <v/>
      </c>
      <c r="B589" s="63">
        <f t="shared" si="38"/>
        <v>8</v>
      </c>
      <c r="C589" s="1045">
        <f t="shared" si="40"/>
        <v>42606</v>
      </c>
      <c r="D589" s="1045" t="s">
        <v>8</v>
      </c>
      <c r="E589" s="1045">
        <v>42606</v>
      </c>
      <c r="F589" s="1046" t="s">
        <v>405</v>
      </c>
      <c r="G589" s="1047" t="s">
        <v>798</v>
      </c>
      <c r="H589" s="1128" t="s">
        <v>169</v>
      </c>
      <c r="I589" s="1049"/>
      <c r="J589" s="1049"/>
      <c r="K589" s="1050"/>
      <c r="L589" s="1049"/>
      <c r="M589" s="1051">
        <v>13114794</v>
      </c>
      <c r="N589" s="1051"/>
      <c r="O589" s="1052" t="s">
        <v>133</v>
      </c>
      <c r="P589" s="1052" t="s">
        <v>31</v>
      </c>
      <c r="Q589" s="66" t="str">
        <f>IF(AND('331-CT'!$E$7=TH!H589,OR(O589="331",P589="331")),"x","")</f>
        <v/>
      </c>
      <c r="R589" s="66" t="str">
        <f>IF(AND($B589&gt;='111'!$N$11,$B589&lt;='111'!$O$11,OR($O589=$R$7,$P589=$R$7)),"x","")</f>
        <v/>
      </c>
      <c r="S589" s="66" t="str">
        <f>IF(AND($O589=$R$7,$B589&lt;'111'!$N$11),"x","")</f>
        <v/>
      </c>
      <c r="T589" s="66" t="str">
        <f>IF(AND($P589=$R$7,$B589&lt;'111'!$N$11),"x","")</f>
        <v/>
      </c>
      <c r="U589" s="66" t="str">
        <f>IF(AND($B589&gt;='112'!$M$9,$B589&lt;='112'!$N$9,OR($O589='112'!$I$6,$P589='112'!$I$6)),"x","")</f>
        <v>x</v>
      </c>
      <c r="V589" s="66" t="str">
        <f>IF(AND($O589='112'!$I$6,$B589&lt;'112'!$M$9),"x","")</f>
        <v/>
      </c>
      <c r="W589" s="66" t="str">
        <f>IF(AND($P589='112'!$I$6,$B589&lt;'112'!$M$9),"x","")</f>
        <v/>
      </c>
      <c r="X589" s="66" t="str">
        <f>IF(AND('131-CT'!$H$9=TH!H589,OR(O589="131",P589="131")),"x","")</f>
        <v/>
      </c>
      <c r="Y589" s="80" t="str">
        <f>IF(AND($B589&gt;='1331'!$I$9,$B589&lt;='1331'!$J$9,OR($O589=$Y$7,$P589=$Y$7)),"x","")</f>
        <v/>
      </c>
      <c r="Z589" s="80" t="str">
        <f>IF(AND($O589=$Y$7,$B589&lt;'1331'!$I$9),"x","")</f>
        <v/>
      </c>
      <c r="AA589" s="80" t="str">
        <f>IF(AND($P589=$Y$7,$B589&lt;'1331'!$I$9),"x","")</f>
        <v/>
      </c>
      <c r="AB589" s="80" t="str">
        <f>IF(AND($B589&gt;='1332'!$I$9,$B589&lt;='1332'!$I$9,OR($O589=$AB$7,$P589=$AB$7)),"x","")</f>
        <v/>
      </c>
      <c r="AC589" s="80" t="str">
        <f>IF(AND($O589=$AB$7,$B589&lt;'1332'!$I$9),"x","")</f>
        <v/>
      </c>
      <c r="AD589" s="80" t="str">
        <f>IF(AND($P589=$AB$7,$B589&lt;'1332'!$I$9),"x","")</f>
        <v/>
      </c>
      <c r="AE589" s="80" t="str">
        <f>IF(AND('341-CT'!$H$9=H589,OR(LEFT(O589,3)=$AE$7,LEFT(P589,3)=$AE$7)),"x","")</f>
        <v/>
      </c>
      <c r="AF589" s="80" t="str">
        <f>IF(OR(TH!O589=TH!$AF$7,P589=TH!$AF$7),"x","")</f>
        <v/>
      </c>
      <c r="AG589" s="80"/>
      <c r="AH589" s="80" t="str">
        <f>IF(AND(B589&gt;='IN-NX'!$P$3,B589&lt;='IN-NX'!$Q$3,'IN-NX'!$D$7=D589,OR(LEFT(L589,2)="15",AND(LEFT(M589,2)&lt;&gt;"15",LEFT(M589,2)&lt;&gt;"33"))),"x","")</f>
        <v/>
      </c>
      <c r="AI589" s="80" t="str">
        <f>IF(AND(OR(LEFT(TH!O589,2)="15",LEFT(TH!P589,2)="15"),'152-CT'!$J$8=TH!F589),"x","")</f>
        <v/>
      </c>
      <c r="AJ589" s="80" t="str">
        <f>IF(AND(OR(LEFT(TH!O589,2)="15",LEFT(TH!P589,2)="15"),'THE KHO'!$E$7=TH!F589),"x","")</f>
        <v/>
      </c>
      <c r="AK589" s="80" t="str">
        <f>IF(AND(O589="1521",MONTH(C589)='BK NL'!$M$11),"x","")</f>
        <v/>
      </c>
    </row>
    <row r="590" spans="1:37" ht="15.75" customHeight="1">
      <c r="A590" s="362" t="str">
        <f>IF(B590&lt;&gt;"",IF(AND(B590&gt;=_TM1,B590&lt;=_TM2,OR(TH!O590="1111",TH!P590="1111")),TH!D590,""),"")</f>
        <v/>
      </c>
      <c r="B590" s="63">
        <f t="shared" si="38"/>
        <v>8</v>
      </c>
      <c r="C590" s="1045">
        <f t="shared" si="40"/>
        <v>42606</v>
      </c>
      <c r="D590" s="1045" t="s">
        <v>8</v>
      </c>
      <c r="E590" s="1045">
        <v>42606</v>
      </c>
      <c r="F590" s="1046" t="s">
        <v>405</v>
      </c>
      <c r="G590" s="1047" t="s">
        <v>798</v>
      </c>
      <c r="H590" s="1048" t="s">
        <v>168</v>
      </c>
      <c r="I590" s="1049"/>
      <c r="J590" s="1049"/>
      <c r="K590" s="1050"/>
      <c r="L590" s="1049"/>
      <c r="M590" s="1051">
        <v>12295119</v>
      </c>
      <c r="N590" s="1051"/>
      <c r="O590" s="1052" t="s">
        <v>133</v>
      </c>
      <c r="P590" s="1052" t="s">
        <v>31</v>
      </c>
      <c r="Q590" s="66" t="str">
        <f>IF(AND('331-CT'!$E$7=TH!H590,OR(O590="331",P590="331")),"x","")</f>
        <v/>
      </c>
      <c r="R590" s="66" t="str">
        <f>IF(AND($B590&gt;='111'!$N$11,$B590&lt;='111'!$O$11,OR($O590=$R$7,$P590=$R$7)),"x","")</f>
        <v/>
      </c>
      <c r="S590" s="66" t="str">
        <f>IF(AND($O590=$R$7,$B590&lt;'111'!$N$11),"x","")</f>
        <v/>
      </c>
      <c r="T590" s="66" t="str">
        <f>IF(AND($P590=$R$7,$B590&lt;'111'!$N$11),"x","")</f>
        <v/>
      </c>
      <c r="U590" s="66" t="str">
        <f>IF(AND($B590&gt;='112'!$M$9,$B590&lt;='112'!$N$9,OR($O590='112'!$I$6,$P590='112'!$I$6)),"x","")</f>
        <v>x</v>
      </c>
      <c r="V590" s="66" t="str">
        <f>IF(AND($O590='112'!$I$6,$B590&lt;'112'!$M$9),"x","")</f>
        <v/>
      </c>
      <c r="W590" s="66" t="str">
        <f>IF(AND($P590='112'!$I$6,$B590&lt;'112'!$M$9),"x","")</f>
        <v/>
      </c>
      <c r="X590" s="66" t="str">
        <f>IF(AND('131-CT'!$H$9=TH!H590,OR(O590="131",P590="131")),"x","")</f>
        <v/>
      </c>
      <c r="Y590" s="80" t="str">
        <f>IF(AND($B590&gt;='1331'!$I$9,$B590&lt;='1331'!$J$9,OR($O590=$Y$7,$P590=$Y$7)),"x","")</f>
        <v/>
      </c>
      <c r="Z590" s="80" t="str">
        <f>IF(AND($O590=$Y$7,$B590&lt;'1331'!$I$9),"x","")</f>
        <v/>
      </c>
      <c r="AA590" s="80" t="str">
        <f>IF(AND($P590=$Y$7,$B590&lt;'1331'!$I$9),"x","")</f>
        <v/>
      </c>
      <c r="AB590" s="80" t="str">
        <f>IF(AND($B590&gt;='1332'!$I$9,$B590&lt;='1332'!$I$9,OR($O590=$AB$7,$P590=$AB$7)),"x","")</f>
        <v/>
      </c>
      <c r="AC590" s="80" t="str">
        <f>IF(AND($O590=$AB$7,$B590&lt;'1332'!$I$9),"x","")</f>
        <v/>
      </c>
      <c r="AD590" s="80" t="str">
        <f>IF(AND($P590=$AB$7,$B590&lt;'1332'!$I$9),"x","")</f>
        <v/>
      </c>
      <c r="AE590" s="80" t="str">
        <f>IF(AND('341-CT'!$H$9=H590,OR(LEFT(O590,3)=$AE$7,LEFT(P590,3)=$AE$7)),"x","")</f>
        <v/>
      </c>
      <c r="AF590" s="80" t="str">
        <f>IF(OR(TH!O590=TH!$AF$7,P590=TH!$AF$7),"x","")</f>
        <v/>
      </c>
      <c r="AG590" s="80"/>
      <c r="AH590" s="80" t="str">
        <f>IF(AND(B590&gt;='IN-NX'!$P$3,B590&lt;='IN-NX'!$Q$3,'IN-NX'!$D$7=D590,OR(LEFT(L590,2)="15",AND(LEFT(M590,2)&lt;&gt;"15",LEFT(M590,2)&lt;&gt;"33"))),"x","")</f>
        <v/>
      </c>
      <c r="AI590" s="80" t="str">
        <f>IF(AND(OR(LEFT(TH!O590,2)="15",LEFT(TH!P590,2)="15"),'152-CT'!$J$8=TH!F590),"x","")</f>
        <v/>
      </c>
      <c r="AJ590" s="80" t="str">
        <f>IF(AND(OR(LEFT(TH!O590,2)="15",LEFT(TH!P590,2)="15"),'THE KHO'!$E$7=TH!F590),"x","")</f>
        <v/>
      </c>
      <c r="AK590" s="80" t="str">
        <f>IF(AND(O590="1521",MONTH(C590)='BK NL'!$M$11),"x","")</f>
        <v/>
      </c>
    </row>
    <row r="591" spans="1:37" ht="15.75" customHeight="1">
      <c r="A591" s="362" t="str">
        <f>IF(B591&lt;&gt;"",IF(AND(B591&gt;=_TM1,B591&lt;=_TM2,OR(TH!O591="1111",TH!P591="1111")),TH!D591,""),"")</f>
        <v/>
      </c>
      <c r="B591" s="63">
        <f t="shared" si="38"/>
        <v>8</v>
      </c>
      <c r="C591" s="1045">
        <f t="shared" si="40"/>
        <v>42606</v>
      </c>
      <c r="D591" s="1045" t="s">
        <v>8</v>
      </c>
      <c r="E591" s="1045">
        <v>42606</v>
      </c>
      <c r="F591" s="1046" t="s">
        <v>405</v>
      </c>
      <c r="G591" s="1047" t="s">
        <v>798</v>
      </c>
      <c r="H591" s="1048" t="s">
        <v>170</v>
      </c>
      <c r="I591" s="1049"/>
      <c r="J591" s="1049"/>
      <c r="K591" s="1050"/>
      <c r="L591" s="1049"/>
      <c r="M591" s="1051">
        <v>8196747</v>
      </c>
      <c r="N591" s="1051"/>
      <c r="O591" s="1052" t="s">
        <v>133</v>
      </c>
      <c r="P591" s="1052" t="s">
        <v>31</v>
      </c>
      <c r="Q591" s="66" t="str">
        <f>IF(AND('331-CT'!$E$7=TH!H591,OR(O591="331",P591="331")),"x","")</f>
        <v/>
      </c>
      <c r="R591" s="66" t="str">
        <f>IF(AND($B591&gt;='111'!$N$11,$B591&lt;='111'!$O$11,OR($O591=$R$7,$P591=$R$7)),"x","")</f>
        <v/>
      </c>
      <c r="S591" s="66" t="str">
        <f>IF(AND($O591=$R$7,$B591&lt;'111'!$N$11),"x","")</f>
        <v/>
      </c>
      <c r="T591" s="66" t="str">
        <f>IF(AND($P591=$R$7,$B591&lt;'111'!$N$11),"x","")</f>
        <v/>
      </c>
      <c r="U591" s="66" t="str">
        <f>IF(AND($B591&gt;='112'!$M$9,$B591&lt;='112'!$N$9,OR($O591='112'!$I$6,$P591='112'!$I$6)),"x","")</f>
        <v>x</v>
      </c>
      <c r="V591" s="66" t="str">
        <f>IF(AND($O591='112'!$I$6,$B591&lt;'112'!$M$9),"x","")</f>
        <v/>
      </c>
      <c r="W591" s="66" t="str">
        <f>IF(AND($P591='112'!$I$6,$B591&lt;'112'!$M$9),"x","")</f>
        <v/>
      </c>
      <c r="X591" s="66" t="str">
        <f>IF(AND('131-CT'!$H$9=TH!H591,OR(O591="131",P591="131")),"x","")</f>
        <v/>
      </c>
      <c r="Y591" s="80" t="str">
        <f>IF(AND($B591&gt;='1331'!$I$9,$B591&lt;='1331'!$J$9,OR($O591=$Y$7,$P591=$Y$7)),"x","")</f>
        <v/>
      </c>
      <c r="Z591" s="80" t="str">
        <f>IF(AND($O591=$Y$7,$B591&lt;'1331'!$I$9),"x","")</f>
        <v/>
      </c>
      <c r="AA591" s="80" t="str">
        <f>IF(AND($P591=$Y$7,$B591&lt;'1331'!$I$9),"x","")</f>
        <v/>
      </c>
      <c r="AB591" s="80" t="str">
        <f>IF(AND($B591&gt;='1332'!$I$9,$B591&lt;='1332'!$I$9,OR($O591=$AB$7,$P591=$AB$7)),"x","")</f>
        <v/>
      </c>
      <c r="AC591" s="80" t="str">
        <f>IF(AND($O591=$AB$7,$B591&lt;'1332'!$I$9),"x","")</f>
        <v/>
      </c>
      <c r="AD591" s="80" t="str">
        <f>IF(AND($P591=$AB$7,$B591&lt;'1332'!$I$9),"x","")</f>
        <v/>
      </c>
      <c r="AE591" s="80" t="str">
        <f>IF(AND('341-CT'!$H$9=H591,OR(LEFT(O591,3)=$AE$7,LEFT(P591,3)=$AE$7)),"x","")</f>
        <v/>
      </c>
      <c r="AF591" s="80" t="str">
        <f>IF(OR(TH!O591=TH!$AF$7,P591=TH!$AF$7),"x","")</f>
        <v/>
      </c>
      <c r="AG591" s="80"/>
      <c r="AH591" s="80" t="str">
        <f>IF(AND(B591&gt;='IN-NX'!$P$3,B591&lt;='IN-NX'!$Q$3,'IN-NX'!$D$7=D591,OR(LEFT(L591,2)="15",AND(LEFT(M591,2)&lt;&gt;"15",LEFT(M591,2)&lt;&gt;"33"))),"x","")</f>
        <v/>
      </c>
      <c r="AI591" s="80" t="str">
        <f>IF(AND(OR(LEFT(TH!O591,2)="15",LEFT(TH!P591,2)="15"),'152-CT'!$J$8=TH!F591),"x","")</f>
        <v/>
      </c>
      <c r="AJ591" s="80" t="str">
        <f>IF(AND(OR(LEFT(TH!O591,2)="15",LEFT(TH!P591,2)="15"),'THE KHO'!$E$7=TH!F591),"x","")</f>
        <v/>
      </c>
      <c r="AK591" s="80" t="str">
        <f>IF(AND(O591="1521",MONTH(C591)='BK NL'!$M$11),"x","")</f>
        <v/>
      </c>
    </row>
    <row r="592" spans="1:37" ht="15.75" customHeight="1">
      <c r="A592" s="362" t="str">
        <f>IF(B592&lt;&gt;"",IF(AND(B592&gt;=_TM1,B592&lt;=_TM2,OR(TH!O592="1111",TH!P592="1111")),TH!D592,""),"")</f>
        <v/>
      </c>
      <c r="B592" s="63">
        <f t="shared" si="38"/>
        <v>8</v>
      </c>
      <c r="C592" s="1045">
        <f t="shared" si="40"/>
        <v>42606</v>
      </c>
      <c r="D592" s="1045" t="s">
        <v>8</v>
      </c>
      <c r="E592" s="1045">
        <v>42606</v>
      </c>
      <c r="F592" s="1046" t="s">
        <v>405</v>
      </c>
      <c r="G592" s="1047" t="s">
        <v>798</v>
      </c>
      <c r="H592" s="1048" t="s">
        <v>171</v>
      </c>
      <c r="I592" s="1049"/>
      <c r="J592" s="1049"/>
      <c r="K592" s="1050"/>
      <c r="L592" s="1049"/>
      <c r="M592" s="1051">
        <v>12295119</v>
      </c>
      <c r="N592" s="1051"/>
      <c r="O592" s="1052" t="s">
        <v>133</v>
      </c>
      <c r="P592" s="1052" t="s">
        <v>31</v>
      </c>
      <c r="Q592" s="66" t="str">
        <f>IF(AND('331-CT'!$E$7=TH!H592,OR(O592="331",P592="331")),"x","")</f>
        <v/>
      </c>
      <c r="R592" s="66" t="str">
        <f>IF(AND($B592&gt;='111'!$N$11,$B592&lt;='111'!$O$11,OR($O592=$R$7,$P592=$R$7)),"x","")</f>
        <v/>
      </c>
      <c r="S592" s="66" t="str">
        <f>IF(AND($O592=$R$7,$B592&lt;'111'!$N$11),"x","")</f>
        <v/>
      </c>
      <c r="T592" s="66" t="str">
        <f>IF(AND($P592=$R$7,$B592&lt;'111'!$N$11),"x","")</f>
        <v/>
      </c>
      <c r="U592" s="66" t="str">
        <f>IF(AND($B592&gt;='112'!$M$9,$B592&lt;='112'!$N$9,OR($O592='112'!$I$6,$P592='112'!$I$6)),"x","")</f>
        <v>x</v>
      </c>
      <c r="V592" s="66" t="str">
        <f>IF(AND($O592='112'!$I$6,$B592&lt;'112'!$M$9),"x","")</f>
        <v/>
      </c>
      <c r="W592" s="66" t="str">
        <f>IF(AND($P592='112'!$I$6,$B592&lt;'112'!$M$9),"x","")</f>
        <v/>
      </c>
      <c r="X592" s="66" t="str">
        <f>IF(AND('131-CT'!$H$9=TH!H592,OR(O592="131",P592="131")),"x","")</f>
        <v/>
      </c>
      <c r="Y592" s="80" t="str">
        <f>IF(AND($B592&gt;='1331'!$I$9,$B592&lt;='1331'!$J$9,OR($O592=$Y$7,$P592=$Y$7)),"x","")</f>
        <v/>
      </c>
      <c r="Z592" s="80" t="str">
        <f>IF(AND($O592=$Y$7,$B592&lt;'1331'!$I$9),"x","")</f>
        <v/>
      </c>
      <c r="AA592" s="80" t="str">
        <f>IF(AND($P592=$Y$7,$B592&lt;'1331'!$I$9),"x","")</f>
        <v/>
      </c>
      <c r="AB592" s="80" t="str">
        <f>IF(AND($B592&gt;='1332'!$I$9,$B592&lt;='1332'!$I$9,OR($O592=$AB$7,$P592=$AB$7)),"x","")</f>
        <v/>
      </c>
      <c r="AC592" s="80" t="str">
        <f>IF(AND($O592=$AB$7,$B592&lt;'1332'!$I$9),"x","")</f>
        <v/>
      </c>
      <c r="AD592" s="80" t="str">
        <f>IF(AND($P592=$AB$7,$B592&lt;'1332'!$I$9),"x","")</f>
        <v/>
      </c>
      <c r="AE592" s="80" t="str">
        <f>IF(AND('341-CT'!$H$9=H592,OR(LEFT(O592,3)=$AE$7,LEFT(P592,3)=$AE$7)),"x","")</f>
        <v/>
      </c>
      <c r="AF592" s="80" t="str">
        <f>IF(OR(TH!O592=TH!$AF$7,P592=TH!$AF$7),"x","")</f>
        <v/>
      </c>
      <c r="AG592" s="80"/>
      <c r="AH592" s="80" t="str">
        <f>IF(AND(B592&gt;='IN-NX'!$P$3,B592&lt;='IN-NX'!$Q$3,'IN-NX'!$D$7=D592,OR(LEFT(L592,2)="15",AND(LEFT(M592,2)&lt;&gt;"15",LEFT(M592,2)&lt;&gt;"33"))),"x","")</f>
        <v/>
      </c>
      <c r="AI592" s="80" t="str">
        <f>IF(AND(OR(LEFT(TH!O592,2)="15",LEFT(TH!P592,2)="15"),'152-CT'!$J$8=TH!F592),"x","")</f>
        <v/>
      </c>
      <c r="AJ592" s="80" t="str">
        <f>IF(AND(OR(LEFT(TH!O592,2)="15",LEFT(TH!P592,2)="15"),'THE KHO'!$E$7=TH!F592),"x","")</f>
        <v/>
      </c>
      <c r="AK592" s="80" t="str">
        <f>IF(AND(O592="1521",MONTH(C592)='BK NL'!$M$11),"x","")</f>
        <v/>
      </c>
    </row>
    <row r="593" spans="1:37" ht="15.75" customHeight="1">
      <c r="A593" s="362" t="str">
        <f>IF(B593&lt;&gt;"",IF(AND(B593&gt;=_TM1,B593&lt;=_TM2,OR(TH!O593="1111",TH!P593="1111")),TH!D593,""),"")</f>
        <v/>
      </c>
      <c r="B593" s="63">
        <f t="shared" si="38"/>
        <v>8</v>
      </c>
      <c r="C593" s="1045">
        <f t="shared" si="40"/>
        <v>42606</v>
      </c>
      <c r="D593" s="1045" t="s">
        <v>8</v>
      </c>
      <c r="E593" s="1045">
        <v>42606</v>
      </c>
      <c r="F593" s="1046" t="s">
        <v>405</v>
      </c>
      <c r="G593" s="1047" t="s">
        <v>798</v>
      </c>
      <c r="H593" s="1048" t="s">
        <v>172</v>
      </c>
      <c r="I593" s="1049"/>
      <c r="J593" s="1049"/>
      <c r="K593" s="1050"/>
      <c r="L593" s="1049"/>
      <c r="M593" s="1051">
        <v>16393492</v>
      </c>
      <c r="N593" s="1051"/>
      <c r="O593" s="1052" t="s">
        <v>133</v>
      </c>
      <c r="P593" s="1052" t="s">
        <v>31</v>
      </c>
      <c r="Q593" s="66" t="str">
        <f>IF(AND('331-CT'!$E$7=TH!H593,OR(O593="331",P593="331")),"x","")</f>
        <v/>
      </c>
      <c r="R593" s="66" t="str">
        <f>IF(AND($B593&gt;='111'!$N$11,$B593&lt;='111'!$O$11,OR($O593=$R$7,$P593=$R$7)),"x","")</f>
        <v/>
      </c>
      <c r="S593" s="66" t="str">
        <f>IF(AND($O593=$R$7,$B593&lt;'111'!$N$11),"x","")</f>
        <v/>
      </c>
      <c r="T593" s="66" t="str">
        <f>IF(AND($P593=$R$7,$B593&lt;'111'!$N$11),"x","")</f>
        <v/>
      </c>
      <c r="U593" s="66" t="str">
        <f>IF(AND($B593&gt;='112'!$M$9,$B593&lt;='112'!$N$9,OR($O593='112'!$I$6,$P593='112'!$I$6)),"x","")</f>
        <v>x</v>
      </c>
      <c r="V593" s="66" t="str">
        <f>IF(AND($O593='112'!$I$6,$B593&lt;'112'!$M$9),"x","")</f>
        <v/>
      </c>
      <c r="W593" s="66" t="str">
        <f>IF(AND($P593='112'!$I$6,$B593&lt;'112'!$M$9),"x","")</f>
        <v/>
      </c>
      <c r="X593" s="66" t="str">
        <f>IF(AND('131-CT'!$H$9=TH!H593,OR(O593="131",P593="131")),"x","")</f>
        <v/>
      </c>
      <c r="Y593" s="80" t="str">
        <f>IF(AND($B593&gt;='1331'!$I$9,$B593&lt;='1331'!$J$9,OR($O593=$Y$7,$P593=$Y$7)),"x","")</f>
        <v/>
      </c>
      <c r="Z593" s="80" t="str">
        <f>IF(AND($O593=$Y$7,$B593&lt;'1331'!$I$9),"x","")</f>
        <v/>
      </c>
      <c r="AA593" s="80" t="str">
        <f>IF(AND($P593=$Y$7,$B593&lt;'1331'!$I$9),"x","")</f>
        <v/>
      </c>
      <c r="AB593" s="80" t="str">
        <f>IF(AND($B593&gt;='1332'!$I$9,$B593&lt;='1332'!$I$9,OR($O593=$AB$7,$P593=$AB$7)),"x","")</f>
        <v/>
      </c>
      <c r="AC593" s="80" t="str">
        <f>IF(AND($O593=$AB$7,$B593&lt;'1332'!$I$9),"x","")</f>
        <v/>
      </c>
      <c r="AD593" s="80" t="str">
        <f>IF(AND($P593=$AB$7,$B593&lt;'1332'!$I$9),"x","")</f>
        <v/>
      </c>
      <c r="AE593" s="80" t="str">
        <f>IF(AND('341-CT'!$H$9=H593,OR(LEFT(O593,3)=$AE$7,LEFT(P593,3)=$AE$7)),"x","")</f>
        <v/>
      </c>
      <c r="AF593" s="80" t="str">
        <f>IF(OR(TH!O593=TH!$AF$7,P593=TH!$AF$7),"x","")</f>
        <v/>
      </c>
      <c r="AG593" s="80"/>
      <c r="AH593" s="80" t="str">
        <f>IF(AND(B593&gt;='IN-NX'!$P$3,B593&lt;='IN-NX'!$Q$3,'IN-NX'!$D$7=D593,OR(LEFT(L593,2)="15",AND(LEFT(M593,2)&lt;&gt;"15",LEFT(M593,2)&lt;&gt;"33"))),"x","")</f>
        <v/>
      </c>
      <c r="AI593" s="80" t="str">
        <f>IF(AND(OR(LEFT(TH!O593,2)="15",LEFT(TH!P593,2)="15"),'152-CT'!$J$8=TH!F593),"x","")</f>
        <v/>
      </c>
      <c r="AJ593" s="80" t="str">
        <f>IF(AND(OR(LEFT(TH!O593,2)="15",LEFT(TH!P593,2)="15"),'THE KHO'!$E$7=TH!F593),"x","")</f>
        <v/>
      </c>
      <c r="AK593" s="80" t="str">
        <f>IF(AND(O593="1521",MONTH(C593)='BK NL'!$M$11),"x","")</f>
        <v/>
      </c>
    </row>
    <row r="594" spans="1:37" ht="15.75" customHeight="1">
      <c r="A594" s="362" t="str">
        <f>IF(B594&lt;&gt;"",IF(AND(B594&gt;=_TM1,B594&lt;=_TM2,OR(TH!O594="1111",TH!P594="1111")),TH!D594,""),"")</f>
        <v/>
      </c>
      <c r="B594" s="63">
        <f t="shared" si="38"/>
        <v>8</v>
      </c>
      <c r="C594" s="1045">
        <f t="shared" si="40"/>
        <v>42606</v>
      </c>
      <c r="D594" s="1045" t="s">
        <v>8</v>
      </c>
      <c r="E594" s="1045">
        <v>42606</v>
      </c>
      <c r="F594" s="1046" t="s">
        <v>405</v>
      </c>
      <c r="G594" s="1047" t="s">
        <v>798</v>
      </c>
      <c r="H594" s="1048" t="s">
        <v>173</v>
      </c>
      <c r="I594" s="1049"/>
      <c r="J594" s="1049"/>
      <c r="K594" s="1050"/>
      <c r="L594" s="1049"/>
      <c r="M594" s="1051">
        <v>11475445</v>
      </c>
      <c r="N594" s="1051"/>
      <c r="O594" s="1052" t="s">
        <v>133</v>
      </c>
      <c r="P594" s="1052" t="s">
        <v>31</v>
      </c>
      <c r="Q594" s="66" t="str">
        <f>IF(AND('331-CT'!$E$7=TH!H594,OR(O594="331",P594="331")),"x","")</f>
        <v/>
      </c>
      <c r="R594" s="66" t="str">
        <f>IF(AND($B594&gt;='111'!$N$11,$B594&lt;='111'!$O$11,OR($O594=$R$7,$P594=$R$7)),"x","")</f>
        <v/>
      </c>
      <c r="S594" s="66" t="str">
        <f>IF(AND($O594=$R$7,$B594&lt;'111'!$N$11),"x","")</f>
        <v/>
      </c>
      <c r="T594" s="66" t="str">
        <f>IF(AND($P594=$R$7,$B594&lt;'111'!$N$11),"x","")</f>
        <v/>
      </c>
      <c r="U594" s="66" t="str">
        <f>IF(AND($B594&gt;='112'!$M$9,$B594&lt;='112'!$N$9,OR($O594='112'!$I$6,$P594='112'!$I$6)),"x","")</f>
        <v>x</v>
      </c>
      <c r="V594" s="66" t="str">
        <f>IF(AND($O594='112'!$I$6,$B594&lt;'112'!$M$9),"x","")</f>
        <v/>
      </c>
      <c r="W594" s="66" t="str">
        <f>IF(AND($P594='112'!$I$6,$B594&lt;'112'!$M$9),"x","")</f>
        <v/>
      </c>
      <c r="X594" s="66" t="str">
        <f>IF(AND('131-CT'!$H$9=TH!H594,OR(O594="131",P594="131")),"x","")</f>
        <v/>
      </c>
      <c r="Y594" s="80" t="str">
        <f>IF(AND($B594&gt;='1331'!$I$9,$B594&lt;='1331'!$J$9,OR($O594=$Y$7,$P594=$Y$7)),"x","")</f>
        <v/>
      </c>
      <c r="Z594" s="80" t="str">
        <f>IF(AND($O594=$Y$7,$B594&lt;'1331'!$I$9),"x","")</f>
        <v/>
      </c>
      <c r="AA594" s="80" t="str">
        <f>IF(AND($P594=$Y$7,$B594&lt;'1331'!$I$9),"x","")</f>
        <v/>
      </c>
      <c r="AB594" s="80" t="str">
        <f>IF(AND($B594&gt;='1332'!$I$9,$B594&lt;='1332'!$I$9,OR($O594=$AB$7,$P594=$AB$7)),"x","")</f>
        <v/>
      </c>
      <c r="AC594" s="80" t="str">
        <f>IF(AND($O594=$AB$7,$B594&lt;'1332'!$I$9),"x","")</f>
        <v/>
      </c>
      <c r="AD594" s="80" t="str">
        <f>IF(AND($P594=$AB$7,$B594&lt;'1332'!$I$9),"x","")</f>
        <v/>
      </c>
      <c r="AE594" s="80" t="str">
        <f>IF(AND('341-CT'!$H$9=H594,OR(LEFT(O594,3)=$AE$7,LEFT(P594,3)=$AE$7)),"x","")</f>
        <v/>
      </c>
      <c r="AF594" s="80" t="str">
        <f>IF(OR(TH!O594=TH!$AF$7,P594=TH!$AF$7),"x","")</f>
        <v/>
      </c>
      <c r="AG594" s="80"/>
      <c r="AH594" s="80" t="str">
        <f>IF(AND(B594&gt;='IN-NX'!$P$3,B594&lt;='IN-NX'!$Q$3,'IN-NX'!$D$7=D594,OR(LEFT(L594,2)="15",AND(LEFT(M594,2)&lt;&gt;"15",LEFT(M594,2)&lt;&gt;"33"))),"x","")</f>
        <v/>
      </c>
      <c r="AI594" s="80" t="str">
        <f>IF(AND(OR(LEFT(TH!O594,2)="15",LEFT(TH!P594,2)="15"),'152-CT'!$J$8=TH!F594),"x","")</f>
        <v/>
      </c>
      <c r="AJ594" s="80" t="str">
        <f>IF(AND(OR(LEFT(TH!O594,2)="15",LEFT(TH!P594,2)="15"),'THE KHO'!$E$7=TH!F594),"x","")</f>
        <v/>
      </c>
      <c r="AK594" s="80" t="str">
        <f>IF(AND(O594="1521",MONTH(C594)='BK NL'!$M$11),"x","")</f>
        <v/>
      </c>
    </row>
    <row r="595" spans="1:37" ht="15.75" customHeight="1">
      <c r="A595" s="362" t="str">
        <f>IF(B595&lt;&gt;"",IF(AND(B595&gt;=_TM1,B595&lt;=_TM2,OR(TH!O595="1111",TH!P595="1111")),TH!D595,""),"")</f>
        <v/>
      </c>
      <c r="B595" s="63">
        <f t="shared" si="38"/>
        <v>8</v>
      </c>
      <c r="C595" s="1045">
        <f t="shared" si="40"/>
        <v>42606</v>
      </c>
      <c r="D595" s="1045" t="s">
        <v>8</v>
      </c>
      <c r="E595" s="1045">
        <v>42606</v>
      </c>
      <c r="F595" s="1046" t="s">
        <v>405</v>
      </c>
      <c r="G595" s="1047" t="s">
        <v>798</v>
      </c>
      <c r="H595" s="1129" t="s">
        <v>174</v>
      </c>
      <c r="I595" s="1049"/>
      <c r="J595" s="1049"/>
      <c r="K595" s="1050"/>
      <c r="L595" s="1049"/>
      <c r="M595" s="1051">
        <v>12295119</v>
      </c>
      <c r="N595" s="1051"/>
      <c r="O595" s="1052" t="s">
        <v>133</v>
      </c>
      <c r="P595" s="1052" t="s">
        <v>31</v>
      </c>
      <c r="Q595" s="66" t="str">
        <f>IF(AND('331-CT'!$E$7=TH!H595,OR(O595="331",P595="331")),"x","")</f>
        <v/>
      </c>
      <c r="R595" s="66" t="str">
        <f>IF(AND($B595&gt;='111'!$N$11,$B595&lt;='111'!$O$11,OR($O595=$R$7,$P595=$R$7)),"x","")</f>
        <v/>
      </c>
      <c r="S595" s="66" t="str">
        <f>IF(AND($O595=$R$7,$B595&lt;'111'!$N$11),"x","")</f>
        <v/>
      </c>
      <c r="T595" s="66" t="str">
        <f>IF(AND($P595=$R$7,$B595&lt;'111'!$N$11),"x","")</f>
        <v/>
      </c>
      <c r="U595" s="66" t="str">
        <f>IF(AND($B595&gt;='112'!$M$9,$B595&lt;='112'!$N$9,OR($O595='112'!$I$6,$P595='112'!$I$6)),"x","")</f>
        <v>x</v>
      </c>
      <c r="V595" s="66" t="str">
        <f>IF(AND($O595='112'!$I$6,$B595&lt;'112'!$M$9),"x","")</f>
        <v/>
      </c>
      <c r="W595" s="66" t="str">
        <f>IF(AND($P595='112'!$I$6,$B595&lt;'112'!$M$9),"x","")</f>
        <v/>
      </c>
      <c r="X595" s="66" t="str">
        <f>IF(AND('131-CT'!$H$9=TH!H595,OR(O595="131",P595="131")),"x","")</f>
        <v/>
      </c>
      <c r="Y595" s="80" t="str">
        <f>IF(AND($B595&gt;='1331'!$I$9,$B595&lt;='1331'!$J$9,OR($O595=$Y$7,$P595=$Y$7)),"x","")</f>
        <v/>
      </c>
      <c r="Z595" s="80" t="str">
        <f>IF(AND($O595=$Y$7,$B595&lt;'1331'!$I$9),"x","")</f>
        <v/>
      </c>
      <c r="AA595" s="80" t="str">
        <f>IF(AND($P595=$Y$7,$B595&lt;'1331'!$I$9),"x","")</f>
        <v/>
      </c>
      <c r="AB595" s="80" t="str">
        <f>IF(AND($B595&gt;='1332'!$I$9,$B595&lt;='1332'!$I$9,OR($O595=$AB$7,$P595=$AB$7)),"x","")</f>
        <v/>
      </c>
      <c r="AC595" s="80" t="str">
        <f>IF(AND($O595=$AB$7,$B595&lt;'1332'!$I$9),"x","")</f>
        <v/>
      </c>
      <c r="AD595" s="80" t="str">
        <f>IF(AND($P595=$AB$7,$B595&lt;'1332'!$I$9),"x","")</f>
        <v/>
      </c>
      <c r="AE595" s="80" t="str">
        <f>IF(AND('341-CT'!$H$9=H595,OR(LEFT(O595,3)=$AE$7,LEFT(P595,3)=$AE$7)),"x","")</f>
        <v/>
      </c>
      <c r="AF595" s="80" t="str">
        <f>IF(OR(TH!O595=TH!$AF$7,P595=TH!$AF$7),"x","")</f>
        <v/>
      </c>
      <c r="AG595" s="80"/>
      <c r="AH595" s="80" t="str">
        <f>IF(AND(B595&gt;='IN-NX'!$P$3,B595&lt;='IN-NX'!$Q$3,'IN-NX'!$D$7=D595,OR(LEFT(L595,2)="15",AND(LEFT(M595,2)&lt;&gt;"15",LEFT(M595,2)&lt;&gt;"33"))),"x","")</f>
        <v/>
      </c>
      <c r="AI595" s="80" t="str">
        <f>IF(AND(OR(LEFT(TH!O595,2)="15",LEFT(TH!P595,2)="15"),'152-CT'!$J$8=TH!F595),"x","")</f>
        <v/>
      </c>
      <c r="AJ595" s="80" t="str">
        <f>IF(AND(OR(LEFT(TH!O595,2)="15",LEFT(TH!P595,2)="15"),'THE KHO'!$E$7=TH!F595),"x","")</f>
        <v/>
      </c>
      <c r="AK595" s="80" t="str">
        <f>IF(AND(O595="1521",MONTH(C595)='BK NL'!$M$11),"x","")</f>
        <v/>
      </c>
    </row>
    <row r="596" spans="1:37" ht="15.75" customHeight="1">
      <c r="A596" s="362" t="str">
        <f>IF(B596&lt;&gt;"",IF(AND(B596&gt;=_TM1,B596&lt;=_TM2,OR(TH!O596="1111",TH!P596="1111")),TH!D596,""),"")</f>
        <v/>
      </c>
      <c r="B596" s="63">
        <f t="shared" si="38"/>
        <v>8</v>
      </c>
      <c r="C596" s="1045">
        <f t="shared" si="40"/>
        <v>42606</v>
      </c>
      <c r="D596" s="1045" t="s">
        <v>8</v>
      </c>
      <c r="E596" s="1045">
        <v>42606</v>
      </c>
      <c r="F596" s="1046" t="s">
        <v>405</v>
      </c>
      <c r="G596" s="1047" t="s">
        <v>798</v>
      </c>
      <c r="H596" s="1129" t="s">
        <v>1090</v>
      </c>
      <c r="I596" s="1049"/>
      <c r="J596" s="1049"/>
      <c r="K596" s="1050"/>
      <c r="L596" s="1049"/>
      <c r="M596" s="1051">
        <v>12295119</v>
      </c>
      <c r="N596" s="1051"/>
      <c r="O596" s="1052" t="s">
        <v>133</v>
      </c>
      <c r="P596" s="1052" t="s">
        <v>31</v>
      </c>
      <c r="Q596" s="66" t="str">
        <f>IF(AND('331-CT'!$E$7=TH!H596,OR(O596="331",P596="331")),"x","")</f>
        <v/>
      </c>
      <c r="R596" s="66" t="str">
        <f>IF(AND($B596&gt;='111'!$N$11,$B596&lt;='111'!$O$11,OR($O596=$R$7,$P596=$R$7)),"x","")</f>
        <v/>
      </c>
      <c r="S596" s="66" t="str">
        <f>IF(AND($O596=$R$7,$B596&lt;'111'!$N$11),"x","")</f>
        <v/>
      </c>
      <c r="T596" s="66" t="str">
        <f>IF(AND($P596=$R$7,$B596&lt;'111'!$N$11),"x","")</f>
        <v/>
      </c>
      <c r="U596" s="66" t="str">
        <f>IF(AND($B596&gt;='112'!$M$9,$B596&lt;='112'!$N$9,OR($O596='112'!$I$6,$P596='112'!$I$6)),"x","")</f>
        <v>x</v>
      </c>
      <c r="V596" s="66" t="str">
        <f>IF(AND($O596='112'!$I$6,$B596&lt;'112'!$M$9),"x","")</f>
        <v/>
      </c>
      <c r="W596" s="66" t="str">
        <f>IF(AND($P596='112'!$I$6,$B596&lt;'112'!$M$9),"x","")</f>
        <v/>
      </c>
      <c r="X596" s="66" t="str">
        <f>IF(AND('131-CT'!$H$9=TH!H596,OR(O596="131",P596="131")),"x","")</f>
        <v/>
      </c>
      <c r="Y596" s="80" t="str">
        <f>IF(AND($B596&gt;='1331'!$I$9,$B596&lt;='1331'!$J$9,OR($O596=$Y$7,$P596=$Y$7)),"x","")</f>
        <v/>
      </c>
      <c r="Z596" s="80" t="str">
        <f>IF(AND($O596=$Y$7,$B596&lt;'1331'!$I$9),"x","")</f>
        <v/>
      </c>
      <c r="AA596" s="80" t="str">
        <f>IF(AND($P596=$Y$7,$B596&lt;'1331'!$I$9),"x","")</f>
        <v/>
      </c>
      <c r="AB596" s="80" t="str">
        <f>IF(AND($B596&gt;='1332'!$I$9,$B596&lt;='1332'!$I$9,OR($O596=$AB$7,$P596=$AB$7)),"x","")</f>
        <v/>
      </c>
      <c r="AC596" s="80" t="str">
        <f>IF(AND($O596=$AB$7,$B596&lt;'1332'!$I$9),"x","")</f>
        <v/>
      </c>
      <c r="AD596" s="80" t="str">
        <f>IF(AND($P596=$AB$7,$B596&lt;'1332'!$I$9),"x","")</f>
        <v/>
      </c>
      <c r="AE596" s="80" t="str">
        <f>IF(AND('341-CT'!$H$9=H596,OR(LEFT(O596,3)=$AE$7,LEFT(P596,3)=$AE$7)),"x","")</f>
        <v/>
      </c>
      <c r="AF596" s="80" t="str">
        <f>IF(OR(TH!O596=TH!$AF$7,P596=TH!$AF$7),"x","")</f>
        <v/>
      </c>
      <c r="AG596" s="80"/>
      <c r="AH596" s="80" t="str">
        <f>IF(AND(B596&gt;='IN-NX'!$P$3,B596&lt;='IN-NX'!$Q$3,'IN-NX'!$D$7=D596,OR(LEFT(L596,2)="15",AND(LEFT(M596,2)&lt;&gt;"15",LEFT(M596,2)&lt;&gt;"33"))),"x","")</f>
        <v/>
      </c>
      <c r="AI596" s="80" t="str">
        <f>IF(AND(OR(LEFT(TH!O596,2)="15",LEFT(TH!P596,2)="15"),'152-CT'!$J$8=TH!F596),"x","")</f>
        <v/>
      </c>
      <c r="AJ596" s="80" t="str">
        <f>IF(AND(OR(LEFT(TH!O596,2)="15",LEFT(TH!P596,2)="15"),'THE KHO'!$E$7=TH!F596),"x","")</f>
        <v/>
      </c>
      <c r="AK596" s="80" t="str">
        <f>IF(AND(O596="1521",MONTH(C596)='BK NL'!$M$11),"x","")</f>
        <v/>
      </c>
    </row>
    <row r="597" spans="1:37" ht="15.75" customHeight="1">
      <c r="A597" s="362" t="str">
        <f>IF(B597&lt;&gt;"",IF(AND(B597&gt;=_TM1,B597&lt;=_TM2,OR(TH!O597="1111",TH!P597="1111")),TH!D597,""),"")</f>
        <v/>
      </c>
      <c r="B597" s="63">
        <f t="shared" si="38"/>
        <v>8</v>
      </c>
      <c r="C597" s="1045">
        <f t="shared" si="40"/>
        <v>42606</v>
      </c>
      <c r="D597" s="1045" t="s">
        <v>8</v>
      </c>
      <c r="E597" s="1045">
        <v>42606</v>
      </c>
      <c r="F597" s="1046" t="s">
        <v>405</v>
      </c>
      <c r="G597" s="1047" t="s">
        <v>798</v>
      </c>
      <c r="H597" s="1048" t="s">
        <v>176</v>
      </c>
      <c r="I597" s="1130"/>
      <c r="J597" s="1130"/>
      <c r="K597" s="1131"/>
      <c r="L597" s="1130"/>
      <c r="M597" s="1051">
        <v>12295119</v>
      </c>
      <c r="N597" s="1051"/>
      <c r="O597" s="1052" t="s">
        <v>133</v>
      </c>
      <c r="P597" s="1052" t="s">
        <v>31</v>
      </c>
      <c r="Q597" s="66" t="str">
        <f>IF(AND('331-CT'!$E$7=TH!H597,OR(O597="331",P597="331")),"x","")</f>
        <v/>
      </c>
      <c r="R597" s="66" t="str">
        <f>IF(AND($B597&gt;='111'!$N$11,$B597&lt;='111'!$O$11,OR($O597=$R$7,$P597=$R$7)),"x","")</f>
        <v/>
      </c>
      <c r="S597" s="66" t="str">
        <f>IF(AND($O597=$R$7,$B597&lt;'111'!$N$11),"x","")</f>
        <v/>
      </c>
      <c r="T597" s="66" t="str">
        <f>IF(AND($P597=$R$7,$B597&lt;'111'!$N$11),"x","")</f>
        <v/>
      </c>
      <c r="U597" s="66" t="str">
        <f>IF(AND($B597&gt;='112'!$M$9,$B597&lt;='112'!$N$9,OR($O597='112'!$I$6,$P597='112'!$I$6)),"x","")</f>
        <v>x</v>
      </c>
      <c r="V597" s="66" t="str">
        <f>IF(AND($O597='112'!$I$6,$B597&lt;'112'!$M$9),"x","")</f>
        <v/>
      </c>
      <c r="W597" s="66" t="str">
        <f>IF(AND($P597='112'!$I$6,$B597&lt;'112'!$M$9),"x","")</f>
        <v/>
      </c>
      <c r="X597" s="66" t="str">
        <f>IF(AND('131-CT'!$H$9=TH!H597,OR(O597="131",P597="131")),"x","")</f>
        <v/>
      </c>
      <c r="Y597" s="80" t="str">
        <f>IF(AND($B597&gt;='1331'!$I$9,$B597&lt;='1331'!$J$9,OR($O597=$Y$7,$P597=$Y$7)),"x","")</f>
        <v/>
      </c>
      <c r="Z597" s="80" t="str">
        <f>IF(AND($O597=$Y$7,$B597&lt;'1331'!$I$9),"x","")</f>
        <v/>
      </c>
      <c r="AA597" s="80" t="str">
        <f>IF(AND($P597=$Y$7,$B597&lt;'1331'!$I$9),"x","")</f>
        <v/>
      </c>
      <c r="AB597" s="80" t="str">
        <f>IF(AND($B597&gt;='1332'!$I$9,$B597&lt;='1332'!$I$9,OR($O597=$AB$7,$P597=$AB$7)),"x","")</f>
        <v/>
      </c>
      <c r="AC597" s="80" t="str">
        <f>IF(AND($O597=$AB$7,$B597&lt;'1332'!$I$9),"x","")</f>
        <v/>
      </c>
      <c r="AD597" s="80" t="str">
        <f>IF(AND($P597=$AB$7,$B597&lt;'1332'!$I$9),"x","")</f>
        <v/>
      </c>
      <c r="AE597" s="80" t="str">
        <f>IF(AND('341-CT'!$H$9=H597,OR(LEFT(O597,3)=$AE$7,LEFT(P597,3)=$AE$7)),"x","")</f>
        <v/>
      </c>
      <c r="AF597" s="80" t="str">
        <f>IF(OR(TH!O597=TH!$AF$7,P597=TH!$AF$7),"x","")</f>
        <v/>
      </c>
      <c r="AG597" s="80"/>
      <c r="AH597" s="80" t="str">
        <f>IF(AND(B597&gt;='IN-NX'!$P$3,B597&lt;='IN-NX'!$Q$3,'IN-NX'!$D$7=D597,OR(LEFT(L597,2)="15",AND(LEFT(M597,2)&lt;&gt;"15",LEFT(M597,2)&lt;&gt;"33"))),"x","")</f>
        <v/>
      </c>
      <c r="AI597" s="80" t="str">
        <f>IF(AND(OR(LEFT(TH!O597,2)="15",LEFT(TH!P597,2)="15"),'152-CT'!$J$8=TH!F597),"x","")</f>
        <v/>
      </c>
      <c r="AJ597" s="80" t="str">
        <f>IF(AND(OR(LEFT(TH!O597,2)="15",LEFT(TH!P597,2)="15"),'THE KHO'!$E$7=TH!F597),"x","")</f>
        <v/>
      </c>
      <c r="AK597" s="80" t="str">
        <f>IF(AND(O597="1521",MONTH(C597)='BK NL'!$M$11),"x","")</f>
        <v/>
      </c>
    </row>
    <row r="598" spans="1:37" ht="15.75" customHeight="1">
      <c r="A598" s="362" t="str">
        <f>IF(B598&lt;&gt;"",IF(AND(B598&gt;=_TM1,B598&lt;=_TM2,OR(TH!O598="1111",TH!P598="1111")),TH!D598,""),"")</f>
        <v/>
      </c>
      <c r="B598" s="63">
        <f t="shared" ref="B598:B629" si="41">IF(C598&lt;&gt;"",MONTH(C598),"")</f>
        <v>8</v>
      </c>
      <c r="C598" s="1045">
        <f t="shared" si="40"/>
        <v>42606</v>
      </c>
      <c r="D598" s="1045" t="s">
        <v>8</v>
      </c>
      <c r="E598" s="1045">
        <v>42606</v>
      </c>
      <c r="F598" s="1046" t="s">
        <v>405</v>
      </c>
      <c r="G598" s="1047" t="s">
        <v>798</v>
      </c>
      <c r="H598" s="1129" t="s">
        <v>179</v>
      </c>
      <c r="I598" s="1049"/>
      <c r="J598" s="1049"/>
      <c r="K598" s="1050"/>
      <c r="L598" s="1049"/>
      <c r="M598" s="1051">
        <v>12295119</v>
      </c>
      <c r="N598" s="1051"/>
      <c r="O598" s="1052" t="s">
        <v>133</v>
      </c>
      <c r="P598" s="1052" t="s">
        <v>31</v>
      </c>
      <c r="Q598" s="66" t="str">
        <f>IF(AND('331-CT'!$E$7=TH!H598,OR(O598="331",P598="331")),"x","")</f>
        <v/>
      </c>
      <c r="R598" s="66" t="str">
        <f>IF(AND($B598&gt;='111'!$N$11,$B598&lt;='111'!$O$11,OR($O598=$R$7,$P598=$R$7)),"x","")</f>
        <v/>
      </c>
      <c r="S598" s="66" t="str">
        <f>IF(AND($O598=$R$7,$B598&lt;'111'!$N$11),"x","")</f>
        <v/>
      </c>
      <c r="T598" s="66" t="str">
        <f>IF(AND($P598=$R$7,$B598&lt;'111'!$N$11),"x","")</f>
        <v/>
      </c>
      <c r="U598" s="66" t="str">
        <f>IF(AND($B598&gt;='112'!$M$9,$B598&lt;='112'!$N$9,OR($O598='112'!$I$6,$P598='112'!$I$6)),"x","")</f>
        <v>x</v>
      </c>
      <c r="V598" s="66" t="str">
        <f>IF(AND($O598='112'!$I$6,$B598&lt;'112'!$M$9),"x","")</f>
        <v/>
      </c>
      <c r="W598" s="66" t="str">
        <f>IF(AND($P598='112'!$I$6,$B598&lt;'112'!$M$9),"x","")</f>
        <v/>
      </c>
      <c r="X598" s="66" t="str">
        <f>IF(AND('131-CT'!$H$9=TH!H598,OR(O598="131",P598="131")),"x","")</f>
        <v/>
      </c>
      <c r="Y598" s="80" t="str">
        <f>IF(AND($B598&gt;='1331'!$I$9,$B598&lt;='1331'!$J$9,OR($O598=$Y$7,$P598=$Y$7)),"x","")</f>
        <v/>
      </c>
      <c r="Z598" s="80" t="str">
        <f>IF(AND($O598=$Y$7,$B598&lt;'1331'!$I$9),"x","")</f>
        <v/>
      </c>
      <c r="AA598" s="80" t="str">
        <f>IF(AND($P598=$Y$7,$B598&lt;'1331'!$I$9),"x","")</f>
        <v/>
      </c>
      <c r="AB598" s="80" t="str">
        <f>IF(AND($B598&gt;='1332'!$I$9,$B598&lt;='1332'!$I$9,OR($O598=$AB$7,$P598=$AB$7)),"x","")</f>
        <v/>
      </c>
      <c r="AC598" s="80" t="str">
        <f>IF(AND($O598=$AB$7,$B598&lt;'1332'!$I$9),"x","")</f>
        <v/>
      </c>
      <c r="AD598" s="80" t="str">
        <f>IF(AND($P598=$AB$7,$B598&lt;'1332'!$I$9),"x","")</f>
        <v/>
      </c>
      <c r="AE598" s="80" t="str">
        <f>IF(AND('341-CT'!$H$9=H598,OR(LEFT(O598,3)=$AE$7,LEFT(P598,3)=$AE$7)),"x","")</f>
        <v/>
      </c>
      <c r="AF598" s="80" t="str">
        <f>IF(OR(TH!O598=TH!$AF$7,P598=TH!$AF$7),"x","")</f>
        <v/>
      </c>
      <c r="AG598" s="80"/>
      <c r="AH598" s="80" t="str">
        <f>IF(AND(B598&gt;='IN-NX'!$P$3,B598&lt;='IN-NX'!$Q$3,'IN-NX'!$D$7=D598,OR(LEFT(L598,2)="15",AND(LEFT(M598,2)&lt;&gt;"15",LEFT(M598,2)&lt;&gt;"33"))),"x","")</f>
        <v/>
      </c>
      <c r="AI598" s="80" t="str">
        <f>IF(AND(OR(LEFT(TH!O598,2)="15",LEFT(TH!P598,2)="15"),'152-CT'!$J$8=TH!F598),"x","")</f>
        <v/>
      </c>
      <c r="AJ598" s="80" t="str">
        <f>IF(AND(OR(LEFT(TH!O598,2)="15",LEFT(TH!P598,2)="15"),'THE KHO'!$E$7=TH!F598),"x","")</f>
        <v/>
      </c>
      <c r="AK598" s="80" t="str">
        <f>IF(AND(O598="1521",MONTH(C598)='BK NL'!$M$11),"x","")</f>
        <v/>
      </c>
    </row>
    <row r="599" spans="1:37" ht="15.75" customHeight="1">
      <c r="A599" s="362" t="str">
        <f>IF(B599&lt;&gt;"",IF(AND(B599&gt;=_TM1,B599&lt;=_TM2,OR(TH!O599="1111",TH!P599="1111")),TH!D599,""),"")</f>
        <v/>
      </c>
      <c r="B599" s="63">
        <f t="shared" si="41"/>
        <v>8</v>
      </c>
      <c r="C599" s="1045">
        <f t="shared" si="40"/>
        <v>42606</v>
      </c>
      <c r="D599" s="1045" t="s">
        <v>8</v>
      </c>
      <c r="E599" s="1045">
        <v>42606</v>
      </c>
      <c r="F599" s="1046" t="s">
        <v>405</v>
      </c>
      <c r="G599" s="1047" t="s">
        <v>798</v>
      </c>
      <c r="H599" s="1048" t="s">
        <v>180</v>
      </c>
      <c r="I599" s="1049"/>
      <c r="J599" s="1049"/>
      <c r="K599" s="1050"/>
      <c r="L599" s="1049"/>
      <c r="M599" s="1051">
        <v>8196747</v>
      </c>
      <c r="N599" s="1051"/>
      <c r="O599" s="1052" t="s">
        <v>133</v>
      </c>
      <c r="P599" s="1052" t="s">
        <v>31</v>
      </c>
      <c r="Q599" s="66" t="str">
        <f>IF(AND('331-CT'!$E$7=TH!H599,OR(O599="331",P599="331")),"x","")</f>
        <v/>
      </c>
      <c r="R599" s="66" t="str">
        <f>IF(AND($B599&gt;='111'!$N$11,$B599&lt;='111'!$O$11,OR($O599=$R$7,$P599=$R$7)),"x","")</f>
        <v/>
      </c>
      <c r="S599" s="66" t="str">
        <f>IF(AND($O599=$R$7,$B599&lt;'111'!$N$11),"x","")</f>
        <v/>
      </c>
      <c r="T599" s="66" t="str">
        <f>IF(AND($P599=$R$7,$B599&lt;'111'!$N$11),"x","")</f>
        <v/>
      </c>
      <c r="U599" s="66" t="str">
        <f>IF(AND($B599&gt;='112'!$M$9,$B599&lt;='112'!$N$9,OR($O599='112'!$I$6,$P599='112'!$I$6)),"x","")</f>
        <v>x</v>
      </c>
      <c r="V599" s="66" t="str">
        <f>IF(AND($O599='112'!$I$6,$B599&lt;'112'!$M$9),"x","")</f>
        <v/>
      </c>
      <c r="W599" s="66" t="str">
        <f>IF(AND($P599='112'!$I$6,$B599&lt;'112'!$M$9),"x","")</f>
        <v/>
      </c>
      <c r="X599" s="66" t="str">
        <f>IF(AND('131-CT'!$H$9=TH!H599,OR(O599="131",P599="131")),"x","")</f>
        <v/>
      </c>
      <c r="Y599" s="80" t="str">
        <f>IF(AND($B599&gt;='1331'!$I$9,$B599&lt;='1331'!$J$9,OR($O599=$Y$7,$P599=$Y$7)),"x","")</f>
        <v/>
      </c>
      <c r="Z599" s="80" t="str">
        <f>IF(AND($O599=$Y$7,$B599&lt;'1331'!$I$9),"x","")</f>
        <v/>
      </c>
      <c r="AA599" s="80" t="str">
        <f>IF(AND($P599=$Y$7,$B599&lt;'1331'!$I$9),"x","")</f>
        <v/>
      </c>
      <c r="AB599" s="80" t="str">
        <f>IF(AND($B599&gt;='1332'!$I$9,$B599&lt;='1332'!$I$9,OR($O599=$AB$7,$P599=$AB$7)),"x","")</f>
        <v/>
      </c>
      <c r="AC599" s="80" t="str">
        <f>IF(AND($O599=$AB$7,$B599&lt;'1332'!$I$9),"x","")</f>
        <v/>
      </c>
      <c r="AD599" s="80" t="str">
        <f>IF(AND($P599=$AB$7,$B599&lt;'1332'!$I$9),"x","")</f>
        <v/>
      </c>
      <c r="AE599" s="80" t="str">
        <f>IF(AND('341-CT'!$H$9=H599,OR(LEFT(O599,3)=$AE$7,LEFT(P599,3)=$AE$7)),"x","")</f>
        <v/>
      </c>
      <c r="AF599" s="80" t="str">
        <f>IF(OR(TH!O599=TH!$AF$7,P599=TH!$AF$7),"x","")</f>
        <v/>
      </c>
      <c r="AG599" s="80"/>
      <c r="AH599" s="80" t="str">
        <f>IF(AND(B599&gt;='IN-NX'!$P$3,B599&lt;='IN-NX'!$Q$3,'IN-NX'!$D$7=D599,OR(LEFT(L599,2)="15",AND(LEFT(M599,2)&lt;&gt;"15",LEFT(M599,2)&lt;&gt;"33"))),"x","")</f>
        <v/>
      </c>
      <c r="AI599" s="80" t="str">
        <f>IF(AND(OR(LEFT(TH!O599,2)="15",LEFT(TH!P599,2)="15"),'152-CT'!$J$8=TH!F599),"x","")</f>
        <v/>
      </c>
      <c r="AJ599" s="80" t="str">
        <f>IF(AND(OR(LEFT(TH!O599,2)="15",LEFT(TH!P599,2)="15"),'THE KHO'!$E$7=TH!F599),"x","")</f>
        <v/>
      </c>
      <c r="AK599" s="80" t="str">
        <f>IF(AND(O599="1521",MONTH(C599)='BK NL'!$M$11),"x","")</f>
        <v/>
      </c>
    </row>
    <row r="600" spans="1:37" ht="15.75" customHeight="1">
      <c r="A600" s="362" t="str">
        <f>IF(B600&lt;&gt;"",IF(AND(B600&gt;=_TM1,B600&lt;=_TM2,OR(TH!O600="1111",TH!P600="1111")),TH!D600,""),"")</f>
        <v/>
      </c>
      <c r="B600" s="63">
        <f t="shared" si="41"/>
        <v>8</v>
      </c>
      <c r="C600" s="1045">
        <f t="shared" si="40"/>
        <v>42606</v>
      </c>
      <c r="D600" s="1045" t="s">
        <v>8</v>
      </c>
      <c r="E600" s="1045">
        <v>42606</v>
      </c>
      <c r="F600" s="1046" t="s">
        <v>405</v>
      </c>
      <c r="G600" s="1047" t="s">
        <v>798</v>
      </c>
      <c r="H600" s="1048" t="s">
        <v>184</v>
      </c>
      <c r="I600" s="1132"/>
      <c r="J600" s="1132"/>
      <c r="K600" s="1133">
        <v>88000</v>
      </c>
      <c r="L600" s="1132">
        <v>22290</v>
      </c>
      <c r="M600" s="1051">
        <v>8196747</v>
      </c>
      <c r="N600" s="1051"/>
      <c r="O600" s="1052" t="s">
        <v>133</v>
      </c>
      <c r="P600" s="1052" t="s">
        <v>31</v>
      </c>
      <c r="Q600" s="66" t="str">
        <f>IF(AND('331-CT'!$E$7=TH!H600,OR(O600="331",P600="331")),"x","")</f>
        <v/>
      </c>
      <c r="R600" s="66" t="str">
        <f>IF(AND($B600&gt;='111'!$N$11,$B600&lt;='111'!$O$11,OR($O600=$R$7,$P600=$R$7)),"x","")</f>
        <v/>
      </c>
      <c r="S600" s="66" t="str">
        <f>IF(AND($O600=$R$7,$B600&lt;'111'!$N$11),"x","")</f>
        <v/>
      </c>
      <c r="T600" s="66" t="str">
        <f>IF(AND($P600=$R$7,$B600&lt;'111'!$N$11),"x","")</f>
        <v/>
      </c>
      <c r="U600" s="66" t="str">
        <f>IF(AND($B600&gt;='112'!$M$9,$B600&lt;='112'!$N$9,OR($O600='112'!$I$6,$P600='112'!$I$6)),"x","")</f>
        <v>x</v>
      </c>
      <c r="V600" s="66" t="str">
        <f>IF(AND($O600='112'!$I$6,$B600&lt;'112'!$M$9),"x","")</f>
        <v/>
      </c>
      <c r="W600" s="66" t="str">
        <f>IF(AND($P600='112'!$I$6,$B600&lt;'112'!$M$9),"x","")</f>
        <v/>
      </c>
      <c r="X600" s="66" t="str">
        <f>IF(AND('131-CT'!$H$9=TH!H600,OR(O600="131",P600="131")),"x","")</f>
        <v/>
      </c>
      <c r="Y600" s="80" t="str">
        <f>IF(AND($B600&gt;='1331'!$I$9,$B600&lt;='1331'!$J$9,OR($O600=$Y$7,$P600=$Y$7)),"x","")</f>
        <v/>
      </c>
      <c r="Z600" s="80" t="str">
        <f>IF(AND($O600=$Y$7,$B600&lt;'1331'!$I$9),"x","")</f>
        <v/>
      </c>
      <c r="AA600" s="80" t="str">
        <f>IF(AND($P600=$Y$7,$B600&lt;'1331'!$I$9),"x","")</f>
        <v/>
      </c>
      <c r="AB600" s="80" t="str">
        <f>IF(AND($B600&gt;='1332'!$I$9,$B600&lt;='1332'!$I$9,OR($O600=$AB$7,$P600=$AB$7)),"x","")</f>
        <v/>
      </c>
      <c r="AC600" s="80" t="str">
        <f>IF(AND($O600=$AB$7,$B600&lt;'1332'!$I$9),"x","")</f>
        <v/>
      </c>
      <c r="AD600" s="80" t="str">
        <f>IF(AND($P600=$AB$7,$B600&lt;'1332'!$I$9),"x","")</f>
        <v/>
      </c>
      <c r="AE600" s="80" t="str">
        <f>IF(AND('341-CT'!$H$9=H600,OR(LEFT(O600,3)=$AE$7,LEFT(P600,3)=$AE$7)),"x","")</f>
        <v/>
      </c>
      <c r="AF600" s="80" t="str">
        <f>IF(OR(TH!O600=TH!$AF$7,P600=TH!$AF$7),"x","")</f>
        <v/>
      </c>
      <c r="AG600" s="80"/>
      <c r="AH600" s="80" t="str">
        <f>IF(AND(B600&gt;='IN-NX'!$P$3,B600&lt;='IN-NX'!$Q$3,'IN-NX'!$D$7=D600,OR(LEFT(L600,2)="15",AND(LEFT(M600,2)&lt;&gt;"15",LEFT(M600,2)&lt;&gt;"33"))),"x","")</f>
        <v/>
      </c>
      <c r="AI600" s="80" t="str">
        <f>IF(AND(OR(LEFT(TH!O600,2)="15",LEFT(TH!P600,2)="15"),'152-CT'!$J$8=TH!F600),"x","")</f>
        <v/>
      </c>
      <c r="AJ600" s="80" t="str">
        <f>IF(AND(OR(LEFT(TH!O600,2)="15",LEFT(TH!P600,2)="15"),'THE KHO'!$E$7=TH!F600),"x","")</f>
        <v/>
      </c>
      <c r="AK600" s="80" t="str">
        <f>IF(AND(O600="1521",MONTH(C600)='BK NL'!$M$11),"x","")</f>
        <v/>
      </c>
    </row>
    <row r="601" spans="1:37" ht="15.75" customHeight="1">
      <c r="A601" s="362" t="str">
        <f>IF(B601&lt;&gt;"",IF(AND(B601&gt;=_TM1,B601&lt;=_TM2,OR(TH!O601="1111",TH!P601="1111")),TH!D601,""),"")</f>
        <v/>
      </c>
      <c r="B601" s="63">
        <f t="shared" si="41"/>
        <v>8</v>
      </c>
      <c r="C601" s="1045">
        <v>42609</v>
      </c>
      <c r="D601" s="1045" t="s">
        <v>189</v>
      </c>
      <c r="E601" s="1045">
        <v>42609</v>
      </c>
      <c r="F601" s="1046" t="s">
        <v>1149</v>
      </c>
      <c r="G601" s="1126" t="s">
        <v>1150</v>
      </c>
      <c r="H601" s="1048" t="s">
        <v>1151</v>
      </c>
      <c r="I601" s="1049"/>
      <c r="J601" s="1049"/>
      <c r="K601" s="1050"/>
      <c r="L601" s="1049"/>
      <c r="M601" s="1051">
        <v>5000000</v>
      </c>
      <c r="N601" s="1051"/>
      <c r="O601" s="1052" t="s">
        <v>242</v>
      </c>
      <c r="P601" s="1117" t="s">
        <v>97</v>
      </c>
      <c r="Q601" s="66" t="str">
        <f>IF(AND('331-CT'!$E$7=TH!H601,OR(O601="331",P601="331")),"x","")</f>
        <v/>
      </c>
      <c r="R601" s="66" t="str">
        <f>IF(AND($B601&gt;='111'!$N$11,$B601&lt;='111'!$O$11,OR($O601=$R$7,$P601=$R$7)),"x","")</f>
        <v>x</v>
      </c>
      <c r="S601" s="66" t="str">
        <f>IF(AND($O601=$R$7,$B601&lt;'111'!$N$11),"x","")</f>
        <v/>
      </c>
      <c r="T601" s="66" t="str">
        <f>IF(AND($P601=$R$7,$B601&lt;'111'!$N$11),"x","")</f>
        <v/>
      </c>
      <c r="U601" s="66" t="str">
        <f>IF(AND($B601&gt;='112'!$M$9,$B601&lt;='112'!$N$9,OR($O601='112'!$I$6,$P601='112'!$I$6)),"x","")</f>
        <v/>
      </c>
      <c r="V601" s="66" t="str">
        <f>IF(AND($O601='112'!$I$6,$B601&lt;'112'!$M$9),"x","")</f>
        <v/>
      </c>
      <c r="W601" s="66" t="str">
        <f>IF(AND($P601='112'!$I$6,$B601&lt;'112'!$M$9),"x","")</f>
        <v/>
      </c>
      <c r="X601" s="66" t="str">
        <f>IF(AND('131-CT'!$H$9=TH!H601,OR(O601="131",P601="131")),"x","")</f>
        <v/>
      </c>
      <c r="Y601" s="80" t="str">
        <f>IF(AND($B601&gt;='1331'!$I$9,$B601&lt;='1331'!$J$9,OR($O601=$Y$7,$P601=$Y$7)),"x","")</f>
        <v/>
      </c>
      <c r="Z601" s="80" t="str">
        <f>IF(AND($O601=$Y$7,$B601&lt;'1331'!$I$9),"x","")</f>
        <v/>
      </c>
      <c r="AA601" s="80" t="str">
        <f>IF(AND($P601=$Y$7,$B601&lt;'1331'!$I$9),"x","")</f>
        <v/>
      </c>
      <c r="AB601" s="80" t="str">
        <f>IF(AND($B601&gt;='1332'!$I$9,$B601&lt;='1332'!$I$9,OR($O601=$AB$7,$P601=$AB$7)),"x","")</f>
        <v/>
      </c>
      <c r="AC601" s="80" t="str">
        <f>IF(AND($O601=$AB$7,$B601&lt;'1332'!$I$9),"x","")</f>
        <v/>
      </c>
      <c r="AD601" s="80" t="str">
        <f>IF(AND($P601=$AB$7,$B601&lt;'1332'!$I$9),"x","")</f>
        <v/>
      </c>
      <c r="AE601" s="80" t="str">
        <f>IF(AND('341-CT'!$H$9=H601,OR(LEFT(O601,3)=$AE$7,LEFT(P601,3)=$AE$7)),"x","")</f>
        <v/>
      </c>
      <c r="AF601" s="80" t="str">
        <f>IF(OR(TH!O601=TH!$AF$7,P601=TH!$AF$7),"x","")</f>
        <v/>
      </c>
      <c r="AG601" s="80"/>
      <c r="AH601" s="80" t="str">
        <f>IF(AND(B601&gt;='IN-NX'!$P$3,B601&lt;='IN-NX'!$Q$3,'IN-NX'!$D$7=D601,OR(LEFT(L601,2)="15",AND(LEFT(M601,2)&lt;&gt;"15",LEFT(M601,2)&lt;&gt;"33"))),"x","")</f>
        <v/>
      </c>
      <c r="AI601" s="80" t="str">
        <f>IF(AND(OR(LEFT(TH!O601,2)="15",LEFT(TH!P601,2)="15"),'152-CT'!$J$8=TH!F601),"x","")</f>
        <v/>
      </c>
      <c r="AJ601" s="80" t="str">
        <f>IF(AND(OR(LEFT(TH!O601,2)="15",LEFT(TH!P601,2)="15"),'THE KHO'!$E$7=TH!F601),"x","")</f>
        <v/>
      </c>
      <c r="AK601" s="80" t="str">
        <f>IF(AND(O601="1521",MONTH(C601)='BK NL'!$M$11),"x","")</f>
        <v/>
      </c>
    </row>
    <row r="602" spans="1:37" ht="15.75" customHeight="1">
      <c r="A602" s="362" t="str">
        <f>IF(B602&lt;&gt;"",IF(AND(B602&gt;=_TM1,B602&lt;=_TM2,OR(TH!O602="1111",TH!P602="1111")),TH!D602,""),"")</f>
        <v/>
      </c>
      <c r="B602" s="63">
        <f t="shared" si="41"/>
        <v>8</v>
      </c>
      <c r="C602" s="1045">
        <v>42609</v>
      </c>
      <c r="D602" s="1045" t="s">
        <v>189</v>
      </c>
      <c r="E602" s="1045">
        <v>42609</v>
      </c>
      <c r="F602" s="1046" t="s">
        <v>1152</v>
      </c>
      <c r="G602" s="1126" t="s">
        <v>1150</v>
      </c>
      <c r="H602" s="1048" t="s">
        <v>1151</v>
      </c>
      <c r="I602" s="1049"/>
      <c r="J602" s="1049"/>
      <c r="K602" s="1050"/>
      <c r="L602" s="1049"/>
      <c r="M602" s="1051">
        <v>500000</v>
      </c>
      <c r="N602" s="1051"/>
      <c r="O602" s="1052" t="s">
        <v>981</v>
      </c>
      <c r="P602" s="1117" t="s">
        <v>97</v>
      </c>
      <c r="Q602" s="66" t="str">
        <f>IF(AND('331-CT'!$E$7=TH!H602,OR(O602="331",P602="331")),"x","")</f>
        <v/>
      </c>
      <c r="R602" s="66" t="str">
        <f>IF(AND($B602&gt;='111'!$N$11,$B602&lt;='111'!$O$11,OR($O602=$R$7,$P602=$R$7)),"x","")</f>
        <v>x</v>
      </c>
      <c r="S602" s="66" t="str">
        <f>IF(AND($O602=$R$7,$B602&lt;'111'!$N$11),"x","")</f>
        <v/>
      </c>
      <c r="T602" s="66" t="str">
        <f>IF(AND($P602=$R$7,$B602&lt;'111'!$N$11),"x","")</f>
        <v/>
      </c>
      <c r="U602" s="66" t="str">
        <f>IF(AND($B602&gt;='112'!$M$9,$B602&lt;='112'!$N$9,OR($O602='112'!$I$6,$P602='112'!$I$6)),"x","")</f>
        <v/>
      </c>
      <c r="V602" s="66" t="str">
        <f>IF(AND($O602='112'!$I$6,$B602&lt;'112'!$M$9),"x","")</f>
        <v/>
      </c>
      <c r="W602" s="66" t="str">
        <f>IF(AND($P602='112'!$I$6,$B602&lt;'112'!$M$9),"x","")</f>
        <v/>
      </c>
      <c r="X602" s="66" t="str">
        <f>IF(AND('131-CT'!$H$9=TH!H602,OR(O602="131",P602="131")),"x","")</f>
        <v/>
      </c>
      <c r="Y602" s="80" t="str">
        <f>IF(AND($B602&gt;='1331'!$I$9,$B602&lt;='1331'!$J$9,OR($O602=$Y$7,$P602=$Y$7)),"x","")</f>
        <v/>
      </c>
      <c r="Z602" s="80" t="str">
        <f>IF(AND($O602=$Y$7,$B602&lt;'1331'!$I$9),"x","")</f>
        <v/>
      </c>
      <c r="AA602" s="80" t="str">
        <f>IF(AND($P602=$Y$7,$B602&lt;'1331'!$I$9),"x","")</f>
        <v/>
      </c>
      <c r="AB602" s="80" t="str">
        <f>IF(AND($B602&gt;='1332'!$I$9,$B602&lt;='1332'!$I$9,OR($O602=$AB$7,$P602=$AB$7)),"x","")</f>
        <v/>
      </c>
      <c r="AC602" s="80" t="str">
        <f>IF(AND($O602=$AB$7,$B602&lt;'1332'!$I$9),"x","")</f>
        <v/>
      </c>
      <c r="AD602" s="80" t="str">
        <f>IF(AND($P602=$AB$7,$B602&lt;'1332'!$I$9),"x","")</f>
        <v/>
      </c>
      <c r="AE602" s="80" t="str">
        <f>IF(AND('341-CT'!$H$9=H602,OR(LEFT(O602,3)=$AE$7,LEFT(P602,3)=$AE$7)),"x","")</f>
        <v/>
      </c>
      <c r="AF602" s="80" t="str">
        <f>IF(OR(TH!O602=TH!$AF$7,P602=TH!$AF$7),"x","")</f>
        <v/>
      </c>
      <c r="AG602" s="80"/>
      <c r="AH602" s="80" t="str">
        <f>IF(AND(B602&gt;='IN-NX'!$P$3,B602&lt;='IN-NX'!$Q$3,'IN-NX'!$D$7=D602,OR(LEFT(L602,2)="15",AND(LEFT(M602,2)&lt;&gt;"15",LEFT(M602,2)&lt;&gt;"33"))),"x","")</f>
        <v/>
      </c>
      <c r="AI602" s="80" t="str">
        <f>IF(AND(OR(LEFT(TH!O602,2)="15",LEFT(TH!P602,2)="15"),'152-CT'!$J$8=TH!F602),"x","")</f>
        <v/>
      </c>
      <c r="AJ602" s="80" t="str">
        <f>IF(AND(OR(LEFT(TH!O602,2)="15",LEFT(TH!P602,2)="15"),'THE KHO'!$E$7=TH!F602),"x","")</f>
        <v/>
      </c>
      <c r="AK602" s="80" t="str">
        <f>IF(AND(O602="1521",MONTH(C602)='BK NL'!$M$11),"x","")</f>
        <v/>
      </c>
    </row>
    <row r="603" spans="1:37" ht="15.75" customHeight="1">
      <c r="A603" s="362" t="str">
        <f>IF(B603&lt;&gt;"",IF(AND(B603&gt;=_TM1,B603&lt;=_TM2,OR(TH!O603="1111",TH!P603="1111")),TH!D603,""),"")</f>
        <v/>
      </c>
      <c r="B603" s="63">
        <f t="shared" si="41"/>
        <v>8</v>
      </c>
      <c r="C603" s="1045">
        <v>42612</v>
      </c>
      <c r="D603" s="1045" t="s">
        <v>190</v>
      </c>
      <c r="E603" s="1045">
        <v>42612</v>
      </c>
      <c r="F603" s="1119" t="s">
        <v>1153</v>
      </c>
      <c r="G603" s="1120" t="s">
        <v>1154</v>
      </c>
      <c r="H603" s="1121" t="s">
        <v>1064</v>
      </c>
      <c r="I603" s="1049"/>
      <c r="J603" s="1049"/>
      <c r="K603" s="1050"/>
      <c r="L603" s="1049"/>
      <c r="M603" s="1122">
        <v>4826182</v>
      </c>
      <c r="N603" s="1122"/>
      <c r="O603" s="1052" t="s">
        <v>135</v>
      </c>
      <c r="P603" s="1117" t="s">
        <v>97</v>
      </c>
      <c r="Q603" s="66" t="str">
        <f>IF(AND('331-CT'!$E$7=TH!H603,OR(O603="331",P603="331")),"x","")</f>
        <v/>
      </c>
      <c r="R603" s="66" t="str">
        <f>IF(AND($B603&gt;='111'!$N$11,$B603&lt;='111'!$O$11,OR($O603=$R$7,$P603=$R$7)),"x","")</f>
        <v>x</v>
      </c>
      <c r="S603" s="66" t="str">
        <f>IF(AND($O603=$R$7,$B603&lt;'111'!$N$11),"x","")</f>
        <v/>
      </c>
      <c r="T603" s="66" t="str">
        <f>IF(AND($P603=$R$7,$B603&lt;'111'!$N$11),"x","")</f>
        <v/>
      </c>
      <c r="U603" s="66" t="str">
        <f>IF(AND($B603&gt;='112'!$M$9,$B603&lt;='112'!$N$9,OR($O603='112'!$I$6,$P603='112'!$I$6)),"x","")</f>
        <v/>
      </c>
      <c r="V603" s="66" t="str">
        <f>IF(AND($O603='112'!$I$6,$B603&lt;'112'!$M$9),"x","")</f>
        <v/>
      </c>
      <c r="W603" s="66" t="str">
        <f>IF(AND($P603='112'!$I$6,$B603&lt;'112'!$M$9),"x","")</f>
        <v/>
      </c>
      <c r="X603" s="66" t="str">
        <f>IF(AND('131-CT'!$H$9=TH!H603,OR(O603="131",P603="131")),"x","")</f>
        <v/>
      </c>
      <c r="Y603" s="80" t="str">
        <f>IF(AND($B603&gt;='1331'!$I$9,$B603&lt;='1331'!$J$9,OR($O603=$Y$7,$P603=$Y$7)),"x","")</f>
        <v/>
      </c>
      <c r="Z603" s="80" t="str">
        <f>IF(AND($O603=$Y$7,$B603&lt;'1331'!$I$9),"x","")</f>
        <v/>
      </c>
      <c r="AA603" s="80" t="str">
        <f>IF(AND($P603=$Y$7,$B603&lt;'1331'!$I$9),"x","")</f>
        <v/>
      </c>
      <c r="AB603" s="80" t="str">
        <f>IF(AND($B603&gt;='1332'!$I$9,$B603&lt;='1332'!$I$9,OR($O603=$AB$7,$P603=$AB$7)),"x","")</f>
        <v/>
      </c>
      <c r="AC603" s="80" t="str">
        <f>IF(AND($O603=$AB$7,$B603&lt;'1332'!$I$9),"x","")</f>
        <v/>
      </c>
      <c r="AD603" s="80" t="str">
        <f>IF(AND($P603=$AB$7,$B603&lt;'1332'!$I$9),"x","")</f>
        <v/>
      </c>
      <c r="AE603" s="80" t="str">
        <f>IF(AND('341-CT'!$H$9=H603,OR(LEFT(O603,3)=$AE$7,LEFT(P603,3)=$AE$7)),"x","")</f>
        <v/>
      </c>
      <c r="AF603" s="80" t="str">
        <f>IF(OR(TH!O603=TH!$AF$7,P603=TH!$AF$7),"x","")</f>
        <v/>
      </c>
      <c r="AG603" s="80"/>
      <c r="AH603" s="80" t="str">
        <f>IF(AND(B603&gt;='IN-NX'!$P$3,B603&lt;='IN-NX'!$Q$3,'IN-NX'!$D$7=D603,OR(LEFT(L603,2)="15",AND(LEFT(M603,2)&lt;&gt;"15",LEFT(M603,2)&lt;&gt;"33"))),"x","")</f>
        <v/>
      </c>
      <c r="AI603" s="80" t="str">
        <f>IF(AND(OR(LEFT(TH!O603,2)="15",LEFT(TH!P603,2)="15"),'152-CT'!$J$8=TH!F603),"x","")</f>
        <v/>
      </c>
      <c r="AJ603" s="80" t="str">
        <f>IF(AND(OR(LEFT(TH!O603,2)="15",LEFT(TH!P603,2)="15"),'THE KHO'!$E$7=TH!F603),"x","")</f>
        <v/>
      </c>
      <c r="AK603" s="80" t="str">
        <f>IF(AND(O603="1521",MONTH(C603)='BK NL'!$M$11),"x","")</f>
        <v/>
      </c>
    </row>
    <row r="604" spans="1:37" ht="15.75" customHeight="1">
      <c r="A604" s="362" t="str">
        <f>IF(B604&lt;&gt;"",IF(AND(B604&gt;=_TM1,B604&lt;=_TM2,OR(TH!O604="1111",TH!P604="1111")),TH!D604,""),"")</f>
        <v/>
      </c>
      <c r="B604" s="63">
        <f t="shared" si="41"/>
        <v>8</v>
      </c>
      <c r="C604" s="1045">
        <v>42612</v>
      </c>
      <c r="D604" s="1045" t="s">
        <v>190</v>
      </c>
      <c r="E604" s="1045">
        <v>42612</v>
      </c>
      <c r="F604" s="1119" t="s">
        <v>1155</v>
      </c>
      <c r="G604" s="1120" t="s">
        <v>1154</v>
      </c>
      <c r="H604" s="1121" t="s">
        <v>1064</v>
      </c>
      <c r="I604" s="1049"/>
      <c r="J604" s="1049"/>
      <c r="K604" s="1050"/>
      <c r="L604" s="1049"/>
      <c r="M604" s="1122">
        <v>482618</v>
      </c>
      <c r="N604" s="1122"/>
      <c r="O604" s="1052" t="s">
        <v>10</v>
      </c>
      <c r="P604" s="1117" t="s">
        <v>97</v>
      </c>
      <c r="Q604" s="66" t="str">
        <f>IF(AND('331-CT'!$E$7=TH!H604,OR(O604="331",P604="331")),"x","")</f>
        <v/>
      </c>
      <c r="R604" s="66" t="str">
        <f>IF(AND($B604&gt;='111'!$N$11,$B604&lt;='111'!$O$11,OR($O604=$R$7,$P604=$R$7)),"x","")</f>
        <v>x</v>
      </c>
      <c r="S604" s="66" t="str">
        <f>IF(AND($O604=$R$7,$B604&lt;'111'!$N$11),"x","")</f>
        <v/>
      </c>
      <c r="T604" s="66" t="str">
        <f>IF(AND($P604=$R$7,$B604&lt;'111'!$N$11),"x","")</f>
        <v/>
      </c>
      <c r="U604" s="66" t="str">
        <f>IF(AND($B604&gt;='112'!$M$9,$B604&lt;='112'!$N$9,OR($O604='112'!$I$6,$P604='112'!$I$6)),"x","")</f>
        <v/>
      </c>
      <c r="V604" s="66" t="str">
        <f>IF(AND($O604='112'!$I$6,$B604&lt;'112'!$M$9),"x","")</f>
        <v/>
      </c>
      <c r="W604" s="66" t="str">
        <f>IF(AND($P604='112'!$I$6,$B604&lt;'112'!$M$9),"x","")</f>
        <v/>
      </c>
      <c r="X604" s="66" t="str">
        <f>IF(AND('131-CT'!$H$9=TH!H604,OR(O604="131",P604="131")),"x","")</f>
        <v/>
      </c>
      <c r="Y604" s="80" t="str">
        <f>IF(AND($B604&gt;='1331'!$I$9,$B604&lt;='1331'!$J$9,OR($O604=$Y$7,$P604=$Y$7)),"x","")</f>
        <v>x</v>
      </c>
      <c r="Z604" s="80" t="str">
        <f>IF(AND($O604=$Y$7,$B604&lt;'1331'!$I$9),"x","")</f>
        <v/>
      </c>
      <c r="AA604" s="80" t="str">
        <f>IF(AND($P604=$Y$7,$B604&lt;'1331'!$I$9),"x","")</f>
        <v/>
      </c>
      <c r="AB604" s="80" t="str">
        <f>IF(AND($B604&gt;='1332'!$I$9,$B604&lt;='1332'!$I$9,OR($O604=$AB$7,$P604=$AB$7)),"x","")</f>
        <v/>
      </c>
      <c r="AC604" s="80" t="str">
        <f>IF(AND($O604=$AB$7,$B604&lt;'1332'!$I$9),"x","")</f>
        <v/>
      </c>
      <c r="AD604" s="80" t="str">
        <f>IF(AND($P604=$AB$7,$B604&lt;'1332'!$I$9),"x","")</f>
        <v/>
      </c>
      <c r="AE604" s="80" t="str">
        <f>IF(AND('341-CT'!$H$9=H604,OR(LEFT(O604,3)=$AE$7,LEFT(P604,3)=$AE$7)),"x","")</f>
        <v/>
      </c>
      <c r="AF604" s="80" t="str">
        <f>IF(OR(TH!O604=TH!$AF$7,P604=TH!$AF$7),"x","")</f>
        <v/>
      </c>
      <c r="AG604" s="80"/>
      <c r="AH604" s="80" t="str">
        <f>IF(AND(B604&gt;='IN-NX'!$P$3,B604&lt;='IN-NX'!$Q$3,'IN-NX'!$D$7=D604,OR(LEFT(L604,2)="15",AND(LEFT(M604,2)&lt;&gt;"15",LEFT(M604,2)&lt;&gt;"33"))),"x","")</f>
        <v/>
      </c>
      <c r="AI604" s="80" t="str">
        <f>IF(AND(OR(LEFT(TH!O604,2)="15",LEFT(TH!P604,2)="15"),'152-CT'!$J$8=TH!F604),"x","")</f>
        <v/>
      </c>
      <c r="AJ604" s="80" t="str">
        <f>IF(AND(OR(LEFT(TH!O604,2)="15",LEFT(TH!P604,2)="15"),'THE KHO'!$E$7=TH!F604),"x","")</f>
        <v/>
      </c>
      <c r="AK604" s="80" t="str">
        <f>IF(AND(O604="1521",MONTH(C604)='BK NL'!$M$11),"x","")</f>
        <v/>
      </c>
    </row>
    <row r="605" spans="1:37" ht="15.75" customHeight="1">
      <c r="A605" s="362" t="str">
        <f>IF(B605&lt;&gt;"",IF(AND(B605&gt;=_TM1,B605&lt;=_TM2,OR(TH!O605="1111",TH!P605="1111")),TH!D605,""),"")</f>
        <v/>
      </c>
      <c r="B605" s="63">
        <f t="shared" si="41"/>
        <v>8</v>
      </c>
      <c r="C605" s="1045">
        <f>E605</f>
        <v>42613</v>
      </c>
      <c r="D605" s="1045" t="s">
        <v>192</v>
      </c>
      <c r="E605" s="1045">
        <v>42613</v>
      </c>
      <c r="F605" s="1046" t="s">
        <v>1008</v>
      </c>
      <c r="G605" s="1053"/>
      <c r="H605" s="1048" t="s">
        <v>429</v>
      </c>
      <c r="I605" s="1049"/>
      <c r="J605" s="1049"/>
      <c r="K605" s="1050"/>
      <c r="L605" s="1049"/>
      <c r="M605" s="1051">
        <v>23000000</v>
      </c>
      <c r="N605" s="1051"/>
      <c r="O605" s="1052" t="s">
        <v>24</v>
      </c>
      <c r="P605" s="1052" t="s">
        <v>97</v>
      </c>
      <c r="Q605" s="66" t="str">
        <f>IF(AND('331-CT'!$E$7=TH!H605,OR(O605="331",P605="331")),"x","")</f>
        <v/>
      </c>
      <c r="R605" s="66" t="str">
        <f>IF(AND($B605&gt;='111'!$N$11,$B605&lt;='111'!$O$11,OR($O605=$R$7,$P605=$R$7)),"x","")</f>
        <v>x</v>
      </c>
      <c r="S605" s="66" t="str">
        <f>IF(AND($O605=$R$7,$B605&lt;'111'!$N$11),"x","")</f>
        <v/>
      </c>
      <c r="T605" s="66" t="str">
        <f>IF(AND($P605=$R$7,$B605&lt;'111'!$N$11),"x","")</f>
        <v/>
      </c>
      <c r="U605" s="66" t="str">
        <f>IF(AND($B605&gt;='112'!$M$9,$B605&lt;='112'!$N$9,OR($O605='112'!$I$6,$P605='112'!$I$6)),"x","")</f>
        <v/>
      </c>
      <c r="V605" s="66" t="str">
        <f>IF(AND($O605='112'!$I$6,$B605&lt;'112'!$M$9),"x","")</f>
        <v/>
      </c>
      <c r="W605" s="66" t="str">
        <f>IF(AND($P605='112'!$I$6,$B605&lt;'112'!$M$9),"x","")</f>
        <v/>
      </c>
      <c r="X605" s="66" t="str">
        <f>IF(AND('131-CT'!$H$9=TH!H605,OR(O605="131",P605="131")),"x","")</f>
        <v/>
      </c>
      <c r="Y605" s="80" t="str">
        <f>IF(AND($B605&gt;='1331'!$I$9,$B605&lt;='1331'!$J$9,OR($O605=$Y$7,$P605=$Y$7)),"x","")</f>
        <v/>
      </c>
      <c r="Z605" s="80" t="str">
        <f>IF(AND($O605=$Y$7,$B605&lt;'1331'!$I$9),"x","")</f>
        <v/>
      </c>
      <c r="AA605" s="80" t="str">
        <f>IF(AND($P605=$Y$7,$B605&lt;'1331'!$I$9),"x","")</f>
        <v/>
      </c>
      <c r="AB605" s="80" t="str">
        <f>IF(AND($B605&gt;='1332'!$I$9,$B605&lt;='1332'!$I$9,OR($O605=$AB$7,$P605=$AB$7)),"x","")</f>
        <v/>
      </c>
      <c r="AC605" s="80" t="str">
        <f>IF(AND($O605=$AB$7,$B605&lt;'1332'!$I$9),"x","")</f>
        <v/>
      </c>
      <c r="AD605" s="80" t="str">
        <f>IF(AND($P605=$AB$7,$B605&lt;'1332'!$I$9),"x","")</f>
        <v/>
      </c>
      <c r="AE605" s="80" t="str">
        <f>IF(AND('341-CT'!$H$9=H605,OR(LEFT(O605,3)=$AE$7,LEFT(P605,3)=$AE$7)),"x","")</f>
        <v/>
      </c>
      <c r="AF605" s="80" t="str">
        <f>IF(OR(TH!O605=TH!$AF$7,P605=TH!$AF$7),"x","")</f>
        <v>x</v>
      </c>
      <c r="AG605" s="80"/>
      <c r="AH605" s="80" t="str">
        <f>IF(AND(B605&gt;='IN-NX'!$P$3,B605&lt;='IN-NX'!$Q$3,'IN-NX'!$D$7=D605,OR(LEFT(L605,2)="15",AND(LEFT(M605,2)&lt;&gt;"15",LEFT(M605,2)&lt;&gt;"33"))),"x","")</f>
        <v/>
      </c>
      <c r="AI605" s="80" t="str">
        <f>IF(AND(OR(LEFT(TH!O605,2)="15",LEFT(TH!P605,2)="15"),'152-CT'!$J$8=TH!F605),"x","")</f>
        <v/>
      </c>
      <c r="AJ605" s="80" t="str">
        <f>IF(AND(OR(LEFT(TH!O605,2)="15",LEFT(TH!P605,2)="15"),'THE KHO'!$E$7=TH!F605),"x","")</f>
        <v/>
      </c>
      <c r="AK605" s="80" t="str">
        <f>IF(AND(O605="1521",MONTH(C605)='BK NL'!$M$11),"x","")</f>
        <v/>
      </c>
    </row>
    <row r="606" spans="1:37" s="374" customFormat="1" ht="17.25" customHeight="1">
      <c r="A606" s="362" t="str">
        <f>IF(B606&lt;&gt;"",IF(AND(B606&gt;=_TM1,B606&lt;=_TM2,OR(TH!O606="1111",TH!P606="1111")),TH!D606,""),"")</f>
        <v/>
      </c>
      <c r="B606" s="63">
        <f t="shared" si="41"/>
        <v>8</v>
      </c>
      <c r="C606" s="1045">
        <v>42613</v>
      </c>
      <c r="D606" s="1045" t="s">
        <v>8</v>
      </c>
      <c r="E606" s="1045">
        <v>42613</v>
      </c>
      <c r="F606" s="1046" t="s">
        <v>1145</v>
      </c>
      <c r="G606" s="1047" t="s">
        <v>798</v>
      </c>
      <c r="H606" s="1048" t="s">
        <v>221</v>
      </c>
      <c r="I606" s="1049"/>
      <c r="J606" s="1049"/>
      <c r="K606" s="1050"/>
      <c r="L606" s="1049"/>
      <c r="M606" s="1051">
        <v>22821810</v>
      </c>
      <c r="N606" s="1051"/>
      <c r="O606" s="1052" t="s">
        <v>9</v>
      </c>
      <c r="P606" s="1052" t="s">
        <v>31</v>
      </c>
      <c r="Q606" s="66" t="str">
        <f>IF(AND('331-CT'!$E$7=TH!H606,OR(O606="331",P606="331")),"x","")</f>
        <v/>
      </c>
      <c r="R606" s="66" t="str">
        <f>IF(AND($B606&gt;='111'!$N$11,$B606&lt;='111'!$O$11,OR($O606=$R$7,$P606=$R$7)),"x","")</f>
        <v/>
      </c>
      <c r="S606" s="66" t="str">
        <f>IF(AND($O606=$R$7,$B606&lt;'111'!$N$11),"x","")</f>
        <v/>
      </c>
      <c r="T606" s="66" t="str">
        <f>IF(AND($P606=$R$7,$B606&lt;'111'!$N$11),"x","")</f>
        <v/>
      </c>
      <c r="U606" s="66" t="str">
        <f>IF(AND($B606&gt;='112'!$M$9,$B606&lt;='112'!$N$9,OR($O606='112'!$I$6,$P606='112'!$I$6)),"x","")</f>
        <v>x</v>
      </c>
      <c r="V606" s="66" t="str">
        <f>IF(AND($O606='112'!$I$6,$B606&lt;'112'!$M$9),"x","")</f>
        <v/>
      </c>
      <c r="W606" s="66" t="str">
        <f>IF(AND($P606='112'!$I$6,$B606&lt;'112'!$M$9),"x","")</f>
        <v/>
      </c>
      <c r="X606" s="66" t="str">
        <f>IF(AND('131-CT'!$H$9=TH!H606,OR(O606="131",P606="131")),"x","")</f>
        <v/>
      </c>
      <c r="Y606" s="80" t="str">
        <f>IF(AND($B606&gt;='1331'!$I$9,$B606&lt;='1331'!$J$9,OR($O606=$Y$7,$P606=$Y$7)),"x","")</f>
        <v/>
      </c>
      <c r="Z606" s="80" t="str">
        <f>IF(AND($O606=$Y$7,$B606&lt;'1331'!$I$9),"x","")</f>
        <v/>
      </c>
      <c r="AA606" s="80" t="str">
        <f>IF(AND($P606=$Y$7,$B606&lt;'1331'!$I$9),"x","")</f>
        <v/>
      </c>
      <c r="AB606" s="80" t="str">
        <f>IF(AND($B606&gt;='1332'!$I$9,$B606&lt;='1332'!$I$9,OR($O606=$AB$7,$P606=$AB$7)),"x","")</f>
        <v/>
      </c>
      <c r="AC606" s="80" t="str">
        <f>IF(AND($O606=$AB$7,$B606&lt;'1332'!$I$9),"x","")</f>
        <v/>
      </c>
      <c r="AD606" s="80" t="str">
        <f>IF(AND($P606=$AB$7,$B606&lt;'1332'!$I$9),"x","")</f>
        <v/>
      </c>
      <c r="AE606" s="80" t="str">
        <f>IF(AND('341-CT'!$H$9=H606,OR(LEFT(O606,3)=$AE$7,LEFT(P606,3)=$AE$7)),"x","")</f>
        <v/>
      </c>
      <c r="AF606" s="80" t="str">
        <f>IF(OR(TH!O606=TH!$AF$7,P606=TH!$AF$7),"x","")</f>
        <v/>
      </c>
      <c r="AG606" s="80"/>
      <c r="AH606" s="80" t="str">
        <f>IF(AND(B606&gt;='IN-NX'!$P$3,B606&lt;='IN-NX'!$Q$3,'IN-NX'!$D$7=D606,OR(LEFT(L606,2)="15",AND(LEFT(M606,2)&lt;&gt;"15",LEFT(M606,2)&lt;&gt;"33"))),"x","")</f>
        <v/>
      </c>
      <c r="AI606" s="80" t="str">
        <f>IF(AND(OR(LEFT(TH!O606,2)="15",LEFT(TH!P606,2)="15"),'152-CT'!$J$8=TH!F606),"x","")</f>
        <v/>
      </c>
      <c r="AJ606" s="80" t="str">
        <f>IF(AND(OR(LEFT(TH!O606,2)="15",LEFT(TH!P606,2)="15"),'THE KHO'!$E$7=TH!F606),"x","")</f>
        <v/>
      </c>
      <c r="AK606" s="80" t="str">
        <f>IF(AND(O606="1521",MONTH(C606)='BK NL'!$M$11),"x","")</f>
        <v/>
      </c>
    </row>
    <row r="607" spans="1:37" s="374" customFormat="1" ht="17.25" customHeight="1">
      <c r="A607" s="362" t="str">
        <f>IF(B607&lt;&gt;"",IF(AND(B607&gt;=_TM1,B607&lt;=_TM2,OR(TH!O607="1111",TH!P607="1111")),TH!D607,""),"")</f>
        <v/>
      </c>
      <c r="B607" s="63">
        <f t="shared" si="41"/>
        <v>8</v>
      </c>
      <c r="C607" s="1045">
        <v>42613</v>
      </c>
      <c r="D607" s="1045" t="s">
        <v>8</v>
      </c>
      <c r="E607" s="1045">
        <v>42613</v>
      </c>
      <c r="F607" s="1046" t="s">
        <v>22</v>
      </c>
      <c r="G607" s="1047" t="s">
        <v>798</v>
      </c>
      <c r="H607" s="1129"/>
      <c r="I607" s="1135"/>
      <c r="J607" s="1135"/>
      <c r="K607" s="1136"/>
      <c r="L607" s="1135"/>
      <c r="M607" s="1051">
        <v>25000</v>
      </c>
      <c r="N607" s="1051"/>
      <c r="O607" s="1052" t="s">
        <v>135</v>
      </c>
      <c r="P607" s="1052" t="s">
        <v>31</v>
      </c>
      <c r="Q607" s="66" t="str">
        <f>IF(AND('331-CT'!$E$7=TH!H607,OR(O607="331",P607="331")),"x","")</f>
        <v/>
      </c>
      <c r="R607" s="66" t="str">
        <f>IF(AND($B607&gt;='111'!$N$11,$B607&lt;='111'!$O$11,OR($O607=$R$7,$P607=$R$7)),"x","")</f>
        <v/>
      </c>
      <c r="S607" s="66" t="str">
        <f>IF(AND($O607=$R$7,$B607&lt;'111'!$N$11),"x","")</f>
        <v/>
      </c>
      <c r="T607" s="66" t="str">
        <f>IF(AND($P607=$R$7,$B607&lt;'111'!$N$11),"x","")</f>
        <v/>
      </c>
      <c r="U607" s="66" t="str">
        <f>IF(AND($B607&gt;='112'!$M$9,$B607&lt;='112'!$N$9,OR($O607='112'!$I$6,$P607='112'!$I$6)),"x","")</f>
        <v>x</v>
      </c>
      <c r="V607" s="66" t="str">
        <f>IF(AND($O607='112'!$I$6,$B607&lt;'112'!$M$9),"x","")</f>
        <v/>
      </c>
      <c r="W607" s="66" t="str">
        <f>IF(AND($P607='112'!$I$6,$B607&lt;'112'!$M$9),"x","")</f>
        <v/>
      </c>
      <c r="X607" s="66" t="str">
        <f>IF(AND('131-CT'!$H$9=TH!H607,OR(O607="131",P607="131")),"x","")</f>
        <v/>
      </c>
      <c r="Y607" s="80" t="str">
        <f>IF(AND($B607&gt;='1331'!$I$9,$B607&lt;='1331'!$J$9,OR($O607=$Y$7,$P607=$Y$7)),"x","")</f>
        <v/>
      </c>
      <c r="Z607" s="80" t="str">
        <f>IF(AND($O607=$Y$7,$B607&lt;'1331'!$I$9),"x","")</f>
        <v/>
      </c>
      <c r="AA607" s="80" t="str">
        <f>IF(AND($P607=$Y$7,$B607&lt;'1331'!$I$9),"x","")</f>
        <v/>
      </c>
      <c r="AB607" s="80" t="str">
        <f>IF(AND($B607&gt;='1332'!$I$9,$B607&lt;='1332'!$I$9,OR($O607=$AB$7,$P607=$AB$7)),"x","")</f>
        <v/>
      </c>
      <c r="AC607" s="80" t="str">
        <f>IF(AND($O607=$AB$7,$B607&lt;'1332'!$I$9),"x","")</f>
        <v/>
      </c>
      <c r="AD607" s="80" t="str">
        <f>IF(AND($P607=$AB$7,$B607&lt;'1332'!$I$9),"x","")</f>
        <v/>
      </c>
      <c r="AE607" s="80" t="str">
        <f>IF(AND('341-CT'!$H$9=H607,OR(LEFT(O607,3)=$AE$7,LEFT(P607,3)=$AE$7)),"x","")</f>
        <v/>
      </c>
      <c r="AF607" s="80" t="str">
        <f>IF(OR(TH!O607=TH!$AF$7,P607=TH!$AF$7),"x","")</f>
        <v/>
      </c>
      <c r="AG607" s="80"/>
      <c r="AH607" s="80" t="str">
        <f>IF(AND(B607&gt;='IN-NX'!$P$3,B607&lt;='IN-NX'!$Q$3,'IN-NX'!$D$7=D607,OR(LEFT(L607,2)="15",AND(LEFT(M607,2)&lt;&gt;"15",LEFT(M607,2)&lt;&gt;"33"))),"x","")</f>
        <v/>
      </c>
      <c r="AI607" s="80" t="str">
        <f>IF(AND(OR(LEFT(TH!O607,2)="15",LEFT(TH!P607,2)="15"),'152-CT'!$J$8=TH!F607),"x","")</f>
        <v/>
      </c>
      <c r="AJ607" s="80" t="str">
        <f>IF(AND(OR(LEFT(TH!O607,2)="15",LEFT(TH!P607,2)="15"),'THE KHO'!$E$7=TH!F607),"x","")</f>
        <v/>
      </c>
      <c r="AK607" s="80" t="str">
        <f>IF(AND(O607="1521",MONTH(C607)='BK NL'!$M$11),"x","")</f>
        <v/>
      </c>
    </row>
    <row r="608" spans="1:37" ht="17.25" customHeight="1">
      <c r="A608" s="362" t="str">
        <f>IF(B608&lt;&gt;"",IF(AND(B608&gt;=_TM1,B608&lt;=_TM2,OR(TH!O608="1111",TH!P608="1111")),TH!D608,""),"")</f>
        <v/>
      </c>
      <c r="B608" s="63">
        <f t="shared" si="41"/>
        <v>8</v>
      </c>
      <c r="C608" s="1045">
        <v>42613</v>
      </c>
      <c r="D608" s="1045" t="s">
        <v>8</v>
      </c>
      <c r="E608" s="1045">
        <v>42613</v>
      </c>
      <c r="F608" s="1046" t="s">
        <v>23</v>
      </c>
      <c r="G608" s="1047" t="s">
        <v>798</v>
      </c>
      <c r="H608" s="1048"/>
      <c r="I608" s="1049"/>
      <c r="J608" s="1049"/>
      <c r="K608" s="1050"/>
      <c r="L608" s="1049"/>
      <c r="M608" s="1137">
        <v>2500</v>
      </c>
      <c r="N608" s="1137"/>
      <c r="O608" s="1052" t="s">
        <v>10</v>
      </c>
      <c r="P608" s="1052" t="s">
        <v>31</v>
      </c>
      <c r="Q608" s="66" t="str">
        <f>IF(AND('331-CT'!$E$7=TH!H608,OR(O608="331",P608="331")),"x","")</f>
        <v/>
      </c>
      <c r="R608" s="66" t="str">
        <f>IF(AND($B608&gt;='111'!$N$11,$B608&lt;='111'!$O$11,OR($O608=$R$7,$P608=$R$7)),"x","")</f>
        <v/>
      </c>
      <c r="S608" s="66" t="str">
        <f>IF(AND($O608=$R$7,$B608&lt;'111'!$N$11),"x","")</f>
        <v/>
      </c>
      <c r="T608" s="66" t="str">
        <f>IF(AND($P608=$R$7,$B608&lt;'111'!$N$11),"x","")</f>
        <v/>
      </c>
      <c r="U608" s="66" t="str">
        <f>IF(AND($B608&gt;='112'!$M$9,$B608&lt;='112'!$N$9,OR($O608='112'!$I$6,$P608='112'!$I$6)),"x","")</f>
        <v>x</v>
      </c>
      <c r="V608" s="66" t="str">
        <f>IF(AND($O608='112'!$I$6,$B608&lt;'112'!$M$9),"x","")</f>
        <v/>
      </c>
      <c r="W608" s="66" t="str">
        <f>IF(AND($P608='112'!$I$6,$B608&lt;'112'!$M$9),"x","")</f>
        <v/>
      </c>
      <c r="X608" s="66" t="str">
        <f>IF(AND('131-CT'!$H$9=TH!H608,OR(O608="131",P608="131")),"x","")</f>
        <v/>
      </c>
      <c r="Y608" s="80" t="str">
        <f>IF(AND($B608&gt;='1331'!$I$9,$B608&lt;='1331'!$J$9,OR($O608=$Y$7,$P608=$Y$7)),"x","")</f>
        <v>x</v>
      </c>
      <c r="Z608" s="80" t="str">
        <f>IF(AND($O608=$Y$7,$B608&lt;'1331'!$I$9),"x","")</f>
        <v/>
      </c>
      <c r="AA608" s="80" t="str">
        <f>IF(AND($P608=$Y$7,$B608&lt;'1331'!$I$9),"x","")</f>
        <v/>
      </c>
      <c r="AB608" s="80" t="str">
        <f>IF(AND($B608&gt;='1332'!$I$9,$B608&lt;='1332'!$I$9,OR($O608=$AB$7,$P608=$AB$7)),"x","")</f>
        <v/>
      </c>
      <c r="AC608" s="80" t="str">
        <f>IF(AND($O608=$AB$7,$B608&lt;'1332'!$I$9),"x","")</f>
        <v/>
      </c>
      <c r="AD608" s="80" t="str">
        <f>IF(AND($P608=$AB$7,$B608&lt;'1332'!$I$9),"x","")</f>
        <v/>
      </c>
      <c r="AE608" s="80" t="str">
        <f>IF(AND('341-CT'!$H$9=H608,OR(LEFT(O608,3)=$AE$7,LEFT(P608,3)=$AE$7)),"x","")</f>
        <v/>
      </c>
      <c r="AF608" s="80" t="str">
        <f>IF(OR(TH!O608=TH!$AF$7,P608=TH!$AF$7),"x","")</f>
        <v/>
      </c>
      <c r="AG608" s="80"/>
      <c r="AH608" s="80" t="str">
        <f>IF(AND(B608&gt;='IN-NX'!$P$3,B608&lt;='IN-NX'!$Q$3,'IN-NX'!$D$7=D608,OR(LEFT(L608,2)="15",AND(LEFT(M608,2)&lt;&gt;"15",LEFT(M608,2)&lt;&gt;"33"))),"x","")</f>
        <v/>
      </c>
      <c r="AI608" s="80" t="str">
        <f>IF(AND(OR(LEFT(TH!O608,2)="15",LEFT(TH!P608,2)="15"),'152-CT'!$J$8=TH!F608),"x","")</f>
        <v/>
      </c>
      <c r="AJ608" s="80" t="str">
        <f>IF(AND(OR(LEFT(TH!O608,2)="15",LEFT(TH!P608,2)="15"),'THE KHO'!$E$7=TH!F608),"x","")</f>
        <v/>
      </c>
      <c r="AK608" s="80" t="str">
        <f>IF(AND(O608="1521",MONTH(C608)='BK NL'!$M$11),"x","")</f>
        <v/>
      </c>
    </row>
    <row r="609" spans="1:37" ht="15.75" customHeight="1">
      <c r="A609" s="362" t="str">
        <f>IF(B609&lt;&gt;"",IF(AND(B609&gt;=_TM1,B609&lt;=_TM2,OR(TH!O609="1111",TH!P609="1111")),TH!D609,""),"")</f>
        <v/>
      </c>
      <c r="B609" s="63">
        <f t="shared" si="41"/>
        <v>8</v>
      </c>
      <c r="C609" s="1045">
        <f>E609</f>
        <v>42613</v>
      </c>
      <c r="D609" s="1045" t="s">
        <v>193</v>
      </c>
      <c r="E609" s="1045">
        <v>42613</v>
      </c>
      <c r="F609" s="1046" t="s">
        <v>1156</v>
      </c>
      <c r="G609" s="1053"/>
      <c r="H609" s="1048"/>
      <c r="I609" s="1049"/>
      <c r="J609" s="1049"/>
      <c r="K609" s="1050"/>
      <c r="L609" s="1049"/>
      <c r="M609" s="1051">
        <f>13378510+23118385+160519370</f>
        <v>197016265</v>
      </c>
      <c r="N609" s="1051"/>
      <c r="O609" s="1052" t="s">
        <v>1020</v>
      </c>
      <c r="P609" s="1052" t="s">
        <v>97</v>
      </c>
      <c r="Q609" s="66" t="str">
        <f>IF(AND('331-CT'!$E$7=TH!H609,OR(O609="331",P609="331")),"x","")</f>
        <v/>
      </c>
      <c r="R609" s="66" t="str">
        <f>IF(AND($B609&gt;='111'!$N$11,$B609&lt;='111'!$O$11,OR($O609=$R$7,$P609=$R$7)),"x","")</f>
        <v>x</v>
      </c>
      <c r="S609" s="66" t="str">
        <f>IF(AND($O609=$R$7,$B609&lt;'111'!$N$11),"x","")</f>
        <v/>
      </c>
      <c r="T609" s="66" t="str">
        <f>IF(AND($P609=$R$7,$B609&lt;'111'!$N$11),"x","")</f>
        <v/>
      </c>
      <c r="U609" s="66" t="str">
        <f>IF(AND($B609&gt;='112'!$M$9,$B609&lt;='112'!$N$9,OR($O609='112'!$I$6,$P609='112'!$I$6)),"x","")</f>
        <v/>
      </c>
      <c r="V609" s="66" t="str">
        <f>IF(AND($O609='112'!$I$6,$B609&lt;'112'!$M$9),"x","")</f>
        <v/>
      </c>
      <c r="W609" s="66" t="str">
        <f>IF(AND($P609='112'!$I$6,$B609&lt;'112'!$M$9),"x","")</f>
        <v/>
      </c>
      <c r="X609" s="66" t="str">
        <f>IF(AND('131-CT'!$H$9=TH!H609,OR(O609="131",P609="131")),"x","")</f>
        <v/>
      </c>
      <c r="Y609" s="80" t="str">
        <f>IF(AND($B609&gt;='1331'!$I$9,$B609&lt;='1331'!$J$9,OR($O609=$Y$7,$P609=$Y$7)),"x","")</f>
        <v/>
      </c>
      <c r="Z609" s="80" t="str">
        <f>IF(AND($O609=$Y$7,$B609&lt;'1331'!$I$9),"x","")</f>
        <v/>
      </c>
      <c r="AA609" s="80" t="str">
        <f>IF(AND($P609=$Y$7,$B609&lt;'1331'!$I$9),"x","")</f>
        <v/>
      </c>
      <c r="AB609" s="80" t="str">
        <f>IF(AND($B609&gt;='1332'!$I$9,$B609&lt;='1332'!$I$9,OR($O609=$AB$7,$P609=$AB$7)),"x","")</f>
        <v/>
      </c>
      <c r="AC609" s="80" t="str">
        <f>IF(AND($O609=$AB$7,$B609&lt;'1332'!$I$9),"x","")</f>
        <v/>
      </c>
      <c r="AD609" s="80" t="str">
        <f>IF(AND($P609=$AB$7,$B609&lt;'1332'!$I$9),"x","")</f>
        <v/>
      </c>
      <c r="AE609" s="80" t="str">
        <f>IF(AND('341-CT'!$H$9=H609,OR(LEFT(O609,3)=$AE$7,LEFT(P609,3)=$AE$7)),"x","")</f>
        <v/>
      </c>
      <c r="AF609" s="80" t="str">
        <f>IF(OR(TH!O609=TH!$AF$7,P609=TH!$AF$7),"x","")</f>
        <v/>
      </c>
      <c r="AG609" s="80"/>
      <c r="AH609" s="80" t="str">
        <f>IF(AND(B609&gt;='IN-NX'!$P$3,B609&lt;='IN-NX'!$Q$3,'IN-NX'!$D$7=D609,OR(LEFT(L609,2)="15",AND(LEFT(M609,2)&lt;&gt;"15",LEFT(M609,2)&lt;&gt;"33"))),"x","")</f>
        <v/>
      </c>
      <c r="AI609" s="80" t="str">
        <f>IF(AND(OR(LEFT(TH!O609,2)="15",LEFT(TH!P609,2)="15"),'152-CT'!$J$8=TH!F609),"x","")</f>
        <v/>
      </c>
      <c r="AJ609" s="80" t="str">
        <f>IF(AND(OR(LEFT(TH!O609,2)="15",LEFT(TH!P609,2)="15"),'THE KHO'!$E$7=TH!F609),"x","")</f>
        <v/>
      </c>
      <c r="AK609" s="80" t="str">
        <f>IF(AND(O609="1521",MONTH(C609)='BK NL'!$M$11),"x","")</f>
        <v/>
      </c>
    </row>
    <row r="610" spans="1:37" ht="15.75" customHeight="1">
      <c r="A610" s="362" t="str">
        <f>IF(B610&lt;&gt;"",IF(AND(B610&gt;=_TM1,B610&lt;=_TM2,OR(TH!O610="1111",TH!P610="1111")),TH!D610,""),"")</f>
        <v/>
      </c>
      <c r="B610" s="63">
        <f t="shared" si="41"/>
        <v>8</v>
      </c>
      <c r="C610" s="1045">
        <f>E610</f>
        <v>42613</v>
      </c>
      <c r="D610" s="1045" t="s">
        <v>12</v>
      </c>
      <c r="E610" s="1045">
        <v>42613</v>
      </c>
      <c r="F610" s="1046" t="s">
        <v>788</v>
      </c>
      <c r="G610" s="1047"/>
      <c r="H610" s="1048" t="s">
        <v>429</v>
      </c>
      <c r="I610" s="1049"/>
      <c r="J610" s="1049"/>
      <c r="K610" s="1050"/>
      <c r="L610" s="1049"/>
      <c r="M610" s="1051">
        <v>23000000</v>
      </c>
      <c r="N610" s="1051"/>
      <c r="O610" s="1052" t="s">
        <v>31</v>
      </c>
      <c r="P610" s="1052" t="s">
        <v>24</v>
      </c>
      <c r="Q610" s="66" t="str">
        <f>IF(AND('331-CT'!$E$7=TH!H610,OR(O610="331",P610="331")),"x","")</f>
        <v/>
      </c>
      <c r="R610" s="66" t="str">
        <f>IF(AND($B610&gt;='111'!$N$11,$B610&lt;='111'!$O$11,OR($O610=$R$7,$P610=$R$7)),"x","")</f>
        <v/>
      </c>
      <c r="S610" s="66" t="str">
        <f>IF(AND($O610=$R$7,$B610&lt;'111'!$N$11),"x","")</f>
        <v/>
      </c>
      <c r="T610" s="66" t="str">
        <f>IF(AND($P610=$R$7,$B610&lt;'111'!$N$11),"x","")</f>
        <v/>
      </c>
      <c r="U610" s="66" t="str">
        <f>IF(AND($B610&gt;='112'!$M$9,$B610&lt;='112'!$N$9,OR($O610='112'!$I$6,$P610='112'!$I$6)),"x","")</f>
        <v>x</v>
      </c>
      <c r="V610" s="66" t="str">
        <f>IF(AND($O610='112'!$I$6,$B610&lt;'112'!$M$9),"x","")</f>
        <v/>
      </c>
      <c r="W610" s="66" t="str">
        <f>IF(AND($P610='112'!$I$6,$B610&lt;'112'!$M$9),"x","")</f>
        <v/>
      </c>
      <c r="X610" s="66" t="str">
        <f>IF(AND('131-CT'!$H$9=TH!H610,OR(O610="131",P610="131")),"x","")</f>
        <v/>
      </c>
      <c r="Y610" s="80" t="str">
        <f>IF(AND($B610&gt;='1331'!$I$9,$B610&lt;='1331'!$J$9,OR($O610=$Y$7,$P610=$Y$7)),"x","")</f>
        <v/>
      </c>
      <c r="Z610" s="80" t="str">
        <f>IF(AND($O610=$Y$7,$B610&lt;'1331'!$I$9),"x","")</f>
        <v/>
      </c>
      <c r="AA610" s="80" t="str">
        <f>IF(AND($P610=$Y$7,$B610&lt;'1331'!$I$9),"x","")</f>
        <v/>
      </c>
      <c r="AB610" s="80" t="str">
        <f>IF(AND($B610&gt;='1332'!$I$9,$B610&lt;='1332'!$I$9,OR($O610=$AB$7,$P610=$AB$7)),"x","")</f>
        <v/>
      </c>
      <c r="AC610" s="80" t="str">
        <f>IF(AND($O610=$AB$7,$B610&lt;'1332'!$I$9),"x","")</f>
        <v/>
      </c>
      <c r="AD610" s="80" t="str">
        <f>IF(AND($P610=$AB$7,$B610&lt;'1332'!$I$9),"x","")</f>
        <v/>
      </c>
      <c r="AE610" s="80" t="str">
        <f>IF(AND('341-CT'!$H$9=H610,OR(LEFT(O610,3)=$AE$7,LEFT(P610,3)=$AE$7)),"x","")</f>
        <v/>
      </c>
      <c r="AF610" s="80" t="str">
        <f>IF(OR(TH!O610=TH!$AF$7,P610=TH!$AF$7),"x","")</f>
        <v>x</v>
      </c>
      <c r="AG610" s="80"/>
      <c r="AH610" s="80" t="str">
        <f>IF(AND(B610&gt;='IN-NX'!$P$3,B610&lt;='IN-NX'!$Q$3,'IN-NX'!$D$7=D610,OR(LEFT(L610,2)="15",AND(LEFT(M610,2)&lt;&gt;"15",LEFT(M610,2)&lt;&gt;"33"))),"x","")</f>
        <v/>
      </c>
      <c r="AI610" s="80" t="str">
        <f>IF(AND(OR(LEFT(TH!O610,2)="15",LEFT(TH!P610,2)="15"),'152-CT'!$J$8=TH!F610),"x","")</f>
        <v/>
      </c>
      <c r="AJ610" s="80" t="str">
        <f>IF(AND(OR(LEFT(TH!O610,2)="15",LEFT(TH!P610,2)="15"),'THE KHO'!$E$7=TH!F610),"x","")</f>
        <v/>
      </c>
      <c r="AK610" s="80" t="str">
        <f>IF(AND(O610="1521",MONTH(C610)='BK NL'!$M$11),"x","")</f>
        <v/>
      </c>
    </row>
    <row r="611" spans="1:37" ht="15.75" customHeight="1">
      <c r="A611" s="362" t="str">
        <f>IF(B611&lt;&gt;"",IF(AND(B611&gt;=_TM1,B611&lt;=_TM2,OR(TH!O611="1111",TH!P611="1111")),TH!D611,""),"")</f>
        <v/>
      </c>
      <c r="B611" s="63">
        <f t="shared" si="41"/>
        <v>8</v>
      </c>
      <c r="C611" s="1045">
        <v>42613</v>
      </c>
      <c r="D611" s="1045" t="s">
        <v>1157</v>
      </c>
      <c r="E611" s="1045">
        <v>42586</v>
      </c>
      <c r="F611" s="1046" t="s">
        <v>1158</v>
      </c>
      <c r="G611" s="1147" t="s">
        <v>1159</v>
      </c>
      <c r="H611" s="1048" t="s">
        <v>1007</v>
      </c>
      <c r="I611" s="1049"/>
      <c r="J611" s="1049"/>
      <c r="K611" s="1050"/>
      <c r="L611" s="1049"/>
      <c r="M611" s="1122">
        <v>28213500</v>
      </c>
      <c r="N611" s="1122"/>
      <c r="O611" s="1052" t="s">
        <v>242</v>
      </c>
      <c r="P611" s="1052" t="s">
        <v>9</v>
      </c>
      <c r="Q611" s="66" t="str">
        <f>IF(AND('331-CT'!$E$7=TH!H611,OR(O611="331",P611="331")),"x","")</f>
        <v/>
      </c>
      <c r="R611" s="66" t="str">
        <f>IF(AND($B611&gt;='111'!$N$11,$B611&lt;='111'!$O$11,OR($O611=$R$7,$P611=$R$7)),"x","")</f>
        <v/>
      </c>
      <c r="S611" s="66" t="str">
        <f>IF(AND($O611=$R$7,$B611&lt;'111'!$N$11),"x","")</f>
        <v/>
      </c>
      <c r="T611" s="66" t="str">
        <f>IF(AND($P611=$R$7,$B611&lt;'111'!$N$11),"x","")</f>
        <v/>
      </c>
      <c r="U611" s="66" t="str">
        <f>IF(AND($B611&gt;='112'!$M$9,$B611&lt;='112'!$N$9,OR($O611='112'!$I$6,$P611='112'!$I$6)),"x","")</f>
        <v/>
      </c>
      <c r="V611" s="66" t="str">
        <f>IF(AND($O611='112'!$I$6,$B611&lt;'112'!$M$9),"x","")</f>
        <v/>
      </c>
      <c r="W611" s="66" t="str">
        <f>IF(AND($P611='112'!$I$6,$B611&lt;'112'!$M$9),"x","")</f>
        <v/>
      </c>
      <c r="X611" s="66" t="str">
        <f>IF(AND('131-CT'!$H$9=TH!H611,OR(O611="131",P611="131")),"x","")</f>
        <v/>
      </c>
      <c r="Y611" s="80" t="str">
        <f>IF(AND($B611&gt;='1331'!$I$9,$B611&lt;='1331'!$J$9,OR($O611=$Y$7,$P611=$Y$7)),"x","")</f>
        <v/>
      </c>
      <c r="Z611" s="80" t="str">
        <f>IF(AND($O611=$Y$7,$B611&lt;'1331'!$I$9),"x","")</f>
        <v/>
      </c>
      <c r="AA611" s="80" t="str">
        <f>IF(AND($P611=$Y$7,$B611&lt;'1331'!$I$9),"x","")</f>
        <v/>
      </c>
      <c r="AB611" s="80" t="str">
        <f>IF(AND($B611&gt;='1332'!$I$9,$B611&lt;='1332'!$I$9,OR($O611=$AB$7,$P611=$AB$7)),"x","")</f>
        <v/>
      </c>
      <c r="AC611" s="80" t="str">
        <f>IF(AND($O611=$AB$7,$B611&lt;'1332'!$I$9),"x","")</f>
        <v/>
      </c>
      <c r="AD611" s="80" t="str">
        <f>IF(AND($P611=$AB$7,$B611&lt;'1332'!$I$9),"x","")</f>
        <v/>
      </c>
      <c r="AE611" s="80" t="str">
        <f>IF(AND('341-CT'!$H$9=H611,OR(LEFT(O611,3)=$AE$7,LEFT(P611,3)=$AE$7)),"x","")</f>
        <v/>
      </c>
      <c r="AF611" s="80" t="str">
        <f>IF(OR(TH!O611=TH!$AF$7,P611=TH!$AF$7),"x","")</f>
        <v/>
      </c>
      <c r="AG611" s="80"/>
      <c r="AH611" s="80" t="str">
        <f>IF(AND(B611&gt;='IN-NX'!$P$3,B611&lt;='IN-NX'!$Q$3,'IN-NX'!$D$7=D611,OR(LEFT(L611,2)="15",AND(LEFT(M611,2)&lt;&gt;"15",LEFT(M611,2)&lt;&gt;"33"))),"x","")</f>
        <v/>
      </c>
      <c r="AI611" s="80" t="str">
        <f>IF(AND(OR(LEFT(TH!O611,2)="15",LEFT(TH!P611,2)="15"),'152-CT'!$J$8=TH!F611),"x","")</f>
        <v/>
      </c>
      <c r="AJ611" s="80" t="str">
        <f>IF(AND(OR(LEFT(TH!O611,2)="15",LEFT(TH!P611,2)="15"),'THE KHO'!$E$7=TH!F611),"x","")</f>
        <v/>
      </c>
      <c r="AK611" s="80" t="str">
        <f>IF(AND(O611="1521",MONTH(C611)='BK NL'!$M$11),"x","")</f>
        <v/>
      </c>
    </row>
    <row r="612" spans="1:37" ht="15.75" customHeight="1">
      <c r="A612" s="362" t="str">
        <f>IF(B612&lt;&gt;"",IF(AND(B612&gt;=_TM1,B612&lt;=_TM2,OR(TH!O612="1111",TH!P612="1111")),TH!D612,""),"")</f>
        <v/>
      </c>
      <c r="B612" s="63">
        <f t="shared" si="41"/>
        <v>8</v>
      </c>
      <c r="C612" s="1045">
        <v>42613</v>
      </c>
      <c r="D612" s="1045" t="s">
        <v>1157</v>
      </c>
      <c r="E612" s="1045">
        <v>42586</v>
      </c>
      <c r="F612" s="1046" t="s">
        <v>1160</v>
      </c>
      <c r="G612" s="1147" t="s">
        <v>1159</v>
      </c>
      <c r="H612" s="1048" t="s">
        <v>1007</v>
      </c>
      <c r="I612" s="1049"/>
      <c r="J612" s="1049"/>
      <c r="K612" s="1050"/>
      <c r="L612" s="1049"/>
      <c r="M612" s="1122">
        <v>2821350</v>
      </c>
      <c r="N612" s="1122"/>
      <c r="O612" s="1052" t="s">
        <v>981</v>
      </c>
      <c r="P612" s="1052" t="s">
        <v>9</v>
      </c>
      <c r="Q612" s="66" t="str">
        <f>IF(AND('331-CT'!$E$7=TH!H612,OR(O612="331",P612="331")),"x","")</f>
        <v/>
      </c>
      <c r="R612" s="66" t="str">
        <f>IF(AND($B612&gt;='111'!$N$11,$B612&lt;='111'!$O$11,OR($O612=$R$7,$P612=$R$7)),"x","")</f>
        <v/>
      </c>
      <c r="S612" s="66" t="str">
        <f>IF(AND($O612=$R$7,$B612&lt;'111'!$N$11),"x","")</f>
        <v/>
      </c>
      <c r="T612" s="66" t="str">
        <f>IF(AND($P612=$R$7,$B612&lt;'111'!$N$11),"x","")</f>
        <v/>
      </c>
      <c r="U612" s="66" t="str">
        <f>IF(AND($B612&gt;='112'!$M$9,$B612&lt;='112'!$N$9,OR($O612='112'!$I$6,$P612='112'!$I$6)),"x","")</f>
        <v/>
      </c>
      <c r="V612" s="66" t="str">
        <f>IF(AND($O612='112'!$I$6,$B612&lt;'112'!$M$9),"x","")</f>
        <v/>
      </c>
      <c r="W612" s="66" t="str">
        <f>IF(AND($P612='112'!$I$6,$B612&lt;'112'!$M$9),"x","")</f>
        <v/>
      </c>
      <c r="X612" s="66" t="str">
        <f>IF(AND('131-CT'!$H$9=TH!H612,OR(O612="131",P612="131")),"x","")</f>
        <v/>
      </c>
      <c r="Y612" s="80" t="str">
        <f>IF(AND($B612&gt;='1331'!$I$9,$B612&lt;='1331'!$J$9,OR($O612=$Y$7,$P612=$Y$7)),"x","")</f>
        <v/>
      </c>
      <c r="Z612" s="80" t="str">
        <f>IF(AND($O612=$Y$7,$B612&lt;'1331'!$I$9),"x","")</f>
        <v/>
      </c>
      <c r="AA612" s="80" t="str">
        <f>IF(AND($P612=$Y$7,$B612&lt;'1331'!$I$9),"x","")</f>
        <v/>
      </c>
      <c r="AB612" s="80" t="str">
        <f>IF(AND($B612&gt;='1332'!$I$9,$B612&lt;='1332'!$I$9,OR($O612=$AB$7,$P612=$AB$7)),"x","")</f>
        <v/>
      </c>
      <c r="AC612" s="80" t="str">
        <f>IF(AND($O612=$AB$7,$B612&lt;'1332'!$I$9),"x","")</f>
        <v/>
      </c>
      <c r="AD612" s="80" t="str">
        <f>IF(AND($P612=$AB$7,$B612&lt;'1332'!$I$9),"x","")</f>
        <v/>
      </c>
      <c r="AE612" s="80" t="str">
        <f>IF(AND('341-CT'!$H$9=H612,OR(LEFT(O612,3)=$AE$7,LEFT(P612,3)=$AE$7)),"x","")</f>
        <v/>
      </c>
      <c r="AF612" s="80" t="str">
        <f>IF(OR(TH!O612=TH!$AF$7,P612=TH!$AF$7),"x","")</f>
        <v/>
      </c>
      <c r="AG612" s="80"/>
      <c r="AH612" s="80" t="str">
        <f>IF(AND(B612&gt;='IN-NX'!$P$3,B612&lt;='IN-NX'!$Q$3,'IN-NX'!$D$7=D612,OR(LEFT(L612,2)="15",AND(LEFT(M612,2)&lt;&gt;"15",LEFT(M612,2)&lt;&gt;"33"))),"x","")</f>
        <v/>
      </c>
      <c r="AI612" s="80" t="str">
        <f>IF(AND(OR(LEFT(TH!O612,2)="15",LEFT(TH!P612,2)="15"),'152-CT'!$J$8=TH!F612),"x","")</f>
        <v/>
      </c>
      <c r="AJ612" s="80" t="str">
        <f>IF(AND(OR(LEFT(TH!O612,2)="15",LEFT(TH!P612,2)="15"),'THE KHO'!$E$7=TH!F612),"x","")</f>
        <v/>
      </c>
      <c r="AK612" s="80" t="str">
        <f>IF(AND(O612="1521",MONTH(C612)='BK NL'!$M$11),"x","")</f>
        <v/>
      </c>
    </row>
    <row r="613" spans="1:37" ht="15.75" customHeight="1">
      <c r="A613" s="362" t="str">
        <f>IF(B613&lt;&gt;"",IF(AND(B613&gt;=_TM1,B613&lt;=_TM2,OR(TH!O613="1111",TH!P613="1111")),TH!D613,""),"")</f>
        <v/>
      </c>
      <c r="B613" s="63">
        <f t="shared" si="41"/>
        <v>8</v>
      </c>
      <c r="C613" s="1045">
        <v>42613</v>
      </c>
      <c r="D613" s="1045" t="s">
        <v>1157</v>
      </c>
      <c r="E613" s="1045">
        <v>42590</v>
      </c>
      <c r="F613" s="1046" t="s">
        <v>1161</v>
      </c>
      <c r="G613" s="1147" t="s">
        <v>1162</v>
      </c>
      <c r="H613" s="1129" t="s">
        <v>162</v>
      </c>
      <c r="I613" s="1049"/>
      <c r="J613" s="1049"/>
      <c r="K613" s="1050"/>
      <c r="L613" s="1049"/>
      <c r="M613" s="1122">
        <v>11097728</v>
      </c>
      <c r="N613" s="1122"/>
      <c r="O613" s="1052" t="s">
        <v>242</v>
      </c>
      <c r="P613" s="1052" t="s">
        <v>9</v>
      </c>
      <c r="Q613" s="66" t="str">
        <f>IF(AND('331-CT'!$E$7=TH!H613,OR(O613="331",P613="331")),"x","")</f>
        <v/>
      </c>
      <c r="R613" s="66" t="str">
        <f>IF(AND($B613&gt;='111'!$N$11,$B613&lt;='111'!$O$11,OR($O613=$R$7,$P613=$R$7)),"x","")</f>
        <v/>
      </c>
      <c r="S613" s="66" t="str">
        <f>IF(AND($O613=$R$7,$B613&lt;'111'!$N$11),"x","")</f>
        <v/>
      </c>
      <c r="T613" s="66" t="str">
        <f>IF(AND($P613=$R$7,$B613&lt;'111'!$N$11),"x","")</f>
        <v/>
      </c>
      <c r="U613" s="66" t="str">
        <f>IF(AND($B613&gt;='112'!$M$9,$B613&lt;='112'!$N$9,OR($O613='112'!$I$6,$P613='112'!$I$6)),"x","")</f>
        <v/>
      </c>
      <c r="V613" s="66" t="str">
        <f>IF(AND($O613='112'!$I$6,$B613&lt;'112'!$M$9),"x","")</f>
        <v/>
      </c>
      <c r="W613" s="66" t="str">
        <f>IF(AND($P613='112'!$I$6,$B613&lt;'112'!$M$9),"x","")</f>
        <v/>
      </c>
      <c r="X613" s="66" t="str">
        <f>IF(AND('131-CT'!$H$9=TH!H613,OR(O613="131",P613="131")),"x","")</f>
        <v/>
      </c>
      <c r="Y613" s="80" t="str">
        <f>IF(AND($B613&gt;='1331'!$I$9,$B613&lt;='1331'!$J$9,OR($O613=$Y$7,$P613=$Y$7)),"x","")</f>
        <v/>
      </c>
      <c r="Z613" s="80" t="str">
        <f>IF(AND($O613=$Y$7,$B613&lt;'1331'!$I$9),"x","")</f>
        <v/>
      </c>
      <c r="AA613" s="80" t="str">
        <f>IF(AND($P613=$Y$7,$B613&lt;'1331'!$I$9),"x","")</f>
        <v/>
      </c>
      <c r="AB613" s="80" t="str">
        <f>IF(AND($B613&gt;='1332'!$I$9,$B613&lt;='1332'!$I$9,OR($O613=$AB$7,$P613=$AB$7)),"x","")</f>
        <v/>
      </c>
      <c r="AC613" s="80" t="str">
        <f>IF(AND($O613=$AB$7,$B613&lt;'1332'!$I$9),"x","")</f>
        <v/>
      </c>
      <c r="AD613" s="80" t="str">
        <f>IF(AND($P613=$AB$7,$B613&lt;'1332'!$I$9),"x","")</f>
        <v/>
      </c>
      <c r="AE613" s="80" t="str">
        <f>IF(AND('341-CT'!$H$9=H613,OR(LEFT(O613,3)=$AE$7,LEFT(P613,3)=$AE$7)),"x","")</f>
        <v/>
      </c>
      <c r="AF613" s="80" t="str">
        <f>IF(OR(TH!O613=TH!$AF$7,P613=TH!$AF$7),"x","")</f>
        <v/>
      </c>
      <c r="AG613" s="80"/>
      <c r="AH613" s="80" t="str">
        <f>IF(AND(B613&gt;='IN-NX'!$P$3,B613&lt;='IN-NX'!$Q$3,'IN-NX'!$D$7=D613,OR(LEFT(L613,2)="15",AND(LEFT(M613,2)&lt;&gt;"15",LEFT(M613,2)&lt;&gt;"33"))),"x","")</f>
        <v/>
      </c>
      <c r="AI613" s="80" t="str">
        <f>IF(AND(OR(LEFT(TH!O613,2)="15",LEFT(TH!P613,2)="15"),'152-CT'!$J$8=TH!F613),"x","")</f>
        <v/>
      </c>
      <c r="AJ613" s="80" t="str">
        <f>IF(AND(OR(LEFT(TH!O613,2)="15",LEFT(TH!P613,2)="15"),'THE KHO'!$E$7=TH!F613),"x","")</f>
        <v/>
      </c>
      <c r="AK613" s="80" t="str">
        <f>IF(AND(O613="1521",MONTH(C613)='BK NL'!$M$11),"x","")</f>
        <v/>
      </c>
    </row>
    <row r="614" spans="1:37" ht="15.75" customHeight="1">
      <c r="A614" s="362" t="str">
        <f>IF(B614&lt;&gt;"",IF(AND(B614&gt;=_TM1,B614&lt;=_TM2,OR(TH!O614="1111",TH!P614="1111")),TH!D614,""),"")</f>
        <v/>
      </c>
      <c r="B614" s="63">
        <f t="shared" si="41"/>
        <v>8</v>
      </c>
      <c r="C614" s="1045">
        <v>42613</v>
      </c>
      <c r="D614" s="1045" t="s">
        <v>1157</v>
      </c>
      <c r="E614" s="1045">
        <v>42590</v>
      </c>
      <c r="F614" s="1046" t="s">
        <v>1163</v>
      </c>
      <c r="G614" s="1147" t="s">
        <v>1162</v>
      </c>
      <c r="H614" s="1129" t="s">
        <v>162</v>
      </c>
      <c r="I614" s="1049"/>
      <c r="J614" s="1049"/>
      <c r="K614" s="1050"/>
      <c r="L614" s="1049"/>
      <c r="M614" s="1122">
        <v>1109772</v>
      </c>
      <c r="N614" s="1122"/>
      <c r="O614" s="1052" t="s">
        <v>981</v>
      </c>
      <c r="P614" s="1052" t="s">
        <v>9</v>
      </c>
      <c r="Q614" s="66" t="str">
        <f>IF(AND('331-CT'!$E$7=TH!H614,OR(O614="331",P614="331")),"x","")</f>
        <v/>
      </c>
      <c r="R614" s="66" t="str">
        <f>IF(AND($B614&gt;='111'!$N$11,$B614&lt;='111'!$O$11,OR($O614=$R$7,$P614=$R$7)),"x","")</f>
        <v/>
      </c>
      <c r="S614" s="66" t="str">
        <f>IF(AND($O614=$R$7,$B614&lt;'111'!$N$11),"x","")</f>
        <v/>
      </c>
      <c r="T614" s="66" t="str">
        <f>IF(AND($P614=$R$7,$B614&lt;'111'!$N$11),"x","")</f>
        <v/>
      </c>
      <c r="U614" s="66" t="str">
        <f>IF(AND($B614&gt;='112'!$M$9,$B614&lt;='112'!$N$9,OR($O614='112'!$I$6,$P614='112'!$I$6)),"x","")</f>
        <v/>
      </c>
      <c r="V614" s="66" t="str">
        <f>IF(AND($O614='112'!$I$6,$B614&lt;'112'!$M$9),"x","")</f>
        <v/>
      </c>
      <c r="W614" s="66" t="str">
        <f>IF(AND($P614='112'!$I$6,$B614&lt;'112'!$M$9),"x","")</f>
        <v/>
      </c>
      <c r="X614" s="66" t="str">
        <f>IF(AND('131-CT'!$H$9=TH!H614,OR(O614="131",P614="131")),"x","")</f>
        <v/>
      </c>
      <c r="Y614" s="80" t="str">
        <f>IF(AND($B614&gt;='1331'!$I$9,$B614&lt;='1331'!$J$9,OR($O614=$Y$7,$P614=$Y$7)),"x","")</f>
        <v/>
      </c>
      <c r="Z614" s="80" t="str">
        <f>IF(AND($O614=$Y$7,$B614&lt;'1331'!$I$9),"x","")</f>
        <v/>
      </c>
      <c r="AA614" s="80" t="str">
        <f>IF(AND($P614=$Y$7,$B614&lt;'1331'!$I$9),"x","")</f>
        <v/>
      </c>
      <c r="AB614" s="80" t="str">
        <f>IF(AND($B614&gt;='1332'!$I$9,$B614&lt;='1332'!$I$9,OR($O614=$AB$7,$P614=$AB$7)),"x","")</f>
        <v/>
      </c>
      <c r="AC614" s="80" t="str">
        <f>IF(AND($O614=$AB$7,$B614&lt;'1332'!$I$9),"x","")</f>
        <v/>
      </c>
      <c r="AD614" s="80" t="str">
        <f>IF(AND($P614=$AB$7,$B614&lt;'1332'!$I$9),"x","")</f>
        <v/>
      </c>
      <c r="AE614" s="80" t="str">
        <f>IF(AND('341-CT'!$H$9=H614,OR(LEFT(O614,3)=$AE$7,LEFT(P614,3)=$AE$7)),"x","")</f>
        <v/>
      </c>
      <c r="AF614" s="80" t="str">
        <f>IF(OR(TH!O614=TH!$AF$7,P614=TH!$AF$7),"x","")</f>
        <v/>
      </c>
      <c r="AG614" s="80"/>
      <c r="AH614" s="80" t="str">
        <f>IF(AND(B614&gt;='IN-NX'!$P$3,B614&lt;='IN-NX'!$Q$3,'IN-NX'!$D$7=D614,OR(LEFT(L614,2)="15",AND(LEFT(M614,2)&lt;&gt;"15",LEFT(M614,2)&lt;&gt;"33"))),"x","")</f>
        <v/>
      </c>
      <c r="AI614" s="80" t="str">
        <f>IF(AND(OR(LEFT(TH!O614,2)="15",LEFT(TH!P614,2)="15"),'152-CT'!$J$8=TH!F614),"x","")</f>
        <v/>
      </c>
      <c r="AJ614" s="80" t="str">
        <f>IF(AND(OR(LEFT(TH!O614,2)="15",LEFT(TH!P614,2)="15"),'THE KHO'!$E$7=TH!F614),"x","")</f>
        <v/>
      </c>
      <c r="AK614" s="80" t="str">
        <f>IF(AND(O614="1521",MONTH(C614)='BK NL'!$M$11),"x","")</f>
        <v/>
      </c>
    </row>
    <row r="615" spans="1:37" ht="15.75" customHeight="1">
      <c r="A615" s="362" t="str">
        <f>IF(B615&lt;&gt;"",IF(AND(B615&gt;=_TM1,B615&lt;=_TM2,OR(TH!O615="1111",TH!P615="1111")),TH!D615,""),"")</f>
        <v/>
      </c>
      <c r="B615" s="63">
        <f t="shared" si="41"/>
        <v>8</v>
      </c>
      <c r="C615" s="1045">
        <v>42613</v>
      </c>
      <c r="D615" s="1045" t="s">
        <v>1157</v>
      </c>
      <c r="E615" s="1045">
        <v>42590</v>
      </c>
      <c r="F615" s="1046" t="s">
        <v>1161</v>
      </c>
      <c r="G615" s="1126" t="s">
        <v>1164</v>
      </c>
      <c r="H615" s="1129" t="s">
        <v>162</v>
      </c>
      <c r="I615" s="1049"/>
      <c r="J615" s="1049"/>
      <c r="K615" s="1050"/>
      <c r="L615" s="1049"/>
      <c r="M615" s="1122">
        <v>8856363</v>
      </c>
      <c r="N615" s="1122"/>
      <c r="O615" s="1052" t="s">
        <v>242</v>
      </c>
      <c r="P615" s="1052" t="s">
        <v>9</v>
      </c>
      <c r="Q615" s="66" t="str">
        <f>IF(AND('331-CT'!$E$7=TH!H615,OR(O615="331",P615="331")),"x","")</f>
        <v/>
      </c>
      <c r="R615" s="66" t="str">
        <f>IF(AND($B615&gt;='111'!$N$11,$B615&lt;='111'!$O$11,OR($O615=$R$7,$P615=$R$7)),"x","")</f>
        <v/>
      </c>
      <c r="S615" s="66" t="str">
        <f>IF(AND($O615=$R$7,$B615&lt;'111'!$N$11),"x","")</f>
        <v/>
      </c>
      <c r="T615" s="66" t="str">
        <f>IF(AND($P615=$R$7,$B615&lt;'111'!$N$11),"x","")</f>
        <v/>
      </c>
      <c r="U615" s="66" t="str">
        <f>IF(AND($B615&gt;='112'!$M$9,$B615&lt;='112'!$N$9,OR($O615='112'!$I$6,$P615='112'!$I$6)),"x","")</f>
        <v/>
      </c>
      <c r="V615" s="66" t="str">
        <f>IF(AND($O615='112'!$I$6,$B615&lt;'112'!$M$9),"x","")</f>
        <v/>
      </c>
      <c r="W615" s="66" t="str">
        <f>IF(AND($P615='112'!$I$6,$B615&lt;'112'!$M$9),"x","")</f>
        <v/>
      </c>
      <c r="X615" s="66" t="str">
        <f>IF(AND('131-CT'!$H$9=TH!H615,OR(O615="131",P615="131")),"x","")</f>
        <v/>
      </c>
      <c r="Y615" s="80" t="str">
        <f>IF(AND($B615&gt;='1331'!$I$9,$B615&lt;='1331'!$J$9,OR($O615=$Y$7,$P615=$Y$7)),"x","")</f>
        <v/>
      </c>
      <c r="Z615" s="80" t="str">
        <f>IF(AND($O615=$Y$7,$B615&lt;'1331'!$I$9),"x","")</f>
        <v/>
      </c>
      <c r="AA615" s="80" t="str">
        <f>IF(AND($P615=$Y$7,$B615&lt;'1331'!$I$9),"x","")</f>
        <v/>
      </c>
      <c r="AB615" s="80" t="str">
        <f>IF(AND($B615&gt;='1332'!$I$9,$B615&lt;='1332'!$I$9,OR($O615=$AB$7,$P615=$AB$7)),"x","")</f>
        <v/>
      </c>
      <c r="AC615" s="80" t="str">
        <f>IF(AND($O615=$AB$7,$B615&lt;'1332'!$I$9),"x","")</f>
        <v/>
      </c>
      <c r="AD615" s="80" t="str">
        <f>IF(AND($P615=$AB$7,$B615&lt;'1332'!$I$9),"x","")</f>
        <v/>
      </c>
      <c r="AE615" s="80" t="str">
        <f>IF(AND('341-CT'!$H$9=H615,OR(LEFT(O615,3)=$AE$7,LEFT(P615,3)=$AE$7)),"x","")</f>
        <v/>
      </c>
      <c r="AF615" s="80" t="str">
        <f>IF(OR(TH!O615=TH!$AF$7,P615=TH!$AF$7),"x","")</f>
        <v/>
      </c>
      <c r="AG615" s="80"/>
      <c r="AH615" s="80" t="str">
        <f>IF(AND(B615&gt;='IN-NX'!$P$3,B615&lt;='IN-NX'!$Q$3,'IN-NX'!$D$7=D615,OR(LEFT(L615,2)="15",AND(LEFT(M615,2)&lt;&gt;"15",LEFT(M615,2)&lt;&gt;"33"))),"x","")</f>
        <v/>
      </c>
      <c r="AI615" s="80" t="str">
        <f>IF(AND(OR(LEFT(TH!O615,2)="15",LEFT(TH!P615,2)="15"),'152-CT'!$J$8=TH!F615),"x","")</f>
        <v/>
      </c>
      <c r="AJ615" s="80" t="str">
        <f>IF(AND(OR(LEFT(TH!O615,2)="15",LEFT(TH!P615,2)="15"),'THE KHO'!$E$7=TH!F615),"x","")</f>
        <v/>
      </c>
      <c r="AK615" s="80" t="str">
        <f>IF(AND(O615="1521",MONTH(C615)='BK NL'!$M$11),"x","")</f>
        <v/>
      </c>
    </row>
    <row r="616" spans="1:37" ht="15.75" customHeight="1">
      <c r="A616" s="362" t="str">
        <f>IF(B616&lt;&gt;"",IF(AND(B616&gt;=_TM1,B616&lt;=_TM2,OR(TH!O616="1111",TH!P616="1111")),TH!D616,""),"")</f>
        <v/>
      </c>
      <c r="B616" s="63">
        <f t="shared" si="41"/>
        <v>8</v>
      </c>
      <c r="C616" s="1045">
        <v>42613</v>
      </c>
      <c r="D616" s="1045" t="s">
        <v>1157</v>
      </c>
      <c r="E616" s="1045">
        <v>42590</v>
      </c>
      <c r="F616" s="1046" t="s">
        <v>1163</v>
      </c>
      <c r="G616" s="1126" t="s">
        <v>1164</v>
      </c>
      <c r="H616" s="1129" t="s">
        <v>162</v>
      </c>
      <c r="I616" s="1049"/>
      <c r="J616" s="1049"/>
      <c r="K616" s="1050"/>
      <c r="L616" s="1049"/>
      <c r="M616" s="1122">
        <v>885637</v>
      </c>
      <c r="N616" s="1122"/>
      <c r="O616" s="1052" t="s">
        <v>981</v>
      </c>
      <c r="P616" s="1052" t="s">
        <v>9</v>
      </c>
      <c r="Q616" s="66" t="str">
        <f>IF(AND('331-CT'!$E$7=TH!H616,OR(O616="331",P616="331")),"x","")</f>
        <v/>
      </c>
      <c r="R616" s="66" t="str">
        <f>IF(AND($B616&gt;='111'!$N$11,$B616&lt;='111'!$O$11,OR($O616=$R$7,$P616=$R$7)),"x","")</f>
        <v/>
      </c>
      <c r="S616" s="66" t="str">
        <f>IF(AND($O616=$R$7,$B616&lt;'111'!$N$11),"x","")</f>
        <v/>
      </c>
      <c r="T616" s="66" t="str">
        <f>IF(AND($P616=$R$7,$B616&lt;'111'!$N$11),"x","")</f>
        <v/>
      </c>
      <c r="U616" s="66" t="str">
        <f>IF(AND($B616&gt;='112'!$M$9,$B616&lt;='112'!$N$9,OR($O616='112'!$I$6,$P616='112'!$I$6)),"x","")</f>
        <v/>
      </c>
      <c r="V616" s="66" t="str">
        <f>IF(AND($O616='112'!$I$6,$B616&lt;'112'!$M$9),"x","")</f>
        <v/>
      </c>
      <c r="W616" s="66" t="str">
        <f>IF(AND($P616='112'!$I$6,$B616&lt;'112'!$M$9),"x","")</f>
        <v/>
      </c>
      <c r="X616" s="66" t="str">
        <f>IF(AND('131-CT'!$H$9=TH!H616,OR(O616="131",P616="131")),"x","")</f>
        <v/>
      </c>
      <c r="Y616" s="80" t="str">
        <f>IF(AND($B616&gt;='1331'!$I$9,$B616&lt;='1331'!$J$9,OR($O616=$Y$7,$P616=$Y$7)),"x","")</f>
        <v/>
      </c>
      <c r="Z616" s="80" t="str">
        <f>IF(AND($O616=$Y$7,$B616&lt;'1331'!$I$9),"x","")</f>
        <v/>
      </c>
      <c r="AA616" s="80" t="str">
        <f>IF(AND($P616=$Y$7,$B616&lt;'1331'!$I$9),"x","")</f>
        <v/>
      </c>
      <c r="AB616" s="80" t="str">
        <f>IF(AND($B616&gt;='1332'!$I$9,$B616&lt;='1332'!$I$9,OR($O616=$AB$7,$P616=$AB$7)),"x","")</f>
        <v/>
      </c>
      <c r="AC616" s="80" t="str">
        <f>IF(AND($O616=$AB$7,$B616&lt;'1332'!$I$9),"x","")</f>
        <v/>
      </c>
      <c r="AD616" s="80" t="str">
        <f>IF(AND($P616=$AB$7,$B616&lt;'1332'!$I$9),"x","")</f>
        <v/>
      </c>
      <c r="AE616" s="80" t="str">
        <f>IF(AND('341-CT'!$H$9=H616,OR(LEFT(O616,3)=$AE$7,LEFT(P616,3)=$AE$7)),"x","")</f>
        <v/>
      </c>
      <c r="AF616" s="80" t="str">
        <f>IF(OR(TH!O616=TH!$AF$7,P616=TH!$AF$7),"x","")</f>
        <v/>
      </c>
      <c r="AG616" s="80"/>
      <c r="AH616" s="80" t="str">
        <f>IF(AND(B616&gt;='IN-NX'!$P$3,B616&lt;='IN-NX'!$Q$3,'IN-NX'!$D$7=D616,OR(LEFT(L616,2)="15",AND(LEFT(M616,2)&lt;&gt;"15",LEFT(M616,2)&lt;&gt;"33"))),"x","")</f>
        <v/>
      </c>
      <c r="AI616" s="80" t="str">
        <f>IF(AND(OR(LEFT(TH!O616,2)="15",LEFT(TH!P616,2)="15"),'152-CT'!$J$8=TH!F616),"x","")</f>
        <v/>
      </c>
      <c r="AJ616" s="80" t="str">
        <f>IF(AND(OR(LEFT(TH!O616,2)="15",LEFT(TH!P616,2)="15"),'THE KHO'!$E$7=TH!F616),"x","")</f>
        <v/>
      </c>
      <c r="AK616" s="80" t="str">
        <f>IF(AND(O616="1521",MONTH(C616)='BK NL'!$M$11),"x","")</f>
        <v/>
      </c>
    </row>
    <row r="617" spans="1:37" ht="15.75" customHeight="1">
      <c r="A617" s="362" t="str">
        <f>IF(B617&lt;&gt;"",IF(AND(B617&gt;=_TM1,B617&lt;=_TM2,OR(TH!O617="1111",TH!P617="1111")),TH!D617,""),"")</f>
        <v/>
      </c>
      <c r="B617" s="63">
        <f t="shared" si="41"/>
        <v>8</v>
      </c>
      <c r="C617" s="1045">
        <v>42613</v>
      </c>
      <c r="D617" s="1045" t="s">
        <v>1157</v>
      </c>
      <c r="E617" s="1045">
        <v>42590</v>
      </c>
      <c r="F617" s="1046" t="s">
        <v>1161</v>
      </c>
      <c r="G617" s="1126" t="s">
        <v>1165</v>
      </c>
      <c r="H617" s="1129" t="s">
        <v>162</v>
      </c>
      <c r="I617" s="1049"/>
      <c r="J617" s="1049"/>
      <c r="K617" s="1050"/>
      <c r="L617" s="1049"/>
      <c r="M617" s="1122">
        <v>12179382</v>
      </c>
      <c r="N617" s="1122"/>
      <c r="O617" s="1052" t="s">
        <v>242</v>
      </c>
      <c r="P617" s="1052" t="s">
        <v>9</v>
      </c>
      <c r="Q617" s="66" t="str">
        <f>IF(AND('331-CT'!$E$7=TH!H617,OR(O617="331",P617="331")),"x","")</f>
        <v/>
      </c>
      <c r="R617" s="66" t="str">
        <f>IF(AND($B617&gt;='111'!$N$11,$B617&lt;='111'!$O$11,OR($O617=$R$7,$P617=$R$7)),"x","")</f>
        <v/>
      </c>
      <c r="S617" s="66" t="str">
        <f>IF(AND($O617=$R$7,$B617&lt;'111'!$N$11),"x","")</f>
        <v/>
      </c>
      <c r="T617" s="66" t="str">
        <f>IF(AND($P617=$R$7,$B617&lt;'111'!$N$11),"x","")</f>
        <v/>
      </c>
      <c r="U617" s="66" t="str">
        <f>IF(AND($B617&gt;='112'!$M$9,$B617&lt;='112'!$N$9,OR($O617='112'!$I$6,$P617='112'!$I$6)),"x","")</f>
        <v/>
      </c>
      <c r="V617" s="66" t="str">
        <f>IF(AND($O617='112'!$I$6,$B617&lt;'112'!$M$9),"x","")</f>
        <v/>
      </c>
      <c r="W617" s="66" t="str">
        <f>IF(AND($P617='112'!$I$6,$B617&lt;'112'!$M$9),"x","")</f>
        <v/>
      </c>
      <c r="X617" s="66" t="str">
        <f>IF(AND('131-CT'!$H$9=TH!H617,OR(O617="131",P617="131")),"x","")</f>
        <v/>
      </c>
      <c r="Y617" s="80" t="str">
        <f>IF(AND($B617&gt;='1331'!$I$9,$B617&lt;='1331'!$J$9,OR($O617=$Y$7,$P617=$Y$7)),"x","")</f>
        <v/>
      </c>
      <c r="Z617" s="80" t="str">
        <f>IF(AND($O617=$Y$7,$B617&lt;'1331'!$I$9),"x","")</f>
        <v/>
      </c>
      <c r="AA617" s="80" t="str">
        <f>IF(AND($P617=$Y$7,$B617&lt;'1331'!$I$9),"x","")</f>
        <v/>
      </c>
      <c r="AB617" s="80" t="str">
        <f>IF(AND($B617&gt;='1332'!$I$9,$B617&lt;='1332'!$I$9,OR($O617=$AB$7,$P617=$AB$7)),"x","")</f>
        <v/>
      </c>
      <c r="AC617" s="80" t="str">
        <f>IF(AND($O617=$AB$7,$B617&lt;'1332'!$I$9),"x","")</f>
        <v/>
      </c>
      <c r="AD617" s="80" t="str">
        <f>IF(AND($P617=$AB$7,$B617&lt;'1332'!$I$9),"x","")</f>
        <v/>
      </c>
      <c r="AE617" s="80" t="str">
        <f>IF(AND('341-CT'!$H$9=H617,OR(LEFT(O617,3)=$AE$7,LEFT(P617,3)=$AE$7)),"x","")</f>
        <v/>
      </c>
      <c r="AF617" s="80" t="str">
        <f>IF(OR(TH!O617=TH!$AF$7,P617=TH!$AF$7),"x","")</f>
        <v/>
      </c>
      <c r="AG617" s="80"/>
      <c r="AH617" s="80" t="str">
        <f>IF(AND(B617&gt;='IN-NX'!$P$3,B617&lt;='IN-NX'!$Q$3,'IN-NX'!$D$7=D617,OR(LEFT(L617,2)="15",AND(LEFT(M617,2)&lt;&gt;"15",LEFT(M617,2)&lt;&gt;"33"))),"x","")</f>
        <v/>
      </c>
      <c r="AI617" s="80" t="str">
        <f>IF(AND(OR(LEFT(TH!O617,2)="15",LEFT(TH!P617,2)="15"),'152-CT'!$J$8=TH!F617),"x","")</f>
        <v/>
      </c>
      <c r="AJ617" s="80" t="str">
        <f>IF(AND(OR(LEFT(TH!O617,2)="15",LEFT(TH!P617,2)="15"),'THE KHO'!$E$7=TH!F617),"x","")</f>
        <v/>
      </c>
      <c r="AK617" s="80" t="str">
        <f>IF(AND(O617="1521",MONTH(C617)='BK NL'!$M$11),"x","")</f>
        <v/>
      </c>
    </row>
    <row r="618" spans="1:37" ht="15.75" customHeight="1">
      <c r="A618" s="362" t="str">
        <f>IF(B618&lt;&gt;"",IF(AND(B618&gt;=_TM1,B618&lt;=_TM2,OR(TH!O618="1111",TH!P618="1111")),TH!D618,""),"")</f>
        <v/>
      </c>
      <c r="B618" s="63">
        <f t="shared" si="41"/>
        <v>8</v>
      </c>
      <c r="C618" s="1045">
        <v>42613</v>
      </c>
      <c r="D618" s="1045" t="s">
        <v>1157</v>
      </c>
      <c r="E618" s="1045">
        <v>42590</v>
      </c>
      <c r="F618" s="1046" t="s">
        <v>1163</v>
      </c>
      <c r="G618" s="1126" t="s">
        <v>1165</v>
      </c>
      <c r="H618" s="1129" t="s">
        <v>162</v>
      </c>
      <c r="I618" s="1049"/>
      <c r="J618" s="1049"/>
      <c r="K618" s="1050"/>
      <c r="L618" s="1049"/>
      <c r="M618" s="1122">
        <v>1217938</v>
      </c>
      <c r="N618" s="1122"/>
      <c r="O618" s="1052" t="s">
        <v>981</v>
      </c>
      <c r="P618" s="1052" t="s">
        <v>9</v>
      </c>
      <c r="Q618" s="66" t="str">
        <f>IF(AND('331-CT'!$E$7=TH!H618,OR(O618="331",P618="331")),"x","")</f>
        <v/>
      </c>
      <c r="R618" s="66" t="str">
        <f>IF(AND($B618&gt;='111'!$N$11,$B618&lt;='111'!$O$11,OR($O618=$R$7,$P618=$R$7)),"x","")</f>
        <v/>
      </c>
      <c r="S618" s="66" t="str">
        <f>IF(AND($O618=$R$7,$B618&lt;'111'!$N$11),"x","")</f>
        <v/>
      </c>
      <c r="T618" s="66" t="str">
        <f>IF(AND($P618=$R$7,$B618&lt;'111'!$N$11),"x","")</f>
        <v/>
      </c>
      <c r="U618" s="66" t="str">
        <f>IF(AND($B618&gt;='112'!$M$9,$B618&lt;='112'!$N$9,OR($O618='112'!$I$6,$P618='112'!$I$6)),"x","")</f>
        <v/>
      </c>
      <c r="V618" s="66" t="str">
        <f>IF(AND($O618='112'!$I$6,$B618&lt;'112'!$M$9),"x","")</f>
        <v/>
      </c>
      <c r="W618" s="66" t="str">
        <f>IF(AND($P618='112'!$I$6,$B618&lt;'112'!$M$9),"x","")</f>
        <v/>
      </c>
      <c r="X618" s="66" t="str">
        <f>IF(AND('131-CT'!$H$9=TH!H618,OR(O618="131",P618="131")),"x","")</f>
        <v/>
      </c>
      <c r="Y618" s="80" t="str">
        <f>IF(AND($B618&gt;='1331'!$I$9,$B618&lt;='1331'!$J$9,OR($O618=$Y$7,$P618=$Y$7)),"x","")</f>
        <v/>
      </c>
      <c r="Z618" s="80" t="str">
        <f>IF(AND($O618=$Y$7,$B618&lt;'1331'!$I$9),"x","")</f>
        <v/>
      </c>
      <c r="AA618" s="80" t="str">
        <f>IF(AND($P618=$Y$7,$B618&lt;'1331'!$I$9),"x","")</f>
        <v/>
      </c>
      <c r="AB618" s="80" t="str">
        <f>IF(AND($B618&gt;='1332'!$I$9,$B618&lt;='1332'!$I$9,OR($O618=$AB$7,$P618=$AB$7)),"x","")</f>
        <v/>
      </c>
      <c r="AC618" s="80" t="str">
        <f>IF(AND($O618=$AB$7,$B618&lt;'1332'!$I$9),"x","")</f>
        <v/>
      </c>
      <c r="AD618" s="80" t="str">
        <f>IF(AND($P618=$AB$7,$B618&lt;'1332'!$I$9),"x","")</f>
        <v/>
      </c>
      <c r="AE618" s="80" t="str">
        <f>IF(AND('341-CT'!$H$9=H618,OR(LEFT(O618,3)=$AE$7,LEFT(P618,3)=$AE$7)),"x","")</f>
        <v/>
      </c>
      <c r="AF618" s="80" t="str">
        <f>IF(OR(TH!O618=TH!$AF$7,P618=TH!$AF$7),"x","")</f>
        <v/>
      </c>
      <c r="AG618" s="80"/>
      <c r="AH618" s="80" t="str">
        <f>IF(AND(B618&gt;='IN-NX'!$P$3,B618&lt;='IN-NX'!$Q$3,'IN-NX'!$D$7=D618,OR(LEFT(L618,2)="15",AND(LEFT(M618,2)&lt;&gt;"15",LEFT(M618,2)&lt;&gt;"33"))),"x","")</f>
        <v/>
      </c>
      <c r="AI618" s="80" t="str">
        <f>IF(AND(OR(LEFT(TH!O618,2)="15",LEFT(TH!P618,2)="15"),'152-CT'!$J$8=TH!F618),"x","")</f>
        <v/>
      </c>
      <c r="AJ618" s="80" t="str">
        <f>IF(AND(OR(LEFT(TH!O618,2)="15",LEFT(TH!P618,2)="15"),'THE KHO'!$E$7=TH!F618),"x","")</f>
        <v/>
      </c>
      <c r="AK618" s="80" t="str">
        <f>IF(AND(O618="1521",MONTH(C618)='BK NL'!$M$11),"x","")</f>
        <v/>
      </c>
    </row>
    <row r="619" spans="1:37" ht="15.75" customHeight="1">
      <c r="A619" s="362" t="str">
        <f>IF(B619&lt;&gt;"",IF(AND(B619&gt;=_TM1,B619&lt;=_TM2,OR(TH!O619="1111",TH!P619="1111")),TH!D619,""),"")</f>
        <v/>
      </c>
      <c r="B619" s="63">
        <f t="shared" si="41"/>
        <v>8</v>
      </c>
      <c r="C619" s="1045">
        <v>42613</v>
      </c>
      <c r="D619" s="1045" t="s">
        <v>1157</v>
      </c>
      <c r="E619" s="1045">
        <v>42590</v>
      </c>
      <c r="F619" s="1046" t="s">
        <v>1161</v>
      </c>
      <c r="G619" s="1126" t="s">
        <v>1166</v>
      </c>
      <c r="H619" s="1129" t="s">
        <v>162</v>
      </c>
      <c r="I619" s="1049"/>
      <c r="J619" s="1049"/>
      <c r="K619" s="1050"/>
      <c r="L619" s="1049"/>
      <c r="M619" s="1122">
        <v>23736363</v>
      </c>
      <c r="N619" s="1122"/>
      <c r="O619" s="1052" t="s">
        <v>242</v>
      </c>
      <c r="P619" s="1052" t="s">
        <v>9</v>
      </c>
      <c r="Q619" s="66" t="str">
        <f>IF(AND('331-CT'!$E$7=TH!H619,OR(O619="331",P619="331")),"x","")</f>
        <v/>
      </c>
      <c r="R619" s="66" t="str">
        <f>IF(AND($B619&gt;='111'!$N$11,$B619&lt;='111'!$O$11,OR($O619=$R$7,$P619=$R$7)),"x","")</f>
        <v/>
      </c>
      <c r="S619" s="66" t="str">
        <f>IF(AND($O619=$R$7,$B619&lt;'111'!$N$11),"x","")</f>
        <v/>
      </c>
      <c r="T619" s="66" t="str">
        <f>IF(AND($P619=$R$7,$B619&lt;'111'!$N$11),"x","")</f>
        <v/>
      </c>
      <c r="U619" s="66" t="str">
        <f>IF(AND($B619&gt;='112'!$M$9,$B619&lt;='112'!$N$9,OR($O619='112'!$I$6,$P619='112'!$I$6)),"x","")</f>
        <v/>
      </c>
      <c r="V619" s="66" t="str">
        <f>IF(AND($O619='112'!$I$6,$B619&lt;'112'!$M$9),"x","")</f>
        <v/>
      </c>
      <c r="W619" s="66" t="str">
        <f>IF(AND($P619='112'!$I$6,$B619&lt;'112'!$M$9),"x","")</f>
        <v/>
      </c>
      <c r="X619" s="66" t="str">
        <f>IF(AND('131-CT'!$H$9=TH!H619,OR(O619="131",P619="131")),"x","")</f>
        <v/>
      </c>
      <c r="Y619" s="80" t="str">
        <f>IF(AND($B619&gt;='1331'!$I$9,$B619&lt;='1331'!$J$9,OR($O619=$Y$7,$P619=$Y$7)),"x","")</f>
        <v/>
      </c>
      <c r="Z619" s="80" t="str">
        <f>IF(AND($O619=$Y$7,$B619&lt;'1331'!$I$9),"x","")</f>
        <v/>
      </c>
      <c r="AA619" s="80" t="str">
        <f>IF(AND($P619=$Y$7,$B619&lt;'1331'!$I$9),"x","")</f>
        <v/>
      </c>
      <c r="AB619" s="80" t="str">
        <f>IF(AND($B619&gt;='1332'!$I$9,$B619&lt;='1332'!$I$9,OR($O619=$AB$7,$P619=$AB$7)),"x","")</f>
        <v/>
      </c>
      <c r="AC619" s="80" t="str">
        <f>IF(AND($O619=$AB$7,$B619&lt;'1332'!$I$9),"x","")</f>
        <v/>
      </c>
      <c r="AD619" s="80" t="str">
        <f>IF(AND($P619=$AB$7,$B619&lt;'1332'!$I$9),"x","")</f>
        <v/>
      </c>
      <c r="AE619" s="80" t="str">
        <f>IF(AND('341-CT'!$H$9=H619,OR(LEFT(O619,3)=$AE$7,LEFT(P619,3)=$AE$7)),"x","")</f>
        <v/>
      </c>
      <c r="AF619" s="80" t="str">
        <f>IF(OR(TH!O619=TH!$AF$7,P619=TH!$AF$7),"x","")</f>
        <v/>
      </c>
      <c r="AG619" s="80"/>
      <c r="AH619" s="80" t="str">
        <f>IF(AND(B619&gt;='IN-NX'!$P$3,B619&lt;='IN-NX'!$Q$3,'IN-NX'!$D$7=D619,OR(LEFT(L619,2)="15",AND(LEFT(M619,2)&lt;&gt;"15",LEFT(M619,2)&lt;&gt;"33"))),"x","")</f>
        <v/>
      </c>
      <c r="AI619" s="80" t="str">
        <f>IF(AND(OR(LEFT(TH!O619,2)="15",LEFT(TH!P619,2)="15"),'152-CT'!$J$8=TH!F619),"x","")</f>
        <v/>
      </c>
      <c r="AJ619" s="80" t="str">
        <f>IF(AND(OR(LEFT(TH!O619,2)="15",LEFT(TH!P619,2)="15"),'THE KHO'!$E$7=TH!F619),"x","")</f>
        <v/>
      </c>
      <c r="AK619" s="80" t="str">
        <f>IF(AND(O619="1521",MONTH(C619)='BK NL'!$M$11),"x","")</f>
        <v/>
      </c>
    </row>
    <row r="620" spans="1:37" ht="15.75" customHeight="1">
      <c r="A620" s="362" t="str">
        <f>IF(B620&lt;&gt;"",IF(AND(B620&gt;=_TM1,B620&lt;=_TM2,OR(TH!O620="1111",TH!P620="1111")),TH!D620,""),"")</f>
        <v/>
      </c>
      <c r="B620" s="63">
        <f t="shared" si="41"/>
        <v>8</v>
      </c>
      <c r="C620" s="1045">
        <v>42613</v>
      </c>
      <c r="D620" s="1045" t="s">
        <v>1157</v>
      </c>
      <c r="E620" s="1045">
        <v>42590</v>
      </c>
      <c r="F620" s="1046" t="s">
        <v>1163</v>
      </c>
      <c r="G620" s="1126" t="s">
        <v>1166</v>
      </c>
      <c r="H620" s="1129" t="s">
        <v>162</v>
      </c>
      <c r="I620" s="1049"/>
      <c r="J620" s="1049"/>
      <c r="K620" s="1050"/>
      <c r="L620" s="1049"/>
      <c r="M620" s="1122">
        <v>2373637</v>
      </c>
      <c r="N620" s="1122"/>
      <c r="O620" s="1052" t="s">
        <v>981</v>
      </c>
      <c r="P620" s="1052" t="s">
        <v>9</v>
      </c>
      <c r="Q620" s="66" t="str">
        <f>IF(AND('331-CT'!$E$7=TH!H620,OR(O620="331",P620="331")),"x","")</f>
        <v/>
      </c>
      <c r="R620" s="66" t="str">
        <f>IF(AND($B620&gt;='111'!$N$11,$B620&lt;='111'!$O$11,OR($O620=$R$7,$P620=$R$7)),"x","")</f>
        <v/>
      </c>
      <c r="S620" s="66" t="str">
        <f>IF(AND($O620=$R$7,$B620&lt;'111'!$N$11),"x","")</f>
        <v/>
      </c>
      <c r="T620" s="66" t="str">
        <f>IF(AND($P620=$R$7,$B620&lt;'111'!$N$11),"x","")</f>
        <v/>
      </c>
      <c r="U620" s="66" t="str">
        <f>IF(AND($B620&gt;='112'!$M$9,$B620&lt;='112'!$N$9,OR($O620='112'!$I$6,$P620='112'!$I$6)),"x","")</f>
        <v/>
      </c>
      <c r="V620" s="66" t="str">
        <f>IF(AND($O620='112'!$I$6,$B620&lt;'112'!$M$9),"x","")</f>
        <v/>
      </c>
      <c r="W620" s="66" t="str">
        <f>IF(AND($P620='112'!$I$6,$B620&lt;'112'!$M$9),"x","")</f>
        <v/>
      </c>
      <c r="X620" s="66" t="str">
        <f>IF(AND('131-CT'!$H$9=TH!H620,OR(O620="131",P620="131")),"x","")</f>
        <v/>
      </c>
      <c r="Y620" s="80" t="str">
        <f>IF(AND($B620&gt;='1331'!$I$9,$B620&lt;='1331'!$J$9,OR($O620=$Y$7,$P620=$Y$7)),"x","")</f>
        <v/>
      </c>
      <c r="Z620" s="80" t="str">
        <f>IF(AND($O620=$Y$7,$B620&lt;'1331'!$I$9),"x","")</f>
        <v/>
      </c>
      <c r="AA620" s="80" t="str">
        <f>IF(AND($P620=$Y$7,$B620&lt;'1331'!$I$9),"x","")</f>
        <v/>
      </c>
      <c r="AB620" s="80" t="str">
        <f>IF(AND($B620&gt;='1332'!$I$9,$B620&lt;='1332'!$I$9,OR($O620=$AB$7,$P620=$AB$7)),"x","")</f>
        <v/>
      </c>
      <c r="AC620" s="80" t="str">
        <f>IF(AND($O620=$AB$7,$B620&lt;'1332'!$I$9),"x","")</f>
        <v/>
      </c>
      <c r="AD620" s="80" t="str">
        <f>IF(AND($P620=$AB$7,$B620&lt;'1332'!$I$9),"x","")</f>
        <v/>
      </c>
      <c r="AE620" s="80" t="str">
        <f>IF(AND('341-CT'!$H$9=H620,OR(LEFT(O620,3)=$AE$7,LEFT(P620,3)=$AE$7)),"x","")</f>
        <v/>
      </c>
      <c r="AF620" s="80" t="str">
        <f>IF(OR(TH!O620=TH!$AF$7,P620=TH!$AF$7),"x","")</f>
        <v/>
      </c>
      <c r="AG620" s="80"/>
      <c r="AH620" s="80" t="str">
        <f>IF(AND(B620&gt;='IN-NX'!$P$3,B620&lt;='IN-NX'!$Q$3,'IN-NX'!$D$7=D620,OR(LEFT(L620,2)="15",AND(LEFT(M620,2)&lt;&gt;"15",LEFT(M620,2)&lt;&gt;"33"))),"x","")</f>
        <v/>
      </c>
      <c r="AI620" s="80" t="str">
        <f>IF(AND(OR(LEFT(TH!O620,2)="15",LEFT(TH!P620,2)="15"),'152-CT'!$J$8=TH!F620),"x","")</f>
        <v/>
      </c>
      <c r="AJ620" s="80" t="str">
        <f>IF(AND(OR(LEFT(TH!O620,2)="15",LEFT(TH!P620,2)="15"),'THE KHO'!$E$7=TH!F620),"x","")</f>
        <v/>
      </c>
      <c r="AK620" s="80" t="str">
        <f>IF(AND(O620="1521",MONTH(C620)='BK NL'!$M$11),"x","")</f>
        <v/>
      </c>
    </row>
    <row r="621" spans="1:37" ht="15.75" customHeight="1">
      <c r="A621" s="362" t="str">
        <f>IF(B621&lt;&gt;"",IF(AND(B621&gt;=_TM1,B621&lt;=_TM2,OR(TH!O621="1111",TH!P621="1111")),TH!D621,""),"")</f>
        <v/>
      </c>
      <c r="B621" s="63">
        <f t="shared" si="41"/>
        <v>8</v>
      </c>
      <c r="C621" s="1045">
        <v>42613</v>
      </c>
      <c r="D621" s="1045" t="s">
        <v>1157</v>
      </c>
      <c r="E621" s="1045">
        <v>42590</v>
      </c>
      <c r="F621" s="1046" t="s">
        <v>1161</v>
      </c>
      <c r="G621" s="1126" t="s">
        <v>1167</v>
      </c>
      <c r="H621" s="1129" t="s">
        <v>162</v>
      </c>
      <c r="I621" s="1049"/>
      <c r="J621" s="1049"/>
      <c r="K621" s="1050"/>
      <c r="L621" s="1049"/>
      <c r="M621" s="1051">
        <v>918182</v>
      </c>
      <c r="N621" s="1051"/>
      <c r="O621" s="1052" t="s">
        <v>242</v>
      </c>
      <c r="P621" s="1052" t="s">
        <v>9</v>
      </c>
      <c r="Q621" s="66" t="str">
        <f>IF(AND('331-CT'!$E$7=TH!H621,OR(O621="331",P621="331")),"x","")</f>
        <v/>
      </c>
      <c r="R621" s="66" t="str">
        <f>IF(AND($B621&gt;='111'!$N$11,$B621&lt;='111'!$O$11,OR($O621=$R$7,$P621=$R$7)),"x","")</f>
        <v/>
      </c>
      <c r="S621" s="66" t="str">
        <f>IF(AND($O621=$R$7,$B621&lt;'111'!$N$11),"x","")</f>
        <v/>
      </c>
      <c r="T621" s="66" t="str">
        <f>IF(AND($P621=$R$7,$B621&lt;'111'!$N$11),"x","")</f>
        <v/>
      </c>
      <c r="U621" s="66" t="str">
        <f>IF(AND($B621&gt;='112'!$M$9,$B621&lt;='112'!$N$9,OR($O621='112'!$I$6,$P621='112'!$I$6)),"x","")</f>
        <v/>
      </c>
      <c r="V621" s="66" t="str">
        <f>IF(AND($O621='112'!$I$6,$B621&lt;'112'!$M$9),"x","")</f>
        <v/>
      </c>
      <c r="W621" s="66" t="str">
        <f>IF(AND($P621='112'!$I$6,$B621&lt;'112'!$M$9),"x","")</f>
        <v/>
      </c>
      <c r="X621" s="66" t="str">
        <f>IF(AND('131-CT'!$H$9=TH!H621,OR(O621="131",P621="131")),"x","")</f>
        <v/>
      </c>
      <c r="Y621" s="80" t="str">
        <f>IF(AND($B621&gt;='1331'!$I$9,$B621&lt;='1331'!$J$9,OR($O621=$Y$7,$P621=$Y$7)),"x","")</f>
        <v/>
      </c>
      <c r="Z621" s="80" t="str">
        <f>IF(AND($O621=$Y$7,$B621&lt;'1331'!$I$9),"x","")</f>
        <v/>
      </c>
      <c r="AA621" s="80" t="str">
        <f>IF(AND($P621=$Y$7,$B621&lt;'1331'!$I$9),"x","")</f>
        <v/>
      </c>
      <c r="AB621" s="80" t="str">
        <f>IF(AND($B621&gt;='1332'!$I$9,$B621&lt;='1332'!$I$9,OR($O621=$AB$7,$P621=$AB$7)),"x","")</f>
        <v/>
      </c>
      <c r="AC621" s="80" t="str">
        <f>IF(AND($O621=$AB$7,$B621&lt;'1332'!$I$9),"x","")</f>
        <v/>
      </c>
      <c r="AD621" s="80" t="str">
        <f>IF(AND($P621=$AB$7,$B621&lt;'1332'!$I$9),"x","")</f>
        <v/>
      </c>
      <c r="AE621" s="80" t="str">
        <f>IF(AND('341-CT'!$H$9=H621,OR(LEFT(O621,3)=$AE$7,LEFT(P621,3)=$AE$7)),"x","")</f>
        <v/>
      </c>
      <c r="AF621" s="80" t="str">
        <f>IF(OR(TH!O621=TH!$AF$7,P621=TH!$AF$7),"x","")</f>
        <v/>
      </c>
      <c r="AG621" s="80"/>
      <c r="AH621" s="80" t="str">
        <f>IF(AND(B621&gt;='IN-NX'!$P$3,B621&lt;='IN-NX'!$Q$3,'IN-NX'!$D$7=D621,OR(LEFT(L621,2)="15",AND(LEFT(M621,2)&lt;&gt;"15",LEFT(M621,2)&lt;&gt;"33"))),"x","")</f>
        <v/>
      </c>
      <c r="AI621" s="80" t="str">
        <f>IF(AND(OR(LEFT(TH!O621,2)="15",LEFT(TH!P621,2)="15"),'152-CT'!$J$8=TH!F621),"x","")</f>
        <v/>
      </c>
      <c r="AJ621" s="80" t="str">
        <f>IF(AND(OR(LEFT(TH!O621,2)="15",LEFT(TH!P621,2)="15"),'THE KHO'!$E$7=TH!F621),"x","")</f>
        <v/>
      </c>
      <c r="AK621" s="80" t="str">
        <f>IF(AND(O621="1521",MONTH(C621)='BK NL'!$M$11),"x","")</f>
        <v/>
      </c>
    </row>
    <row r="622" spans="1:37" ht="15.75" customHeight="1">
      <c r="A622" s="362" t="str">
        <f>IF(B622&lt;&gt;"",IF(AND(B622&gt;=_TM1,B622&lt;=_TM2,OR(TH!O622="1111",TH!P622="1111")),TH!D622,""),"")</f>
        <v/>
      </c>
      <c r="B622" s="63">
        <f t="shared" si="41"/>
        <v>8</v>
      </c>
      <c r="C622" s="1045">
        <v>42613</v>
      </c>
      <c r="D622" s="1045" t="s">
        <v>1157</v>
      </c>
      <c r="E622" s="1045">
        <v>42590</v>
      </c>
      <c r="F622" s="1046" t="s">
        <v>1163</v>
      </c>
      <c r="G622" s="1126" t="s">
        <v>1167</v>
      </c>
      <c r="H622" s="1129" t="s">
        <v>162</v>
      </c>
      <c r="I622" s="1049"/>
      <c r="J622" s="1049"/>
      <c r="K622" s="1050"/>
      <c r="L622" s="1049"/>
      <c r="M622" s="1122">
        <v>91818</v>
      </c>
      <c r="N622" s="1122"/>
      <c r="O622" s="1052" t="s">
        <v>981</v>
      </c>
      <c r="P622" s="1052" t="s">
        <v>9</v>
      </c>
      <c r="Q622" s="66" t="str">
        <f>IF(AND('331-CT'!$E$7=TH!H622,OR(O622="331",P622="331")),"x","")</f>
        <v/>
      </c>
      <c r="R622" s="66" t="str">
        <f>IF(AND($B622&gt;='111'!$N$11,$B622&lt;='111'!$O$11,OR($O622=$R$7,$P622=$R$7)),"x","")</f>
        <v/>
      </c>
      <c r="S622" s="66" t="str">
        <f>IF(AND($O622=$R$7,$B622&lt;'111'!$N$11),"x","")</f>
        <v/>
      </c>
      <c r="T622" s="66" t="str">
        <f>IF(AND($P622=$R$7,$B622&lt;'111'!$N$11),"x","")</f>
        <v/>
      </c>
      <c r="U622" s="66" t="str">
        <f>IF(AND($B622&gt;='112'!$M$9,$B622&lt;='112'!$N$9,OR($O622='112'!$I$6,$P622='112'!$I$6)),"x","")</f>
        <v/>
      </c>
      <c r="V622" s="66" t="str">
        <f>IF(AND($O622='112'!$I$6,$B622&lt;'112'!$M$9),"x","")</f>
        <v/>
      </c>
      <c r="W622" s="66" t="str">
        <f>IF(AND($P622='112'!$I$6,$B622&lt;'112'!$M$9),"x","")</f>
        <v/>
      </c>
      <c r="X622" s="66" t="str">
        <f>IF(AND('131-CT'!$H$9=TH!H622,OR(O622="131",P622="131")),"x","")</f>
        <v/>
      </c>
      <c r="Y622" s="80" t="str">
        <f>IF(AND($B622&gt;='1331'!$I$9,$B622&lt;='1331'!$J$9,OR($O622=$Y$7,$P622=$Y$7)),"x","")</f>
        <v/>
      </c>
      <c r="Z622" s="80" t="str">
        <f>IF(AND($O622=$Y$7,$B622&lt;'1331'!$I$9),"x","")</f>
        <v/>
      </c>
      <c r="AA622" s="80" t="str">
        <f>IF(AND($P622=$Y$7,$B622&lt;'1331'!$I$9),"x","")</f>
        <v/>
      </c>
      <c r="AB622" s="80" t="str">
        <f>IF(AND($B622&gt;='1332'!$I$9,$B622&lt;='1332'!$I$9,OR($O622=$AB$7,$P622=$AB$7)),"x","")</f>
        <v/>
      </c>
      <c r="AC622" s="80" t="str">
        <f>IF(AND($O622=$AB$7,$B622&lt;'1332'!$I$9),"x","")</f>
        <v/>
      </c>
      <c r="AD622" s="80" t="str">
        <f>IF(AND($P622=$AB$7,$B622&lt;'1332'!$I$9),"x","")</f>
        <v/>
      </c>
      <c r="AE622" s="80" t="str">
        <f>IF(AND('341-CT'!$H$9=H622,OR(LEFT(O622,3)=$AE$7,LEFT(P622,3)=$AE$7)),"x","")</f>
        <v/>
      </c>
      <c r="AF622" s="80" t="str">
        <f>IF(OR(TH!O622=TH!$AF$7,P622=TH!$AF$7),"x","")</f>
        <v/>
      </c>
      <c r="AG622" s="80"/>
      <c r="AH622" s="80" t="str">
        <f>IF(AND(B622&gt;='IN-NX'!$P$3,B622&lt;='IN-NX'!$Q$3,'IN-NX'!$D$7=D622,OR(LEFT(L622,2)="15",AND(LEFT(M622,2)&lt;&gt;"15",LEFT(M622,2)&lt;&gt;"33"))),"x","")</f>
        <v/>
      </c>
      <c r="AI622" s="80" t="str">
        <f>IF(AND(OR(LEFT(TH!O622,2)="15",LEFT(TH!P622,2)="15"),'152-CT'!$J$8=TH!F622),"x","")</f>
        <v/>
      </c>
      <c r="AJ622" s="80" t="str">
        <f>IF(AND(OR(LEFT(TH!O622,2)="15",LEFT(TH!P622,2)="15"),'THE KHO'!$E$7=TH!F622),"x","")</f>
        <v/>
      </c>
      <c r="AK622" s="80" t="str">
        <f>IF(AND(O622="1521",MONTH(C622)='BK NL'!$M$11),"x","")</f>
        <v/>
      </c>
    </row>
    <row r="623" spans="1:37" ht="15.75" customHeight="1">
      <c r="A623" s="362" t="str">
        <f>IF(B623&lt;&gt;"",IF(AND(B623&gt;=_TM1,B623&lt;=_TM2,OR(TH!O623="1111",TH!P623="1111")),TH!D623,""),"")</f>
        <v/>
      </c>
      <c r="B623" s="63">
        <f t="shared" si="41"/>
        <v>8</v>
      </c>
      <c r="C623" s="1045">
        <v>42613</v>
      </c>
      <c r="D623" s="1045" t="s">
        <v>1157</v>
      </c>
      <c r="E623" s="1141">
        <v>42593</v>
      </c>
      <c r="F623" s="1142" t="s">
        <v>1168</v>
      </c>
      <c r="G623" s="1148" t="s">
        <v>1169</v>
      </c>
      <c r="H623" s="1149" t="s">
        <v>924</v>
      </c>
      <c r="I623" s="1049"/>
      <c r="J623" s="1049"/>
      <c r="K623" s="1050"/>
      <c r="L623" s="1049"/>
      <c r="M623" s="1145">
        <v>7500000</v>
      </c>
      <c r="N623" s="1145" t="s">
        <v>26</v>
      </c>
      <c r="O623" s="1146" t="s">
        <v>135</v>
      </c>
      <c r="P623" s="1146" t="s">
        <v>9</v>
      </c>
      <c r="Q623" s="66" t="str">
        <f>IF(AND('331-CT'!$E$7=TH!H623,OR(O623="331",P623="331")),"x","")</f>
        <v/>
      </c>
      <c r="R623" s="66" t="str">
        <f>IF(AND($B623&gt;='111'!$N$11,$B623&lt;='111'!$O$11,OR($O623=$R$7,$P623=$R$7)),"x","")</f>
        <v/>
      </c>
      <c r="S623" s="66" t="str">
        <f>IF(AND($O623=$R$7,$B623&lt;'111'!$N$11),"x","")</f>
        <v/>
      </c>
      <c r="T623" s="66" t="str">
        <f>IF(AND($P623=$R$7,$B623&lt;'111'!$N$11),"x","")</f>
        <v/>
      </c>
      <c r="U623" s="66" t="str">
        <f>IF(AND($B623&gt;='112'!$M$9,$B623&lt;='112'!$N$9,OR($O623='112'!$I$6,$P623='112'!$I$6)),"x","")</f>
        <v/>
      </c>
      <c r="V623" s="66" t="str">
        <f>IF(AND($O623='112'!$I$6,$B623&lt;'112'!$M$9),"x","")</f>
        <v/>
      </c>
      <c r="W623" s="66" t="str">
        <f>IF(AND($P623='112'!$I$6,$B623&lt;'112'!$M$9),"x","")</f>
        <v/>
      </c>
      <c r="X623" s="66" t="str">
        <f>IF(AND('131-CT'!$H$9=TH!H623,OR(O623="131",P623="131")),"x","")</f>
        <v/>
      </c>
      <c r="Y623" s="80" t="str">
        <f>IF(AND($B623&gt;='1331'!$I$9,$B623&lt;='1331'!$J$9,OR($O623=$Y$7,$P623=$Y$7)),"x","")</f>
        <v/>
      </c>
      <c r="Z623" s="80" t="str">
        <f>IF(AND($O623=$Y$7,$B623&lt;'1331'!$I$9),"x","")</f>
        <v/>
      </c>
      <c r="AA623" s="80" t="str">
        <f>IF(AND($P623=$Y$7,$B623&lt;'1331'!$I$9),"x","")</f>
        <v/>
      </c>
      <c r="AB623" s="80" t="str">
        <f>IF(AND($B623&gt;='1332'!$I$9,$B623&lt;='1332'!$I$9,OR($O623=$AB$7,$P623=$AB$7)),"x","")</f>
        <v/>
      </c>
      <c r="AC623" s="80" t="str">
        <f>IF(AND($O623=$AB$7,$B623&lt;'1332'!$I$9),"x","")</f>
        <v/>
      </c>
      <c r="AD623" s="80" t="str">
        <f>IF(AND($P623=$AB$7,$B623&lt;'1332'!$I$9),"x","")</f>
        <v/>
      </c>
      <c r="AE623" s="80" t="str">
        <f>IF(AND('341-CT'!$H$9=H623,OR(LEFT(O623,3)=$AE$7,LEFT(P623,3)=$AE$7)),"x","")</f>
        <v/>
      </c>
      <c r="AF623" s="80" t="str">
        <f>IF(OR(TH!O623=TH!$AF$7,P623=TH!$AF$7),"x","")</f>
        <v/>
      </c>
      <c r="AG623" s="80"/>
      <c r="AH623" s="80" t="str">
        <f>IF(AND(B623&gt;='IN-NX'!$P$3,B623&lt;='IN-NX'!$Q$3,'IN-NX'!$D$7=D623,OR(LEFT(L623,2)="15",AND(LEFT(M623,2)&lt;&gt;"15",LEFT(M623,2)&lt;&gt;"33"))),"x","")</f>
        <v/>
      </c>
      <c r="AI623" s="80" t="str">
        <f>IF(AND(OR(LEFT(TH!O623,2)="15",LEFT(TH!P623,2)="15"),'152-CT'!$J$8=TH!F623),"x","")</f>
        <v/>
      </c>
      <c r="AJ623" s="80" t="str">
        <f>IF(AND(OR(LEFT(TH!O623,2)="15",LEFT(TH!P623,2)="15"),'THE KHO'!$E$7=TH!F623),"x","")</f>
        <v/>
      </c>
      <c r="AK623" s="80" t="str">
        <f>IF(AND(O623="1521",MONTH(C623)='BK NL'!$M$11),"x","")</f>
        <v/>
      </c>
    </row>
    <row r="624" spans="1:37" ht="15.75" customHeight="1">
      <c r="A624" s="362" t="str">
        <f>IF(B624&lt;&gt;"",IF(AND(B624&gt;=_TM1,B624&lt;=_TM2,OR(TH!O624="1111",TH!P624="1111")),TH!D624,""),"")</f>
        <v/>
      </c>
      <c r="B624" s="63">
        <f t="shared" si="41"/>
        <v>8</v>
      </c>
      <c r="C624" s="1045">
        <v>42613</v>
      </c>
      <c r="D624" s="1045" t="s">
        <v>1157</v>
      </c>
      <c r="E624" s="1045">
        <v>42593</v>
      </c>
      <c r="F624" s="1046" t="s">
        <v>1170</v>
      </c>
      <c r="G624" s="1047" t="s">
        <v>1171</v>
      </c>
      <c r="H624" s="1048" t="s">
        <v>221</v>
      </c>
      <c r="I624" s="1132"/>
      <c r="J624" s="1132"/>
      <c r="K624" s="1133"/>
      <c r="L624" s="1132"/>
      <c r="M624" s="1051">
        <f>30533800/1.1</f>
        <v>27757999.999999996</v>
      </c>
      <c r="N624" s="1051"/>
      <c r="O624" s="1116" t="s">
        <v>135</v>
      </c>
      <c r="P624" s="1052" t="s">
        <v>9</v>
      </c>
      <c r="Q624" s="66" t="str">
        <f>IF(AND('331-CT'!$E$7=TH!H624,OR(O624="331",P624="331")),"x","")</f>
        <v/>
      </c>
      <c r="R624" s="66" t="str">
        <f>IF(AND($B624&gt;='111'!$N$11,$B624&lt;='111'!$O$11,OR($O624=$R$7,$P624=$R$7)),"x","")</f>
        <v/>
      </c>
      <c r="S624" s="66" t="str">
        <f>IF(AND($O624=$R$7,$B624&lt;'111'!$N$11),"x","")</f>
        <v/>
      </c>
      <c r="T624" s="66" t="str">
        <f>IF(AND($P624=$R$7,$B624&lt;'111'!$N$11),"x","")</f>
        <v/>
      </c>
      <c r="U624" s="66" t="str">
        <f>IF(AND($B624&gt;='112'!$M$9,$B624&lt;='112'!$N$9,OR($O624='112'!$I$6,$P624='112'!$I$6)),"x","")</f>
        <v/>
      </c>
      <c r="V624" s="66" t="str">
        <f>IF(AND($O624='112'!$I$6,$B624&lt;'112'!$M$9),"x","")</f>
        <v/>
      </c>
      <c r="W624" s="66" t="str">
        <f>IF(AND($P624='112'!$I$6,$B624&lt;'112'!$M$9),"x","")</f>
        <v/>
      </c>
      <c r="X624" s="66" t="str">
        <f>IF(AND('131-CT'!$H$9=TH!H624,OR(O624="131",P624="131")),"x","")</f>
        <v/>
      </c>
      <c r="Y624" s="80" t="str">
        <f>IF(AND($B624&gt;='1331'!$I$9,$B624&lt;='1331'!$J$9,OR($O624=$Y$7,$P624=$Y$7)),"x","")</f>
        <v/>
      </c>
      <c r="Z624" s="80" t="str">
        <f>IF(AND($O624=$Y$7,$B624&lt;'1331'!$I$9),"x","")</f>
        <v/>
      </c>
      <c r="AA624" s="80" t="str">
        <f>IF(AND($P624=$Y$7,$B624&lt;'1331'!$I$9),"x","")</f>
        <v/>
      </c>
      <c r="AB624" s="80" t="str">
        <f>IF(AND($B624&gt;='1332'!$I$9,$B624&lt;='1332'!$I$9,OR($O624=$AB$7,$P624=$AB$7)),"x","")</f>
        <v/>
      </c>
      <c r="AC624" s="80" t="str">
        <f>IF(AND($O624=$AB$7,$B624&lt;'1332'!$I$9),"x","")</f>
        <v/>
      </c>
      <c r="AD624" s="80" t="str">
        <f>IF(AND($P624=$AB$7,$B624&lt;'1332'!$I$9),"x","")</f>
        <v/>
      </c>
      <c r="AE624" s="80" t="str">
        <f>IF(AND('341-CT'!$H$9=H624,OR(LEFT(O624,3)=$AE$7,LEFT(P624,3)=$AE$7)),"x","")</f>
        <v/>
      </c>
      <c r="AF624" s="80" t="str">
        <f>IF(OR(TH!O624=TH!$AF$7,P624=TH!$AF$7),"x","")</f>
        <v/>
      </c>
      <c r="AG624" s="80"/>
      <c r="AH624" s="80" t="str">
        <f>IF(AND(B624&gt;='IN-NX'!$P$3,B624&lt;='IN-NX'!$Q$3,'IN-NX'!$D$7=D624,OR(LEFT(L624,2)="15",AND(LEFT(M624,2)&lt;&gt;"15",LEFT(M624,2)&lt;&gt;"33"))),"x","")</f>
        <v/>
      </c>
      <c r="AI624" s="80" t="str">
        <f>IF(AND(OR(LEFT(TH!O624,2)="15",LEFT(TH!P624,2)="15"),'152-CT'!$J$8=TH!F624),"x","")</f>
        <v/>
      </c>
      <c r="AJ624" s="80" t="str">
        <f>IF(AND(OR(LEFT(TH!O624,2)="15",LEFT(TH!P624,2)="15"),'THE KHO'!$E$7=TH!F624),"x","")</f>
        <v/>
      </c>
      <c r="AK624" s="80" t="str">
        <f>IF(AND(O624="1521",MONTH(C624)='BK NL'!$M$11),"x","")</f>
        <v/>
      </c>
    </row>
    <row r="625" spans="1:37" s="374" customFormat="1" ht="15.75" customHeight="1">
      <c r="A625" s="362" t="str">
        <f>IF(B625&lt;&gt;"",IF(AND(B625&gt;=_TM1,B625&lt;=_TM2,OR(TH!O625="1111",TH!P625="1111")),TH!D625,""),"")</f>
        <v/>
      </c>
      <c r="B625" s="63">
        <f t="shared" si="41"/>
        <v>8</v>
      </c>
      <c r="C625" s="1045">
        <v>42613</v>
      </c>
      <c r="D625" s="1045" t="s">
        <v>1157</v>
      </c>
      <c r="E625" s="1045">
        <v>42593</v>
      </c>
      <c r="F625" s="1046" t="s">
        <v>1172</v>
      </c>
      <c r="G625" s="1047" t="s">
        <v>1171</v>
      </c>
      <c r="H625" s="1048" t="s">
        <v>221</v>
      </c>
      <c r="I625" s="1049"/>
      <c r="J625" s="1049"/>
      <c r="K625" s="1050"/>
      <c r="L625" s="1049"/>
      <c r="M625" s="1051">
        <f>M624*0.1</f>
        <v>2775800</v>
      </c>
      <c r="N625" s="1051"/>
      <c r="O625" s="1052" t="s">
        <v>10</v>
      </c>
      <c r="P625" s="1052" t="s">
        <v>9</v>
      </c>
      <c r="Q625" s="66" t="str">
        <f>IF(AND('331-CT'!$E$7=TH!H625,OR(O625="331",P625="331")),"x","")</f>
        <v/>
      </c>
      <c r="R625" s="66" t="str">
        <f>IF(AND($B625&gt;='111'!$N$11,$B625&lt;='111'!$O$11,OR($O625=$R$7,$P625=$R$7)),"x","")</f>
        <v/>
      </c>
      <c r="S625" s="66" t="str">
        <f>IF(AND($O625=$R$7,$B625&lt;'111'!$N$11),"x","")</f>
        <v/>
      </c>
      <c r="T625" s="66" t="str">
        <f>IF(AND($P625=$R$7,$B625&lt;'111'!$N$11),"x","")</f>
        <v/>
      </c>
      <c r="U625" s="66" t="str">
        <f>IF(AND($B625&gt;='112'!$M$9,$B625&lt;='112'!$N$9,OR($O625='112'!$I$6,$P625='112'!$I$6)),"x","")</f>
        <v/>
      </c>
      <c r="V625" s="66" t="str">
        <f>IF(AND($O625='112'!$I$6,$B625&lt;'112'!$M$9),"x","")</f>
        <v/>
      </c>
      <c r="W625" s="66" t="str">
        <f>IF(AND($P625='112'!$I$6,$B625&lt;'112'!$M$9),"x","")</f>
        <v/>
      </c>
      <c r="X625" s="66" t="str">
        <f>IF(AND('131-CT'!$H$9=TH!H625,OR(O625="131",P625="131")),"x","")</f>
        <v/>
      </c>
      <c r="Y625" s="80" t="str">
        <f>IF(AND($B625&gt;='1331'!$I$9,$B625&lt;='1331'!$J$9,OR($O625=$Y$7,$P625=$Y$7)),"x","")</f>
        <v>x</v>
      </c>
      <c r="Z625" s="80" t="str">
        <f>IF(AND($O625=$Y$7,$B625&lt;'1331'!$I$9),"x","")</f>
        <v/>
      </c>
      <c r="AA625" s="80" t="str">
        <f>IF(AND($P625=$Y$7,$B625&lt;'1331'!$I$9),"x","")</f>
        <v/>
      </c>
      <c r="AB625" s="80" t="str">
        <f>IF(AND($B625&gt;='1332'!$I$9,$B625&lt;='1332'!$I$9,OR($O625=$AB$7,$P625=$AB$7)),"x","")</f>
        <v/>
      </c>
      <c r="AC625" s="80" t="str">
        <f>IF(AND($O625=$AB$7,$B625&lt;'1332'!$I$9),"x","")</f>
        <v/>
      </c>
      <c r="AD625" s="80" t="str">
        <f>IF(AND($P625=$AB$7,$B625&lt;'1332'!$I$9),"x","")</f>
        <v/>
      </c>
      <c r="AE625" s="80" t="str">
        <f>IF(AND('341-CT'!$H$9=H625,OR(LEFT(O625,3)=$AE$7,LEFT(P625,3)=$AE$7)),"x","")</f>
        <v/>
      </c>
      <c r="AF625" s="80" t="str">
        <f>IF(OR(TH!O625=TH!$AF$7,P625=TH!$AF$7),"x","")</f>
        <v/>
      </c>
      <c r="AG625" s="80"/>
      <c r="AH625" s="80" t="str">
        <f>IF(AND(B625&gt;='IN-NX'!$P$3,B625&lt;='IN-NX'!$Q$3,'IN-NX'!$D$7=D625,OR(LEFT(L625,2)="15",AND(LEFT(M625,2)&lt;&gt;"15",LEFT(M625,2)&lt;&gt;"33"))),"x","")</f>
        <v/>
      </c>
      <c r="AI625" s="80" t="str">
        <f>IF(AND(OR(LEFT(TH!O625,2)="15",LEFT(TH!P625,2)="15"),'152-CT'!$J$8=TH!F625),"x","")</f>
        <v/>
      </c>
      <c r="AJ625" s="80" t="str">
        <f>IF(AND(OR(LEFT(TH!O625,2)="15",LEFT(TH!P625,2)="15"),'THE KHO'!$E$7=TH!F625),"x","")</f>
        <v/>
      </c>
      <c r="AK625" s="80" t="str">
        <f>IF(AND(O625="1521",MONTH(C625)='BK NL'!$M$11),"x","")</f>
        <v/>
      </c>
    </row>
    <row r="626" spans="1:37" s="374" customFormat="1" ht="15.75" customHeight="1">
      <c r="A626" s="362" t="str">
        <f>IF(B626&lt;&gt;"",IF(AND(B626&gt;=_TM1,B626&lt;=_TM2,OR(TH!O626="1111",TH!P626="1111")),TH!D626,""),"")</f>
        <v/>
      </c>
      <c r="B626" s="63">
        <f t="shared" si="41"/>
        <v>8</v>
      </c>
      <c r="C626" s="1045">
        <v>42613</v>
      </c>
      <c r="D626" s="1045" t="s">
        <v>1157</v>
      </c>
      <c r="E626" s="1045">
        <v>42597</v>
      </c>
      <c r="F626" s="1046" t="s">
        <v>1173</v>
      </c>
      <c r="G626" s="1126" t="s">
        <v>1174</v>
      </c>
      <c r="H626" s="1129" t="s">
        <v>178</v>
      </c>
      <c r="I626" s="1049"/>
      <c r="J626" s="1049"/>
      <c r="K626" s="1050"/>
      <c r="L626" s="1049"/>
      <c r="M626" s="1051">
        <v>395529091</v>
      </c>
      <c r="N626" s="1051"/>
      <c r="O626" s="1052" t="s">
        <v>242</v>
      </c>
      <c r="P626" s="1052" t="s">
        <v>9</v>
      </c>
      <c r="Q626" s="66" t="str">
        <f>IF(AND('331-CT'!$E$7=TH!H626,OR(O626="331",P626="331")),"x","")</f>
        <v/>
      </c>
      <c r="R626" s="66" t="str">
        <f>IF(AND($B626&gt;='111'!$N$11,$B626&lt;='111'!$O$11,OR($O626=$R$7,$P626=$R$7)),"x","")</f>
        <v/>
      </c>
      <c r="S626" s="66" t="str">
        <f>IF(AND($O626=$R$7,$B626&lt;'111'!$N$11),"x","")</f>
        <v/>
      </c>
      <c r="T626" s="66" t="str">
        <f>IF(AND($P626=$R$7,$B626&lt;'111'!$N$11),"x","")</f>
        <v/>
      </c>
      <c r="U626" s="66" t="str">
        <f>IF(AND($B626&gt;='112'!$M$9,$B626&lt;='112'!$N$9,OR($O626='112'!$I$6,$P626='112'!$I$6)),"x","")</f>
        <v/>
      </c>
      <c r="V626" s="66" t="str">
        <f>IF(AND($O626='112'!$I$6,$B626&lt;'112'!$M$9),"x","")</f>
        <v/>
      </c>
      <c r="W626" s="66" t="str">
        <f>IF(AND($P626='112'!$I$6,$B626&lt;'112'!$M$9),"x","")</f>
        <v/>
      </c>
      <c r="X626" s="66" t="str">
        <f>IF(AND('131-CT'!$H$9=TH!H626,OR(O626="131",P626="131")),"x","")</f>
        <v/>
      </c>
      <c r="Y626" s="80" t="str">
        <f>IF(AND($B626&gt;='1331'!$I$9,$B626&lt;='1331'!$J$9,OR($O626=$Y$7,$P626=$Y$7)),"x","")</f>
        <v/>
      </c>
      <c r="Z626" s="80" t="str">
        <f>IF(AND($O626=$Y$7,$B626&lt;'1331'!$I$9),"x","")</f>
        <v/>
      </c>
      <c r="AA626" s="80" t="str">
        <f>IF(AND($P626=$Y$7,$B626&lt;'1331'!$I$9),"x","")</f>
        <v/>
      </c>
      <c r="AB626" s="80" t="str">
        <f>IF(AND($B626&gt;='1332'!$I$9,$B626&lt;='1332'!$I$9,OR($O626=$AB$7,$P626=$AB$7)),"x","")</f>
        <v/>
      </c>
      <c r="AC626" s="80" t="str">
        <f>IF(AND($O626=$AB$7,$B626&lt;'1332'!$I$9),"x","")</f>
        <v/>
      </c>
      <c r="AD626" s="80" t="str">
        <f>IF(AND($P626=$AB$7,$B626&lt;'1332'!$I$9),"x","")</f>
        <v/>
      </c>
      <c r="AE626" s="80" t="str">
        <f>IF(AND('341-CT'!$H$9=H626,OR(LEFT(O626,3)=$AE$7,LEFT(P626,3)=$AE$7)),"x","")</f>
        <v/>
      </c>
      <c r="AF626" s="80" t="str">
        <f>IF(OR(TH!O626=TH!$AF$7,P626=TH!$AF$7),"x","")</f>
        <v/>
      </c>
      <c r="AG626" s="80"/>
      <c r="AH626" s="80" t="str">
        <f>IF(AND(B626&gt;='IN-NX'!$P$3,B626&lt;='IN-NX'!$Q$3,'IN-NX'!$D$7=D626,OR(LEFT(L626,2)="15",AND(LEFT(M626,2)&lt;&gt;"15",LEFT(M626,2)&lt;&gt;"33"))),"x","")</f>
        <v/>
      </c>
      <c r="AI626" s="80" t="str">
        <f>IF(AND(OR(LEFT(TH!O626,2)="15",LEFT(TH!P626,2)="15"),'152-CT'!$J$8=TH!F626),"x","")</f>
        <v/>
      </c>
      <c r="AJ626" s="80" t="str">
        <f>IF(AND(OR(LEFT(TH!O626,2)="15",LEFT(TH!P626,2)="15"),'THE KHO'!$E$7=TH!F626),"x","")</f>
        <v/>
      </c>
      <c r="AK626" s="80" t="str">
        <f>IF(AND(O626="1521",MONTH(C626)='BK NL'!$M$11),"x","")</f>
        <v/>
      </c>
    </row>
    <row r="627" spans="1:37" ht="15.75" customHeight="1">
      <c r="A627" s="362" t="str">
        <f>IF(B627&lt;&gt;"",IF(AND(B627&gt;=_TM1,B627&lt;=_TM2,OR(TH!O627="1111",TH!P627="1111")),TH!D627,""),"")</f>
        <v/>
      </c>
      <c r="B627" s="63">
        <f t="shared" si="41"/>
        <v>8</v>
      </c>
      <c r="C627" s="1045">
        <v>42613</v>
      </c>
      <c r="D627" s="1045" t="s">
        <v>1157</v>
      </c>
      <c r="E627" s="1045">
        <v>42597</v>
      </c>
      <c r="F627" s="1046" t="s">
        <v>1175</v>
      </c>
      <c r="G627" s="1126" t="s">
        <v>1174</v>
      </c>
      <c r="H627" s="1129" t="s">
        <v>178</v>
      </c>
      <c r="I627" s="1049"/>
      <c r="J627" s="1049"/>
      <c r="K627" s="1050"/>
      <c r="L627" s="1049"/>
      <c r="M627" s="1051">
        <v>39552909</v>
      </c>
      <c r="N627" s="1051"/>
      <c r="O627" s="1052" t="s">
        <v>981</v>
      </c>
      <c r="P627" s="1052" t="s">
        <v>9</v>
      </c>
      <c r="Q627" s="66" t="str">
        <f>IF(AND('331-CT'!$E$7=TH!H627,OR(O627="331",P627="331")),"x","")</f>
        <v/>
      </c>
      <c r="R627" s="66" t="str">
        <f>IF(AND($B627&gt;='111'!$N$11,$B627&lt;='111'!$O$11,OR($O627=$R$7,$P627=$R$7)),"x","")</f>
        <v/>
      </c>
      <c r="S627" s="66" t="str">
        <f>IF(AND($O627=$R$7,$B627&lt;'111'!$N$11),"x","")</f>
        <v/>
      </c>
      <c r="T627" s="66" t="str">
        <f>IF(AND($P627=$R$7,$B627&lt;'111'!$N$11),"x","")</f>
        <v/>
      </c>
      <c r="U627" s="66" t="str">
        <f>IF(AND($B627&gt;='112'!$M$9,$B627&lt;='112'!$N$9,OR($O627='112'!$I$6,$P627='112'!$I$6)),"x","")</f>
        <v/>
      </c>
      <c r="V627" s="66" t="str">
        <f>IF(AND($O627='112'!$I$6,$B627&lt;'112'!$M$9),"x","")</f>
        <v/>
      </c>
      <c r="W627" s="66" t="str">
        <f>IF(AND($P627='112'!$I$6,$B627&lt;'112'!$M$9),"x","")</f>
        <v/>
      </c>
      <c r="X627" s="66" t="str">
        <f>IF(AND('131-CT'!$H$9=TH!H627,OR(O627="131",P627="131")),"x","")</f>
        <v/>
      </c>
      <c r="Y627" s="80" t="str">
        <f>IF(AND($B627&gt;='1331'!$I$9,$B627&lt;='1331'!$J$9,OR($O627=$Y$7,$P627=$Y$7)),"x","")</f>
        <v/>
      </c>
      <c r="Z627" s="80" t="str">
        <f>IF(AND($O627=$Y$7,$B627&lt;'1331'!$I$9),"x","")</f>
        <v/>
      </c>
      <c r="AA627" s="80" t="str">
        <f>IF(AND($P627=$Y$7,$B627&lt;'1331'!$I$9),"x","")</f>
        <v/>
      </c>
      <c r="AB627" s="80" t="str">
        <f>IF(AND($B627&gt;='1332'!$I$9,$B627&lt;='1332'!$I$9,OR($O627=$AB$7,$P627=$AB$7)),"x","")</f>
        <v/>
      </c>
      <c r="AC627" s="80" t="str">
        <f>IF(AND($O627=$AB$7,$B627&lt;'1332'!$I$9),"x","")</f>
        <v/>
      </c>
      <c r="AD627" s="80" t="str">
        <f>IF(AND($P627=$AB$7,$B627&lt;'1332'!$I$9),"x","")</f>
        <v/>
      </c>
      <c r="AE627" s="80" t="str">
        <f>IF(AND('341-CT'!$H$9=H627,OR(LEFT(O627,3)=$AE$7,LEFT(P627,3)=$AE$7)),"x","")</f>
        <v/>
      </c>
      <c r="AF627" s="80" t="str">
        <f>IF(OR(TH!O627=TH!$AF$7,P627=TH!$AF$7),"x","")</f>
        <v/>
      </c>
      <c r="AG627" s="80"/>
      <c r="AH627" s="80" t="str">
        <f>IF(AND(B627&gt;='IN-NX'!$P$3,B627&lt;='IN-NX'!$Q$3,'IN-NX'!$D$7=D627,OR(LEFT(L627,2)="15",AND(LEFT(M627,2)&lt;&gt;"15",LEFT(M627,2)&lt;&gt;"33"))),"x","")</f>
        <v/>
      </c>
      <c r="AI627" s="80" t="str">
        <f>IF(AND(OR(LEFT(TH!O627,2)="15",LEFT(TH!P627,2)="15"),'152-CT'!$J$8=TH!F627),"x","")</f>
        <v/>
      </c>
      <c r="AJ627" s="80" t="str">
        <f>IF(AND(OR(LEFT(TH!O627,2)="15",LEFT(TH!P627,2)="15"),'THE KHO'!$E$7=TH!F627),"x","")</f>
        <v/>
      </c>
      <c r="AK627" s="80" t="str">
        <f>IF(AND(O627="1521",MONTH(C627)='BK NL'!$M$11),"x","")</f>
        <v/>
      </c>
    </row>
    <row r="628" spans="1:37" ht="15.75" customHeight="1">
      <c r="A628" s="362" t="str">
        <f>IF(B628&lt;&gt;"",IF(AND(B628&gt;=_TM1,B628&lt;=_TM2,OR(TH!O628="1111",TH!P628="1111")),TH!D628,""),"")</f>
        <v/>
      </c>
      <c r="B628" s="63">
        <f t="shared" si="41"/>
        <v>8</v>
      </c>
      <c r="C628" s="1045">
        <v>42613</v>
      </c>
      <c r="D628" s="1045" t="s">
        <v>1157</v>
      </c>
      <c r="E628" s="1045">
        <v>42602</v>
      </c>
      <c r="F628" s="1046" t="s">
        <v>1146</v>
      </c>
      <c r="G628" s="1126" t="s">
        <v>1147</v>
      </c>
      <c r="H628" s="1129" t="s">
        <v>162</v>
      </c>
      <c r="I628" s="1049"/>
      <c r="J628" s="1049"/>
      <c r="K628" s="1050"/>
      <c r="L628" s="1049"/>
      <c r="M628" s="1051">
        <v>6818182</v>
      </c>
      <c r="N628" s="1051"/>
      <c r="O628" s="1052" t="s">
        <v>242</v>
      </c>
      <c r="P628" s="1052" t="s">
        <v>9</v>
      </c>
      <c r="Q628" s="66" t="str">
        <f>IF(AND('331-CT'!$E$7=TH!H628,OR(O628="331",P628="331")),"x","")</f>
        <v/>
      </c>
      <c r="R628" s="66" t="str">
        <f>IF(AND($B628&gt;='111'!$N$11,$B628&lt;='111'!$O$11,OR($O628=$R$7,$P628=$R$7)),"x","")</f>
        <v/>
      </c>
      <c r="S628" s="66" t="str">
        <f>IF(AND($O628=$R$7,$B628&lt;'111'!$N$11),"x","")</f>
        <v/>
      </c>
      <c r="T628" s="66" t="str">
        <f>IF(AND($P628=$R$7,$B628&lt;'111'!$N$11),"x","")</f>
        <v/>
      </c>
      <c r="U628" s="66" t="str">
        <f>IF(AND($B628&gt;='112'!$M$9,$B628&lt;='112'!$N$9,OR($O628='112'!$I$6,$P628='112'!$I$6)),"x","")</f>
        <v/>
      </c>
      <c r="V628" s="66" t="str">
        <f>IF(AND($O628='112'!$I$6,$B628&lt;'112'!$M$9),"x","")</f>
        <v/>
      </c>
      <c r="W628" s="66" t="str">
        <f>IF(AND($P628='112'!$I$6,$B628&lt;'112'!$M$9),"x","")</f>
        <v/>
      </c>
      <c r="X628" s="66" t="str">
        <f>IF(AND('131-CT'!$H$9=TH!H628,OR(O628="131",P628="131")),"x","")</f>
        <v/>
      </c>
      <c r="Y628" s="80" t="str">
        <f>IF(AND($B628&gt;='1331'!$I$9,$B628&lt;='1331'!$J$9,OR($O628=$Y$7,$P628=$Y$7)),"x","")</f>
        <v/>
      </c>
      <c r="Z628" s="80" t="str">
        <f>IF(AND($O628=$Y$7,$B628&lt;'1331'!$I$9),"x","")</f>
        <v/>
      </c>
      <c r="AA628" s="80" t="str">
        <f>IF(AND($P628=$Y$7,$B628&lt;'1331'!$I$9),"x","")</f>
        <v/>
      </c>
      <c r="AB628" s="80" t="str">
        <f>IF(AND($B628&gt;='1332'!$I$9,$B628&lt;='1332'!$I$9,OR($O628=$AB$7,$P628=$AB$7)),"x","")</f>
        <v/>
      </c>
      <c r="AC628" s="80" t="str">
        <f>IF(AND($O628=$AB$7,$B628&lt;'1332'!$I$9),"x","")</f>
        <v/>
      </c>
      <c r="AD628" s="80" t="str">
        <f>IF(AND($P628=$AB$7,$B628&lt;'1332'!$I$9),"x","")</f>
        <v/>
      </c>
      <c r="AE628" s="80" t="str">
        <f>IF(AND('341-CT'!$H$9=H628,OR(LEFT(O628,3)=$AE$7,LEFT(P628,3)=$AE$7)),"x","")</f>
        <v/>
      </c>
      <c r="AF628" s="80" t="str">
        <f>IF(OR(TH!O628=TH!$AF$7,P628=TH!$AF$7),"x","")</f>
        <v/>
      </c>
      <c r="AG628" s="80"/>
      <c r="AH628" s="80" t="str">
        <f>IF(AND(B628&gt;='IN-NX'!$P$3,B628&lt;='IN-NX'!$Q$3,'IN-NX'!$D$7=D628,OR(LEFT(L628,2)="15",AND(LEFT(M628,2)&lt;&gt;"15",LEFT(M628,2)&lt;&gt;"33"))),"x","")</f>
        <v/>
      </c>
      <c r="AI628" s="80" t="str">
        <f>IF(AND(OR(LEFT(TH!O628,2)="15",LEFT(TH!P628,2)="15"),'152-CT'!$J$8=TH!F628),"x","")</f>
        <v/>
      </c>
      <c r="AJ628" s="80" t="str">
        <f>IF(AND(OR(LEFT(TH!O628,2)="15",LEFT(TH!P628,2)="15"),'THE KHO'!$E$7=TH!F628),"x","")</f>
        <v/>
      </c>
      <c r="AK628" s="80" t="str">
        <f>IF(AND(O628="1521",MONTH(C628)='BK NL'!$M$11),"x","")</f>
        <v/>
      </c>
    </row>
    <row r="629" spans="1:37" ht="15.75" customHeight="1">
      <c r="A629" s="362" t="str">
        <f>IF(B629&lt;&gt;"",IF(AND(B629&gt;=_TM1,B629&lt;=_TM2,OR(TH!O629="1111",TH!P629="1111")),TH!D629,""),"")</f>
        <v/>
      </c>
      <c r="B629" s="63">
        <f t="shared" si="41"/>
        <v>8</v>
      </c>
      <c r="C629" s="1045">
        <v>42613</v>
      </c>
      <c r="D629" s="1045" t="s">
        <v>1157</v>
      </c>
      <c r="E629" s="1045">
        <v>42602</v>
      </c>
      <c r="F629" s="1046" t="s">
        <v>1176</v>
      </c>
      <c r="G629" s="1126" t="s">
        <v>1147</v>
      </c>
      <c r="H629" s="1129" t="s">
        <v>162</v>
      </c>
      <c r="I629" s="1049"/>
      <c r="J629" s="1049"/>
      <c r="K629" s="1050"/>
      <c r="L629" s="1049"/>
      <c r="M629" s="1051">
        <v>681818</v>
      </c>
      <c r="N629" s="1051"/>
      <c r="O629" s="1052" t="s">
        <v>981</v>
      </c>
      <c r="P629" s="1052" t="s">
        <v>9</v>
      </c>
      <c r="Q629" s="66" t="str">
        <f>IF(AND('331-CT'!$E$7=TH!H629,OR(O629="331",P629="331")),"x","")</f>
        <v/>
      </c>
      <c r="R629" s="66" t="str">
        <f>IF(AND($B629&gt;='111'!$N$11,$B629&lt;='111'!$O$11,OR($O629=$R$7,$P629=$R$7)),"x","")</f>
        <v/>
      </c>
      <c r="S629" s="66" t="str">
        <f>IF(AND($O629=$R$7,$B629&lt;'111'!$N$11),"x","")</f>
        <v/>
      </c>
      <c r="T629" s="66" t="str">
        <f>IF(AND($P629=$R$7,$B629&lt;'111'!$N$11),"x","")</f>
        <v/>
      </c>
      <c r="U629" s="66" t="str">
        <f>IF(AND($B629&gt;='112'!$M$9,$B629&lt;='112'!$N$9,OR($O629='112'!$I$6,$P629='112'!$I$6)),"x","")</f>
        <v/>
      </c>
      <c r="V629" s="66" t="str">
        <f>IF(AND($O629='112'!$I$6,$B629&lt;'112'!$M$9),"x","")</f>
        <v/>
      </c>
      <c r="W629" s="66" t="str">
        <f>IF(AND($P629='112'!$I$6,$B629&lt;'112'!$M$9),"x","")</f>
        <v/>
      </c>
      <c r="X629" s="66" t="str">
        <f>IF(AND('131-CT'!$H$9=TH!H629,OR(O629="131",P629="131")),"x","")</f>
        <v/>
      </c>
      <c r="Y629" s="80" t="str">
        <f>IF(AND($B629&gt;='1331'!$I$9,$B629&lt;='1331'!$J$9,OR($O629=$Y$7,$P629=$Y$7)),"x","")</f>
        <v/>
      </c>
      <c r="Z629" s="80" t="str">
        <f>IF(AND($O629=$Y$7,$B629&lt;'1331'!$I$9),"x","")</f>
        <v/>
      </c>
      <c r="AA629" s="80" t="str">
        <f>IF(AND($P629=$Y$7,$B629&lt;'1331'!$I$9),"x","")</f>
        <v/>
      </c>
      <c r="AB629" s="80" t="str">
        <f>IF(AND($B629&gt;='1332'!$I$9,$B629&lt;='1332'!$I$9,OR($O629=$AB$7,$P629=$AB$7)),"x","")</f>
        <v/>
      </c>
      <c r="AC629" s="80" t="str">
        <f>IF(AND($O629=$AB$7,$B629&lt;'1332'!$I$9),"x","")</f>
        <v/>
      </c>
      <c r="AD629" s="80" t="str">
        <f>IF(AND($P629=$AB$7,$B629&lt;'1332'!$I$9),"x","")</f>
        <v/>
      </c>
      <c r="AE629" s="80" t="str">
        <f>IF(AND('341-CT'!$H$9=H629,OR(LEFT(O629,3)=$AE$7,LEFT(P629,3)=$AE$7)),"x","")</f>
        <v/>
      </c>
      <c r="AF629" s="80" t="str">
        <f>IF(OR(TH!O629=TH!$AF$7,P629=TH!$AF$7),"x","")</f>
        <v/>
      </c>
      <c r="AG629" s="80"/>
      <c r="AH629" s="80" t="str">
        <f>IF(AND(B629&gt;='IN-NX'!$P$3,B629&lt;='IN-NX'!$Q$3,'IN-NX'!$D$7=D629,OR(LEFT(L629,2)="15",AND(LEFT(M629,2)&lt;&gt;"15",LEFT(M629,2)&lt;&gt;"33"))),"x","")</f>
        <v/>
      </c>
      <c r="AI629" s="80" t="str">
        <f>IF(AND(OR(LEFT(TH!O629,2)="15",LEFT(TH!P629,2)="15"),'152-CT'!$J$8=TH!F629),"x","")</f>
        <v/>
      </c>
      <c r="AJ629" s="80" t="str">
        <f>IF(AND(OR(LEFT(TH!O629,2)="15",LEFT(TH!P629,2)="15"),'THE KHO'!$E$7=TH!F629),"x","")</f>
        <v/>
      </c>
      <c r="AK629" s="80" t="str">
        <f>IF(AND(O629="1521",MONTH(C629)='BK NL'!$M$11),"x","")</f>
        <v/>
      </c>
    </row>
    <row r="630" spans="1:37" ht="15.75" customHeight="1">
      <c r="A630" s="362" t="str">
        <f>IF(B630&lt;&gt;"",IF(AND(B630&gt;=_TM1,B630&lt;=_TM2,OR(TH!O630="1111",TH!P630="1111")),TH!D630,""),"")</f>
        <v/>
      </c>
      <c r="B630" s="63">
        <f t="shared" ref="B630:B646" si="42">IF(C630&lt;&gt;"",MONTH(C630),"")</f>
        <v>8</v>
      </c>
      <c r="C630" s="1045">
        <v>42613</v>
      </c>
      <c r="D630" s="1045" t="s">
        <v>1157</v>
      </c>
      <c r="E630" s="1045">
        <v>42608</v>
      </c>
      <c r="F630" s="1046" t="s">
        <v>1177</v>
      </c>
      <c r="G630" s="1047" t="s">
        <v>1178</v>
      </c>
      <c r="H630" s="1048" t="s">
        <v>221</v>
      </c>
      <c r="I630" s="1132"/>
      <c r="J630" s="1132"/>
      <c r="K630" s="1133"/>
      <c r="L630" s="1132"/>
      <c r="M630" s="1051">
        <f>22821810/1.1</f>
        <v>20747100</v>
      </c>
      <c r="N630" s="1051"/>
      <c r="O630" s="1116" t="s">
        <v>135</v>
      </c>
      <c r="P630" s="1052" t="s">
        <v>9</v>
      </c>
      <c r="Q630" s="66" t="str">
        <f>IF(AND('331-CT'!$E$7=TH!H630,OR(O630="331",P630="331")),"x","")</f>
        <v/>
      </c>
      <c r="R630" s="66" t="str">
        <f>IF(AND($B630&gt;='111'!$N$11,$B630&lt;='111'!$O$11,OR($O630=$R$7,$P630=$R$7)),"x","")</f>
        <v/>
      </c>
      <c r="S630" s="66" t="str">
        <f>IF(AND($O630=$R$7,$B630&lt;'111'!$N$11),"x","")</f>
        <v/>
      </c>
      <c r="T630" s="66" t="str">
        <f>IF(AND($P630=$R$7,$B630&lt;'111'!$N$11),"x","")</f>
        <v/>
      </c>
      <c r="U630" s="66" t="str">
        <f>IF(AND($B630&gt;='112'!$M$9,$B630&lt;='112'!$N$9,OR($O630='112'!$I$6,$P630='112'!$I$6)),"x","")</f>
        <v/>
      </c>
      <c r="V630" s="66" t="str">
        <f>IF(AND($O630='112'!$I$6,$B630&lt;'112'!$M$9),"x","")</f>
        <v/>
      </c>
      <c r="W630" s="66" t="str">
        <f>IF(AND($P630='112'!$I$6,$B630&lt;'112'!$M$9),"x","")</f>
        <v/>
      </c>
      <c r="X630" s="66" t="str">
        <f>IF(AND('131-CT'!$H$9=TH!H630,OR(O630="131",P630="131")),"x","")</f>
        <v/>
      </c>
      <c r="Y630" s="80" t="str">
        <f>IF(AND($B630&gt;='1331'!$I$9,$B630&lt;='1331'!$J$9,OR($O630=$Y$7,$P630=$Y$7)),"x","")</f>
        <v/>
      </c>
      <c r="Z630" s="80" t="str">
        <f>IF(AND($O630=$Y$7,$B630&lt;'1331'!$I$9),"x","")</f>
        <v/>
      </c>
      <c r="AA630" s="80" t="str">
        <f>IF(AND($P630=$Y$7,$B630&lt;'1331'!$I$9),"x","")</f>
        <v/>
      </c>
      <c r="AB630" s="80" t="str">
        <f>IF(AND($B630&gt;='1332'!$I$9,$B630&lt;='1332'!$I$9,OR($O630=$AB$7,$P630=$AB$7)),"x","")</f>
        <v/>
      </c>
      <c r="AC630" s="80" t="str">
        <f>IF(AND($O630=$AB$7,$B630&lt;'1332'!$I$9),"x","")</f>
        <v/>
      </c>
      <c r="AD630" s="80" t="str">
        <f>IF(AND($P630=$AB$7,$B630&lt;'1332'!$I$9),"x","")</f>
        <v/>
      </c>
      <c r="AE630" s="80" t="str">
        <f>IF(AND('341-CT'!$H$9=H630,OR(LEFT(O630,3)=$AE$7,LEFT(P630,3)=$AE$7)),"x","")</f>
        <v/>
      </c>
      <c r="AF630" s="80" t="str">
        <f>IF(OR(TH!O630=TH!$AF$7,P630=TH!$AF$7),"x","")</f>
        <v/>
      </c>
      <c r="AG630" s="80"/>
      <c r="AH630" s="80" t="str">
        <f>IF(AND(B630&gt;='IN-NX'!$P$3,B630&lt;='IN-NX'!$Q$3,'IN-NX'!$D$7=D630,OR(LEFT(L630,2)="15",AND(LEFT(M630,2)&lt;&gt;"15",LEFT(M630,2)&lt;&gt;"33"))),"x","")</f>
        <v/>
      </c>
      <c r="AI630" s="80" t="str">
        <f>IF(AND(OR(LEFT(TH!O630,2)="15",LEFT(TH!P630,2)="15"),'152-CT'!$J$8=TH!F630),"x","")</f>
        <v/>
      </c>
      <c r="AJ630" s="80" t="str">
        <f>IF(AND(OR(LEFT(TH!O630,2)="15",LEFT(TH!P630,2)="15"),'THE KHO'!$E$7=TH!F630),"x","")</f>
        <v/>
      </c>
      <c r="AK630" s="80" t="str">
        <f>IF(AND(O630="1521",MONTH(C630)='BK NL'!$M$11),"x","")</f>
        <v/>
      </c>
    </row>
    <row r="631" spans="1:37" ht="15.75" customHeight="1">
      <c r="A631" s="362" t="str">
        <f>IF(B631&lt;&gt;"",IF(AND(B631&gt;=_TM1,B631&lt;=_TM2,OR(TH!O631="1111",TH!P631="1111")),TH!D631,""),"")</f>
        <v/>
      </c>
      <c r="B631" s="63">
        <f t="shared" si="42"/>
        <v>8</v>
      </c>
      <c r="C631" s="1045">
        <v>42613</v>
      </c>
      <c r="D631" s="1045" t="s">
        <v>1157</v>
      </c>
      <c r="E631" s="1045">
        <v>42608</v>
      </c>
      <c r="F631" s="1046" t="s">
        <v>1179</v>
      </c>
      <c r="G631" s="1047" t="s">
        <v>1178</v>
      </c>
      <c r="H631" s="1048" t="s">
        <v>221</v>
      </c>
      <c r="I631" s="1049"/>
      <c r="J631" s="1049"/>
      <c r="K631" s="1050"/>
      <c r="L631" s="1049"/>
      <c r="M631" s="1051">
        <f>M630*0.1</f>
        <v>2074710</v>
      </c>
      <c r="N631" s="1051"/>
      <c r="O631" s="1052" t="s">
        <v>10</v>
      </c>
      <c r="P631" s="1052" t="s">
        <v>9</v>
      </c>
      <c r="Q631" s="66" t="str">
        <f>IF(AND('331-CT'!$E$7=TH!H631,OR(O631="331",P631="331")),"x","")</f>
        <v/>
      </c>
      <c r="R631" s="66" t="str">
        <f>IF(AND($B631&gt;='111'!$N$11,$B631&lt;='111'!$O$11,OR($O631=$R$7,$P631=$R$7)),"x","")</f>
        <v/>
      </c>
      <c r="S631" s="66" t="str">
        <f>IF(AND($O631=$R$7,$B631&lt;'111'!$N$11),"x","")</f>
        <v/>
      </c>
      <c r="T631" s="66" t="str">
        <f>IF(AND($P631=$R$7,$B631&lt;'111'!$N$11),"x","")</f>
        <v/>
      </c>
      <c r="U631" s="66" t="str">
        <f>IF(AND($B631&gt;='112'!$M$9,$B631&lt;='112'!$N$9,OR($O631='112'!$I$6,$P631='112'!$I$6)),"x","")</f>
        <v/>
      </c>
      <c r="V631" s="66" t="str">
        <f>IF(AND($O631='112'!$I$6,$B631&lt;'112'!$M$9),"x","")</f>
        <v/>
      </c>
      <c r="W631" s="66" t="str">
        <f>IF(AND($P631='112'!$I$6,$B631&lt;'112'!$M$9),"x","")</f>
        <v/>
      </c>
      <c r="X631" s="66" t="str">
        <f>IF(AND('131-CT'!$H$9=TH!H631,OR(O631="131",P631="131")),"x","")</f>
        <v/>
      </c>
      <c r="Y631" s="80" t="str">
        <f>IF(AND($B631&gt;='1331'!$I$9,$B631&lt;='1331'!$J$9,OR($O631=$Y$7,$P631=$Y$7)),"x","")</f>
        <v>x</v>
      </c>
      <c r="Z631" s="80" t="str">
        <f>IF(AND($O631=$Y$7,$B631&lt;'1331'!$I$9),"x","")</f>
        <v/>
      </c>
      <c r="AA631" s="80" t="str">
        <f>IF(AND($P631=$Y$7,$B631&lt;'1331'!$I$9),"x","")</f>
        <v/>
      </c>
      <c r="AB631" s="80" t="str">
        <f>IF(AND($B631&gt;='1332'!$I$9,$B631&lt;='1332'!$I$9,OR($O631=$AB$7,$P631=$AB$7)),"x","")</f>
        <v/>
      </c>
      <c r="AC631" s="80" t="str">
        <f>IF(AND($O631=$AB$7,$B631&lt;'1332'!$I$9),"x","")</f>
        <v/>
      </c>
      <c r="AD631" s="80" t="str">
        <f>IF(AND($P631=$AB$7,$B631&lt;'1332'!$I$9),"x","")</f>
        <v/>
      </c>
      <c r="AE631" s="80" t="str">
        <f>IF(AND('341-CT'!$H$9=H631,OR(LEFT(O631,3)=$AE$7,LEFT(P631,3)=$AE$7)),"x","")</f>
        <v/>
      </c>
      <c r="AF631" s="80" t="str">
        <f>IF(OR(TH!O631=TH!$AF$7,P631=TH!$AF$7),"x","")</f>
        <v/>
      </c>
      <c r="AG631" s="80"/>
      <c r="AH631" s="80" t="str">
        <f>IF(AND(B631&gt;='IN-NX'!$P$3,B631&lt;='IN-NX'!$Q$3,'IN-NX'!$D$7=D631,OR(LEFT(L631,2)="15",AND(LEFT(M631,2)&lt;&gt;"15",LEFT(M631,2)&lt;&gt;"33"))),"x","")</f>
        <v/>
      </c>
      <c r="AI631" s="80" t="str">
        <f>IF(AND(OR(LEFT(TH!O631,2)="15",LEFT(TH!P631,2)="15"),'152-CT'!$J$8=TH!F631),"x","")</f>
        <v/>
      </c>
      <c r="AJ631" s="80" t="str">
        <f>IF(AND(OR(LEFT(TH!O631,2)="15",LEFT(TH!P631,2)="15"),'THE KHO'!$E$7=TH!F631),"x","")</f>
        <v/>
      </c>
      <c r="AK631" s="80" t="str">
        <f>IF(AND(O631="1521",MONTH(C631)='BK NL'!$M$11),"x","")</f>
        <v/>
      </c>
    </row>
    <row r="632" spans="1:37" ht="15.75" customHeight="1">
      <c r="A632" s="362" t="str">
        <f>IF(B632&lt;&gt;"",IF(AND(B632&gt;=_TM1,B632&lt;=_TM2,OR(TH!O632="1111",TH!P632="1111")),TH!D632,""),"")</f>
        <v/>
      </c>
      <c r="B632" s="63">
        <f t="shared" si="42"/>
        <v>8</v>
      </c>
      <c r="C632" s="1045">
        <v>42613</v>
      </c>
      <c r="D632" s="1045" t="s">
        <v>1157</v>
      </c>
      <c r="E632" s="1045">
        <v>42612</v>
      </c>
      <c r="F632" s="1046" t="s">
        <v>1180</v>
      </c>
      <c r="G632" s="1126" t="s">
        <v>1181</v>
      </c>
      <c r="H632" s="1048" t="s">
        <v>1143</v>
      </c>
      <c r="I632" s="1049"/>
      <c r="J632" s="1049"/>
      <c r="K632" s="1050"/>
      <c r="L632" s="1049"/>
      <c r="M632" s="1122">
        <v>9487000</v>
      </c>
      <c r="N632" s="1122" t="s">
        <v>26</v>
      </c>
      <c r="O632" s="1052" t="s">
        <v>135</v>
      </c>
      <c r="P632" s="1052" t="s">
        <v>9</v>
      </c>
      <c r="Q632" s="66" t="str">
        <f>IF(AND('331-CT'!$E$7=TH!H632,OR(O632="331",P632="331")),"x","")</f>
        <v/>
      </c>
      <c r="R632" s="66" t="str">
        <f>IF(AND($B632&gt;='111'!$N$11,$B632&lt;='111'!$O$11,OR($O632=$R$7,$P632=$R$7)),"x","")</f>
        <v/>
      </c>
      <c r="S632" s="66" t="str">
        <f>IF(AND($O632=$R$7,$B632&lt;'111'!$N$11),"x","")</f>
        <v/>
      </c>
      <c r="T632" s="66" t="str">
        <f>IF(AND($P632=$R$7,$B632&lt;'111'!$N$11),"x","")</f>
        <v/>
      </c>
      <c r="U632" s="66" t="str">
        <f>IF(AND($B632&gt;='112'!$M$9,$B632&lt;='112'!$N$9,OR($O632='112'!$I$6,$P632='112'!$I$6)),"x","")</f>
        <v/>
      </c>
      <c r="V632" s="66" t="str">
        <f>IF(AND($O632='112'!$I$6,$B632&lt;'112'!$M$9),"x","")</f>
        <v/>
      </c>
      <c r="W632" s="66" t="str">
        <f>IF(AND($P632='112'!$I$6,$B632&lt;'112'!$M$9),"x","")</f>
        <v/>
      </c>
      <c r="X632" s="66" t="str">
        <f>IF(AND('131-CT'!$H$9=TH!H632,OR(O632="131",P632="131")),"x","")</f>
        <v/>
      </c>
      <c r="Y632" s="80" t="str">
        <f>IF(AND($B632&gt;='1331'!$I$9,$B632&lt;='1331'!$J$9,OR($O632=$Y$7,$P632=$Y$7)),"x","")</f>
        <v/>
      </c>
      <c r="Z632" s="80" t="str">
        <f>IF(AND($O632=$Y$7,$B632&lt;'1331'!$I$9),"x","")</f>
        <v/>
      </c>
      <c r="AA632" s="80" t="str">
        <f>IF(AND($P632=$Y$7,$B632&lt;'1331'!$I$9),"x","")</f>
        <v/>
      </c>
      <c r="AB632" s="80" t="str">
        <f>IF(AND($B632&gt;='1332'!$I$9,$B632&lt;='1332'!$I$9,OR($O632=$AB$7,$P632=$AB$7)),"x","")</f>
        <v/>
      </c>
      <c r="AC632" s="80" t="str">
        <f>IF(AND($O632=$AB$7,$B632&lt;'1332'!$I$9),"x","")</f>
        <v/>
      </c>
      <c r="AD632" s="80" t="str">
        <f>IF(AND($P632=$AB$7,$B632&lt;'1332'!$I$9),"x","")</f>
        <v/>
      </c>
      <c r="AE632" s="80" t="str">
        <f>IF(AND('341-CT'!$H$9=H632,OR(LEFT(O632,3)=$AE$7,LEFT(P632,3)=$AE$7)),"x","")</f>
        <v/>
      </c>
      <c r="AF632" s="80" t="str">
        <f>IF(OR(TH!O632=TH!$AF$7,P632=TH!$AF$7),"x","")</f>
        <v/>
      </c>
      <c r="AG632" s="80"/>
      <c r="AH632" s="80" t="str">
        <f>IF(AND(B632&gt;='IN-NX'!$P$3,B632&lt;='IN-NX'!$Q$3,'IN-NX'!$D$7=D632,OR(LEFT(L632,2)="15",AND(LEFT(M632,2)&lt;&gt;"15",LEFT(M632,2)&lt;&gt;"33"))),"x","")</f>
        <v/>
      </c>
      <c r="AI632" s="80" t="str">
        <f>IF(AND(OR(LEFT(TH!O632,2)="15",LEFT(TH!P632,2)="15"),'152-CT'!$J$8=TH!F632),"x","")</f>
        <v/>
      </c>
      <c r="AJ632" s="80" t="str">
        <f>IF(AND(OR(LEFT(TH!O632,2)="15",LEFT(TH!P632,2)="15"),'THE KHO'!$E$7=TH!F632),"x","")</f>
        <v/>
      </c>
      <c r="AK632" s="80" t="str">
        <f>IF(AND(O632="1521",MONTH(C632)='BK NL'!$M$11),"x","")</f>
        <v/>
      </c>
    </row>
    <row r="633" spans="1:37" ht="15.75" customHeight="1">
      <c r="A633" s="362" t="str">
        <f>IF(B633&lt;&gt;"",IF(AND(B633&gt;=_TM1,B633&lt;=_TM2,OR(TH!O633="1111",TH!P633="1111")),TH!D633,""),"")</f>
        <v/>
      </c>
      <c r="B633" s="63">
        <f t="shared" si="42"/>
        <v>8</v>
      </c>
      <c r="C633" s="1045">
        <v>42613</v>
      </c>
      <c r="D633" s="1045" t="s">
        <v>1157</v>
      </c>
      <c r="E633" s="1045">
        <v>42613</v>
      </c>
      <c r="F633" s="1046" t="s">
        <v>1182</v>
      </c>
      <c r="G633" s="1047"/>
      <c r="H633" s="1048"/>
      <c r="I633" s="1049"/>
      <c r="J633" s="1049"/>
      <c r="K633" s="1050"/>
      <c r="L633" s="1049"/>
      <c r="M633" s="1051">
        <v>21750000</v>
      </c>
      <c r="N633" s="1051"/>
      <c r="O633" s="1052" t="s">
        <v>468</v>
      </c>
      <c r="P633" s="1052" t="s">
        <v>1020</v>
      </c>
      <c r="Q633" s="66" t="str">
        <f>IF(AND('331-CT'!$E$7=TH!H633,OR(O633="331",P633="331")),"x","")</f>
        <v/>
      </c>
      <c r="R633" s="66" t="str">
        <f>IF(AND($B633&gt;='111'!$N$11,$B633&lt;='111'!$O$11,OR($O633=$R$7,$P633=$R$7)),"x","")</f>
        <v/>
      </c>
      <c r="S633" s="66" t="str">
        <f>IF(AND($O633=$R$7,$B633&lt;'111'!$N$11),"x","")</f>
        <v/>
      </c>
      <c r="T633" s="66" t="str">
        <f>IF(AND($P633=$R$7,$B633&lt;'111'!$N$11),"x","")</f>
        <v/>
      </c>
      <c r="U633" s="66" t="str">
        <f>IF(AND($B633&gt;='112'!$M$9,$B633&lt;='112'!$N$9,OR($O633='112'!$I$6,$P633='112'!$I$6)),"x","")</f>
        <v/>
      </c>
      <c r="V633" s="66" t="str">
        <f>IF(AND($O633='112'!$I$6,$B633&lt;'112'!$M$9),"x","")</f>
        <v/>
      </c>
      <c r="W633" s="66" t="str">
        <f>IF(AND($P633='112'!$I$6,$B633&lt;'112'!$M$9),"x","")</f>
        <v/>
      </c>
      <c r="X633" s="66" t="str">
        <f>IF(AND('131-CT'!$H$9=TH!H633,OR(O633="131",P633="131")),"x","")</f>
        <v/>
      </c>
      <c r="Y633" s="80" t="str">
        <f>IF(AND($B633&gt;='1331'!$I$9,$B633&lt;='1331'!$J$9,OR($O633=$Y$7,$P633=$Y$7)),"x","")</f>
        <v/>
      </c>
      <c r="Z633" s="80" t="str">
        <f>IF(AND($O633=$Y$7,$B633&lt;'1331'!$I$9),"x","")</f>
        <v/>
      </c>
      <c r="AA633" s="80" t="str">
        <f>IF(AND($P633=$Y$7,$B633&lt;'1331'!$I$9),"x","")</f>
        <v/>
      </c>
      <c r="AB633" s="80" t="str">
        <f>IF(AND($B633&gt;='1332'!$I$9,$B633&lt;='1332'!$I$9,OR($O633=$AB$7,$P633=$AB$7)),"x","")</f>
        <v/>
      </c>
      <c r="AC633" s="80" t="str">
        <f>IF(AND($O633=$AB$7,$B633&lt;'1332'!$I$9),"x","")</f>
        <v/>
      </c>
      <c r="AD633" s="80" t="str">
        <f>IF(AND($P633=$AB$7,$B633&lt;'1332'!$I$9),"x","")</f>
        <v/>
      </c>
      <c r="AE633" s="80" t="str">
        <f>IF(AND('341-CT'!$H$9=H633,OR(LEFT(O633,3)=$AE$7,LEFT(P633,3)=$AE$7)),"x","")</f>
        <v/>
      </c>
      <c r="AF633" s="80" t="str">
        <f>IF(OR(TH!O633=TH!$AF$7,P633=TH!$AF$7),"x","")</f>
        <v/>
      </c>
      <c r="AG633" s="80"/>
      <c r="AH633" s="80" t="str">
        <f>IF(AND(B633&gt;='IN-NX'!$P$3,B633&lt;='IN-NX'!$Q$3,'IN-NX'!$D$7=D633,OR(LEFT(L633,2)="15",AND(LEFT(M633,2)&lt;&gt;"15",LEFT(M633,2)&lt;&gt;"33"))),"x","")</f>
        <v/>
      </c>
      <c r="AI633" s="80" t="str">
        <f>IF(AND(OR(LEFT(TH!O633,2)="15",LEFT(TH!P633,2)="15"),'152-CT'!$J$8=TH!F633),"x","")</f>
        <v/>
      </c>
      <c r="AJ633" s="80" t="str">
        <f>IF(AND(OR(LEFT(TH!O633,2)="15",LEFT(TH!P633,2)="15"),'THE KHO'!$E$7=TH!F633),"x","")</f>
        <v/>
      </c>
      <c r="AK633" s="80" t="str">
        <f>IF(AND(O633="1521",MONTH(C633)='BK NL'!$M$11),"x","")</f>
        <v/>
      </c>
    </row>
    <row r="634" spans="1:37" ht="15.75" customHeight="1">
      <c r="A634" s="362" t="str">
        <f>IF(B634&lt;&gt;"",IF(AND(B634&gt;=_TM1,B634&lt;=_TM2,OR(TH!O634="1111",TH!P634="1111")),TH!D634,""),"")</f>
        <v/>
      </c>
      <c r="B634" s="63">
        <f t="shared" si="42"/>
        <v>8</v>
      </c>
      <c r="C634" s="1045">
        <v>42613</v>
      </c>
      <c r="D634" s="1045" t="s">
        <v>1157</v>
      </c>
      <c r="E634" s="1045">
        <v>42613</v>
      </c>
      <c r="F634" s="1046" t="s">
        <v>1183</v>
      </c>
      <c r="G634" s="1047"/>
      <c r="H634" s="1048"/>
      <c r="I634" s="1049"/>
      <c r="J634" s="1049"/>
      <c r="K634" s="1050"/>
      <c r="L634" s="1049"/>
      <c r="M634" s="1051">
        <v>155150000</v>
      </c>
      <c r="N634" s="1051"/>
      <c r="O634" s="1052" t="s">
        <v>468</v>
      </c>
      <c r="P634" s="1052" t="s">
        <v>1020</v>
      </c>
      <c r="Q634" s="66" t="str">
        <f>IF(AND('331-CT'!$E$7=TH!H634,OR(O634="331",P634="331")),"x","")</f>
        <v/>
      </c>
      <c r="R634" s="66" t="str">
        <f>IF(AND($B634&gt;='111'!$N$11,$B634&lt;='111'!$O$11,OR($O634=$R$7,$P634=$R$7)),"x","")</f>
        <v/>
      </c>
      <c r="S634" s="66" t="str">
        <f>IF(AND($O634=$R$7,$B634&lt;'111'!$N$11),"x","")</f>
        <v/>
      </c>
      <c r="T634" s="66" t="str">
        <f>IF(AND($P634=$R$7,$B634&lt;'111'!$N$11),"x","")</f>
        <v/>
      </c>
      <c r="U634" s="66" t="str">
        <f>IF(AND($B634&gt;='112'!$M$9,$B634&lt;='112'!$N$9,OR($O634='112'!$I$6,$P634='112'!$I$6)),"x","")</f>
        <v/>
      </c>
      <c r="V634" s="66" t="str">
        <f>IF(AND($O634='112'!$I$6,$B634&lt;'112'!$M$9),"x","")</f>
        <v/>
      </c>
      <c r="W634" s="66" t="str">
        <f>IF(AND($P634='112'!$I$6,$B634&lt;'112'!$M$9),"x","")</f>
        <v/>
      </c>
      <c r="X634" s="66" t="str">
        <f>IF(AND('131-CT'!$H$9=TH!H634,OR(O634="131",P634="131")),"x","")</f>
        <v/>
      </c>
      <c r="Y634" s="80" t="str">
        <f>IF(AND($B634&gt;='1331'!$I$9,$B634&lt;='1331'!$J$9,OR($O634=$Y$7,$P634=$Y$7)),"x","")</f>
        <v/>
      </c>
      <c r="Z634" s="80" t="str">
        <f>IF(AND($O634=$Y$7,$B634&lt;'1331'!$I$9),"x","")</f>
        <v/>
      </c>
      <c r="AA634" s="80" t="str">
        <f>IF(AND($P634=$Y$7,$B634&lt;'1331'!$I$9),"x","")</f>
        <v/>
      </c>
      <c r="AB634" s="80" t="str">
        <f>IF(AND($B634&gt;='1332'!$I$9,$B634&lt;='1332'!$I$9,OR($O634=$AB$7,$P634=$AB$7)),"x","")</f>
        <v/>
      </c>
      <c r="AC634" s="80" t="str">
        <f>IF(AND($O634=$AB$7,$B634&lt;'1332'!$I$9),"x","")</f>
        <v/>
      </c>
      <c r="AD634" s="80" t="str">
        <f>IF(AND($P634=$AB$7,$B634&lt;'1332'!$I$9),"x","")</f>
        <v/>
      </c>
      <c r="AE634" s="80" t="str">
        <f>IF(AND('341-CT'!$H$9=H634,OR(LEFT(O634,3)=$AE$7,LEFT(P634,3)=$AE$7)),"x","")</f>
        <v/>
      </c>
      <c r="AF634" s="80" t="str">
        <f>IF(OR(TH!O634=TH!$AF$7,P634=TH!$AF$7),"x","")</f>
        <v/>
      </c>
      <c r="AG634" s="80"/>
      <c r="AH634" s="80" t="str">
        <f>IF(AND(B634&gt;='IN-NX'!$P$3,B634&lt;='IN-NX'!$Q$3,'IN-NX'!$D$7=D634,OR(LEFT(L634,2)="15",AND(LEFT(M634,2)&lt;&gt;"15",LEFT(M634,2)&lt;&gt;"33"))),"x","")</f>
        <v/>
      </c>
      <c r="AI634" s="80" t="str">
        <f>IF(AND(OR(LEFT(TH!O634,2)="15",LEFT(TH!P634,2)="15"),'152-CT'!$J$8=TH!F634),"x","")</f>
        <v/>
      </c>
      <c r="AJ634" s="80" t="str">
        <f>IF(AND(OR(LEFT(TH!O634,2)="15",LEFT(TH!P634,2)="15"),'THE KHO'!$E$7=TH!F634),"x","")</f>
        <v/>
      </c>
      <c r="AK634" s="80" t="str">
        <f>IF(AND(O634="1521",MONTH(C634)='BK NL'!$M$11),"x","")</f>
        <v/>
      </c>
    </row>
    <row r="635" spans="1:37" ht="15.75" customHeight="1">
      <c r="A635" s="362" t="str">
        <f>IF(B635&lt;&gt;"",IF(AND(B635&gt;=_TM1,B635&lt;=_TM2,OR(TH!O635="1111",TH!P635="1111")),TH!D635,""),"")</f>
        <v/>
      </c>
      <c r="B635" s="63">
        <f t="shared" si="42"/>
        <v>8</v>
      </c>
      <c r="C635" s="1045">
        <v>42613</v>
      </c>
      <c r="D635" s="1045" t="s">
        <v>1157</v>
      </c>
      <c r="E635" s="1045">
        <v>42613</v>
      </c>
      <c r="F635" s="1046" t="s">
        <v>1182</v>
      </c>
      <c r="G635" s="1047"/>
      <c r="H635" s="1048"/>
      <c r="I635" s="1049"/>
      <c r="J635" s="1049"/>
      <c r="K635" s="1050"/>
      <c r="L635" s="1049"/>
      <c r="M635" s="1051">
        <f>1620000+2835000</f>
        <v>4455000</v>
      </c>
      <c r="N635" s="1051" t="s">
        <v>26</v>
      </c>
      <c r="O635" s="1052" t="s">
        <v>135</v>
      </c>
      <c r="P635" s="1052" t="s">
        <v>1020</v>
      </c>
      <c r="Q635" s="66" t="str">
        <f>IF(AND('331-CT'!$E$7=TH!H635,OR(O635="331",P635="331")),"x","")</f>
        <v/>
      </c>
      <c r="R635" s="66" t="str">
        <f>IF(AND($B635&gt;='111'!$N$11,$B635&lt;='111'!$O$11,OR($O635=$R$7,$P635=$R$7)),"x","")</f>
        <v/>
      </c>
      <c r="S635" s="66" t="str">
        <f>IF(AND($O635=$R$7,$B635&lt;'111'!$N$11),"x","")</f>
        <v/>
      </c>
      <c r="T635" s="66" t="str">
        <f>IF(AND($P635=$R$7,$B635&lt;'111'!$N$11),"x","")</f>
        <v/>
      </c>
      <c r="U635" s="66" t="str">
        <f>IF(AND($B635&gt;='112'!$M$9,$B635&lt;='112'!$N$9,OR($O635='112'!$I$6,$P635='112'!$I$6)),"x","")</f>
        <v/>
      </c>
      <c r="V635" s="66" t="str">
        <f>IF(AND($O635='112'!$I$6,$B635&lt;'112'!$M$9),"x","")</f>
        <v/>
      </c>
      <c r="W635" s="66" t="str">
        <f>IF(AND($P635='112'!$I$6,$B635&lt;'112'!$M$9),"x","")</f>
        <v/>
      </c>
      <c r="X635" s="66" t="str">
        <f>IF(AND('131-CT'!$H$9=TH!H635,OR(O635="131",P635="131")),"x","")</f>
        <v/>
      </c>
      <c r="Y635" s="80" t="str">
        <f>IF(AND($B635&gt;='1331'!$I$9,$B635&lt;='1331'!$J$9,OR($O635=$Y$7,$P635=$Y$7)),"x","")</f>
        <v/>
      </c>
      <c r="Z635" s="80" t="str">
        <f>IF(AND($O635=$Y$7,$B635&lt;'1331'!$I$9),"x","")</f>
        <v/>
      </c>
      <c r="AA635" s="80" t="str">
        <f>IF(AND($P635=$Y$7,$B635&lt;'1331'!$I$9),"x","")</f>
        <v/>
      </c>
      <c r="AB635" s="80" t="str">
        <f>IF(AND($B635&gt;='1332'!$I$9,$B635&lt;='1332'!$I$9,OR($O635=$AB$7,$P635=$AB$7)),"x","")</f>
        <v/>
      </c>
      <c r="AC635" s="80" t="str">
        <f>IF(AND($O635=$AB$7,$B635&lt;'1332'!$I$9),"x","")</f>
        <v/>
      </c>
      <c r="AD635" s="80" t="str">
        <f>IF(AND($P635=$AB$7,$B635&lt;'1332'!$I$9),"x","")</f>
        <v/>
      </c>
      <c r="AE635" s="80" t="str">
        <f>IF(AND('341-CT'!$H$9=H635,OR(LEFT(O635,3)=$AE$7,LEFT(P635,3)=$AE$7)),"x","")</f>
        <v/>
      </c>
      <c r="AF635" s="80" t="str">
        <f>IF(OR(TH!O635=TH!$AF$7,P635=TH!$AF$7),"x","")</f>
        <v/>
      </c>
      <c r="AG635" s="80"/>
      <c r="AH635" s="80" t="str">
        <f>IF(AND(B635&gt;='IN-NX'!$P$3,B635&lt;='IN-NX'!$Q$3,'IN-NX'!$D$7=D635,OR(LEFT(L635,2)="15",AND(LEFT(M635,2)&lt;&gt;"15",LEFT(M635,2)&lt;&gt;"33"))),"x","")</f>
        <v/>
      </c>
      <c r="AI635" s="80" t="str">
        <f>IF(AND(OR(LEFT(TH!O635,2)="15",LEFT(TH!P635,2)="15"),'152-CT'!$J$8=TH!F635),"x","")</f>
        <v/>
      </c>
      <c r="AJ635" s="80" t="str">
        <f>IF(AND(OR(LEFT(TH!O635,2)="15",LEFT(TH!P635,2)="15"),'THE KHO'!$E$7=TH!F635),"x","")</f>
        <v/>
      </c>
      <c r="AK635" s="80" t="str">
        <f>IF(AND(O635="1521",MONTH(C635)='BK NL'!$M$11),"x","")</f>
        <v/>
      </c>
    </row>
    <row r="636" spans="1:37" ht="15.75" customHeight="1">
      <c r="A636" s="362" t="str">
        <f>IF(B636&lt;&gt;"",IF(AND(B636&gt;=_TM1,B636&lt;=_TM2,OR(TH!O636="1111",TH!P636="1111")),TH!D636,""),"")</f>
        <v/>
      </c>
      <c r="B636" s="63">
        <f t="shared" si="42"/>
        <v>8</v>
      </c>
      <c r="C636" s="1045">
        <v>42613</v>
      </c>
      <c r="D636" s="1045" t="s">
        <v>1157</v>
      </c>
      <c r="E636" s="1045">
        <v>42613</v>
      </c>
      <c r="F636" s="1046" t="s">
        <v>1184</v>
      </c>
      <c r="G636" s="1047"/>
      <c r="H636" s="1048"/>
      <c r="I636" s="1049"/>
      <c r="J636" s="1049"/>
      <c r="K636" s="1050"/>
      <c r="L636" s="1049"/>
      <c r="M636" s="1051">
        <f>22663000+13138000</f>
        <v>35801000</v>
      </c>
      <c r="N636" s="1051" t="s">
        <v>26</v>
      </c>
      <c r="O636" s="1052" t="s">
        <v>135</v>
      </c>
      <c r="P636" s="1052" t="s">
        <v>1020</v>
      </c>
      <c r="Q636" s="66" t="str">
        <f>IF(AND('331-CT'!$E$7=TH!H636,OR(O636="331",P636="331")),"x","")</f>
        <v/>
      </c>
      <c r="R636" s="66" t="str">
        <f>IF(AND($B636&gt;='111'!$N$11,$B636&lt;='111'!$O$11,OR($O636=$R$7,$P636=$R$7)),"x","")</f>
        <v/>
      </c>
      <c r="S636" s="66" t="str">
        <f>IF(AND($O636=$R$7,$B636&lt;'111'!$N$11),"x","")</f>
        <v/>
      </c>
      <c r="T636" s="66" t="str">
        <f>IF(AND($P636=$R$7,$B636&lt;'111'!$N$11),"x","")</f>
        <v/>
      </c>
      <c r="U636" s="66" t="str">
        <f>IF(AND($B636&gt;='112'!$M$9,$B636&lt;='112'!$N$9,OR($O636='112'!$I$6,$P636='112'!$I$6)),"x","")</f>
        <v/>
      </c>
      <c r="V636" s="66" t="str">
        <f>IF(AND($O636='112'!$I$6,$B636&lt;'112'!$M$9),"x","")</f>
        <v/>
      </c>
      <c r="W636" s="66" t="str">
        <f>IF(AND($P636='112'!$I$6,$B636&lt;'112'!$M$9),"x","")</f>
        <v/>
      </c>
      <c r="X636" s="66" t="str">
        <f>IF(AND('131-CT'!$H$9=TH!H636,OR(O636="131",P636="131")),"x","")</f>
        <v/>
      </c>
      <c r="Y636" s="80" t="str">
        <f>IF(AND($B636&gt;='1331'!$I$9,$B636&lt;='1331'!$J$9,OR($O636=$Y$7,$P636=$Y$7)),"x","")</f>
        <v/>
      </c>
      <c r="Z636" s="80" t="str">
        <f>IF(AND($O636=$Y$7,$B636&lt;'1331'!$I$9),"x","")</f>
        <v/>
      </c>
      <c r="AA636" s="80" t="str">
        <f>IF(AND($P636=$Y$7,$B636&lt;'1331'!$I$9),"x","")</f>
        <v/>
      </c>
      <c r="AB636" s="80" t="str">
        <f>IF(AND($B636&gt;='1332'!$I$9,$B636&lt;='1332'!$I$9,OR($O636=$AB$7,$P636=$AB$7)),"x","")</f>
        <v/>
      </c>
      <c r="AC636" s="80" t="str">
        <f>IF(AND($O636=$AB$7,$B636&lt;'1332'!$I$9),"x","")</f>
        <v/>
      </c>
      <c r="AD636" s="80" t="str">
        <f>IF(AND($P636=$AB$7,$B636&lt;'1332'!$I$9),"x","")</f>
        <v/>
      </c>
      <c r="AE636" s="80" t="str">
        <f>IF(AND('341-CT'!$H$9=H636,OR(LEFT(O636,3)=$AE$7,LEFT(P636,3)=$AE$7)),"x","")</f>
        <v/>
      </c>
      <c r="AF636" s="80" t="str">
        <f>IF(OR(TH!O636=TH!$AF$7,P636=TH!$AF$7),"x","")</f>
        <v/>
      </c>
      <c r="AG636" s="80"/>
      <c r="AH636" s="80" t="str">
        <f>IF(AND(B636&gt;='IN-NX'!$P$3,B636&lt;='IN-NX'!$Q$3,'IN-NX'!$D$7=D636,OR(LEFT(L636,2)="15",AND(LEFT(M636,2)&lt;&gt;"15",LEFT(M636,2)&lt;&gt;"33"))),"x","")</f>
        <v/>
      </c>
      <c r="AI636" s="80" t="str">
        <f>IF(AND(OR(LEFT(TH!O636,2)="15",LEFT(TH!P636,2)="15"),'152-CT'!$J$8=TH!F636),"x","")</f>
        <v/>
      </c>
      <c r="AJ636" s="80" t="str">
        <f>IF(AND(OR(LEFT(TH!O636,2)="15",LEFT(TH!P636,2)="15"),'THE KHO'!$E$7=TH!F636),"x","")</f>
        <v/>
      </c>
      <c r="AK636" s="80" t="str">
        <f>IF(AND(O636="1521",MONTH(C636)='BK NL'!$M$11),"x","")</f>
        <v/>
      </c>
    </row>
    <row r="637" spans="1:37" ht="15.75" customHeight="1">
      <c r="A637" s="362" t="str">
        <f>IF(B637&lt;&gt;"",IF(AND(B637&gt;=_TM1,B637&lt;=_TM2,OR(TH!O637="1111",TH!P637="1111")),TH!D637,""),"")</f>
        <v/>
      </c>
      <c r="B637" s="63">
        <f t="shared" si="42"/>
        <v>8</v>
      </c>
      <c r="C637" s="1045">
        <v>42613</v>
      </c>
      <c r="D637" s="1045" t="s">
        <v>1157</v>
      </c>
      <c r="E637" s="1045">
        <v>42613</v>
      </c>
      <c r="F637" s="1046" t="s">
        <v>1026</v>
      </c>
      <c r="G637" s="1047"/>
      <c r="H637" s="1054"/>
      <c r="I637" s="1055"/>
      <c r="J637" s="1055"/>
      <c r="K637" s="1056"/>
      <c r="L637" s="1055"/>
      <c r="M637" s="1051">
        <f>(13138000+22663000+156006000)*8%</f>
        <v>15344560</v>
      </c>
      <c r="N637" s="1051"/>
      <c r="O637" s="1052" t="s">
        <v>1020</v>
      </c>
      <c r="P637" s="1052" t="s">
        <v>1027</v>
      </c>
      <c r="Q637" s="66" t="str">
        <f>IF(AND('331-CT'!$E$7=TH!H637,OR(O637="331",P637="331")),"x","")</f>
        <v/>
      </c>
      <c r="R637" s="66" t="str">
        <f>IF(AND($B637&gt;='111'!$N$11,$B637&lt;='111'!$O$11,OR($O637=$R$7,$P637=$R$7)),"x","")</f>
        <v/>
      </c>
      <c r="S637" s="66" t="str">
        <f>IF(AND($O637=$R$7,$B637&lt;'111'!$N$11),"x","")</f>
        <v/>
      </c>
      <c r="T637" s="66" t="str">
        <f>IF(AND($P637=$R$7,$B637&lt;'111'!$N$11),"x","")</f>
        <v/>
      </c>
      <c r="U637" s="66" t="str">
        <f>IF(AND($B637&gt;='112'!$M$9,$B637&lt;='112'!$N$9,OR($O637='112'!$I$6,$P637='112'!$I$6)),"x","")</f>
        <v/>
      </c>
      <c r="V637" s="66" t="str">
        <f>IF(AND($O637='112'!$I$6,$B637&lt;'112'!$M$9),"x","")</f>
        <v/>
      </c>
      <c r="W637" s="66" t="str">
        <f>IF(AND($P637='112'!$I$6,$B637&lt;'112'!$M$9),"x","")</f>
        <v/>
      </c>
      <c r="X637" s="66" t="str">
        <f>IF(AND('131-CT'!$H$9=TH!H637,OR(O637="131",P637="131")),"x","")</f>
        <v/>
      </c>
      <c r="Y637" s="80" t="str">
        <f>IF(AND($B637&gt;='1331'!$I$9,$B637&lt;='1331'!$J$9,OR($O637=$Y$7,$P637=$Y$7)),"x","")</f>
        <v/>
      </c>
      <c r="Z637" s="80" t="str">
        <f>IF(AND($O637=$Y$7,$B637&lt;'1331'!$I$9),"x","")</f>
        <v/>
      </c>
      <c r="AA637" s="80" t="str">
        <f>IF(AND($P637=$Y$7,$B637&lt;'1331'!$I$9),"x","")</f>
        <v/>
      </c>
      <c r="AB637" s="80" t="str">
        <f>IF(AND($B637&gt;='1332'!$I$9,$B637&lt;='1332'!$I$9,OR($O637=$AB$7,$P637=$AB$7)),"x","")</f>
        <v/>
      </c>
      <c r="AC637" s="80" t="str">
        <f>IF(AND($O637=$AB$7,$B637&lt;'1332'!$I$9),"x","")</f>
        <v/>
      </c>
      <c r="AD637" s="80" t="str">
        <f>IF(AND($P637=$AB$7,$B637&lt;'1332'!$I$9),"x","")</f>
        <v/>
      </c>
      <c r="AE637" s="80" t="str">
        <f>IF(AND('341-CT'!$H$9=H637,OR(LEFT(O637,3)=$AE$7,LEFT(P637,3)=$AE$7)),"x","")</f>
        <v/>
      </c>
      <c r="AF637" s="80" t="str">
        <f>IF(OR(TH!O637=TH!$AF$7,P637=TH!$AF$7),"x","")</f>
        <v/>
      </c>
      <c r="AG637" s="80"/>
      <c r="AH637" s="80" t="str">
        <f>IF(AND(B637&gt;='IN-NX'!$P$3,B637&lt;='IN-NX'!$Q$3,'IN-NX'!$D$7=D637,OR(LEFT(L637,2)="15",AND(LEFT(M637,2)&lt;&gt;"15",LEFT(M637,2)&lt;&gt;"33"))),"x","")</f>
        <v/>
      </c>
      <c r="AI637" s="80" t="str">
        <f>IF(AND(OR(LEFT(TH!O637,2)="15",LEFT(TH!P637,2)="15"),'152-CT'!$J$8=TH!F637),"x","")</f>
        <v/>
      </c>
      <c r="AJ637" s="80" t="str">
        <f>IF(AND(OR(LEFT(TH!O637,2)="15",LEFT(TH!P637,2)="15"),'THE KHO'!$E$7=TH!F637),"x","")</f>
        <v/>
      </c>
      <c r="AK637" s="80" t="str">
        <f>IF(AND(O637="1521",MONTH(C637)='BK NL'!$M$11),"x","")</f>
        <v/>
      </c>
    </row>
    <row r="638" spans="1:37" ht="15.75" customHeight="1">
      <c r="A638" s="362" t="str">
        <f>IF(B638&lt;&gt;"",IF(AND(B638&gt;=_TM1,B638&lt;=_TM2,OR(TH!O638="1111",TH!P638="1111")),TH!D638,""),"")</f>
        <v/>
      </c>
      <c r="B638" s="63">
        <f t="shared" si="42"/>
        <v>8</v>
      </c>
      <c r="C638" s="1045">
        <v>42613</v>
      </c>
      <c r="D638" s="1045" t="s">
        <v>1157</v>
      </c>
      <c r="E638" s="1045">
        <v>42613</v>
      </c>
      <c r="F638" s="1046" t="s">
        <v>1028</v>
      </c>
      <c r="G638" s="1047"/>
      <c r="H638" s="1048"/>
      <c r="I638" s="1049"/>
      <c r="J638" s="1049"/>
      <c r="K638" s="1050"/>
      <c r="L638" s="1049"/>
      <c r="M638" s="1051">
        <f>(13138000+22663000+156006000)*1.5%</f>
        <v>2877105</v>
      </c>
      <c r="N638" s="1051"/>
      <c r="O638" s="1052" t="s">
        <v>1020</v>
      </c>
      <c r="P638" s="1052" t="s">
        <v>1029</v>
      </c>
      <c r="Q638" s="66" t="str">
        <f>IF(AND('331-CT'!$E$7=TH!H638,OR(O638="331",P638="331")),"x","")</f>
        <v/>
      </c>
      <c r="R638" s="66" t="str">
        <f>IF(AND($B638&gt;='111'!$N$11,$B638&lt;='111'!$O$11,OR($O638=$R$7,$P638=$R$7)),"x","")</f>
        <v/>
      </c>
      <c r="S638" s="66" t="str">
        <f>IF(AND($O638=$R$7,$B638&lt;'111'!$N$11),"x","")</f>
        <v/>
      </c>
      <c r="T638" s="66" t="str">
        <f>IF(AND($P638=$R$7,$B638&lt;'111'!$N$11),"x","")</f>
        <v/>
      </c>
      <c r="U638" s="66" t="str">
        <f>IF(AND($B638&gt;='112'!$M$9,$B638&lt;='112'!$N$9,OR($O638='112'!$I$6,$P638='112'!$I$6)),"x","")</f>
        <v/>
      </c>
      <c r="V638" s="66" t="str">
        <f>IF(AND($O638='112'!$I$6,$B638&lt;'112'!$M$9),"x","")</f>
        <v/>
      </c>
      <c r="W638" s="66" t="str">
        <f>IF(AND($P638='112'!$I$6,$B638&lt;'112'!$M$9),"x","")</f>
        <v/>
      </c>
      <c r="X638" s="66" t="str">
        <f>IF(AND('131-CT'!$H$9=TH!H638,OR(O638="131",P638="131")),"x","")</f>
        <v/>
      </c>
      <c r="Y638" s="80" t="str">
        <f>IF(AND($B638&gt;='1331'!$I$9,$B638&lt;='1331'!$J$9,OR($O638=$Y$7,$P638=$Y$7)),"x","")</f>
        <v/>
      </c>
      <c r="Z638" s="80" t="str">
        <f>IF(AND($O638=$Y$7,$B638&lt;'1331'!$I$9),"x","")</f>
        <v/>
      </c>
      <c r="AA638" s="80" t="str">
        <f>IF(AND($P638=$Y$7,$B638&lt;'1331'!$I$9),"x","")</f>
        <v/>
      </c>
      <c r="AB638" s="80" t="str">
        <f>IF(AND($B638&gt;='1332'!$I$9,$B638&lt;='1332'!$I$9,OR($O638=$AB$7,$P638=$AB$7)),"x","")</f>
        <v/>
      </c>
      <c r="AC638" s="80" t="str">
        <f>IF(AND($O638=$AB$7,$B638&lt;'1332'!$I$9),"x","")</f>
        <v/>
      </c>
      <c r="AD638" s="80" t="str">
        <f>IF(AND($P638=$AB$7,$B638&lt;'1332'!$I$9),"x","")</f>
        <v/>
      </c>
      <c r="AE638" s="80" t="str">
        <f>IF(AND('341-CT'!$H$9=H638,OR(LEFT(O638,3)=$AE$7,LEFT(P638,3)=$AE$7)),"x","")</f>
        <v/>
      </c>
      <c r="AF638" s="80" t="str">
        <f>IF(OR(TH!O638=TH!$AF$7,P638=TH!$AF$7),"x","")</f>
        <v/>
      </c>
      <c r="AG638" s="80"/>
      <c r="AH638" s="80" t="str">
        <f>IF(AND(B638&gt;='IN-NX'!$P$3,B638&lt;='IN-NX'!$Q$3,'IN-NX'!$D$7=D638,OR(LEFT(L638,2)="15",AND(LEFT(M638,2)&lt;&gt;"15",LEFT(M638,2)&lt;&gt;"33"))),"x","")</f>
        <v/>
      </c>
      <c r="AI638" s="80" t="str">
        <f>IF(AND(OR(LEFT(TH!O638,2)="15",LEFT(TH!P638,2)="15"),'152-CT'!$J$8=TH!F638),"x","")</f>
        <v/>
      </c>
      <c r="AJ638" s="80" t="str">
        <f>IF(AND(OR(LEFT(TH!O638,2)="15",LEFT(TH!P638,2)="15"),'THE KHO'!$E$7=TH!F638),"x","")</f>
        <v/>
      </c>
      <c r="AK638" s="80" t="str">
        <f>IF(AND(O638="1521",MONTH(C638)='BK NL'!$M$11),"x","")</f>
        <v/>
      </c>
    </row>
    <row r="639" spans="1:37" ht="15.75" customHeight="1">
      <c r="A639" s="362" t="str">
        <f>IF(B639&lt;&gt;"",IF(AND(B639&gt;=_TM1,B639&lt;=_TM2,OR(TH!O639="1111",TH!P639="1111")),TH!D639,""),"")</f>
        <v/>
      </c>
      <c r="B639" s="63">
        <f t="shared" si="42"/>
        <v>8</v>
      </c>
      <c r="C639" s="1045">
        <v>42613</v>
      </c>
      <c r="D639" s="1045" t="s">
        <v>1157</v>
      </c>
      <c r="E639" s="1045">
        <v>42613</v>
      </c>
      <c r="F639" s="1046" t="s">
        <v>1030</v>
      </c>
      <c r="G639" s="1047"/>
      <c r="H639" s="1048"/>
      <c r="I639" s="1049"/>
      <c r="J639" s="1049"/>
      <c r="K639" s="1050"/>
      <c r="L639" s="1049"/>
      <c r="M639" s="1051">
        <f>(13138000+22663000+156006000)*1%</f>
        <v>1918070</v>
      </c>
      <c r="N639" s="1051"/>
      <c r="O639" s="1052" t="s">
        <v>1020</v>
      </c>
      <c r="P639" s="1052" t="s">
        <v>1031</v>
      </c>
      <c r="Q639" s="66" t="str">
        <f>IF(AND('331-CT'!$E$7=TH!H639,OR(O639="331",P639="331")),"x","")</f>
        <v/>
      </c>
      <c r="R639" s="66" t="str">
        <f>IF(AND($B639&gt;='111'!$N$11,$B639&lt;='111'!$O$11,OR($O639=$R$7,$P639=$R$7)),"x","")</f>
        <v/>
      </c>
      <c r="S639" s="66" t="str">
        <f>IF(AND($O639=$R$7,$B639&lt;'111'!$N$11),"x","")</f>
        <v/>
      </c>
      <c r="T639" s="66" t="str">
        <f>IF(AND($P639=$R$7,$B639&lt;'111'!$N$11),"x","")</f>
        <v/>
      </c>
      <c r="U639" s="66" t="str">
        <f>IF(AND($B639&gt;='112'!$M$9,$B639&lt;='112'!$N$9,OR($O639='112'!$I$6,$P639='112'!$I$6)),"x","")</f>
        <v/>
      </c>
      <c r="V639" s="66" t="str">
        <f>IF(AND($O639='112'!$I$6,$B639&lt;'112'!$M$9),"x","")</f>
        <v/>
      </c>
      <c r="W639" s="66" t="str">
        <f>IF(AND($P639='112'!$I$6,$B639&lt;'112'!$M$9),"x","")</f>
        <v/>
      </c>
      <c r="X639" s="66" t="str">
        <f>IF(AND('131-CT'!$H$9=TH!H639,OR(O639="131",P639="131")),"x","")</f>
        <v/>
      </c>
      <c r="Y639" s="80" t="str">
        <f>IF(AND($B639&gt;='1331'!$I$9,$B639&lt;='1331'!$J$9,OR($O639=$Y$7,$P639=$Y$7)),"x","")</f>
        <v/>
      </c>
      <c r="Z639" s="80" t="str">
        <f>IF(AND($O639=$Y$7,$B639&lt;'1331'!$I$9),"x","")</f>
        <v/>
      </c>
      <c r="AA639" s="80" t="str">
        <f>IF(AND($P639=$Y$7,$B639&lt;'1331'!$I$9),"x","")</f>
        <v/>
      </c>
      <c r="AB639" s="80" t="str">
        <f>IF(AND($B639&gt;='1332'!$I$9,$B639&lt;='1332'!$I$9,OR($O639=$AB$7,$P639=$AB$7)),"x","")</f>
        <v/>
      </c>
      <c r="AC639" s="80" t="str">
        <f>IF(AND($O639=$AB$7,$B639&lt;'1332'!$I$9),"x","")</f>
        <v/>
      </c>
      <c r="AD639" s="80" t="str">
        <f>IF(AND($P639=$AB$7,$B639&lt;'1332'!$I$9),"x","")</f>
        <v/>
      </c>
      <c r="AE639" s="80" t="str">
        <f>IF(AND('341-CT'!$H$9=H639,OR(LEFT(O639,3)=$AE$7,LEFT(P639,3)=$AE$7)),"x","")</f>
        <v/>
      </c>
      <c r="AF639" s="80" t="str">
        <f>IF(OR(TH!O639=TH!$AF$7,P639=TH!$AF$7),"x","")</f>
        <v/>
      </c>
      <c r="AG639" s="80"/>
      <c r="AH639" s="80" t="str">
        <f>IF(AND(B639&gt;='IN-NX'!$P$3,B639&lt;='IN-NX'!$Q$3,'IN-NX'!$D$7=D639,OR(LEFT(L639,2)="15",AND(LEFT(M639,2)&lt;&gt;"15",LEFT(M639,2)&lt;&gt;"33"))),"x","")</f>
        <v/>
      </c>
      <c r="AI639" s="80" t="str">
        <f>IF(AND(OR(LEFT(TH!O639,2)="15",LEFT(TH!P639,2)="15"),'152-CT'!$J$8=TH!F639),"x","")</f>
        <v/>
      </c>
      <c r="AJ639" s="80" t="str">
        <f>IF(AND(OR(LEFT(TH!O639,2)="15",LEFT(TH!P639,2)="15"),'THE KHO'!$E$7=TH!F639),"x","")</f>
        <v/>
      </c>
      <c r="AK639" s="80" t="str">
        <f>IF(AND(O639="1521",MONTH(C639)='BK NL'!$M$11),"x","")</f>
        <v/>
      </c>
    </row>
    <row r="640" spans="1:37" ht="15.75" customHeight="1">
      <c r="A640" s="362" t="str">
        <f>IF(B640&lt;&gt;"",IF(AND(B640&gt;=_TM1,B640&lt;=_TM2,OR(TH!O640="1111",TH!P640="1111")),TH!D640,""),"")</f>
        <v/>
      </c>
      <c r="B640" s="63">
        <f t="shared" si="42"/>
        <v>8</v>
      </c>
      <c r="C640" s="1045">
        <v>42613</v>
      </c>
      <c r="D640" s="1045" t="s">
        <v>1157</v>
      </c>
      <c r="E640" s="1045">
        <v>42613</v>
      </c>
      <c r="F640" s="1046" t="s">
        <v>1032</v>
      </c>
      <c r="G640" s="1047"/>
      <c r="H640" s="1054"/>
      <c r="I640" s="1055"/>
      <c r="J640" s="1055"/>
      <c r="K640" s="1056"/>
      <c r="L640" s="1055"/>
      <c r="M640" s="1051">
        <f>(13138000+22663000)*18%</f>
        <v>6444180</v>
      </c>
      <c r="N640" s="1051" t="s">
        <v>26</v>
      </c>
      <c r="O640" s="1052" t="s">
        <v>135</v>
      </c>
      <c r="P640" s="1052" t="s">
        <v>1027</v>
      </c>
      <c r="Q640" s="66" t="str">
        <f>IF(AND('331-CT'!$E$7=TH!H640,OR(O640="331",P640="331")),"x","")</f>
        <v/>
      </c>
      <c r="R640" s="66" t="str">
        <f>IF(AND($B640&gt;='111'!$N$11,$B640&lt;='111'!$O$11,OR($O640=$R$7,$P640=$R$7)),"x","")</f>
        <v/>
      </c>
      <c r="S640" s="66" t="str">
        <f>IF(AND($O640=$R$7,$B640&lt;'111'!$N$11),"x","")</f>
        <v/>
      </c>
      <c r="T640" s="66" t="str">
        <f>IF(AND($P640=$R$7,$B640&lt;'111'!$N$11),"x","")</f>
        <v/>
      </c>
      <c r="U640" s="66" t="str">
        <f>IF(AND($B640&gt;='112'!$M$9,$B640&lt;='112'!$N$9,OR($O640='112'!$I$6,$P640='112'!$I$6)),"x","")</f>
        <v/>
      </c>
      <c r="V640" s="66" t="str">
        <f>IF(AND($O640='112'!$I$6,$B640&lt;'112'!$M$9),"x","")</f>
        <v/>
      </c>
      <c r="W640" s="66" t="str">
        <f>IF(AND($P640='112'!$I$6,$B640&lt;'112'!$M$9),"x","")</f>
        <v/>
      </c>
      <c r="X640" s="66" t="str">
        <f>IF(AND('131-CT'!$H$9=TH!H640,OR(O640="131",P640="131")),"x","")</f>
        <v/>
      </c>
      <c r="Y640" s="80" t="str">
        <f>IF(AND($B640&gt;='1331'!$I$9,$B640&lt;='1331'!$J$9,OR($O640=$Y$7,$P640=$Y$7)),"x","")</f>
        <v/>
      </c>
      <c r="Z640" s="80" t="str">
        <f>IF(AND($O640=$Y$7,$B640&lt;'1331'!$I$9),"x","")</f>
        <v/>
      </c>
      <c r="AA640" s="80" t="str">
        <f>IF(AND($P640=$Y$7,$B640&lt;'1331'!$I$9),"x","")</f>
        <v/>
      </c>
      <c r="AB640" s="80" t="str">
        <f>IF(AND($B640&gt;='1332'!$I$9,$B640&lt;='1332'!$I$9,OR($O640=$AB$7,$P640=$AB$7)),"x","")</f>
        <v/>
      </c>
      <c r="AC640" s="80" t="str">
        <f>IF(AND($O640=$AB$7,$B640&lt;'1332'!$I$9),"x","")</f>
        <v/>
      </c>
      <c r="AD640" s="80" t="str">
        <f>IF(AND($P640=$AB$7,$B640&lt;'1332'!$I$9),"x","")</f>
        <v/>
      </c>
      <c r="AE640" s="80" t="str">
        <f>IF(AND('341-CT'!$H$9=H640,OR(LEFT(O640,3)=$AE$7,LEFT(P640,3)=$AE$7)),"x","")</f>
        <v/>
      </c>
      <c r="AF640" s="80" t="str">
        <f>IF(OR(TH!O640=TH!$AF$7,P640=TH!$AF$7),"x","")</f>
        <v/>
      </c>
      <c r="AG640" s="80"/>
      <c r="AH640" s="80" t="str">
        <f>IF(AND(B640&gt;='IN-NX'!$P$3,B640&lt;='IN-NX'!$Q$3,'IN-NX'!$D$7=D640,OR(LEFT(L640,2)="15",AND(LEFT(M640,2)&lt;&gt;"15",LEFT(M640,2)&lt;&gt;"33"))),"x","")</f>
        <v/>
      </c>
      <c r="AI640" s="80" t="str">
        <f>IF(AND(OR(LEFT(TH!O640,2)="15",LEFT(TH!P640,2)="15"),'152-CT'!$J$8=TH!F640),"x","")</f>
        <v/>
      </c>
      <c r="AJ640" s="80" t="str">
        <f>IF(AND(OR(LEFT(TH!O640,2)="15",LEFT(TH!P640,2)="15"),'THE KHO'!$E$7=TH!F640),"x","")</f>
        <v/>
      </c>
      <c r="AK640" s="80" t="str">
        <f>IF(AND(O640="1521",MONTH(C640)='BK NL'!$M$11),"x","")</f>
        <v/>
      </c>
    </row>
    <row r="641" spans="1:37" ht="15.75" customHeight="1">
      <c r="A641" s="362" t="str">
        <f>IF(B641&lt;&gt;"",IF(AND(B641&gt;=_TM1,B641&lt;=_TM2,OR(TH!O641="1111",TH!P641="1111")),TH!D641,""),"")</f>
        <v/>
      </c>
      <c r="B641" s="63">
        <f t="shared" si="42"/>
        <v>8</v>
      </c>
      <c r="C641" s="1045">
        <v>42613</v>
      </c>
      <c r="D641" s="1045" t="s">
        <v>1157</v>
      </c>
      <c r="E641" s="1045">
        <v>42613</v>
      </c>
      <c r="F641" s="1046" t="s">
        <v>1033</v>
      </c>
      <c r="G641" s="1047"/>
      <c r="H641" s="1048"/>
      <c r="I641" s="1049"/>
      <c r="J641" s="1049"/>
      <c r="K641" s="1050"/>
      <c r="L641" s="1049"/>
      <c r="M641" s="1051">
        <f>(13138000+22663000)*3%</f>
        <v>1074030</v>
      </c>
      <c r="N641" s="1051" t="s">
        <v>26</v>
      </c>
      <c r="O641" s="1052" t="s">
        <v>135</v>
      </c>
      <c r="P641" s="1052" t="s">
        <v>1029</v>
      </c>
      <c r="Q641" s="66" t="str">
        <f>IF(AND('331-CT'!$E$7=TH!H641,OR(O641="331",P641="331")),"x","")</f>
        <v/>
      </c>
      <c r="R641" s="66" t="str">
        <f>IF(AND($B641&gt;='111'!$N$11,$B641&lt;='111'!$O$11,OR($O641=$R$7,$P641=$R$7)),"x","")</f>
        <v/>
      </c>
      <c r="S641" s="66" t="str">
        <f>IF(AND($O641=$R$7,$B641&lt;'111'!$N$11),"x","")</f>
        <v/>
      </c>
      <c r="T641" s="66" t="str">
        <f>IF(AND($P641=$R$7,$B641&lt;'111'!$N$11),"x","")</f>
        <v/>
      </c>
      <c r="U641" s="66" t="str">
        <f>IF(AND($B641&gt;='112'!$M$9,$B641&lt;='112'!$N$9,OR($O641='112'!$I$6,$P641='112'!$I$6)),"x","")</f>
        <v/>
      </c>
      <c r="V641" s="66" t="str">
        <f>IF(AND($O641='112'!$I$6,$B641&lt;'112'!$M$9),"x","")</f>
        <v/>
      </c>
      <c r="W641" s="66" t="str">
        <f>IF(AND($P641='112'!$I$6,$B641&lt;'112'!$M$9),"x","")</f>
        <v/>
      </c>
      <c r="X641" s="66" t="str">
        <f>IF(AND('131-CT'!$H$9=TH!H641,OR(O641="131",P641="131")),"x","")</f>
        <v/>
      </c>
      <c r="Y641" s="80" t="str">
        <f>IF(AND($B641&gt;='1331'!$I$9,$B641&lt;='1331'!$J$9,OR($O641=$Y$7,$P641=$Y$7)),"x","")</f>
        <v/>
      </c>
      <c r="Z641" s="80" t="str">
        <f>IF(AND($O641=$Y$7,$B641&lt;'1331'!$I$9),"x","")</f>
        <v/>
      </c>
      <c r="AA641" s="80" t="str">
        <f>IF(AND($P641=$Y$7,$B641&lt;'1331'!$I$9),"x","")</f>
        <v/>
      </c>
      <c r="AB641" s="80" t="str">
        <f>IF(AND($B641&gt;='1332'!$I$9,$B641&lt;='1332'!$I$9,OR($O641=$AB$7,$P641=$AB$7)),"x","")</f>
        <v/>
      </c>
      <c r="AC641" s="80" t="str">
        <f>IF(AND($O641=$AB$7,$B641&lt;'1332'!$I$9),"x","")</f>
        <v/>
      </c>
      <c r="AD641" s="80" t="str">
        <f>IF(AND($P641=$AB$7,$B641&lt;'1332'!$I$9),"x","")</f>
        <v/>
      </c>
      <c r="AE641" s="80" t="str">
        <f>IF(AND('341-CT'!$H$9=H641,OR(LEFT(O641,3)=$AE$7,LEFT(P641,3)=$AE$7)),"x","")</f>
        <v/>
      </c>
      <c r="AF641" s="80" t="str">
        <f>IF(OR(TH!O641=TH!$AF$7,P641=TH!$AF$7),"x","")</f>
        <v/>
      </c>
      <c r="AG641" s="80"/>
      <c r="AH641" s="80" t="str">
        <f>IF(AND(B641&gt;='IN-NX'!$P$3,B641&lt;='IN-NX'!$Q$3,'IN-NX'!$D$7=D641,OR(LEFT(L641,2)="15",AND(LEFT(M641,2)&lt;&gt;"15",LEFT(M641,2)&lt;&gt;"33"))),"x","")</f>
        <v/>
      </c>
      <c r="AI641" s="80" t="str">
        <f>IF(AND(OR(LEFT(TH!O641,2)="15",LEFT(TH!P641,2)="15"),'152-CT'!$J$8=TH!F641),"x","")</f>
        <v/>
      </c>
      <c r="AJ641" s="80" t="str">
        <f>IF(AND(OR(LEFT(TH!O641,2)="15",LEFT(TH!P641,2)="15"),'THE KHO'!$E$7=TH!F641),"x","")</f>
        <v/>
      </c>
      <c r="AK641" s="80" t="str">
        <f>IF(AND(O641="1521",MONTH(C641)='BK NL'!$M$11),"x","")</f>
        <v/>
      </c>
    </row>
    <row r="642" spans="1:37" ht="15.75" customHeight="1">
      <c r="A642" s="362" t="str">
        <f>IF(B642&lt;&gt;"",IF(AND(B642&gt;=_TM1,B642&lt;=_TM2,OR(TH!O642="1111",TH!P642="1111")),TH!D642,""),"")</f>
        <v/>
      </c>
      <c r="B642" s="63">
        <f t="shared" si="42"/>
        <v>8</v>
      </c>
      <c r="C642" s="1045">
        <v>42613</v>
      </c>
      <c r="D642" s="1045" t="s">
        <v>1157</v>
      </c>
      <c r="E642" s="1045">
        <v>42613</v>
      </c>
      <c r="F642" s="1046" t="s">
        <v>1030</v>
      </c>
      <c r="G642" s="1047"/>
      <c r="H642" s="1048"/>
      <c r="I642" s="1049"/>
      <c r="J642" s="1049"/>
      <c r="K642" s="1050"/>
      <c r="L642" s="1049"/>
      <c r="M642" s="1051">
        <f>(13138000+22663000)*1%</f>
        <v>358010</v>
      </c>
      <c r="N642" s="1051" t="s">
        <v>26</v>
      </c>
      <c r="O642" s="1052" t="s">
        <v>135</v>
      </c>
      <c r="P642" s="1052" t="s">
        <v>1031</v>
      </c>
      <c r="Q642" s="66" t="str">
        <f>IF(AND('331-CT'!$E$7=TH!H642,OR(O642="331",P642="331")),"x","")</f>
        <v/>
      </c>
      <c r="R642" s="66" t="str">
        <f>IF(AND($B642&gt;='111'!$N$11,$B642&lt;='111'!$O$11,OR($O642=$R$7,$P642=$R$7)),"x","")</f>
        <v/>
      </c>
      <c r="S642" s="66" t="str">
        <f>IF(AND($O642=$R$7,$B642&lt;'111'!$N$11),"x","")</f>
        <v/>
      </c>
      <c r="T642" s="66" t="str">
        <f>IF(AND($P642=$R$7,$B642&lt;'111'!$N$11),"x","")</f>
        <v/>
      </c>
      <c r="U642" s="66" t="str">
        <f>IF(AND($B642&gt;='112'!$M$9,$B642&lt;='112'!$N$9,OR($O642='112'!$I$6,$P642='112'!$I$6)),"x","")</f>
        <v/>
      </c>
      <c r="V642" s="66" t="str">
        <f>IF(AND($O642='112'!$I$6,$B642&lt;'112'!$M$9),"x","")</f>
        <v/>
      </c>
      <c r="W642" s="66" t="str">
        <f>IF(AND($P642='112'!$I$6,$B642&lt;'112'!$M$9),"x","")</f>
        <v/>
      </c>
      <c r="X642" s="66" t="str">
        <f>IF(AND('131-CT'!$H$9=TH!H642,OR(O642="131",P642="131")),"x","")</f>
        <v/>
      </c>
      <c r="Y642" s="80" t="str">
        <f>IF(AND($B642&gt;='1331'!$I$9,$B642&lt;='1331'!$J$9,OR($O642=$Y$7,$P642=$Y$7)),"x","")</f>
        <v/>
      </c>
      <c r="Z642" s="80" t="str">
        <f>IF(AND($O642=$Y$7,$B642&lt;'1331'!$I$9),"x","")</f>
        <v/>
      </c>
      <c r="AA642" s="80" t="str">
        <f>IF(AND($P642=$Y$7,$B642&lt;'1331'!$I$9),"x","")</f>
        <v/>
      </c>
      <c r="AB642" s="80" t="str">
        <f>IF(AND($B642&gt;='1332'!$I$9,$B642&lt;='1332'!$I$9,OR($O642=$AB$7,$P642=$AB$7)),"x","")</f>
        <v/>
      </c>
      <c r="AC642" s="80" t="str">
        <f>IF(AND($O642=$AB$7,$B642&lt;'1332'!$I$9),"x","")</f>
        <v/>
      </c>
      <c r="AD642" s="80" t="str">
        <f>IF(AND($P642=$AB$7,$B642&lt;'1332'!$I$9),"x","")</f>
        <v/>
      </c>
      <c r="AE642" s="80" t="str">
        <f>IF(AND('341-CT'!$H$9=H642,OR(LEFT(O642,3)=$AE$7,LEFT(P642,3)=$AE$7)),"x","")</f>
        <v/>
      </c>
      <c r="AF642" s="80" t="str">
        <f>IF(OR(TH!O642=TH!$AF$7,P642=TH!$AF$7),"x","")</f>
        <v/>
      </c>
      <c r="AG642" s="80"/>
      <c r="AH642" s="80" t="str">
        <f>IF(AND(B642&gt;='IN-NX'!$P$3,B642&lt;='IN-NX'!$Q$3,'IN-NX'!$D$7=D642,OR(LEFT(L642,2)="15",AND(LEFT(M642,2)&lt;&gt;"15",LEFT(M642,2)&lt;&gt;"33"))),"x","")</f>
        <v/>
      </c>
      <c r="AI642" s="80" t="str">
        <f>IF(AND(OR(LEFT(TH!O642,2)="15",LEFT(TH!P642,2)="15"),'152-CT'!$J$8=TH!F642),"x","")</f>
        <v/>
      </c>
      <c r="AJ642" s="80" t="str">
        <f>IF(AND(OR(LEFT(TH!O642,2)="15",LEFT(TH!P642,2)="15"),'THE KHO'!$E$7=TH!F642),"x","")</f>
        <v/>
      </c>
      <c r="AK642" s="80" t="str">
        <f>IF(AND(O642="1521",MONTH(C642)='BK NL'!$M$11),"x","")</f>
        <v/>
      </c>
    </row>
    <row r="643" spans="1:37" ht="15.75" customHeight="1">
      <c r="A643" s="362" t="str">
        <f>IF(B643&lt;&gt;"",IF(AND(B643&gt;=_TM1,B643&lt;=_TM2,OR(TH!O643="1111",TH!P643="1111")),TH!D643,""),"")</f>
        <v/>
      </c>
      <c r="B643" s="63">
        <f t="shared" si="42"/>
        <v>8</v>
      </c>
      <c r="C643" s="1045">
        <v>42613</v>
      </c>
      <c r="D643" s="1045" t="s">
        <v>1157</v>
      </c>
      <c r="E643" s="1045">
        <v>42613</v>
      </c>
      <c r="F643" s="1046" t="s">
        <v>1032</v>
      </c>
      <c r="G643" s="1047"/>
      <c r="H643" s="1054"/>
      <c r="I643" s="1055"/>
      <c r="J643" s="1055"/>
      <c r="K643" s="1056"/>
      <c r="L643" s="1055"/>
      <c r="M643" s="1051">
        <f>(156006000)*18%</f>
        <v>28081080</v>
      </c>
      <c r="N643" s="1051"/>
      <c r="O643" s="1052" t="s">
        <v>468</v>
      </c>
      <c r="P643" s="1052" t="s">
        <v>1027</v>
      </c>
      <c r="Q643" s="66" t="str">
        <f>IF(AND('331-CT'!$E$7=TH!H643,OR(O643="331",P643="331")),"x","")</f>
        <v/>
      </c>
      <c r="R643" s="66" t="str">
        <f>IF(AND($B643&gt;='111'!$N$11,$B643&lt;='111'!$O$11,OR($O643=$R$7,$P643=$R$7)),"x","")</f>
        <v/>
      </c>
      <c r="S643" s="66" t="str">
        <f>IF(AND($O643=$R$7,$B643&lt;'111'!$N$11),"x","")</f>
        <v/>
      </c>
      <c r="T643" s="66" t="str">
        <f>IF(AND($P643=$R$7,$B643&lt;'111'!$N$11),"x","")</f>
        <v/>
      </c>
      <c r="U643" s="66" t="str">
        <f>IF(AND($B643&gt;='112'!$M$9,$B643&lt;='112'!$N$9,OR($O643='112'!$I$6,$P643='112'!$I$6)),"x","")</f>
        <v/>
      </c>
      <c r="V643" s="66" t="str">
        <f>IF(AND($O643='112'!$I$6,$B643&lt;'112'!$M$9),"x","")</f>
        <v/>
      </c>
      <c r="W643" s="66" t="str">
        <f>IF(AND($P643='112'!$I$6,$B643&lt;'112'!$M$9),"x","")</f>
        <v/>
      </c>
      <c r="X643" s="66" t="str">
        <f>IF(AND('131-CT'!$H$9=TH!H643,OR(O643="131",P643="131")),"x","")</f>
        <v/>
      </c>
      <c r="Y643" s="80" t="str">
        <f>IF(AND($B643&gt;='1331'!$I$9,$B643&lt;='1331'!$J$9,OR($O643=$Y$7,$P643=$Y$7)),"x","")</f>
        <v/>
      </c>
      <c r="Z643" s="80" t="str">
        <f>IF(AND($O643=$Y$7,$B643&lt;'1331'!$I$9),"x","")</f>
        <v/>
      </c>
      <c r="AA643" s="80" t="str">
        <f>IF(AND($P643=$Y$7,$B643&lt;'1331'!$I$9),"x","")</f>
        <v/>
      </c>
      <c r="AB643" s="80" t="str">
        <f>IF(AND($B643&gt;='1332'!$I$9,$B643&lt;='1332'!$I$9,OR($O643=$AB$7,$P643=$AB$7)),"x","")</f>
        <v/>
      </c>
      <c r="AC643" s="80" t="str">
        <f>IF(AND($O643=$AB$7,$B643&lt;'1332'!$I$9),"x","")</f>
        <v/>
      </c>
      <c r="AD643" s="80" t="str">
        <f>IF(AND($P643=$AB$7,$B643&lt;'1332'!$I$9),"x","")</f>
        <v/>
      </c>
      <c r="AE643" s="80" t="str">
        <f>IF(AND('341-CT'!$H$9=H643,OR(LEFT(O643,3)=$AE$7,LEFT(P643,3)=$AE$7)),"x","")</f>
        <v/>
      </c>
      <c r="AF643" s="80" t="str">
        <f>IF(OR(TH!O643=TH!$AF$7,P643=TH!$AF$7),"x","")</f>
        <v/>
      </c>
      <c r="AG643" s="80"/>
      <c r="AH643" s="80" t="str">
        <f>IF(AND(B643&gt;='IN-NX'!$P$3,B643&lt;='IN-NX'!$Q$3,'IN-NX'!$D$7=D643,OR(LEFT(L643,2)="15",AND(LEFT(M643,2)&lt;&gt;"15",LEFT(M643,2)&lt;&gt;"33"))),"x","")</f>
        <v/>
      </c>
      <c r="AI643" s="80" t="str">
        <f>IF(AND(OR(LEFT(TH!O643,2)="15",LEFT(TH!P643,2)="15"),'152-CT'!$J$8=TH!F643),"x","")</f>
        <v/>
      </c>
      <c r="AJ643" s="80" t="str">
        <f>IF(AND(OR(LEFT(TH!O643,2)="15",LEFT(TH!P643,2)="15"),'THE KHO'!$E$7=TH!F643),"x","")</f>
        <v/>
      </c>
      <c r="AK643" s="80" t="str">
        <f>IF(AND(O643="1521",MONTH(C643)='BK NL'!$M$11),"x","")</f>
        <v/>
      </c>
    </row>
    <row r="644" spans="1:37" ht="15.75" customHeight="1">
      <c r="A644" s="362" t="str">
        <f>IF(B644&lt;&gt;"",IF(AND(B644&gt;=_TM1,B644&lt;=_TM2,OR(TH!O644="1111",TH!P644="1111")),TH!D644,""),"")</f>
        <v/>
      </c>
      <c r="B644" s="63">
        <f t="shared" si="42"/>
        <v>8</v>
      </c>
      <c r="C644" s="1045">
        <v>42613</v>
      </c>
      <c r="D644" s="1045" t="s">
        <v>1157</v>
      </c>
      <c r="E644" s="1045">
        <v>42613</v>
      </c>
      <c r="F644" s="1046" t="s">
        <v>1033</v>
      </c>
      <c r="G644" s="1047"/>
      <c r="H644" s="1048"/>
      <c r="I644" s="1049"/>
      <c r="J644" s="1049"/>
      <c r="K644" s="1050"/>
      <c r="L644" s="1049"/>
      <c r="M644" s="1051">
        <f>(156006000)*3%</f>
        <v>4680180</v>
      </c>
      <c r="N644" s="1051"/>
      <c r="O644" s="1052" t="s">
        <v>468</v>
      </c>
      <c r="P644" s="1052" t="s">
        <v>1029</v>
      </c>
      <c r="Q644" s="66" t="str">
        <f>IF(AND('331-CT'!$E$7=TH!H644,OR(O644="331",P644="331")),"x","")</f>
        <v/>
      </c>
      <c r="R644" s="66" t="str">
        <f>IF(AND($B644&gt;='111'!$N$11,$B644&lt;='111'!$O$11,OR($O644=$R$7,$P644=$R$7)),"x","")</f>
        <v/>
      </c>
      <c r="S644" s="66" t="str">
        <f>IF(AND($O644=$R$7,$B644&lt;'111'!$N$11),"x","")</f>
        <v/>
      </c>
      <c r="T644" s="66" t="str">
        <f>IF(AND($P644=$R$7,$B644&lt;'111'!$N$11),"x","")</f>
        <v/>
      </c>
      <c r="U644" s="66" t="str">
        <f>IF(AND($B644&gt;='112'!$M$9,$B644&lt;='112'!$N$9,OR($O644='112'!$I$6,$P644='112'!$I$6)),"x","")</f>
        <v/>
      </c>
      <c r="V644" s="66" t="str">
        <f>IF(AND($O644='112'!$I$6,$B644&lt;'112'!$M$9),"x","")</f>
        <v/>
      </c>
      <c r="W644" s="66" t="str">
        <f>IF(AND($P644='112'!$I$6,$B644&lt;'112'!$M$9),"x","")</f>
        <v/>
      </c>
      <c r="X644" s="66" t="str">
        <f>IF(AND('131-CT'!$H$9=TH!H644,OR(O644="131",P644="131")),"x","")</f>
        <v/>
      </c>
      <c r="Y644" s="80" t="str">
        <f>IF(AND($B644&gt;='1331'!$I$9,$B644&lt;='1331'!$J$9,OR($O644=$Y$7,$P644=$Y$7)),"x","")</f>
        <v/>
      </c>
      <c r="Z644" s="80" t="str">
        <f>IF(AND($O644=$Y$7,$B644&lt;'1331'!$I$9),"x","")</f>
        <v/>
      </c>
      <c r="AA644" s="80" t="str">
        <f>IF(AND($P644=$Y$7,$B644&lt;'1331'!$I$9),"x","")</f>
        <v/>
      </c>
      <c r="AB644" s="80" t="str">
        <f>IF(AND($B644&gt;='1332'!$I$9,$B644&lt;='1332'!$I$9,OR($O644=$AB$7,$P644=$AB$7)),"x","")</f>
        <v/>
      </c>
      <c r="AC644" s="80" t="str">
        <f>IF(AND($O644=$AB$7,$B644&lt;'1332'!$I$9),"x","")</f>
        <v/>
      </c>
      <c r="AD644" s="80" t="str">
        <f>IF(AND($P644=$AB$7,$B644&lt;'1332'!$I$9),"x","")</f>
        <v/>
      </c>
      <c r="AE644" s="80" t="str">
        <f>IF(AND('341-CT'!$H$9=H644,OR(LEFT(O644,3)=$AE$7,LEFT(P644,3)=$AE$7)),"x","")</f>
        <v/>
      </c>
      <c r="AF644" s="80" t="str">
        <f>IF(OR(TH!O644=TH!$AF$7,P644=TH!$AF$7),"x","")</f>
        <v/>
      </c>
      <c r="AG644" s="80"/>
      <c r="AH644" s="80" t="str">
        <f>IF(AND(B644&gt;='IN-NX'!$P$3,B644&lt;='IN-NX'!$Q$3,'IN-NX'!$D$7=D644,OR(LEFT(L644,2)="15",AND(LEFT(M644,2)&lt;&gt;"15",LEFT(M644,2)&lt;&gt;"33"))),"x","")</f>
        <v/>
      </c>
      <c r="AI644" s="80" t="str">
        <f>IF(AND(OR(LEFT(TH!O644,2)="15",LEFT(TH!P644,2)="15"),'152-CT'!$J$8=TH!F644),"x","")</f>
        <v/>
      </c>
      <c r="AJ644" s="80" t="str">
        <f>IF(AND(OR(LEFT(TH!O644,2)="15",LEFT(TH!P644,2)="15"),'THE KHO'!$E$7=TH!F644),"x","")</f>
        <v/>
      </c>
      <c r="AK644" s="80" t="str">
        <f>IF(AND(O644="1521",MONTH(C644)='BK NL'!$M$11),"x","")</f>
        <v/>
      </c>
    </row>
    <row r="645" spans="1:37" ht="15.75" customHeight="1">
      <c r="A645" s="362" t="str">
        <f>IF(B645&lt;&gt;"",IF(AND(B645&gt;=_TM1,B645&lt;=_TM2,OR(TH!O645="1111",TH!P645="1111")),TH!D645,""),"")</f>
        <v/>
      </c>
      <c r="B645" s="63">
        <f t="shared" ref="B645" si="43">IF(C645&lt;&gt;"",MONTH(C645),"")</f>
        <v>8</v>
      </c>
      <c r="C645" s="1045">
        <v>42613</v>
      </c>
      <c r="D645" s="1045" t="s">
        <v>1157</v>
      </c>
      <c r="E645" s="1045">
        <v>42613</v>
      </c>
      <c r="F645" s="338" t="s">
        <v>1246</v>
      </c>
      <c r="G645" s="351"/>
      <c r="H645" s="339"/>
      <c r="I645" s="476"/>
      <c r="J645" s="476"/>
      <c r="K645" s="469"/>
      <c r="L645" s="476"/>
      <c r="M645" s="65">
        <v>260010</v>
      </c>
      <c r="N645" s="1051"/>
      <c r="O645" s="1052" t="s">
        <v>468</v>
      </c>
      <c r="P645" s="1052" t="s">
        <v>1029</v>
      </c>
      <c r="Q645" s="66" t="str">
        <f>IF(AND('331-CT'!$E$7=TH!H645,OR(O645="331",P645="331")),"x","")</f>
        <v/>
      </c>
      <c r="R645" s="66" t="str">
        <f>IF(AND($B645&gt;='111'!$N$11,$B645&lt;='111'!$O$11,OR($O645=$R$7,$P645=$R$7)),"x","")</f>
        <v/>
      </c>
      <c r="S645" s="66" t="str">
        <f>IF(AND($O645=$R$7,$B645&lt;'111'!$N$11),"x","")</f>
        <v/>
      </c>
      <c r="T645" s="66" t="str">
        <f>IF(AND($P645=$R$7,$B645&lt;'111'!$N$11),"x","")</f>
        <v/>
      </c>
      <c r="U645" s="66" t="str">
        <f>IF(AND($B645&gt;='112'!$M$9,$B645&lt;='112'!$N$9,OR($O645='112'!$I$6,$P645='112'!$I$6)),"x","")</f>
        <v/>
      </c>
      <c r="V645" s="66" t="str">
        <f>IF(AND($O645='112'!$I$6,$B645&lt;'112'!$M$9),"x","")</f>
        <v/>
      </c>
      <c r="W645" s="66" t="str">
        <f>IF(AND($P645='112'!$I$6,$B645&lt;'112'!$M$9),"x","")</f>
        <v/>
      </c>
      <c r="X645" s="66" t="str">
        <f>IF(AND('131-CT'!$H$9=TH!H645,OR(O645="131",P645="131")),"x","")</f>
        <v/>
      </c>
      <c r="Y645" s="80" t="str">
        <f>IF(AND($B645&gt;='1331'!$I$9,$B645&lt;='1331'!$J$9,OR($O645=$Y$7,$P645=$Y$7)),"x","")</f>
        <v/>
      </c>
      <c r="Z645" s="80" t="str">
        <f>IF(AND($O645=$Y$7,$B645&lt;'1331'!$I$9),"x","")</f>
        <v/>
      </c>
      <c r="AA645" s="80" t="str">
        <f>IF(AND($P645=$Y$7,$B645&lt;'1331'!$I$9),"x","")</f>
        <v/>
      </c>
      <c r="AB645" s="80" t="str">
        <f>IF(AND($B645&gt;='1332'!$I$9,$B645&lt;='1332'!$I$9,OR($O645=$AB$7,$P645=$AB$7)),"x","")</f>
        <v/>
      </c>
      <c r="AC645" s="80" t="str">
        <f>IF(AND($O645=$AB$7,$B645&lt;'1332'!$I$9),"x","")</f>
        <v/>
      </c>
      <c r="AD645" s="80" t="str">
        <f>IF(AND($P645=$AB$7,$B645&lt;'1332'!$I$9),"x","")</f>
        <v/>
      </c>
      <c r="AE645" s="80" t="str">
        <f>IF(AND('341-CT'!$H$9=H645,OR(LEFT(O645,3)=$AE$7,LEFT(P645,3)=$AE$7)),"x","")</f>
        <v/>
      </c>
      <c r="AF645" s="80" t="str">
        <f>IF(OR(TH!O645=TH!$AF$7,P645=TH!$AF$7),"x","")</f>
        <v/>
      </c>
      <c r="AG645" s="80"/>
      <c r="AH645" s="80" t="str">
        <f>IF(AND(B645&gt;='IN-NX'!$P$3,B645&lt;='IN-NX'!$Q$3,'IN-NX'!$D$7=D645,OR(LEFT(L645,2)="15",AND(LEFT(M645,2)&lt;&gt;"15",LEFT(M645,2)&lt;&gt;"33"))),"x","")</f>
        <v/>
      </c>
      <c r="AI645" s="80" t="str">
        <f>IF(AND(OR(LEFT(TH!O645,2)="15",LEFT(TH!P645,2)="15"),'152-CT'!$J$8=TH!F645),"x","")</f>
        <v/>
      </c>
      <c r="AJ645" s="80" t="str">
        <f>IF(AND(OR(LEFT(TH!O645,2)="15",LEFT(TH!P645,2)="15"),'THE KHO'!$E$7=TH!F645),"x","")</f>
        <v/>
      </c>
      <c r="AK645" s="80" t="str">
        <f>IF(AND(O645="1521",MONTH(C645)='BK NL'!$M$11),"x","")</f>
        <v/>
      </c>
    </row>
    <row r="646" spans="1:37" ht="15.75" customHeight="1">
      <c r="A646" s="362" t="str">
        <f>IF(B646&lt;&gt;"",IF(AND(B646&gt;=_TM1,B646&lt;=_TM2,OR(TH!O646="1111",TH!P646="1111")),TH!D646,""),"")</f>
        <v/>
      </c>
      <c r="B646" s="63">
        <f t="shared" si="42"/>
        <v>8</v>
      </c>
      <c r="C646" s="1045">
        <v>42613</v>
      </c>
      <c r="D646" s="1045" t="s">
        <v>1157</v>
      </c>
      <c r="E646" s="1045">
        <v>42613</v>
      </c>
      <c r="F646" s="1046" t="s">
        <v>1030</v>
      </c>
      <c r="G646" s="1047"/>
      <c r="H646" s="1048"/>
      <c r="I646" s="1049"/>
      <c r="J646" s="1049"/>
      <c r="K646" s="1050"/>
      <c r="L646" s="1049"/>
      <c r="M646" s="1051">
        <f>(156006000)*1%</f>
        <v>1560060</v>
      </c>
      <c r="N646" s="1051"/>
      <c r="O646" s="1052" t="s">
        <v>468</v>
      </c>
      <c r="P646" s="1052" t="s">
        <v>1031</v>
      </c>
      <c r="Q646" s="66" t="str">
        <f>IF(AND('331-CT'!$E$7=TH!H646,OR(O646="331",P646="331")),"x","")</f>
        <v/>
      </c>
      <c r="R646" s="66" t="str">
        <f>IF(AND($B646&gt;='111'!$N$11,$B646&lt;='111'!$O$11,OR($O646=$R$7,$P646=$R$7)),"x","")</f>
        <v/>
      </c>
      <c r="S646" s="66" t="str">
        <f>IF(AND($O646=$R$7,$B646&lt;'111'!$N$11),"x","")</f>
        <v/>
      </c>
      <c r="T646" s="66" t="str">
        <f>IF(AND($P646=$R$7,$B646&lt;'111'!$N$11),"x","")</f>
        <v/>
      </c>
      <c r="U646" s="66" t="str">
        <f>IF(AND($B646&gt;='112'!$M$9,$B646&lt;='112'!$N$9,OR($O646='112'!$I$6,$P646='112'!$I$6)),"x","")</f>
        <v/>
      </c>
      <c r="V646" s="66" t="str">
        <f>IF(AND($O646='112'!$I$6,$B646&lt;'112'!$M$9),"x","")</f>
        <v/>
      </c>
      <c r="W646" s="66" t="str">
        <f>IF(AND($P646='112'!$I$6,$B646&lt;'112'!$M$9),"x","")</f>
        <v/>
      </c>
      <c r="X646" s="66" t="str">
        <f>IF(AND('131-CT'!$H$9=TH!H646,OR(O646="131",P646="131")),"x","")</f>
        <v/>
      </c>
      <c r="Y646" s="80" t="str">
        <f>IF(AND($B646&gt;='1331'!$I$9,$B646&lt;='1331'!$J$9,OR($O646=$Y$7,$P646=$Y$7)),"x","")</f>
        <v/>
      </c>
      <c r="Z646" s="80" t="str">
        <f>IF(AND($O646=$Y$7,$B646&lt;'1331'!$I$9),"x","")</f>
        <v/>
      </c>
      <c r="AA646" s="80" t="str">
        <f>IF(AND($P646=$Y$7,$B646&lt;'1331'!$I$9),"x","")</f>
        <v/>
      </c>
      <c r="AB646" s="80" t="str">
        <f>IF(AND($B646&gt;='1332'!$I$9,$B646&lt;='1332'!$I$9,OR($O646=$AB$7,$P646=$AB$7)),"x","")</f>
        <v/>
      </c>
      <c r="AC646" s="80" t="str">
        <f>IF(AND($O646=$AB$7,$B646&lt;'1332'!$I$9),"x","")</f>
        <v/>
      </c>
      <c r="AD646" s="80" t="str">
        <f>IF(AND($P646=$AB$7,$B646&lt;'1332'!$I$9),"x","")</f>
        <v/>
      </c>
      <c r="AE646" s="80" t="str">
        <f>IF(AND('341-CT'!$H$9=H646,OR(LEFT(O646,3)=$AE$7,LEFT(P646,3)=$AE$7)),"x","")</f>
        <v/>
      </c>
      <c r="AF646" s="80" t="str">
        <f>IF(OR(TH!O646=TH!$AF$7,P646=TH!$AF$7),"x","")</f>
        <v/>
      </c>
      <c r="AG646" s="80"/>
      <c r="AH646" s="80" t="str">
        <f>IF(AND(B646&gt;='IN-NX'!$P$3,B646&lt;='IN-NX'!$Q$3,'IN-NX'!$D$7=D646,OR(LEFT(L646,2)="15",AND(LEFT(M646,2)&lt;&gt;"15",LEFT(M646,2)&lt;&gt;"33"))),"x","")</f>
        <v/>
      </c>
      <c r="AI646" s="80" t="str">
        <f>IF(AND(OR(LEFT(TH!O646,2)="15",LEFT(TH!P646,2)="15"),'152-CT'!$J$8=TH!F646),"x","")</f>
        <v/>
      </c>
      <c r="AJ646" s="80" t="str">
        <f>IF(AND(OR(LEFT(TH!O646,2)="15",LEFT(TH!P646,2)="15"),'THE KHO'!$E$7=TH!F646),"x","")</f>
        <v/>
      </c>
      <c r="AK646" s="80" t="str">
        <f>IF(AND(O646="1521",MONTH(C646)='BK NL'!$M$11),"x","")</f>
        <v/>
      </c>
    </row>
    <row r="647" spans="1:37" ht="15.75" customHeight="1">
      <c r="A647" s="362" t="str">
        <f>IF(B647&lt;&gt;"",IF(AND(B647&gt;=_TM1,B647&lt;=_TM2,OR(TH!O647="1111",TH!P647="1111")),TH!D647,""),"")</f>
        <v/>
      </c>
      <c r="B647" s="63">
        <f t="shared" ref="B647:B649" si="44">IF(C647&lt;&gt;"",MONTH(C647),"")</f>
        <v>8</v>
      </c>
      <c r="C647" s="1045">
        <v>42613</v>
      </c>
      <c r="D647" s="1045" t="s">
        <v>1157</v>
      </c>
      <c r="E647" s="1045">
        <v>42613</v>
      </c>
      <c r="F647" s="1046" t="s">
        <v>1243</v>
      </c>
      <c r="G647" s="1047"/>
      <c r="H647" s="1054"/>
      <c r="I647" s="1055"/>
      <c r="J647" s="1055"/>
      <c r="K647" s="1056"/>
      <c r="L647" s="1055"/>
      <c r="M647" s="1051">
        <v>579111</v>
      </c>
      <c r="N647" s="1051"/>
      <c r="O647" s="1052" t="s">
        <v>139</v>
      </c>
      <c r="P647" s="1052" t="s">
        <v>1027</v>
      </c>
      <c r="Q647" s="66" t="str">
        <f>IF(AND('331-CT'!$E$7=TH!H647,OR(O647="331",P647="331")),"x","")</f>
        <v/>
      </c>
      <c r="R647" s="66" t="str">
        <f>IF(AND($B647&gt;='111'!$N$11,$B647&lt;='111'!$O$11,OR($O647=$R$7,$P647=$R$7)),"x","")</f>
        <v/>
      </c>
      <c r="S647" s="66" t="str">
        <f>IF(AND($O647=$R$7,$B647&lt;'111'!$N$11),"x","")</f>
        <v/>
      </c>
      <c r="T647" s="66" t="str">
        <f>IF(AND($P647=$R$7,$B647&lt;'111'!$N$11),"x","")</f>
        <v/>
      </c>
      <c r="U647" s="66" t="str">
        <f>IF(AND($B647&gt;='112'!$M$9,$B647&lt;='112'!$N$9,OR($O647='112'!$I$6,$P647='112'!$I$6)),"x","")</f>
        <v/>
      </c>
      <c r="V647" s="66" t="str">
        <f>IF(AND($O647='112'!$I$6,$B647&lt;'112'!$M$9),"x","")</f>
        <v/>
      </c>
      <c r="W647" s="66" t="str">
        <f>IF(AND($P647='112'!$I$6,$B647&lt;'112'!$M$9),"x","")</f>
        <v/>
      </c>
      <c r="X647" s="66" t="str">
        <f>IF(AND('131-CT'!$H$9=TH!H647,OR(O647="131",P647="131")),"x","")</f>
        <v/>
      </c>
      <c r="Y647" s="80" t="str">
        <f>IF(AND($B647&gt;='1331'!$I$9,$B647&lt;='1331'!$J$9,OR($O647=$Y$7,$P647=$Y$7)),"x","")</f>
        <v/>
      </c>
      <c r="Z647" s="80" t="str">
        <f>IF(AND($O647=$Y$7,$B647&lt;'1331'!$I$9),"x","")</f>
        <v/>
      </c>
      <c r="AA647" s="80" t="str">
        <f>IF(AND($P647=$Y$7,$B647&lt;'1331'!$I$9),"x","")</f>
        <v/>
      </c>
      <c r="AB647" s="80" t="str">
        <f>IF(AND($B647&gt;='1332'!$I$9,$B647&lt;='1332'!$I$9,OR($O647=$AB$7,$P647=$AB$7)),"x","")</f>
        <v/>
      </c>
      <c r="AC647" s="80" t="str">
        <f>IF(AND($O647=$AB$7,$B647&lt;'1332'!$I$9),"x","")</f>
        <v/>
      </c>
      <c r="AD647" s="80" t="str">
        <f>IF(AND($P647=$AB$7,$B647&lt;'1332'!$I$9),"x","")</f>
        <v/>
      </c>
      <c r="AE647" s="80" t="str">
        <f>IF(AND('341-CT'!$H$9=H647,OR(LEFT(O647,3)=$AE$7,LEFT(P647,3)=$AE$7)),"x","")</f>
        <v/>
      </c>
      <c r="AF647" s="80" t="str">
        <f>IF(OR(TH!O647=TH!$AF$7,P647=TH!$AF$7),"x","")</f>
        <v/>
      </c>
      <c r="AG647" s="80"/>
      <c r="AH647" s="80" t="str">
        <f>IF(AND(B647&gt;='IN-NX'!$P$3,B647&lt;='IN-NX'!$Q$3,'IN-NX'!$D$7=D647,OR(LEFT(L647,2)="15",AND(LEFT(M647,2)&lt;&gt;"15",LEFT(M647,2)&lt;&gt;"33"))),"x","")</f>
        <v/>
      </c>
      <c r="AI647" s="80" t="str">
        <f>IF(AND(OR(LEFT(TH!O647,2)="15",LEFT(TH!P647,2)="15"),'152-CT'!$J$8=TH!F647),"x","")</f>
        <v/>
      </c>
      <c r="AJ647" s="80" t="str">
        <f>IF(AND(OR(LEFT(TH!O647,2)="15",LEFT(TH!P647,2)="15"),'THE KHO'!$E$7=TH!F647),"x","")</f>
        <v/>
      </c>
      <c r="AK647" s="80" t="str">
        <f>IF(AND(O647="1521",MONTH(C647)='BK NL'!$M$11),"x","")</f>
        <v/>
      </c>
    </row>
    <row r="648" spans="1:37" ht="15.75" customHeight="1">
      <c r="A648" s="362" t="str">
        <f>IF(B648&lt;&gt;"",IF(AND(B648&gt;=_TM1,B648&lt;=_TM2,OR(TH!O648="1111",TH!P648="1111")),TH!D648,""),"")</f>
        <v/>
      </c>
      <c r="B648" s="63">
        <f t="shared" si="44"/>
        <v>8</v>
      </c>
      <c r="C648" s="1045">
        <v>42613</v>
      </c>
      <c r="D648" s="1045" t="s">
        <v>1157</v>
      </c>
      <c r="E648" s="1045">
        <v>42613</v>
      </c>
      <c r="F648" s="1046" t="s">
        <v>1244</v>
      </c>
      <c r="G648" s="1047"/>
      <c r="H648" s="1048"/>
      <c r="I648" s="1049"/>
      <c r="J648" s="1049"/>
      <c r="K648" s="1050"/>
      <c r="L648" s="1049"/>
      <c r="M648" s="1051">
        <v>101925</v>
      </c>
      <c r="N648" s="1051"/>
      <c r="O648" s="1052" t="s">
        <v>139</v>
      </c>
      <c r="P648" s="1052" t="s">
        <v>1029</v>
      </c>
      <c r="Q648" s="66" t="str">
        <f>IF(AND('331-CT'!$E$7=TH!H648,OR(O648="331",P648="331")),"x","")</f>
        <v/>
      </c>
      <c r="R648" s="66" t="str">
        <f>IF(AND($B648&gt;='111'!$N$11,$B648&lt;='111'!$O$11,OR($O648=$R$7,$P648=$R$7)),"x","")</f>
        <v/>
      </c>
      <c r="S648" s="66" t="str">
        <f>IF(AND($O648=$R$7,$B648&lt;'111'!$N$11),"x","")</f>
        <v/>
      </c>
      <c r="T648" s="66" t="str">
        <f>IF(AND($P648=$R$7,$B648&lt;'111'!$N$11),"x","")</f>
        <v/>
      </c>
      <c r="U648" s="66" t="str">
        <f>IF(AND($B648&gt;='112'!$M$9,$B648&lt;='112'!$N$9,OR($O648='112'!$I$6,$P648='112'!$I$6)),"x","")</f>
        <v/>
      </c>
      <c r="V648" s="66" t="str">
        <f>IF(AND($O648='112'!$I$6,$B648&lt;'112'!$M$9),"x","")</f>
        <v/>
      </c>
      <c r="W648" s="66" t="str">
        <f>IF(AND($P648='112'!$I$6,$B648&lt;'112'!$M$9),"x","")</f>
        <v/>
      </c>
      <c r="X648" s="66" t="str">
        <f>IF(AND('131-CT'!$H$9=TH!H648,OR(O648="131",P648="131")),"x","")</f>
        <v/>
      </c>
      <c r="Y648" s="80" t="str">
        <f>IF(AND($B648&gt;='1331'!$I$9,$B648&lt;='1331'!$J$9,OR($O648=$Y$7,$P648=$Y$7)),"x","")</f>
        <v/>
      </c>
      <c r="Z648" s="80" t="str">
        <f>IF(AND($O648=$Y$7,$B648&lt;'1331'!$I$9),"x","")</f>
        <v/>
      </c>
      <c r="AA648" s="80" t="str">
        <f>IF(AND($P648=$Y$7,$B648&lt;'1331'!$I$9),"x","")</f>
        <v/>
      </c>
      <c r="AB648" s="80" t="str">
        <f>IF(AND($B648&gt;='1332'!$I$9,$B648&lt;='1332'!$I$9,OR($O648=$AB$7,$P648=$AB$7)),"x","")</f>
        <v/>
      </c>
      <c r="AC648" s="80" t="str">
        <f>IF(AND($O648=$AB$7,$B648&lt;'1332'!$I$9),"x","")</f>
        <v/>
      </c>
      <c r="AD648" s="80" t="str">
        <f>IF(AND($P648=$AB$7,$B648&lt;'1332'!$I$9),"x","")</f>
        <v/>
      </c>
      <c r="AE648" s="80" t="str">
        <f>IF(AND('341-CT'!$H$9=H648,OR(LEFT(O648,3)=$AE$7,LEFT(P648,3)=$AE$7)),"x","")</f>
        <v/>
      </c>
      <c r="AF648" s="80" t="str">
        <f>IF(OR(TH!O648=TH!$AF$7,P648=TH!$AF$7),"x","")</f>
        <v/>
      </c>
      <c r="AG648" s="80"/>
      <c r="AH648" s="80" t="str">
        <f>IF(AND(B648&gt;='IN-NX'!$P$3,B648&lt;='IN-NX'!$Q$3,'IN-NX'!$D$7=D648,OR(LEFT(L648,2)="15",AND(LEFT(M648,2)&lt;&gt;"15",LEFT(M648,2)&lt;&gt;"33"))),"x","")</f>
        <v/>
      </c>
      <c r="AI648" s="80" t="str">
        <f>IF(AND(OR(LEFT(TH!O648,2)="15",LEFT(TH!P648,2)="15"),'152-CT'!$J$8=TH!F648),"x","")</f>
        <v/>
      </c>
      <c r="AJ648" s="80" t="str">
        <f>IF(AND(OR(LEFT(TH!O648,2)="15",LEFT(TH!P648,2)="15"),'THE KHO'!$E$7=TH!F648),"x","")</f>
        <v/>
      </c>
      <c r="AK648" s="80" t="str">
        <f>IF(AND(O648="1521",MONTH(C648)='BK NL'!$M$11),"x","")</f>
        <v/>
      </c>
    </row>
    <row r="649" spans="1:37" ht="15.75" customHeight="1">
      <c r="A649" s="362" t="str">
        <f>IF(B649&lt;&gt;"",IF(AND(B649&gt;=_TM1,B649&lt;=_TM2,OR(TH!O649="1111",TH!P649="1111")),TH!D649,""),"")</f>
        <v/>
      </c>
      <c r="B649" s="63">
        <f t="shared" si="44"/>
        <v>8</v>
      </c>
      <c r="C649" s="1045">
        <v>42613</v>
      </c>
      <c r="D649" s="1045" t="s">
        <v>1157</v>
      </c>
      <c r="E649" s="1045">
        <v>42613</v>
      </c>
      <c r="F649" s="1046" t="s">
        <v>1245</v>
      </c>
      <c r="G649" s="1047"/>
      <c r="H649" s="1048"/>
      <c r="I649" s="1049"/>
      <c r="J649" s="1049"/>
      <c r="K649" s="1050"/>
      <c r="L649" s="1049"/>
      <c r="M649" s="1051">
        <v>44547</v>
      </c>
      <c r="N649" s="1051"/>
      <c r="O649" s="1052" t="s">
        <v>139</v>
      </c>
      <c r="P649" s="1052" t="s">
        <v>1031</v>
      </c>
      <c r="Q649" s="66" t="str">
        <f>IF(AND('331-CT'!$E$7=TH!H649,OR(O649="331",P649="331")),"x","")</f>
        <v/>
      </c>
      <c r="R649" s="66" t="str">
        <f>IF(AND($B649&gt;='111'!$N$11,$B649&lt;='111'!$O$11,OR($O649=$R$7,$P649=$R$7)),"x","")</f>
        <v/>
      </c>
      <c r="S649" s="66" t="str">
        <f>IF(AND($O649=$R$7,$B649&lt;'111'!$N$11),"x","")</f>
        <v/>
      </c>
      <c r="T649" s="66" t="str">
        <f>IF(AND($P649=$R$7,$B649&lt;'111'!$N$11),"x","")</f>
        <v/>
      </c>
      <c r="U649" s="66" t="str">
        <f>IF(AND($B649&gt;='112'!$M$9,$B649&lt;='112'!$N$9,OR($O649='112'!$I$6,$P649='112'!$I$6)),"x","")</f>
        <v/>
      </c>
      <c r="V649" s="66" t="str">
        <f>IF(AND($O649='112'!$I$6,$B649&lt;'112'!$M$9),"x","")</f>
        <v/>
      </c>
      <c r="W649" s="66" t="str">
        <f>IF(AND($P649='112'!$I$6,$B649&lt;'112'!$M$9),"x","")</f>
        <v/>
      </c>
      <c r="X649" s="66" t="str">
        <f>IF(AND('131-CT'!$H$9=TH!H649,OR(O649="131",P649="131")),"x","")</f>
        <v/>
      </c>
      <c r="Y649" s="80" t="str">
        <f>IF(AND($B649&gt;='1331'!$I$9,$B649&lt;='1331'!$J$9,OR($O649=$Y$7,$P649=$Y$7)),"x","")</f>
        <v/>
      </c>
      <c r="Z649" s="80" t="str">
        <f>IF(AND($O649=$Y$7,$B649&lt;'1331'!$I$9),"x","")</f>
        <v/>
      </c>
      <c r="AA649" s="80" t="str">
        <f>IF(AND($P649=$Y$7,$B649&lt;'1331'!$I$9),"x","")</f>
        <v/>
      </c>
      <c r="AB649" s="80" t="str">
        <f>IF(AND($B649&gt;='1332'!$I$9,$B649&lt;='1332'!$I$9,OR($O649=$AB$7,$P649=$AB$7)),"x","")</f>
        <v/>
      </c>
      <c r="AC649" s="80" t="str">
        <f>IF(AND($O649=$AB$7,$B649&lt;'1332'!$I$9),"x","")</f>
        <v/>
      </c>
      <c r="AD649" s="80" t="str">
        <f>IF(AND($P649=$AB$7,$B649&lt;'1332'!$I$9),"x","")</f>
        <v/>
      </c>
      <c r="AE649" s="80" t="str">
        <f>IF(AND('341-CT'!$H$9=H649,OR(LEFT(O649,3)=$AE$7,LEFT(P649,3)=$AE$7)),"x","")</f>
        <v/>
      </c>
      <c r="AF649" s="80" t="str">
        <f>IF(OR(TH!O649=TH!$AF$7,P649=TH!$AF$7),"x","")</f>
        <v/>
      </c>
      <c r="AG649" s="80"/>
      <c r="AH649" s="80" t="str">
        <f>IF(AND(B649&gt;='IN-NX'!$P$3,B649&lt;='IN-NX'!$Q$3,'IN-NX'!$D$7=D649,OR(LEFT(L649,2)="15",AND(LEFT(M649,2)&lt;&gt;"15",LEFT(M649,2)&lt;&gt;"33"))),"x","")</f>
        <v/>
      </c>
      <c r="AI649" s="80" t="str">
        <f>IF(AND(OR(LEFT(TH!O649,2)="15",LEFT(TH!P649,2)="15"),'152-CT'!$J$8=TH!F649),"x","")</f>
        <v/>
      </c>
      <c r="AJ649" s="80" t="str">
        <f>IF(AND(OR(LEFT(TH!O649,2)="15",LEFT(TH!P649,2)="15"),'THE KHO'!$E$7=TH!F649),"x","")</f>
        <v/>
      </c>
      <c r="AK649" s="80" t="str">
        <f>IF(AND(O649="1521",MONTH(C649)='BK NL'!$M$11),"x","")</f>
        <v/>
      </c>
    </row>
    <row r="650" spans="1:37" ht="15.75" customHeight="1">
      <c r="A650" s="362" t="str">
        <f>IF(B650&lt;&gt;"",IF(AND(B650&gt;=_TM1,B650&lt;=_TM2,OR(TH!O650="1111",TH!P650="1111")),TH!D650,""),"")</f>
        <v/>
      </c>
      <c r="B650" s="63">
        <f t="shared" ref="B650:B727" si="45">IF(C650&lt;&gt;"",MONTH(C650),"")</f>
        <v>9</v>
      </c>
      <c r="C650" s="1127">
        <v>42618</v>
      </c>
      <c r="D650" s="1045" t="s">
        <v>1185</v>
      </c>
      <c r="E650" s="1045">
        <v>42618</v>
      </c>
      <c r="F650" s="1046" t="s">
        <v>308</v>
      </c>
      <c r="G650" s="1150" t="s">
        <v>1186</v>
      </c>
      <c r="H650" s="1048" t="s">
        <v>309</v>
      </c>
      <c r="I650" s="1049">
        <v>384</v>
      </c>
      <c r="J650" s="1049">
        <v>18143</v>
      </c>
      <c r="K650" s="1050"/>
      <c r="L650" s="1049"/>
      <c r="M650" s="1122">
        <v>6966912</v>
      </c>
      <c r="N650" s="1122"/>
      <c r="O650" s="1138" t="s">
        <v>462</v>
      </c>
      <c r="P650" s="1139" t="s">
        <v>9</v>
      </c>
      <c r="Q650" s="66" t="str">
        <f>IF(AND('331-CT'!$E$7=TH!H650,OR(O650="331",P650="331")),"x","")</f>
        <v/>
      </c>
      <c r="R650" s="66" t="str">
        <f>IF(AND($B650&gt;='111'!$N$11,$B650&lt;='111'!$O$11,OR($O650=$R$7,$P650=$R$7)),"x","")</f>
        <v/>
      </c>
      <c r="S650" s="66" t="str">
        <f>IF(AND($O650=$R$7,$B650&lt;'111'!$N$11),"x","")</f>
        <v/>
      </c>
      <c r="T650" s="66" t="str">
        <f>IF(AND($P650=$R$7,$B650&lt;'111'!$N$11),"x","")</f>
        <v/>
      </c>
      <c r="U650" s="66" t="str">
        <f>IF(AND($B650&gt;='112'!$M$9,$B650&lt;='112'!$N$9,OR($O650='112'!$I$6,$P650='112'!$I$6)),"x","")</f>
        <v/>
      </c>
      <c r="V650" s="66" t="str">
        <f>IF(AND($O650='112'!$I$6,$B650&lt;'112'!$M$9),"x","")</f>
        <v/>
      </c>
      <c r="W650" s="66" t="str">
        <f>IF(AND($P650='112'!$I$6,$B650&lt;'112'!$M$9),"x","")</f>
        <v/>
      </c>
      <c r="X650" s="66" t="str">
        <f>IF(AND('131-CT'!$H$9=TH!H650,OR(O650="131",P650="131")),"x","")</f>
        <v/>
      </c>
      <c r="Y650" s="80" t="str">
        <f>IF(AND($B650&gt;='1331'!$I$9,$B650&lt;='1331'!$J$9,OR($O650=$Y$7,$P650=$Y$7)),"x","")</f>
        <v/>
      </c>
      <c r="Z650" s="80" t="str">
        <f>IF(AND($O650=$Y$7,$B650&lt;'1331'!$I$9),"x","")</f>
        <v/>
      </c>
      <c r="AA650" s="80" t="str">
        <f>IF(AND($P650=$Y$7,$B650&lt;'1331'!$I$9),"x","")</f>
        <v/>
      </c>
      <c r="AB650" s="80" t="str">
        <f>IF(AND($B650&gt;='1332'!$I$9,$B650&lt;='1332'!$I$9,OR($O650=$AB$7,$P650=$AB$7)),"x","")</f>
        <v/>
      </c>
      <c r="AC650" s="80" t="str">
        <f>IF(AND($O650=$AB$7,$B650&lt;'1332'!$I$9),"x","")</f>
        <v/>
      </c>
      <c r="AD650" s="80" t="str">
        <f>IF(AND($P650=$AB$7,$B650&lt;'1332'!$I$9),"x","")</f>
        <v/>
      </c>
      <c r="AE650" s="80" t="str">
        <f>IF(AND('341-CT'!$H$9=H650,OR(LEFT(O650,3)=$AE$7,LEFT(P650,3)=$AE$7)),"x","")</f>
        <v/>
      </c>
      <c r="AF650" s="80" t="str">
        <f>IF(OR(TH!O650=TH!$AF$7,P650=TH!$AF$7),"x","")</f>
        <v/>
      </c>
      <c r="AG650" s="80"/>
      <c r="AH650" s="80" t="str">
        <f>IF(AND(B650&gt;='IN-NX'!$P$3,B650&lt;='IN-NX'!$Q$3,'IN-NX'!$D$7=D650,OR(LEFT(L650,2)="15",AND(LEFT(M650,2)&lt;&gt;"15",LEFT(M650,2)&lt;&gt;"33"))),"x","")</f>
        <v/>
      </c>
      <c r="AI650" s="80" t="str">
        <f>IF(AND(OR(LEFT(TH!O650,2)="15",LEFT(TH!P650,2)="15"),'152-CT'!$J$8=TH!F650),"x","")</f>
        <v/>
      </c>
      <c r="AJ650" s="80" t="str">
        <f>IF(AND(OR(LEFT(TH!O650,2)="15",LEFT(TH!P650,2)="15"),'THE KHO'!$E$7=TH!F650),"x","")</f>
        <v/>
      </c>
      <c r="AK650" s="80" t="str">
        <f>IF(AND(O650="1521",MONTH(C650)='BK NL'!$M$11),"x","")</f>
        <v/>
      </c>
    </row>
    <row r="651" spans="1:37" ht="15.75" customHeight="1">
      <c r="A651" s="362" t="str">
        <f>IF(B651&lt;&gt;"",IF(AND(B651&gt;=_TM1,B651&lt;=_TM2,OR(TH!O651="1111",TH!P651="1111")),TH!D651,""),"")</f>
        <v/>
      </c>
      <c r="B651" s="63">
        <f t="shared" si="45"/>
        <v>9</v>
      </c>
      <c r="C651" s="1045">
        <v>42618</v>
      </c>
      <c r="D651" s="1045" t="s">
        <v>1185</v>
      </c>
      <c r="E651" s="1045">
        <v>42618</v>
      </c>
      <c r="F651" s="1046" t="s">
        <v>310</v>
      </c>
      <c r="G651" s="1126" t="s">
        <v>1186</v>
      </c>
      <c r="H651" s="1048" t="s">
        <v>309</v>
      </c>
      <c r="I651" s="1049"/>
      <c r="J651" s="1049"/>
      <c r="K651" s="1050"/>
      <c r="L651" s="1049"/>
      <c r="M651" s="1122">
        <v>696691</v>
      </c>
      <c r="N651" s="1122"/>
      <c r="O651" s="1052" t="s">
        <v>10</v>
      </c>
      <c r="P651" s="1139" t="s">
        <v>9</v>
      </c>
      <c r="Q651" s="66" t="str">
        <f>IF(AND('331-CT'!$E$7=TH!H651,OR(O651="331",P651="331")),"x","")</f>
        <v/>
      </c>
      <c r="R651" s="66" t="str">
        <f>IF(AND($B651&gt;='111'!$N$11,$B651&lt;='111'!$O$11,OR($O651=$R$7,$P651=$R$7)),"x","")</f>
        <v/>
      </c>
      <c r="S651" s="66" t="str">
        <f>IF(AND($O651=$R$7,$B651&lt;'111'!$N$11),"x","")</f>
        <v/>
      </c>
      <c r="T651" s="66" t="str">
        <f>IF(AND($P651=$R$7,$B651&lt;'111'!$N$11),"x","")</f>
        <v/>
      </c>
      <c r="U651" s="66" t="str">
        <f>IF(AND($B651&gt;='112'!$M$9,$B651&lt;='112'!$N$9,OR($O651='112'!$I$6,$P651='112'!$I$6)),"x","")</f>
        <v/>
      </c>
      <c r="V651" s="66" t="str">
        <f>IF(AND($O651='112'!$I$6,$B651&lt;'112'!$M$9),"x","")</f>
        <v/>
      </c>
      <c r="W651" s="66" t="str">
        <f>IF(AND($P651='112'!$I$6,$B651&lt;'112'!$M$9),"x","")</f>
        <v/>
      </c>
      <c r="X651" s="66" t="str">
        <f>IF(AND('131-CT'!$H$9=TH!H651,OR(O651="131",P651="131")),"x","")</f>
        <v/>
      </c>
      <c r="Y651" s="80" t="str">
        <f>IF(AND($B651&gt;='1331'!$I$9,$B651&lt;='1331'!$J$9,OR($O651=$Y$7,$P651=$Y$7)),"x","")</f>
        <v>x</v>
      </c>
      <c r="Z651" s="80" t="str">
        <f>IF(AND($O651=$Y$7,$B651&lt;'1331'!$I$9),"x","")</f>
        <v/>
      </c>
      <c r="AA651" s="80" t="str">
        <f>IF(AND($P651=$Y$7,$B651&lt;'1331'!$I$9),"x","")</f>
        <v/>
      </c>
      <c r="AB651" s="80" t="str">
        <f>IF(AND($B651&gt;='1332'!$I$9,$B651&lt;='1332'!$I$9,OR($O651=$AB$7,$P651=$AB$7)),"x","")</f>
        <v/>
      </c>
      <c r="AC651" s="80" t="str">
        <f>IF(AND($O651=$AB$7,$B651&lt;'1332'!$I$9),"x","")</f>
        <v/>
      </c>
      <c r="AD651" s="80" t="str">
        <f>IF(AND($P651=$AB$7,$B651&lt;'1332'!$I$9),"x","")</f>
        <v/>
      </c>
      <c r="AE651" s="80" t="str">
        <f>IF(AND('341-CT'!$H$9=H651,OR(LEFT(O651,3)=$AE$7,LEFT(P651,3)=$AE$7)),"x","")</f>
        <v/>
      </c>
      <c r="AF651" s="80" t="str">
        <f>IF(OR(TH!O651=TH!$AF$7,P651=TH!$AF$7),"x","")</f>
        <v/>
      </c>
      <c r="AG651" s="80"/>
      <c r="AH651" s="80" t="str">
        <f>IF(AND(B651&gt;='IN-NX'!$P$3,B651&lt;='IN-NX'!$Q$3,'IN-NX'!$D$7=D651,OR(LEFT(L651,2)="15",AND(LEFT(M651,2)&lt;&gt;"15",LEFT(M651,2)&lt;&gt;"33"))),"x","")</f>
        <v/>
      </c>
      <c r="AI651" s="80" t="str">
        <f>IF(AND(OR(LEFT(TH!O651,2)="15",LEFT(TH!P651,2)="15"),'152-CT'!$J$8=TH!F651),"x","")</f>
        <v/>
      </c>
      <c r="AJ651" s="80" t="str">
        <f>IF(AND(OR(LEFT(TH!O651,2)="15",LEFT(TH!P651,2)="15"),'THE KHO'!$E$7=TH!F651),"x","")</f>
        <v/>
      </c>
      <c r="AK651" s="80" t="str">
        <f>IF(AND(O651="1521",MONTH(C651)='BK NL'!$M$11),"x","")</f>
        <v/>
      </c>
    </row>
    <row r="652" spans="1:37" ht="15.75" customHeight="1">
      <c r="A652" s="362" t="str">
        <f>IF(B652&lt;&gt;"",IF(AND(B652&gt;=_TM1,B652&lt;=_TM2,OR(TH!O652="1111",TH!P652="1111")),TH!D652,""),"")</f>
        <v/>
      </c>
      <c r="B652" s="63">
        <f t="shared" si="45"/>
        <v>9</v>
      </c>
      <c r="C652" s="1127">
        <v>42619</v>
      </c>
      <c r="D652" s="1045" t="s">
        <v>1187</v>
      </c>
      <c r="E652" s="1045">
        <v>42619</v>
      </c>
      <c r="F652" s="1046" t="s">
        <v>1188</v>
      </c>
      <c r="G652" s="1150" t="s">
        <v>1189</v>
      </c>
      <c r="H652" s="1151" t="s">
        <v>1190</v>
      </c>
      <c r="I652" s="1049">
        <v>6750</v>
      </c>
      <c r="J652" s="1049">
        <v>14728</v>
      </c>
      <c r="K652" s="1050"/>
      <c r="L652" s="1049"/>
      <c r="M652" s="1122">
        <v>99414000</v>
      </c>
      <c r="N652" s="1122"/>
      <c r="O652" s="1138" t="s">
        <v>462</v>
      </c>
      <c r="P652" s="1139" t="s">
        <v>9</v>
      </c>
      <c r="Q652" s="66" t="str">
        <f>IF(AND('331-CT'!$E$7=TH!H652,OR(O652="331",P652="331")),"x","")</f>
        <v/>
      </c>
      <c r="R652" s="66" t="str">
        <f>IF(AND($B652&gt;='111'!$N$11,$B652&lt;='111'!$O$11,OR($O652=$R$7,$P652=$R$7)),"x","")</f>
        <v/>
      </c>
      <c r="S652" s="66" t="str">
        <f>IF(AND($O652=$R$7,$B652&lt;'111'!$N$11),"x","")</f>
        <v/>
      </c>
      <c r="T652" s="66" t="str">
        <f>IF(AND($P652=$R$7,$B652&lt;'111'!$N$11),"x","")</f>
        <v/>
      </c>
      <c r="U652" s="66" t="str">
        <f>IF(AND($B652&gt;='112'!$M$9,$B652&lt;='112'!$N$9,OR($O652='112'!$I$6,$P652='112'!$I$6)),"x","")</f>
        <v/>
      </c>
      <c r="V652" s="66" t="str">
        <f>IF(AND($O652='112'!$I$6,$B652&lt;'112'!$M$9),"x","")</f>
        <v/>
      </c>
      <c r="W652" s="66" t="str">
        <f>IF(AND($P652='112'!$I$6,$B652&lt;'112'!$M$9),"x","")</f>
        <v/>
      </c>
      <c r="X652" s="66" t="str">
        <f>IF(AND('131-CT'!$H$9=TH!H652,OR(O652="131",P652="131")),"x","")</f>
        <v/>
      </c>
      <c r="Y652" s="80" t="str">
        <f>IF(AND($B652&gt;='1331'!$I$9,$B652&lt;='1331'!$J$9,OR($O652=$Y$7,$P652=$Y$7)),"x","")</f>
        <v/>
      </c>
      <c r="Z652" s="80" t="str">
        <f>IF(AND($O652=$Y$7,$B652&lt;'1331'!$I$9),"x","")</f>
        <v/>
      </c>
      <c r="AA652" s="80" t="str">
        <f>IF(AND($P652=$Y$7,$B652&lt;'1331'!$I$9),"x","")</f>
        <v/>
      </c>
      <c r="AB652" s="80" t="str">
        <f>IF(AND($B652&gt;='1332'!$I$9,$B652&lt;='1332'!$I$9,OR($O652=$AB$7,$P652=$AB$7)),"x","")</f>
        <v/>
      </c>
      <c r="AC652" s="80" t="str">
        <f>IF(AND($O652=$AB$7,$B652&lt;'1332'!$I$9),"x","")</f>
        <v/>
      </c>
      <c r="AD652" s="80" t="str">
        <f>IF(AND($P652=$AB$7,$B652&lt;'1332'!$I$9),"x","")</f>
        <v/>
      </c>
      <c r="AE652" s="80" t="str">
        <f>IF(AND('341-CT'!$H$9=H652,OR(LEFT(O652,3)=$AE$7,LEFT(P652,3)=$AE$7)),"x","")</f>
        <v/>
      </c>
      <c r="AF652" s="80" t="str">
        <f>IF(OR(TH!O652=TH!$AF$7,P652=TH!$AF$7),"x","")</f>
        <v/>
      </c>
      <c r="AG652" s="80"/>
      <c r="AH652" s="80" t="str">
        <f>IF(AND(B652&gt;='IN-NX'!$P$3,B652&lt;='IN-NX'!$Q$3,'IN-NX'!$D$7=D652,OR(LEFT(L652,2)="15",AND(LEFT(M652,2)&lt;&gt;"15",LEFT(M652,2)&lt;&gt;"33"))),"x","")</f>
        <v/>
      </c>
      <c r="AI652" s="80" t="str">
        <f>IF(AND(OR(LEFT(TH!O652,2)="15",LEFT(TH!P652,2)="15"),'152-CT'!$J$8=TH!F652),"x","")</f>
        <v/>
      </c>
      <c r="AJ652" s="80" t="str">
        <f>IF(AND(OR(LEFT(TH!O652,2)="15",LEFT(TH!P652,2)="15"),'THE KHO'!$E$7=TH!F652),"x","")</f>
        <v/>
      </c>
      <c r="AK652" s="80" t="str">
        <f>IF(AND(O652="1521",MONTH(C652)='BK NL'!$M$11),"x","")</f>
        <v/>
      </c>
    </row>
    <row r="653" spans="1:37" ht="15.75" customHeight="1">
      <c r="A653" s="362" t="str">
        <f>IF(B653&lt;&gt;"",IF(AND(B653&gt;=_TM1,B653&lt;=_TM2,OR(TH!O653="1111",TH!P653="1111")),TH!D653,""),"")</f>
        <v/>
      </c>
      <c r="B653" s="63">
        <f t="shared" si="45"/>
        <v>9</v>
      </c>
      <c r="C653" s="1045">
        <v>42619</v>
      </c>
      <c r="D653" s="1045" t="s">
        <v>1187</v>
      </c>
      <c r="E653" s="1045">
        <v>42619</v>
      </c>
      <c r="F653" s="1046" t="s">
        <v>1191</v>
      </c>
      <c r="G653" s="1126" t="s">
        <v>1189</v>
      </c>
      <c r="H653" s="1151" t="s">
        <v>1190</v>
      </c>
      <c r="I653" s="1049"/>
      <c r="J653" s="1049"/>
      <c r="K653" s="1050"/>
      <c r="L653" s="1049"/>
      <c r="M653" s="1122">
        <v>9941400</v>
      </c>
      <c r="N653" s="1122"/>
      <c r="O653" s="1052" t="s">
        <v>10</v>
      </c>
      <c r="P653" s="1139" t="s">
        <v>9</v>
      </c>
      <c r="Q653" s="66" t="str">
        <f>IF(AND('331-CT'!$E$7=TH!H653,OR(O653="331",P653="331")),"x","")</f>
        <v/>
      </c>
      <c r="R653" s="66" t="str">
        <f>IF(AND($B653&gt;='111'!$N$11,$B653&lt;='111'!$O$11,OR($O653=$R$7,$P653=$R$7)),"x","")</f>
        <v/>
      </c>
      <c r="S653" s="66" t="str">
        <f>IF(AND($O653=$R$7,$B653&lt;'111'!$N$11),"x","")</f>
        <v/>
      </c>
      <c r="T653" s="66" t="str">
        <f>IF(AND($P653=$R$7,$B653&lt;'111'!$N$11),"x","")</f>
        <v/>
      </c>
      <c r="U653" s="66" t="str">
        <f>IF(AND($B653&gt;='112'!$M$9,$B653&lt;='112'!$N$9,OR($O653='112'!$I$6,$P653='112'!$I$6)),"x","")</f>
        <v/>
      </c>
      <c r="V653" s="66" t="str">
        <f>IF(AND($O653='112'!$I$6,$B653&lt;'112'!$M$9),"x","")</f>
        <v/>
      </c>
      <c r="W653" s="66" t="str">
        <f>IF(AND($P653='112'!$I$6,$B653&lt;'112'!$M$9),"x","")</f>
        <v/>
      </c>
      <c r="X653" s="66" t="str">
        <f>IF(AND('131-CT'!$H$9=TH!H653,OR(O653="131",P653="131")),"x","")</f>
        <v/>
      </c>
      <c r="Y653" s="80" t="str">
        <f>IF(AND($B653&gt;='1331'!$I$9,$B653&lt;='1331'!$J$9,OR($O653=$Y$7,$P653=$Y$7)),"x","")</f>
        <v>x</v>
      </c>
      <c r="Z653" s="80" t="str">
        <f>IF(AND($O653=$Y$7,$B653&lt;'1331'!$I$9),"x","")</f>
        <v/>
      </c>
      <c r="AA653" s="80" t="str">
        <f>IF(AND($P653=$Y$7,$B653&lt;'1331'!$I$9),"x","")</f>
        <v/>
      </c>
      <c r="AB653" s="80" t="str">
        <f>IF(AND($B653&gt;='1332'!$I$9,$B653&lt;='1332'!$I$9,OR($O653=$AB$7,$P653=$AB$7)),"x","")</f>
        <v/>
      </c>
      <c r="AC653" s="80" t="str">
        <f>IF(AND($O653=$AB$7,$B653&lt;'1332'!$I$9),"x","")</f>
        <v/>
      </c>
      <c r="AD653" s="80" t="str">
        <f>IF(AND($P653=$AB$7,$B653&lt;'1332'!$I$9),"x","")</f>
        <v/>
      </c>
      <c r="AE653" s="80" t="str">
        <f>IF(AND('341-CT'!$H$9=H653,OR(LEFT(O653,3)=$AE$7,LEFT(P653,3)=$AE$7)),"x","")</f>
        <v/>
      </c>
      <c r="AF653" s="80" t="str">
        <f>IF(OR(TH!O653=TH!$AF$7,P653=TH!$AF$7),"x","")</f>
        <v/>
      </c>
      <c r="AG653" s="80"/>
      <c r="AH653" s="80" t="str">
        <f>IF(AND(B653&gt;='IN-NX'!$P$3,B653&lt;='IN-NX'!$Q$3,'IN-NX'!$D$7=D653,OR(LEFT(L653,2)="15",AND(LEFT(M653,2)&lt;&gt;"15",LEFT(M653,2)&lt;&gt;"33"))),"x","")</f>
        <v/>
      </c>
      <c r="AI653" s="80" t="str">
        <f>IF(AND(OR(LEFT(TH!O653,2)="15",LEFT(TH!P653,2)="15"),'152-CT'!$J$8=TH!F653),"x","")</f>
        <v/>
      </c>
      <c r="AJ653" s="80" t="str">
        <f>IF(AND(OR(LEFT(TH!O653,2)="15",LEFT(TH!P653,2)="15"),'THE KHO'!$E$7=TH!F653),"x","")</f>
        <v/>
      </c>
      <c r="AK653" s="80" t="str">
        <f>IF(AND(O653="1521",MONTH(C653)='BK NL'!$M$11),"x","")</f>
        <v/>
      </c>
    </row>
    <row r="654" spans="1:37" ht="15.75" customHeight="1">
      <c r="A654" s="362" t="str">
        <f>IF(B654&lt;&gt;"",IF(AND(B654&gt;=_TM1,B654&lt;=_TM2,OR(TH!O654="1111",TH!P654="1111")),TH!D654,""),"")</f>
        <v/>
      </c>
      <c r="B654" s="63">
        <f t="shared" si="45"/>
        <v>9</v>
      </c>
      <c r="C654" s="1127">
        <v>42621</v>
      </c>
      <c r="D654" s="1045" t="s">
        <v>1192</v>
      </c>
      <c r="E654" s="1045">
        <v>42621</v>
      </c>
      <c r="F654" s="1046" t="s">
        <v>1193</v>
      </c>
      <c r="G654" s="1150" t="s">
        <v>1194</v>
      </c>
      <c r="H654" s="1151" t="s">
        <v>920</v>
      </c>
      <c r="I654" s="1049">
        <v>500</v>
      </c>
      <c r="J654" s="1049">
        <v>42727.271999999997</v>
      </c>
      <c r="K654" s="1050"/>
      <c r="L654" s="1049"/>
      <c r="M654" s="1122">
        <v>21363636</v>
      </c>
      <c r="N654" s="1122"/>
      <c r="O654" s="1138" t="s">
        <v>462</v>
      </c>
      <c r="P654" s="1139" t="s">
        <v>9</v>
      </c>
      <c r="Q654" s="66" t="str">
        <f>IF(AND('331-CT'!$E$7=TH!H654,OR(O654="331",P654="331")),"x","")</f>
        <v/>
      </c>
      <c r="R654" s="66" t="str">
        <f>IF(AND($B654&gt;='111'!$N$11,$B654&lt;='111'!$O$11,OR($O654=$R$7,$P654=$R$7)),"x","")</f>
        <v/>
      </c>
      <c r="S654" s="66" t="str">
        <f>IF(AND($O654=$R$7,$B654&lt;'111'!$N$11),"x","")</f>
        <v/>
      </c>
      <c r="T654" s="66" t="str">
        <f>IF(AND($P654=$R$7,$B654&lt;'111'!$N$11),"x","")</f>
        <v/>
      </c>
      <c r="U654" s="66" t="str">
        <f>IF(AND($B654&gt;='112'!$M$9,$B654&lt;='112'!$N$9,OR($O654='112'!$I$6,$P654='112'!$I$6)),"x","")</f>
        <v/>
      </c>
      <c r="V654" s="66" t="str">
        <f>IF(AND($O654='112'!$I$6,$B654&lt;'112'!$M$9),"x","")</f>
        <v/>
      </c>
      <c r="W654" s="66" t="str">
        <f>IF(AND($P654='112'!$I$6,$B654&lt;'112'!$M$9),"x","")</f>
        <v/>
      </c>
      <c r="X654" s="66" t="str">
        <f>IF(AND('131-CT'!$H$9=TH!H654,OR(O654="131",P654="131")),"x","")</f>
        <v/>
      </c>
      <c r="Y654" s="80" t="str">
        <f>IF(AND($B654&gt;='1331'!$I$9,$B654&lt;='1331'!$J$9,OR($O654=$Y$7,$P654=$Y$7)),"x","")</f>
        <v/>
      </c>
      <c r="Z654" s="80" t="str">
        <f>IF(AND($O654=$Y$7,$B654&lt;'1331'!$I$9),"x","")</f>
        <v/>
      </c>
      <c r="AA654" s="80" t="str">
        <f>IF(AND($P654=$Y$7,$B654&lt;'1331'!$I$9),"x","")</f>
        <v/>
      </c>
      <c r="AB654" s="80" t="str">
        <f>IF(AND($B654&gt;='1332'!$I$9,$B654&lt;='1332'!$I$9,OR($O654=$AB$7,$P654=$AB$7)),"x","")</f>
        <v/>
      </c>
      <c r="AC654" s="80" t="str">
        <f>IF(AND($O654=$AB$7,$B654&lt;'1332'!$I$9),"x","")</f>
        <v/>
      </c>
      <c r="AD654" s="80" t="str">
        <f>IF(AND($P654=$AB$7,$B654&lt;'1332'!$I$9),"x","")</f>
        <v/>
      </c>
      <c r="AE654" s="80" t="str">
        <f>IF(AND('341-CT'!$H$9=H654,OR(LEFT(O654,3)=$AE$7,LEFT(P654,3)=$AE$7)),"x","")</f>
        <v/>
      </c>
      <c r="AF654" s="80" t="str">
        <f>IF(OR(TH!O654=TH!$AF$7,P654=TH!$AF$7),"x","")</f>
        <v/>
      </c>
      <c r="AG654" s="80"/>
      <c r="AH654" s="80" t="str">
        <f>IF(AND(B654&gt;='IN-NX'!$P$3,B654&lt;='IN-NX'!$Q$3,'IN-NX'!$D$7=D654,OR(LEFT(L654,2)="15",AND(LEFT(M654,2)&lt;&gt;"15",LEFT(M654,2)&lt;&gt;"33"))),"x","")</f>
        <v/>
      </c>
      <c r="AI654" s="80" t="str">
        <f>IF(AND(OR(LEFT(TH!O654,2)="15",LEFT(TH!P654,2)="15"),'152-CT'!$J$8=TH!F654),"x","")</f>
        <v/>
      </c>
      <c r="AJ654" s="80" t="str">
        <f>IF(AND(OR(LEFT(TH!O654,2)="15",LEFT(TH!P654,2)="15"),'THE KHO'!$E$7=TH!F654),"x","")</f>
        <v/>
      </c>
      <c r="AK654" s="80" t="str">
        <f>IF(AND(O654="1521",MONTH(C654)='BK NL'!$M$11),"x","")</f>
        <v/>
      </c>
    </row>
    <row r="655" spans="1:37" ht="15.75" customHeight="1">
      <c r="A655" s="362" t="str">
        <f>IF(B655&lt;&gt;"",IF(AND(B655&gt;=_TM1,B655&lt;=_TM2,OR(TH!O655="1111",TH!P655="1111")),TH!D655,""),"")</f>
        <v/>
      </c>
      <c r="B655" s="63">
        <f t="shared" si="45"/>
        <v>9</v>
      </c>
      <c r="C655" s="1045">
        <v>42621</v>
      </c>
      <c r="D655" s="1045" t="s">
        <v>1192</v>
      </c>
      <c r="E655" s="1045">
        <v>42621</v>
      </c>
      <c r="F655" s="1046" t="s">
        <v>1195</v>
      </c>
      <c r="G655" s="1126" t="s">
        <v>1194</v>
      </c>
      <c r="H655" s="1151" t="s">
        <v>920</v>
      </c>
      <c r="I655" s="1049"/>
      <c r="J655" s="1049"/>
      <c r="K655" s="1050"/>
      <c r="L655" s="1049"/>
      <c r="M655" s="1122">
        <v>2136364</v>
      </c>
      <c r="N655" s="1122"/>
      <c r="O655" s="1052" t="s">
        <v>10</v>
      </c>
      <c r="P655" s="1139" t="s">
        <v>9</v>
      </c>
      <c r="Q655" s="66" t="str">
        <f>IF(AND('331-CT'!$E$7=TH!H655,OR(O655="331",P655="331")),"x","")</f>
        <v/>
      </c>
      <c r="R655" s="66" t="str">
        <f>IF(AND($B655&gt;='111'!$N$11,$B655&lt;='111'!$O$11,OR($O655=$R$7,$P655=$R$7)),"x","")</f>
        <v/>
      </c>
      <c r="S655" s="66" t="str">
        <f>IF(AND($O655=$R$7,$B655&lt;'111'!$N$11),"x","")</f>
        <v/>
      </c>
      <c r="T655" s="66" t="str">
        <f>IF(AND($P655=$R$7,$B655&lt;'111'!$N$11),"x","")</f>
        <v/>
      </c>
      <c r="U655" s="66" t="str">
        <f>IF(AND($B655&gt;='112'!$M$9,$B655&lt;='112'!$N$9,OR($O655='112'!$I$6,$P655='112'!$I$6)),"x","")</f>
        <v/>
      </c>
      <c r="V655" s="66" t="str">
        <f>IF(AND($O655='112'!$I$6,$B655&lt;'112'!$M$9),"x","")</f>
        <v/>
      </c>
      <c r="W655" s="66" t="str">
        <f>IF(AND($P655='112'!$I$6,$B655&lt;'112'!$M$9),"x","")</f>
        <v/>
      </c>
      <c r="X655" s="66" t="str">
        <f>IF(AND('131-CT'!$H$9=TH!H655,OR(O655="131",P655="131")),"x","")</f>
        <v/>
      </c>
      <c r="Y655" s="80" t="str">
        <f>IF(AND($B655&gt;='1331'!$I$9,$B655&lt;='1331'!$J$9,OR($O655=$Y$7,$P655=$Y$7)),"x","")</f>
        <v>x</v>
      </c>
      <c r="Z655" s="80" t="str">
        <f>IF(AND($O655=$Y$7,$B655&lt;'1331'!$I$9),"x","")</f>
        <v/>
      </c>
      <c r="AA655" s="80" t="str">
        <f>IF(AND($P655=$Y$7,$B655&lt;'1331'!$I$9),"x","")</f>
        <v/>
      </c>
      <c r="AB655" s="80" t="str">
        <f>IF(AND($B655&gt;='1332'!$I$9,$B655&lt;='1332'!$I$9,OR($O655=$AB$7,$P655=$AB$7)),"x","")</f>
        <v/>
      </c>
      <c r="AC655" s="80" t="str">
        <f>IF(AND($O655=$AB$7,$B655&lt;'1332'!$I$9),"x","")</f>
        <v/>
      </c>
      <c r="AD655" s="80" t="str">
        <f>IF(AND($P655=$AB$7,$B655&lt;'1332'!$I$9),"x","")</f>
        <v/>
      </c>
      <c r="AE655" s="80" t="str">
        <f>IF(AND('341-CT'!$H$9=H655,OR(LEFT(O655,3)=$AE$7,LEFT(P655,3)=$AE$7)),"x","")</f>
        <v/>
      </c>
      <c r="AF655" s="80" t="str">
        <f>IF(OR(TH!O655=TH!$AF$7,P655=TH!$AF$7),"x","")</f>
        <v/>
      </c>
      <c r="AG655" s="80"/>
      <c r="AH655" s="80" t="str">
        <f>IF(AND(B655&gt;='IN-NX'!$P$3,B655&lt;='IN-NX'!$Q$3,'IN-NX'!$D$7=D655,OR(LEFT(L655,2)="15",AND(LEFT(M655,2)&lt;&gt;"15",LEFT(M655,2)&lt;&gt;"33"))),"x","")</f>
        <v/>
      </c>
      <c r="AI655" s="80" t="str">
        <f>IF(AND(OR(LEFT(TH!O655,2)="15",LEFT(TH!P655,2)="15"),'152-CT'!$J$8=TH!F655),"x","")</f>
        <v/>
      </c>
      <c r="AJ655" s="80" t="str">
        <f>IF(AND(OR(LEFT(TH!O655,2)="15",LEFT(TH!P655,2)="15"),'THE KHO'!$E$7=TH!F655),"x","")</f>
        <v/>
      </c>
      <c r="AK655" s="80" t="str">
        <f>IF(AND(O655="1521",MONTH(C655)='BK NL'!$M$11),"x","")</f>
        <v/>
      </c>
    </row>
    <row r="656" spans="1:37" ht="15.75" customHeight="1">
      <c r="A656" s="362" t="str">
        <f>IF(B656&lt;&gt;"",IF(AND(B656&gt;=_TM1,B656&lt;=_TM2,OR(TH!O656="1111",TH!P656="1111")),TH!D656,""),"")</f>
        <v/>
      </c>
      <c r="B656" s="63">
        <f t="shared" si="45"/>
        <v>9</v>
      </c>
      <c r="C656" s="1045">
        <v>42623</v>
      </c>
      <c r="D656" s="1045" t="s">
        <v>194</v>
      </c>
      <c r="E656" s="1045">
        <v>42623</v>
      </c>
      <c r="F656" s="1046" t="s">
        <v>1196</v>
      </c>
      <c r="G656" s="1150" t="s">
        <v>1197</v>
      </c>
      <c r="H656" s="1048" t="s">
        <v>315</v>
      </c>
      <c r="I656" s="1049"/>
      <c r="J656" s="1049"/>
      <c r="K656" s="1050"/>
      <c r="L656" s="1049"/>
      <c r="M656" s="1122">
        <v>7272727</v>
      </c>
      <c r="N656" s="1122"/>
      <c r="O656" s="1052" t="s">
        <v>135</v>
      </c>
      <c r="P656" s="1117" t="s">
        <v>97</v>
      </c>
      <c r="Q656" s="66" t="str">
        <f>IF(AND('331-CT'!$E$7=TH!H656,OR(O656="331",P656="331")),"x","")</f>
        <v/>
      </c>
      <c r="R656" s="66" t="str">
        <f>IF(AND($B656&gt;='111'!$N$11,$B656&lt;='111'!$O$11,OR($O656=$R$7,$P656=$R$7)),"x","")</f>
        <v>x</v>
      </c>
      <c r="S656" s="66" t="str">
        <f>IF(AND($O656=$R$7,$B656&lt;'111'!$N$11),"x","")</f>
        <v/>
      </c>
      <c r="T656" s="66" t="str">
        <f>IF(AND($P656=$R$7,$B656&lt;'111'!$N$11),"x","")</f>
        <v/>
      </c>
      <c r="U656" s="66" t="str">
        <f>IF(AND($B656&gt;='112'!$M$9,$B656&lt;='112'!$N$9,OR($O656='112'!$I$6,$P656='112'!$I$6)),"x","")</f>
        <v/>
      </c>
      <c r="V656" s="66" t="str">
        <f>IF(AND($O656='112'!$I$6,$B656&lt;'112'!$M$9),"x","")</f>
        <v/>
      </c>
      <c r="W656" s="66" t="str">
        <f>IF(AND($P656='112'!$I$6,$B656&lt;'112'!$M$9),"x","")</f>
        <v/>
      </c>
      <c r="X656" s="66" t="str">
        <f>IF(AND('131-CT'!$H$9=TH!H656,OR(O656="131",P656="131")),"x","")</f>
        <v/>
      </c>
      <c r="Y656" s="80" t="str">
        <f>IF(AND($B656&gt;='1331'!$I$9,$B656&lt;='1331'!$J$9,OR($O656=$Y$7,$P656=$Y$7)),"x","")</f>
        <v/>
      </c>
      <c r="Z656" s="80" t="str">
        <f>IF(AND($O656=$Y$7,$B656&lt;'1331'!$I$9),"x","")</f>
        <v/>
      </c>
      <c r="AA656" s="80" t="str">
        <f>IF(AND($P656=$Y$7,$B656&lt;'1331'!$I$9),"x","")</f>
        <v/>
      </c>
      <c r="AB656" s="80" t="str">
        <f>IF(AND($B656&gt;='1332'!$I$9,$B656&lt;='1332'!$I$9,OR($O656=$AB$7,$P656=$AB$7)),"x","")</f>
        <v/>
      </c>
      <c r="AC656" s="80" t="str">
        <f>IF(AND($O656=$AB$7,$B656&lt;'1332'!$I$9),"x","")</f>
        <v/>
      </c>
      <c r="AD656" s="80" t="str">
        <f>IF(AND($P656=$AB$7,$B656&lt;'1332'!$I$9),"x","")</f>
        <v/>
      </c>
      <c r="AE656" s="80" t="str">
        <f>IF(AND('341-CT'!$H$9=H656,OR(LEFT(O656,3)=$AE$7,LEFT(P656,3)=$AE$7)),"x","")</f>
        <v/>
      </c>
      <c r="AF656" s="80" t="str">
        <f>IF(OR(TH!O656=TH!$AF$7,P656=TH!$AF$7),"x","")</f>
        <v/>
      </c>
      <c r="AG656" s="80"/>
      <c r="AH656" s="80" t="str">
        <f>IF(AND(B656&gt;='IN-NX'!$P$3,B656&lt;='IN-NX'!$Q$3,'IN-NX'!$D$7=D656,OR(LEFT(L656,2)="15",AND(LEFT(M656,2)&lt;&gt;"15",LEFT(M656,2)&lt;&gt;"33"))),"x","")</f>
        <v/>
      </c>
      <c r="AI656" s="80" t="str">
        <f>IF(AND(OR(LEFT(TH!O656,2)="15",LEFT(TH!P656,2)="15"),'152-CT'!$J$8=TH!F656),"x","")</f>
        <v/>
      </c>
      <c r="AJ656" s="80" t="str">
        <f>IF(AND(OR(LEFT(TH!O656,2)="15",LEFT(TH!P656,2)="15"),'THE KHO'!$E$7=TH!F656),"x","")</f>
        <v/>
      </c>
      <c r="AK656" s="80" t="str">
        <f>IF(AND(O656="1521",MONTH(C656)='BK NL'!$M$11),"x","")</f>
        <v/>
      </c>
    </row>
    <row r="657" spans="1:37" ht="15.75" customHeight="1">
      <c r="A657" s="362" t="str">
        <f>IF(B657&lt;&gt;"",IF(AND(B657&gt;=_TM1,B657&lt;=_TM2,OR(TH!O657="1111",TH!P657="1111")),TH!D657,""),"")</f>
        <v/>
      </c>
      <c r="B657" s="63">
        <f t="shared" si="45"/>
        <v>9</v>
      </c>
      <c r="C657" s="1045">
        <v>42623</v>
      </c>
      <c r="D657" s="1045" t="s">
        <v>194</v>
      </c>
      <c r="E657" s="1045">
        <v>42623</v>
      </c>
      <c r="F657" s="1046" t="s">
        <v>1198</v>
      </c>
      <c r="G657" s="1126" t="s">
        <v>1197</v>
      </c>
      <c r="H657" s="1048" t="s">
        <v>315</v>
      </c>
      <c r="I657" s="1049"/>
      <c r="J657" s="1049"/>
      <c r="K657" s="1050"/>
      <c r="L657" s="1049"/>
      <c r="M657" s="1122">
        <v>727273</v>
      </c>
      <c r="N657" s="1122"/>
      <c r="O657" s="1052" t="s">
        <v>10</v>
      </c>
      <c r="P657" s="1117" t="s">
        <v>97</v>
      </c>
      <c r="Q657" s="66" t="str">
        <f>IF(AND('331-CT'!$E$7=TH!H657,OR(O657="331",P657="331")),"x","")</f>
        <v/>
      </c>
      <c r="R657" s="66" t="str">
        <f>IF(AND($B657&gt;='111'!$N$11,$B657&lt;='111'!$O$11,OR($O657=$R$7,$P657=$R$7)),"x","")</f>
        <v>x</v>
      </c>
      <c r="S657" s="66" t="str">
        <f>IF(AND($O657=$R$7,$B657&lt;'111'!$N$11),"x","")</f>
        <v/>
      </c>
      <c r="T657" s="66" t="str">
        <f>IF(AND($P657=$R$7,$B657&lt;'111'!$N$11),"x","")</f>
        <v/>
      </c>
      <c r="U657" s="66" t="str">
        <f>IF(AND($B657&gt;='112'!$M$9,$B657&lt;='112'!$N$9,OR($O657='112'!$I$6,$P657='112'!$I$6)),"x","")</f>
        <v/>
      </c>
      <c r="V657" s="66" t="str">
        <f>IF(AND($O657='112'!$I$6,$B657&lt;'112'!$M$9),"x","")</f>
        <v/>
      </c>
      <c r="W657" s="66" t="str">
        <f>IF(AND($P657='112'!$I$6,$B657&lt;'112'!$M$9),"x","")</f>
        <v/>
      </c>
      <c r="X657" s="66" t="str">
        <f>IF(AND('131-CT'!$H$9=TH!H657,OR(O657="131",P657="131")),"x","")</f>
        <v/>
      </c>
      <c r="Y657" s="80" t="str">
        <f>IF(AND($B657&gt;='1331'!$I$9,$B657&lt;='1331'!$J$9,OR($O657=$Y$7,$P657=$Y$7)),"x","")</f>
        <v>x</v>
      </c>
      <c r="Z657" s="80" t="str">
        <f>IF(AND($O657=$Y$7,$B657&lt;'1331'!$I$9),"x","")</f>
        <v/>
      </c>
      <c r="AA657" s="80" t="str">
        <f>IF(AND($P657=$Y$7,$B657&lt;'1331'!$I$9),"x","")</f>
        <v/>
      </c>
      <c r="AB657" s="80" t="str">
        <f>IF(AND($B657&gt;='1332'!$I$9,$B657&lt;='1332'!$I$9,OR($O657=$AB$7,$P657=$AB$7)),"x","")</f>
        <v/>
      </c>
      <c r="AC657" s="80" t="str">
        <f>IF(AND($O657=$AB$7,$B657&lt;'1332'!$I$9),"x","")</f>
        <v/>
      </c>
      <c r="AD657" s="80" t="str">
        <f>IF(AND($P657=$AB$7,$B657&lt;'1332'!$I$9),"x","")</f>
        <v/>
      </c>
      <c r="AE657" s="80" t="str">
        <f>IF(AND('341-CT'!$H$9=H657,OR(LEFT(O657,3)=$AE$7,LEFT(P657,3)=$AE$7)),"x","")</f>
        <v/>
      </c>
      <c r="AF657" s="80" t="str">
        <f>IF(OR(TH!O657=TH!$AF$7,P657=TH!$AF$7),"x","")</f>
        <v/>
      </c>
      <c r="AG657" s="80"/>
      <c r="AH657" s="80" t="str">
        <f>IF(AND(B657&gt;='IN-NX'!$P$3,B657&lt;='IN-NX'!$Q$3,'IN-NX'!$D$7=D657,OR(LEFT(L657,2)="15",AND(LEFT(M657,2)&lt;&gt;"15",LEFT(M657,2)&lt;&gt;"33"))),"x","")</f>
        <v/>
      </c>
      <c r="AI657" s="80" t="str">
        <f>IF(AND(OR(LEFT(TH!O657,2)="15",LEFT(TH!P657,2)="15"),'152-CT'!$J$8=TH!F657),"x","")</f>
        <v/>
      </c>
      <c r="AJ657" s="80" t="str">
        <f>IF(AND(OR(LEFT(TH!O657,2)="15",LEFT(TH!P657,2)="15"),'THE KHO'!$E$7=TH!F657),"x","")</f>
        <v/>
      </c>
      <c r="AK657" s="80" t="str">
        <f>IF(AND(O657="1521",MONTH(C657)='BK NL'!$M$11),"x","")</f>
        <v/>
      </c>
    </row>
    <row r="658" spans="1:37" ht="15.75" customHeight="1">
      <c r="A658" s="362" t="str">
        <f>IF(B658&lt;&gt;"",IF(AND(B658&gt;=_TM1,B658&lt;=_TM2,OR(TH!O658="1111",TH!P658="1111")),TH!D658,""),"")</f>
        <v/>
      </c>
      <c r="B658" s="63">
        <f t="shared" si="45"/>
        <v>9</v>
      </c>
      <c r="C658" s="1045">
        <v>42629</v>
      </c>
      <c r="D658" s="1045" t="s">
        <v>195</v>
      </c>
      <c r="E658" s="1045">
        <v>42629</v>
      </c>
      <c r="F658" s="1119" t="s">
        <v>1199</v>
      </c>
      <c r="G658" s="1120" t="s">
        <v>1200</v>
      </c>
      <c r="H658" s="1121" t="s">
        <v>1054</v>
      </c>
      <c r="I658" s="1055"/>
      <c r="J658" s="1055"/>
      <c r="K658" s="1056"/>
      <c r="L658" s="1055"/>
      <c r="M658" s="1122">
        <v>371557</v>
      </c>
      <c r="N658" s="1122"/>
      <c r="O658" s="1052" t="s">
        <v>135</v>
      </c>
      <c r="P658" s="1117" t="s">
        <v>97</v>
      </c>
      <c r="Q658" s="66" t="str">
        <f>IF(AND('331-CT'!$E$7=TH!H658,OR(O658="331",P658="331")),"x","")</f>
        <v/>
      </c>
      <c r="R658" s="66" t="str">
        <f>IF(AND($B658&gt;='111'!$N$11,$B658&lt;='111'!$O$11,OR($O658=$R$7,$P658=$R$7)),"x","")</f>
        <v>x</v>
      </c>
      <c r="S658" s="66" t="str">
        <f>IF(AND($O658=$R$7,$B658&lt;'111'!$N$11),"x","")</f>
        <v/>
      </c>
      <c r="T658" s="66" t="str">
        <f>IF(AND($P658=$R$7,$B658&lt;'111'!$N$11),"x","")</f>
        <v/>
      </c>
      <c r="U658" s="66" t="str">
        <f>IF(AND($B658&gt;='112'!$M$9,$B658&lt;='112'!$N$9,OR($O658='112'!$I$6,$P658='112'!$I$6)),"x","")</f>
        <v/>
      </c>
      <c r="V658" s="66" t="str">
        <f>IF(AND($O658='112'!$I$6,$B658&lt;'112'!$M$9),"x","")</f>
        <v/>
      </c>
      <c r="W658" s="66" t="str">
        <f>IF(AND($P658='112'!$I$6,$B658&lt;'112'!$M$9),"x","")</f>
        <v/>
      </c>
      <c r="X658" s="66" t="str">
        <f>IF(AND('131-CT'!$H$9=TH!H658,OR(O658="131",P658="131")),"x","")</f>
        <v/>
      </c>
      <c r="Y658" s="80" t="str">
        <f>IF(AND($B658&gt;='1331'!$I$9,$B658&lt;='1331'!$J$9,OR($O658=$Y$7,$P658=$Y$7)),"x","")</f>
        <v/>
      </c>
      <c r="Z658" s="80" t="str">
        <f>IF(AND($O658=$Y$7,$B658&lt;'1331'!$I$9),"x","")</f>
        <v/>
      </c>
      <c r="AA658" s="80" t="str">
        <f>IF(AND($P658=$Y$7,$B658&lt;'1331'!$I$9),"x","")</f>
        <v/>
      </c>
      <c r="AB658" s="80" t="str">
        <f>IF(AND($B658&gt;='1332'!$I$9,$B658&lt;='1332'!$I$9,OR($O658=$AB$7,$P658=$AB$7)),"x","")</f>
        <v/>
      </c>
      <c r="AC658" s="80" t="str">
        <f>IF(AND($O658=$AB$7,$B658&lt;'1332'!$I$9),"x","")</f>
        <v/>
      </c>
      <c r="AD658" s="80" t="str">
        <f>IF(AND($P658=$AB$7,$B658&lt;'1332'!$I$9),"x","")</f>
        <v/>
      </c>
      <c r="AE658" s="80" t="str">
        <f>IF(AND('341-CT'!$H$9=H658,OR(LEFT(O658,3)=$AE$7,LEFT(P658,3)=$AE$7)),"x","")</f>
        <v/>
      </c>
      <c r="AF658" s="80" t="str">
        <f>IF(OR(TH!O658=TH!$AF$7,P658=TH!$AF$7),"x","")</f>
        <v/>
      </c>
      <c r="AG658" s="80"/>
      <c r="AH658" s="80" t="str">
        <f>IF(AND(B658&gt;='IN-NX'!$P$3,B658&lt;='IN-NX'!$Q$3,'IN-NX'!$D$7=D658,OR(LEFT(L658,2)="15",AND(LEFT(M658,2)&lt;&gt;"15",LEFT(M658,2)&lt;&gt;"33"))),"x","")</f>
        <v/>
      </c>
      <c r="AI658" s="80" t="str">
        <f>IF(AND(OR(LEFT(TH!O658,2)="15",LEFT(TH!P658,2)="15"),'152-CT'!$J$8=TH!F658),"x","")</f>
        <v/>
      </c>
      <c r="AJ658" s="80" t="str">
        <f>IF(AND(OR(LEFT(TH!O658,2)="15",LEFT(TH!P658,2)="15"),'THE KHO'!$E$7=TH!F658),"x","")</f>
        <v/>
      </c>
      <c r="AK658" s="80" t="str">
        <f>IF(AND(O658="1521",MONTH(C658)='BK NL'!$M$11),"x","")</f>
        <v/>
      </c>
    </row>
    <row r="659" spans="1:37" ht="15.75" customHeight="1">
      <c r="A659" s="362" t="str">
        <f>IF(B659&lt;&gt;"",IF(AND(B659&gt;=_TM1,B659&lt;=_TM2,OR(TH!O659="1111",TH!P659="1111")),TH!D659,""),"")</f>
        <v/>
      </c>
      <c r="B659" s="63">
        <f t="shared" si="45"/>
        <v>9</v>
      </c>
      <c r="C659" s="1045">
        <v>42629</v>
      </c>
      <c r="D659" s="1045" t="s">
        <v>195</v>
      </c>
      <c r="E659" s="1045">
        <v>42629</v>
      </c>
      <c r="F659" s="1119" t="s">
        <v>1201</v>
      </c>
      <c r="G659" s="1120" t="s">
        <v>1200</v>
      </c>
      <c r="H659" s="1121" t="s">
        <v>1054</v>
      </c>
      <c r="I659" s="1055"/>
      <c r="J659" s="1055"/>
      <c r="K659" s="1056"/>
      <c r="L659" s="1055"/>
      <c r="M659" s="1122">
        <v>37156</v>
      </c>
      <c r="N659" s="1122"/>
      <c r="O659" s="1125" t="s">
        <v>10</v>
      </c>
      <c r="P659" s="1117" t="s">
        <v>97</v>
      </c>
      <c r="Q659" s="66" t="str">
        <f>IF(AND('331-CT'!$E$7=TH!H659,OR(O659="331",P659="331")),"x","")</f>
        <v/>
      </c>
      <c r="R659" s="66" t="str">
        <f>IF(AND($B659&gt;='111'!$N$11,$B659&lt;='111'!$O$11,OR($O659=$R$7,$P659=$R$7)),"x","")</f>
        <v>x</v>
      </c>
      <c r="S659" s="66" t="str">
        <f>IF(AND($O659=$R$7,$B659&lt;'111'!$N$11),"x","")</f>
        <v/>
      </c>
      <c r="T659" s="66" t="str">
        <f>IF(AND($P659=$R$7,$B659&lt;'111'!$N$11),"x","")</f>
        <v/>
      </c>
      <c r="U659" s="66" t="str">
        <f>IF(AND($B659&gt;='112'!$M$9,$B659&lt;='112'!$N$9,OR($O659='112'!$I$6,$P659='112'!$I$6)),"x","")</f>
        <v/>
      </c>
      <c r="V659" s="66" t="str">
        <f>IF(AND($O659='112'!$I$6,$B659&lt;'112'!$M$9),"x","")</f>
        <v/>
      </c>
      <c r="W659" s="66" t="str">
        <f>IF(AND($P659='112'!$I$6,$B659&lt;'112'!$M$9),"x","")</f>
        <v/>
      </c>
      <c r="X659" s="66" t="str">
        <f>IF(AND('131-CT'!$H$9=TH!H659,OR(O659="131",P659="131")),"x","")</f>
        <v/>
      </c>
      <c r="Y659" s="80" t="str">
        <f>IF(AND($B659&gt;='1331'!$I$9,$B659&lt;='1331'!$J$9,OR($O659=$Y$7,$P659=$Y$7)),"x","")</f>
        <v>x</v>
      </c>
      <c r="Z659" s="80" t="str">
        <f>IF(AND($O659=$Y$7,$B659&lt;'1331'!$I$9),"x","")</f>
        <v/>
      </c>
      <c r="AA659" s="80" t="str">
        <f>IF(AND($P659=$Y$7,$B659&lt;'1331'!$I$9),"x","")</f>
        <v/>
      </c>
      <c r="AB659" s="80" t="str">
        <f>IF(AND($B659&gt;='1332'!$I$9,$B659&lt;='1332'!$I$9,OR($O659=$AB$7,$P659=$AB$7)),"x","")</f>
        <v/>
      </c>
      <c r="AC659" s="80" t="str">
        <f>IF(AND($O659=$AB$7,$B659&lt;'1332'!$I$9),"x","")</f>
        <v/>
      </c>
      <c r="AD659" s="80" t="str">
        <f>IF(AND($P659=$AB$7,$B659&lt;'1332'!$I$9),"x","")</f>
        <v/>
      </c>
      <c r="AE659" s="80" t="str">
        <f>IF(AND('341-CT'!$H$9=H659,OR(LEFT(O659,3)=$AE$7,LEFT(P659,3)=$AE$7)),"x","")</f>
        <v/>
      </c>
      <c r="AF659" s="80" t="str">
        <f>IF(OR(TH!O659=TH!$AF$7,P659=TH!$AF$7),"x","")</f>
        <v/>
      </c>
      <c r="AG659" s="80"/>
      <c r="AH659" s="80" t="str">
        <f>IF(AND(B659&gt;='IN-NX'!$P$3,B659&lt;='IN-NX'!$Q$3,'IN-NX'!$D$7=D659,OR(LEFT(L659,2)="15",AND(LEFT(M659,2)&lt;&gt;"15",LEFT(M659,2)&lt;&gt;"33"))),"x","")</f>
        <v/>
      </c>
      <c r="AI659" s="80" t="str">
        <f>IF(AND(OR(LEFT(TH!O659,2)="15",LEFT(TH!P659,2)="15"),'152-CT'!$J$8=TH!F659),"x","")</f>
        <v/>
      </c>
      <c r="AJ659" s="80" t="str">
        <f>IF(AND(OR(LEFT(TH!O659,2)="15",LEFT(TH!P659,2)="15"),'THE KHO'!$E$7=TH!F659),"x","")</f>
        <v/>
      </c>
      <c r="AK659" s="80" t="str">
        <f>IF(AND(O659="1521",MONTH(C659)='BK NL'!$M$11),"x","")</f>
        <v/>
      </c>
    </row>
    <row r="660" spans="1:37" ht="15.75" customHeight="1">
      <c r="A660" s="362" t="str">
        <f>IF(B660&lt;&gt;"",IF(AND(B660&gt;=_TM1,B660&lt;=_TM2,OR(TH!O660="1111",TH!P660="1111")),TH!D660,""),"")</f>
        <v/>
      </c>
      <c r="B660" s="63">
        <f t="shared" ref="B660:B661" si="46">IF(C660&lt;&gt;"",MONTH(C660),"")</f>
        <v>9</v>
      </c>
      <c r="C660" s="1045">
        <v>42629</v>
      </c>
      <c r="D660" s="1045" t="s">
        <v>196</v>
      </c>
      <c r="E660" s="1045">
        <v>42629</v>
      </c>
      <c r="F660" s="1119" t="s">
        <v>1221</v>
      </c>
      <c r="G660" s="1159" t="s">
        <v>1223</v>
      </c>
      <c r="H660" s="1121" t="s">
        <v>1224</v>
      </c>
      <c r="I660" s="1055"/>
      <c r="J660" s="1055"/>
      <c r="K660" s="1056"/>
      <c r="L660" s="1055"/>
      <c r="M660" s="1122">
        <v>3636364</v>
      </c>
      <c r="N660" s="1122"/>
      <c r="O660" s="1052" t="s">
        <v>135</v>
      </c>
      <c r="P660" s="1117" t="s">
        <v>97</v>
      </c>
      <c r="Q660" s="66" t="str">
        <f>IF(AND('331-CT'!$E$7=TH!H660,OR(O660="331",P660="331")),"x","")</f>
        <v/>
      </c>
      <c r="R660" s="66" t="str">
        <f>IF(AND($B660&gt;='111'!$N$11,$B660&lt;='111'!$O$11,OR($O660=$R$7,$P660=$R$7)),"x","")</f>
        <v>x</v>
      </c>
      <c r="S660" s="66" t="str">
        <f>IF(AND($O660=$R$7,$B660&lt;'111'!$N$11),"x","")</f>
        <v/>
      </c>
      <c r="T660" s="66" t="str">
        <f>IF(AND($P660=$R$7,$B660&lt;'111'!$N$11),"x","")</f>
        <v/>
      </c>
      <c r="U660" s="66" t="str">
        <f>IF(AND($B660&gt;='112'!$M$9,$B660&lt;='112'!$N$9,OR($O660='112'!$I$6,$P660='112'!$I$6)),"x","")</f>
        <v/>
      </c>
      <c r="V660" s="66" t="str">
        <f>IF(AND($O660='112'!$I$6,$B660&lt;'112'!$M$9),"x","")</f>
        <v/>
      </c>
      <c r="W660" s="66" t="str">
        <f>IF(AND($P660='112'!$I$6,$B660&lt;'112'!$M$9),"x","")</f>
        <v/>
      </c>
      <c r="X660" s="66" t="str">
        <f>IF(AND('131-CT'!$H$9=TH!H660,OR(O660="131",P660="131")),"x","")</f>
        <v/>
      </c>
      <c r="Y660" s="80" t="str">
        <f>IF(AND($B660&gt;='1331'!$I$9,$B660&lt;='1331'!$J$9,OR($O660=$Y$7,$P660=$Y$7)),"x","")</f>
        <v/>
      </c>
      <c r="Z660" s="80" t="str">
        <f>IF(AND($O660=$Y$7,$B660&lt;'1331'!$I$9),"x","")</f>
        <v/>
      </c>
      <c r="AA660" s="80" t="str">
        <f>IF(AND($P660=$Y$7,$B660&lt;'1331'!$I$9),"x","")</f>
        <v/>
      </c>
      <c r="AB660" s="80" t="str">
        <f>IF(AND($B660&gt;='1332'!$I$9,$B660&lt;='1332'!$I$9,OR($O660=$AB$7,$P660=$AB$7)),"x","")</f>
        <v/>
      </c>
      <c r="AC660" s="80" t="str">
        <f>IF(AND($O660=$AB$7,$B660&lt;'1332'!$I$9),"x","")</f>
        <v/>
      </c>
      <c r="AD660" s="80" t="str">
        <f>IF(AND($P660=$AB$7,$B660&lt;'1332'!$I$9),"x","")</f>
        <v/>
      </c>
      <c r="AE660" s="80" t="str">
        <f>IF(AND('341-CT'!$H$9=H660,OR(LEFT(O660,3)=$AE$7,LEFT(P660,3)=$AE$7)),"x","")</f>
        <v/>
      </c>
      <c r="AF660" s="80" t="str">
        <f>IF(OR(TH!O660=TH!$AF$7,P660=TH!$AF$7),"x","")</f>
        <v/>
      </c>
      <c r="AG660" s="80"/>
      <c r="AH660" s="80" t="str">
        <f>IF(AND(B660&gt;='IN-NX'!$P$3,B660&lt;='IN-NX'!$Q$3,'IN-NX'!$D$7=D660,OR(LEFT(L660,2)="15",AND(LEFT(M660,2)&lt;&gt;"15",LEFT(M660,2)&lt;&gt;"33"))),"x","")</f>
        <v/>
      </c>
      <c r="AI660" s="80" t="str">
        <f>IF(AND(OR(LEFT(TH!O660,2)="15",LEFT(TH!P660,2)="15"),'152-CT'!$J$8=TH!F660),"x","")</f>
        <v/>
      </c>
      <c r="AJ660" s="80" t="str">
        <f>IF(AND(OR(LEFT(TH!O660,2)="15",LEFT(TH!P660,2)="15"),'THE KHO'!$E$7=TH!F660),"x","")</f>
        <v/>
      </c>
      <c r="AK660" s="80" t="str">
        <f>IF(AND(O660="1521",MONTH(C660)='BK NL'!$M$11),"x","")</f>
        <v/>
      </c>
    </row>
    <row r="661" spans="1:37" ht="15.75" customHeight="1">
      <c r="A661" s="362" t="str">
        <f>IF(B661&lt;&gt;"",IF(AND(B661&gt;=_TM1,B661&lt;=_TM2,OR(TH!O661="1111",TH!P661="1111")),TH!D661,""),"")</f>
        <v/>
      </c>
      <c r="B661" s="63">
        <f t="shared" si="46"/>
        <v>9</v>
      </c>
      <c r="C661" s="1045">
        <v>42629</v>
      </c>
      <c r="D661" s="1045" t="s">
        <v>196</v>
      </c>
      <c r="E661" s="1045">
        <v>42629</v>
      </c>
      <c r="F661" s="1119" t="s">
        <v>1222</v>
      </c>
      <c r="G661" s="1120" t="s">
        <v>1223</v>
      </c>
      <c r="H661" s="1121" t="s">
        <v>1224</v>
      </c>
      <c r="I661" s="1055"/>
      <c r="J661" s="1055"/>
      <c r="K661" s="1056"/>
      <c r="L661" s="1055"/>
      <c r="M661" s="1122">
        <v>363636</v>
      </c>
      <c r="N661" s="1122"/>
      <c r="O661" s="1125" t="s">
        <v>10</v>
      </c>
      <c r="P661" s="1117" t="s">
        <v>97</v>
      </c>
      <c r="Q661" s="66" t="str">
        <f>IF(AND('331-CT'!$E$7=TH!H661,OR(O661="331",P661="331")),"x","")</f>
        <v/>
      </c>
      <c r="R661" s="66" t="str">
        <f>IF(AND($B661&gt;='111'!$N$11,$B661&lt;='111'!$O$11,OR($O661=$R$7,$P661=$R$7)),"x","")</f>
        <v>x</v>
      </c>
      <c r="S661" s="66" t="str">
        <f>IF(AND($O661=$R$7,$B661&lt;'111'!$N$11),"x","")</f>
        <v/>
      </c>
      <c r="T661" s="66" t="str">
        <f>IF(AND($P661=$R$7,$B661&lt;'111'!$N$11),"x","")</f>
        <v/>
      </c>
      <c r="U661" s="66" t="str">
        <f>IF(AND($B661&gt;='112'!$M$9,$B661&lt;='112'!$N$9,OR($O661='112'!$I$6,$P661='112'!$I$6)),"x","")</f>
        <v/>
      </c>
      <c r="V661" s="66" t="str">
        <f>IF(AND($O661='112'!$I$6,$B661&lt;'112'!$M$9),"x","")</f>
        <v/>
      </c>
      <c r="W661" s="66" t="str">
        <f>IF(AND($P661='112'!$I$6,$B661&lt;'112'!$M$9),"x","")</f>
        <v/>
      </c>
      <c r="X661" s="66" t="str">
        <f>IF(AND('131-CT'!$H$9=TH!H661,OR(O661="131",P661="131")),"x","")</f>
        <v/>
      </c>
      <c r="Y661" s="80" t="str">
        <f>IF(AND($B661&gt;='1331'!$I$9,$B661&lt;='1331'!$J$9,OR($O661=$Y$7,$P661=$Y$7)),"x","")</f>
        <v>x</v>
      </c>
      <c r="Z661" s="80" t="str">
        <f>IF(AND($O661=$Y$7,$B661&lt;'1331'!$I$9),"x","")</f>
        <v/>
      </c>
      <c r="AA661" s="80" t="str">
        <f>IF(AND($P661=$Y$7,$B661&lt;'1331'!$I$9),"x","")</f>
        <v/>
      </c>
      <c r="AB661" s="80" t="str">
        <f>IF(AND($B661&gt;='1332'!$I$9,$B661&lt;='1332'!$I$9,OR($O661=$AB$7,$P661=$AB$7)),"x","")</f>
        <v/>
      </c>
      <c r="AC661" s="80" t="str">
        <f>IF(AND($O661=$AB$7,$B661&lt;'1332'!$I$9),"x","")</f>
        <v/>
      </c>
      <c r="AD661" s="80" t="str">
        <f>IF(AND($P661=$AB$7,$B661&lt;'1332'!$I$9),"x","")</f>
        <v/>
      </c>
      <c r="AE661" s="80" t="str">
        <f>IF(AND('341-CT'!$H$9=H661,OR(LEFT(O661,3)=$AE$7,LEFT(P661,3)=$AE$7)),"x","")</f>
        <v/>
      </c>
      <c r="AF661" s="80" t="str">
        <f>IF(OR(TH!O661=TH!$AF$7,P661=TH!$AF$7),"x","")</f>
        <v/>
      </c>
      <c r="AG661" s="80"/>
      <c r="AH661" s="80" t="str">
        <f>IF(AND(B661&gt;='IN-NX'!$P$3,B661&lt;='IN-NX'!$Q$3,'IN-NX'!$D$7=D661,OR(LEFT(L661,2)="15",AND(LEFT(M661,2)&lt;&gt;"15",LEFT(M661,2)&lt;&gt;"33"))),"x","")</f>
        <v/>
      </c>
      <c r="AI661" s="80" t="str">
        <f>IF(AND(OR(LEFT(TH!O661,2)="15",LEFT(TH!P661,2)="15"),'152-CT'!$J$8=TH!F661),"x","")</f>
        <v/>
      </c>
      <c r="AJ661" s="80" t="str">
        <f>IF(AND(OR(LEFT(TH!O661,2)="15",LEFT(TH!P661,2)="15"),'THE KHO'!$E$7=TH!F661),"x","")</f>
        <v/>
      </c>
      <c r="AK661" s="80" t="str">
        <f>IF(AND(O661="1521",MONTH(C661)='BK NL'!$M$11),"x","")</f>
        <v/>
      </c>
    </row>
    <row r="662" spans="1:37" ht="15.75" customHeight="1">
      <c r="A662" s="362" t="str">
        <f>IF(B662&lt;&gt;"",IF(AND(B662&gt;=_TM1,B662&lt;=_TM2,OR(TH!O662="1111",TH!P662="1111")),TH!D662,""),"")</f>
        <v/>
      </c>
      <c r="B662" s="63">
        <f t="shared" si="45"/>
        <v>9</v>
      </c>
      <c r="C662" s="1045">
        <v>42629</v>
      </c>
      <c r="D662" s="1045" t="s">
        <v>197</v>
      </c>
      <c r="E662" s="1045">
        <v>42629</v>
      </c>
      <c r="F662" s="1046" t="s">
        <v>1074</v>
      </c>
      <c r="G662" s="1047"/>
      <c r="H662" s="1048" t="s">
        <v>825</v>
      </c>
      <c r="I662" s="1049"/>
      <c r="J662" s="1049"/>
      <c r="K662" s="1050"/>
      <c r="L662" s="1049"/>
      <c r="M662" s="1051">
        <v>10000000</v>
      </c>
      <c r="N662" s="1051"/>
      <c r="O662" s="1052" t="s">
        <v>31</v>
      </c>
      <c r="P662" s="1052" t="s">
        <v>97</v>
      </c>
      <c r="Q662" s="66" t="str">
        <f>IF(AND('331-CT'!$E$7=TH!H662,OR(O662="331",P662="331")),"x","")</f>
        <v/>
      </c>
      <c r="R662" s="66" t="str">
        <f>IF(AND($B662&gt;='111'!$N$11,$B662&lt;='111'!$O$11,OR($O662=$R$7,$P662=$R$7)),"x","")</f>
        <v>x</v>
      </c>
      <c r="S662" s="66" t="str">
        <f>IF(AND($O662=$R$7,$B662&lt;'111'!$N$11),"x","")</f>
        <v/>
      </c>
      <c r="T662" s="66" t="str">
        <f>IF(AND($P662=$R$7,$B662&lt;'111'!$N$11),"x","")</f>
        <v/>
      </c>
      <c r="U662" s="66" t="str">
        <f>IF(AND($B662&gt;='112'!$M$9,$B662&lt;='112'!$N$9,OR($O662='112'!$I$6,$P662='112'!$I$6)),"x","")</f>
        <v>x</v>
      </c>
      <c r="V662" s="66" t="str">
        <f>IF(AND($O662='112'!$I$6,$B662&lt;'112'!$M$9),"x","")</f>
        <v/>
      </c>
      <c r="W662" s="66" t="str">
        <f>IF(AND($P662='112'!$I$6,$B662&lt;'112'!$M$9),"x","")</f>
        <v/>
      </c>
      <c r="X662" s="66" t="str">
        <f>IF(AND('131-CT'!$H$9=TH!H662,OR(O662="131",P662="131")),"x","")</f>
        <v/>
      </c>
      <c r="Y662" s="80" t="str">
        <f>IF(AND($B662&gt;='1331'!$I$9,$B662&lt;='1331'!$J$9,OR($O662=$Y$7,$P662=$Y$7)),"x","")</f>
        <v/>
      </c>
      <c r="Z662" s="80" t="str">
        <f>IF(AND($O662=$Y$7,$B662&lt;'1331'!$I$9),"x","")</f>
        <v/>
      </c>
      <c r="AA662" s="80" t="str">
        <f>IF(AND($P662=$Y$7,$B662&lt;'1331'!$I$9),"x","")</f>
        <v/>
      </c>
      <c r="AB662" s="80" t="str">
        <f>IF(AND($B662&gt;='1332'!$I$9,$B662&lt;='1332'!$I$9,OR($O662=$AB$7,$P662=$AB$7)),"x","")</f>
        <v/>
      </c>
      <c r="AC662" s="80" t="str">
        <f>IF(AND($O662=$AB$7,$B662&lt;'1332'!$I$9),"x","")</f>
        <v/>
      </c>
      <c r="AD662" s="80" t="str">
        <f>IF(AND($P662=$AB$7,$B662&lt;'1332'!$I$9),"x","")</f>
        <v/>
      </c>
      <c r="AE662" s="80" t="str">
        <f>IF(AND('341-CT'!$H$9=H662,OR(LEFT(O662,3)=$AE$7,LEFT(P662,3)=$AE$7)),"x","")</f>
        <v/>
      </c>
      <c r="AF662" s="80" t="str">
        <f>IF(OR(TH!O662=TH!$AF$7,P662=TH!$AF$7),"x","")</f>
        <v/>
      </c>
      <c r="AG662" s="80"/>
      <c r="AH662" s="80" t="str">
        <f>IF(AND(B662&gt;='IN-NX'!$P$3,B662&lt;='IN-NX'!$Q$3,'IN-NX'!$D$7=D662,OR(LEFT(L662,2)="15",AND(LEFT(M662,2)&lt;&gt;"15",LEFT(M662,2)&lt;&gt;"33"))),"x","")</f>
        <v/>
      </c>
      <c r="AI662" s="80" t="str">
        <f>IF(AND(OR(LEFT(TH!O662,2)="15",LEFT(TH!P662,2)="15"),'152-CT'!$J$8=TH!F662),"x","")</f>
        <v/>
      </c>
      <c r="AJ662" s="80" t="str">
        <f>IF(AND(OR(LEFT(TH!O662,2)="15",LEFT(TH!P662,2)="15"),'THE KHO'!$E$7=TH!F662),"x","")</f>
        <v/>
      </c>
      <c r="AK662" s="80" t="str">
        <f>IF(AND(O662="1521",MONTH(C662)='BK NL'!$M$11),"x","")</f>
        <v/>
      </c>
    </row>
    <row r="663" spans="1:37" ht="15.75" customHeight="1">
      <c r="A663" s="362" t="str">
        <f>IF(B663&lt;&gt;"",IF(AND(B663&gt;=_TM1,B663&lt;=_TM2,OR(TH!O663="1111",TH!P663="1111")),TH!D663,""),"")</f>
        <v/>
      </c>
      <c r="B663" s="63">
        <f t="shared" si="45"/>
        <v>9</v>
      </c>
      <c r="C663" s="1127">
        <v>42629</v>
      </c>
      <c r="D663" s="1045" t="s">
        <v>1202</v>
      </c>
      <c r="E663" s="1045">
        <v>42629</v>
      </c>
      <c r="F663" s="1046" t="s">
        <v>308</v>
      </c>
      <c r="G663" s="1150" t="s">
        <v>1203</v>
      </c>
      <c r="H663" s="1048" t="s">
        <v>309</v>
      </c>
      <c r="I663" s="1049">
        <v>384</v>
      </c>
      <c r="J663" s="1049">
        <v>18143</v>
      </c>
      <c r="K663" s="1050"/>
      <c r="L663" s="1049"/>
      <c r="M663" s="1122">
        <v>6966912</v>
      </c>
      <c r="N663" s="1122"/>
      <c r="O663" s="1138" t="s">
        <v>462</v>
      </c>
      <c r="P663" s="1139" t="s">
        <v>9</v>
      </c>
      <c r="Q663" s="66" t="str">
        <f>IF(AND('331-CT'!$E$7=TH!H663,OR(O663="331",P663="331")),"x","")</f>
        <v/>
      </c>
      <c r="R663" s="66" t="str">
        <f>IF(AND($B663&gt;='111'!$N$11,$B663&lt;='111'!$O$11,OR($O663=$R$7,$P663=$R$7)),"x","")</f>
        <v/>
      </c>
      <c r="S663" s="66" t="str">
        <f>IF(AND($O663=$R$7,$B663&lt;'111'!$N$11),"x","")</f>
        <v/>
      </c>
      <c r="T663" s="66" t="str">
        <f>IF(AND($P663=$R$7,$B663&lt;'111'!$N$11),"x","")</f>
        <v/>
      </c>
      <c r="U663" s="66" t="str">
        <f>IF(AND($B663&gt;='112'!$M$9,$B663&lt;='112'!$N$9,OR($O663='112'!$I$6,$P663='112'!$I$6)),"x","")</f>
        <v/>
      </c>
      <c r="V663" s="66" t="str">
        <f>IF(AND($O663='112'!$I$6,$B663&lt;'112'!$M$9),"x","")</f>
        <v/>
      </c>
      <c r="W663" s="66" t="str">
        <f>IF(AND($P663='112'!$I$6,$B663&lt;'112'!$M$9),"x","")</f>
        <v/>
      </c>
      <c r="X663" s="66" t="str">
        <f>IF(AND('131-CT'!$H$9=TH!H663,OR(O663="131",P663="131")),"x","")</f>
        <v/>
      </c>
      <c r="Y663" s="80" t="str">
        <f>IF(AND($B663&gt;='1331'!$I$9,$B663&lt;='1331'!$J$9,OR($O663=$Y$7,$P663=$Y$7)),"x","")</f>
        <v/>
      </c>
      <c r="Z663" s="80" t="str">
        <f>IF(AND($O663=$Y$7,$B663&lt;'1331'!$I$9),"x","")</f>
        <v/>
      </c>
      <c r="AA663" s="80" t="str">
        <f>IF(AND($P663=$Y$7,$B663&lt;'1331'!$I$9),"x","")</f>
        <v/>
      </c>
      <c r="AB663" s="80" t="str">
        <f>IF(AND($B663&gt;='1332'!$I$9,$B663&lt;='1332'!$I$9,OR($O663=$AB$7,$P663=$AB$7)),"x","")</f>
        <v/>
      </c>
      <c r="AC663" s="80" t="str">
        <f>IF(AND($O663=$AB$7,$B663&lt;'1332'!$I$9),"x","")</f>
        <v/>
      </c>
      <c r="AD663" s="80" t="str">
        <f>IF(AND($P663=$AB$7,$B663&lt;'1332'!$I$9),"x","")</f>
        <v/>
      </c>
      <c r="AE663" s="80" t="str">
        <f>IF(AND('341-CT'!$H$9=H663,OR(LEFT(O663,3)=$AE$7,LEFT(P663,3)=$AE$7)),"x","")</f>
        <v/>
      </c>
      <c r="AF663" s="80" t="str">
        <f>IF(OR(TH!O663=TH!$AF$7,P663=TH!$AF$7),"x","")</f>
        <v/>
      </c>
      <c r="AG663" s="80"/>
      <c r="AH663" s="80" t="str">
        <f>IF(AND(B663&gt;='IN-NX'!$P$3,B663&lt;='IN-NX'!$Q$3,'IN-NX'!$D$7=D663,OR(LEFT(L663,2)="15",AND(LEFT(M663,2)&lt;&gt;"15",LEFT(M663,2)&lt;&gt;"33"))),"x","")</f>
        <v/>
      </c>
      <c r="AI663" s="80" t="str">
        <f>IF(AND(OR(LEFT(TH!O663,2)="15",LEFT(TH!P663,2)="15"),'152-CT'!$J$8=TH!F663),"x","")</f>
        <v/>
      </c>
      <c r="AJ663" s="80" t="str">
        <f>IF(AND(OR(LEFT(TH!O663,2)="15",LEFT(TH!P663,2)="15"),'THE KHO'!$E$7=TH!F663),"x","")</f>
        <v/>
      </c>
      <c r="AK663" s="80" t="str">
        <f>IF(AND(O663="1521",MONTH(C663)='BK NL'!$M$11),"x","")</f>
        <v/>
      </c>
    </row>
    <row r="664" spans="1:37" ht="15.75" customHeight="1">
      <c r="A664" s="362" t="str">
        <f>IF(B664&lt;&gt;"",IF(AND(B664&gt;=_TM1,B664&lt;=_TM2,OR(TH!O664="1111",TH!P664="1111")),TH!D664,""),"")</f>
        <v/>
      </c>
      <c r="B664" s="63">
        <f t="shared" si="45"/>
        <v>9</v>
      </c>
      <c r="C664" s="1127">
        <v>42629</v>
      </c>
      <c r="D664" s="1045" t="s">
        <v>1202</v>
      </c>
      <c r="E664" s="1045">
        <v>42629</v>
      </c>
      <c r="F664" s="1046" t="s">
        <v>310</v>
      </c>
      <c r="G664" s="1126" t="s">
        <v>1203</v>
      </c>
      <c r="H664" s="1048" t="s">
        <v>309</v>
      </c>
      <c r="I664" s="1049"/>
      <c r="J664" s="1049"/>
      <c r="K664" s="1050"/>
      <c r="L664" s="1049"/>
      <c r="M664" s="1122">
        <v>696691</v>
      </c>
      <c r="N664" s="1122"/>
      <c r="O664" s="1052" t="s">
        <v>10</v>
      </c>
      <c r="P664" s="1139" t="s">
        <v>9</v>
      </c>
      <c r="Q664" s="66" t="str">
        <f>IF(AND('331-CT'!$E$7=TH!H664,OR(O664="331",P664="331")),"x","")</f>
        <v/>
      </c>
      <c r="R664" s="66" t="str">
        <f>IF(AND($B664&gt;='111'!$N$11,$B664&lt;='111'!$O$11,OR($O664=$R$7,$P664=$R$7)),"x","")</f>
        <v/>
      </c>
      <c r="S664" s="66" t="str">
        <f>IF(AND($O664=$R$7,$B664&lt;'111'!$N$11),"x","")</f>
        <v/>
      </c>
      <c r="T664" s="66" t="str">
        <f>IF(AND($P664=$R$7,$B664&lt;'111'!$N$11),"x","")</f>
        <v/>
      </c>
      <c r="U664" s="66" t="str">
        <f>IF(AND($B664&gt;='112'!$M$9,$B664&lt;='112'!$N$9,OR($O664='112'!$I$6,$P664='112'!$I$6)),"x","")</f>
        <v/>
      </c>
      <c r="V664" s="66" t="str">
        <f>IF(AND($O664='112'!$I$6,$B664&lt;'112'!$M$9),"x","")</f>
        <v/>
      </c>
      <c r="W664" s="66" t="str">
        <f>IF(AND($P664='112'!$I$6,$B664&lt;'112'!$M$9),"x","")</f>
        <v/>
      </c>
      <c r="X664" s="66" t="str">
        <f>IF(AND('131-CT'!$H$9=TH!H664,OR(O664="131",P664="131")),"x","")</f>
        <v/>
      </c>
      <c r="Y664" s="80" t="str">
        <f>IF(AND($B664&gt;='1331'!$I$9,$B664&lt;='1331'!$J$9,OR($O664=$Y$7,$P664=$Y$7)),"x","")</f>
        <v>x</v>
      </c>
      <c r="Z664" s="80" t="str">
        <f>IF(AND($O664=$Y$7,$B664&lt;'1331'!$I$9),"x","")</f>
        <v/>
      </c>
      <c r="AA664" s="80" t="str">
        <f>IF(AND($P664=$Y$7,$B664&lt;'1331'!$I$9),"x","")</f>
        <v/>
      </c>
      <c r="AB664" s="80" t="str">
        <f>IF(AND($B664&gt;='1332'!$I$9,$B664&lt;='1332'!$I$9,OR($O664=$AB$7,$P664=$AB$7)),"x","")</f>
        <v/>
      </c>
      <c r="AC664" s="80" t="str">
        <f>IF(AND($O664=$AB$7,$B664&lt;'1332'!$I$9),"x","")</f>
        <v/>
      </c>
      <c r="AD664" s="80" t="str">
        <f>IF(AND($P664=$AB$7,$B664&lt;'1332'!$I$9),"x","")</f>
        <v/>
      </c>
      <c r="AE664" s="80" t="str">
        <f>IF(AND('341-CT'!$H$9=H664,OR(LEFT(O664,3)=$AE$7,LEFT(P664,3)=$AE$7)),"x","")</f>
        <v/>
      </c>
      <c r="AF664" s="80" t="str">
        <f>IF(OR(TH!O664=TH!$AF$7,P664=TH!$AF$7),"x","")</f>
        <v/>
      </c>
      <c r="AG664" s="80"/>
      <c r="AH664" s="80" t="str">
        <f>IF(AND(B664&gt;='IN-NX'!$P$3,B664&lt;='IN-NX'!$Q$3,'IN-NX'!$D$7=D664,OR(LEFT(L664,2)="15",AND(LEFT(M664,2)&lt;&gt;"15",LEFT(M664,2)&lt;&gt;"33"))),"x","")</f>
        <v/>
      </c>
      <c r="AI664" s="80" t="str">
        <f>IF(AND(OR(LEFT(TH!O664,2)="15",LEFT(TH!P664,2)="15"),'152-CT'!$J$8=TH!F664),"x","")</f>
        <v/>
      </c>
      <c r="AJ664" s="80" t="str">
        <f>IF(AND(OR(LEFT(TH!O664,2)="15",LEFT(TH!P664,2)="15"),'THE KHO'!$E$7=TH!F664),"x","")</f>
        <v/>
      </c>
      <c r="AK664" s="80" t="str">
        <f>IF(AND(O664="1521",MONTH(C664)='BK NL'!$M$11),"x","")</f>
        <v/>
      </c>
    </row>
    <row r="665" spans="1:37" ht="15.75" customHeight="1">
      <c r="A665" s="362" t="str">
        <f>IF(B665&lt;&gt;"",IF(AND(B665&gt;=_TM1,B665&lt;=_TM2,OR(TH!O665="1111",TH!P665="1111")),TH!D665,""),"")</f>
        <v/>
      </c>
      <c r="B665" s="63">
        <f t="shared" si="45"/>
        <v>9</v>
      </c>
      <c r="C665" s="337">
        <v>42630</v>
      </c>
      <c r="D665" s="337" t="s">
        <v>8</v>
      </c>
      <c r="E665" s="337">
        <v>42630</v>
      </c>
      <c r="F665" s="338" t="s">
        <v>405</v>
      </c>
      <c r="G665" s="355" t="s">
        <v>798</v>
      </c>
      <c r="H665" s="339" t="s">
        <v>965</v>
      </c>
      <c r="I665" s="476"/>
      <c r="J665" s="476"/>
      <c r="K665" s="469"/>
      <c r="L665" s="476"/>
      <c r="M665" s="65">
        <v>5079893</v>
      </c>
      <c r="N665" s="65"/>
      <c r="O665" s="340" t="s">
        <v>133</v>
      </c>
      <c r="P665" s="340" t="s">
        <v>31</v>
      </c>
      <c r="Q665" s="66" t="str">
        <f>IF(AND('331-CT'!$E$7=TH!H665,OR(O665="331",P665="331")),"x","")</f>
        <v/>
      </c>
      <c r="R665" s="66" t="str">
        <f>IF(AND($B665&gt;='111'!$N$11,$B665&lt;='111'!$O$11,OR($O665=$R$7,$P665=$R$7)),"x","")</f>
        <v/>
      </c>
      <c r="S665" s="66" t="str">
        <f>IF(AND($O665=$R$7,$B665&lt;'111'!$N$11),"x","")</f>
        <v/>
      </c>
      <c r="T665" s="66" t="str">
        <f>IF(AND($P665=$R$7,$B665&lt;'111'!$N$11),"x","")</f>
        <v/>
      </c>
      <c r="U665" s="66" t="str">
        <f>IF(AND($B665&gt;='112'!$M$9,$B665&lt;='112'!$N$9,OR($O665='112'!$I$6,$P665='112'!$I$6)),"x","")</f>
        <v>x</v>
      </c>
      <c r="V665" s="66" t="str">
        <f>IF(AND($O665='112'!$I$6,$B665&lt;'112'!$M$9),"x","")</f>
        <v/>
      </c>
      <c r="W665" s="66" t="str">
        <f>IF(AND($P665='112'!$I$6,$B665&lt;'112'!$M$9),"x","")</f>
        <v/>
      </c>
      <c r="X665" s="66" t="str">
        <f>IF(AND('131-CT'!$H$9=TH!H665,OR(O665="131",P665="131")),"x","")</f>
        <v/>
      </c>
      <c r="Y665" s="80" t="str">
        <f>IF(AND($B665&gt;='1331'!$I$9,$B665&lt;='1331'!$J$9,OR($O665=$Y$7,$P665=$Y$7)),"x","")</f>
        <v/>
      </c>
      <c r="Z665" s="80" t="str">
        <f>IF(AND($O665=$Y$7,$B665&lt;'1331'!$I$9),"x","")</f>
        <v/>
      </c>
      <c r="AA665" s="80" t="str">
        <f>IF(AND($P665=$Y$7,$B665&lt;'1331'!$I$9),"x","")</f>
        <v/>
      </c>
      <c r="AB665" s="80" t="str">
        <f>IF(AND($B665&gt;='1332'!$I$9,$B665&lt;='1332'!$I$9,OR($O665=$AB$7,$P665=$AB$7)),"x","")</f>
        <v/>
      </c>
      <c r="AC665" s="80" t="str">
        <f>IF(AND($O665=$AB$7,$B665&lt;'1332'!$I$9),"x","")</f>
        <v/>
      </c>
      <c r="AD665" s="80" t="str">
        <f>IF(AND($P665=$AB$7,$B665&lt;'1332'!$I$9),"x","")</f>
        <v/>
      </c>
      <c r="AE665" s="80" t="str">
        <f>IF(AND('341-CT'!$H$9=H665,OR(LEFT(O665,3)=$AE$7,LEFT(P665,3)=$AE$7)),"x","")</f>
        <v/>
      </c>
      <c r="AF665" s="80" t="str">
        <f>IF(OR(TH!O665=TH!$AF$7,P665=TH!$AF$7),"x","")</f>
        <v/>
      </c>
      <c r="AG665" s="80"/>
      <c r="AH665" s="80" t="str">
        <f>IF(AND(B665&gt;='IN-NX'!$P$3,B665&lt;='IN-NX'!$Q$3,'IN-NX'!$D$7=D665,OR(LEFT(L665,2)="15",AND(LEFT(M665,2)&lt;&gt;"15",LEFT(M665,2)&lt;&gt;"33"))),"x","")</f>
        <v/>
      </c>
      <c r="AI665" s="80" t="str">
        <f>IF(AND(OR(LEFT(TH!O665,2)="15",LEFT(TH!P665,2)="15"),'152-CT'!$J$8=TH!F665),"x","")</f>
        <v/>
      </c>
      <c r="AJ665" s="80" t="str">
        <f>IF(AND(OR(LEFT(TH!O665,2)="15",LEFT(TH!P665,2)="15"),'THE KHO'!$E$7=TH!F665),"x","")</f>
        <v/>
      </c>
      <c r="AK665" s="80" t="str">
        <f>IF(AND(O665="1521",MONTH(C665)='BK NL'!$M$11),"x","")</f>
        <v/>
      </c>
    </row>
    <row r="666" spans="1:37" ht="15.75" customHeight="1">
      <c r="A666" s="362" t="str">
        <f>IF(B666&lt;&gt;"",IF(AND(B666&gt;=_TM1,B666&lt;=_TM2,OR(TH!O666="1111",TH!P666="1111")),TH!D666,""),"")</f>
        <v/>
      </c>
      <c r="B666" s="63">
        <f t="shared" si="45"/>
        <v>9</v>
      </c>
      <c r="C666" s="337">
        <v>42632</v>
      </c>
      <c r="D666" s="337" t="s">
        <v>198</v>
      </c>
      <c r="E666" s="337">
        <v>42632</v>
      </c>
      <c r="F666" s="338" t="s">
        <v>399</v>
      </c>
      <c r="G666" s="355" t="s">
        <v>1204</v>
      </c>
      <c r="H666" s="339" t="s">
        <v>319</v>
      </c>
      <c r="I666" s="476"/>
      <c r="J666" s="476"/>
      <c r="K666" s="469"/>
      <c r="L666" s="476"/>
      <c r="M666" s="65">
        <v>1769000</v>
      </c>
      <c r="N666" s="65" t="s">
        <v>26</v>
      </c>
      <c r="O666" s="340" t="s">
        <v>242</v>
      </c>
      <c r="P666" s="340" t="s">
        <v>97</v>
      </c>
      <c r="Q666" s="66" t="str">
        <f>IF(AND('331-CT'!$E$7=TH!H666,OR(O666="331",P666="331")),"x","")</f>
        <v/>
      </c>
      <c r="R666" s="66" t="str">
        <f>IF(AND($B666&gt;='111'!$N$11,$B666&lt;='111'!$O$11,OR($O666=$R$7,$P666=$R$7)),"x","")</f>
        <v>x</v>
      </c>
      <c r="S666" s="66" t="str">
        <f>IF(AND($O666=$R$7,$B666&lt;'111'!$N$11),"x","")</f>
        <v/>
      </c>
      <c r="T666" s="66" t="str">
        <f>IF(AND($P666=$R$7,$B666&lt;'111'!$N$11),"x","")</f>
        <v/>
      </c>
      <c r="U666" s="66" t="str">
        <f>IF(AND($B666&gt;='112'!$M$9,$B666&lt;='112'!$N$9,OR($O666='112'!$I$6,$P666='112'!$I$6)),"x","")</f>
        <v/>
      </c>
      <c r="V666" s="66" t="str">
        <f>IF(AND($O666='112'!$I$6,$B666&lt;'112'!$M$9),"x","")</f>
        <v/>
      </c>
      <c r="W666" s="66" t="str">
        <f>IF(AND($P666='112'!$I$6,$B666&lt;'112'!$M$9),"x","")</f>
        <v/>
      </c>
      <c r="X666" s="66" t="str">
        <f>IF(AND('131-CT'!$H$9=TH!H666,OR(O666="131",P666="131")),"x","")</f>
        <v/>
      </c>
      <c r="Y666" s="80" t="str">
        <f>IF(AND($B666&gt;='1331'!$I$9,$B666&lt;='1331'!$J$9,OR($O666=$Y$7,$P666=$Y$7)),"x","")</f>
        <v/>
      </c>
      <c r="Z666" s="80" t="str">
        <f>IF(AND($O666=$Y$7,$B666&lt;'1331'!$I$9),"x","")</f>
        <v/>
      </c>
      <c r="AA666" s="80" t="str">
        <f>IF(AND($P666=$Y$7,$B666&lt;'1331'!$I$9),"x","")</f>
        <v/>
      </c>
      <c r="AB666" s="80" t="str">
        <f>IF(AND($B666&gt;='1332'!$I$9,$B666&lt;='1332'!$I$9,OR($O666=$AB$7,$P666=$AB$7)),"x","")</f>
        <v/>
      </c>
      <c r="AC666" s="80" t="str">
        <f>IF(AND($O666=$AB$7,$B666&lt;'1332'!$I$9),"x","")</f>
        <v/>
      </c>
      <c r="AD666" s="80" t="str">
        <f>IF(AND($P666=$AB$7,$B666&lt;'1332'!$I$9),"x","")</f>
        <v/>
      </c>
      <c r="AE666" s="80" t="str">
        <f>IF(AND('341-CT'!$H$9=H666,OR(LEFT(O666,3)=$AE$7,LEFT(P666,3)=$AE$7)),"x","")</f>
        <v/>
      </c>
      <c r="AF666" s="80" t="str">
        <f>IF(OR(TH!O666=TH!$AF$7,P666=TH!$AF$7),"x","")</f>
        <v/>
      </c>
      <c r="AG666" s="80"/>
      <c r="AH666" s="80" t="str">
        <f>IF(AND(B666&gt;='IN-NX'!$P$3,B666&lt;='IN-NX'!$Q$3,'IN-NX'!$D$7=D666,OR(LEFT(L666,2)="15",AND(LEFT(M666,2)&lt;&gt;"15",LEFT(M666,2)&lt;&gt;"33"))),"x","")</f>
        <v/>
      </c>
      <c r="AI666" s="80" t="str">
        <f>IF(AND(OR(LEFT(TH!O666,2)="15",LEFT(TH!P666,2)="15"),'152-CT'!$J$8=TH!F666),"x","")</f>
        <v/>
      </c>
      <c r="AJ666" s="80" t="str">
        <f>IF(AND(OR(LEFT(TH!O666,2)="15",LEFT(TH!P666,2)="15"),'THE KHO'!$E$7=TH!F666),"x","")</f>
        <v/>
      </c>
      <c r="AK666" s="80" t="str">
        <f>IF(AND(O666="1521",MONTH(C666)='BK NL'!$M$11),"x","")</f>
        <v/>
      </c>
    </row>
    <row r="667" spans="1:37" ht="15.75" customHeight="1">
      <c r="A667" s="362" t="str">
        <f>IF(B667&lt;&gt;"",IF(AND(B667&gt;=_TM1,B667&lt;=_TM2,OR(TH!O667="1111",TH!P667="1111")),TH!D667,""),"")</f>
        <v/>
      </c>
      <c r="B667" s="63">
        <f t="shared" ref="B667:B676" si="47">IF(C667&lt;&gt;"",MONTH(C667),"")</f>
        <v>9</v>
      </c>
      <c r="C667" s="1045">
        <v>42637</v>
      </c>
      <c r="D667" s="1045" t="s">
        <v>199</v>
      </c>
      <c r="E667" s="1045">
        <v>42637</v>
      </c>
      <c r="F667" s="1046" t="s">
        <v>1074</v>
      </c>
      <c r="G667" s="1047"/>
      <c r="H667" s="1048" t="s">
        <v>160</v>
      </c>
      <c r="I667" s="1049"/>
      <c r="J667" s="1049"/>
      <c r="K667" s="1050"/>
      <c r="L667" s="1049"/>
      <c r="M667" s="1137">
        <v>160000000</v>
      </c>
      <c r="N667" s="1137"/>
      <c r="O667" s="1052" t="s">
        <v>31</v>
      </c>
      <c r="P667" s="1052" t="s">
        <v>97</v>
      </c>
      <c r="Q667" s="66" t="str">
        <f>IF(AND('331-CT'!$E$7=TH!H667,OR(O667="331",P667="331")),"x","")</f>
        <v/>
      </c>
      <c r="R667" s="66" t="str">
        <f>IF(AND($B667&gt;='111'!$N$11,$B667&lt;='111'!$O$11,OR($O667=$R$7,$P667=$R$7)),"x","")</f>
        <v>x</v>
      </c>
      <c r="S667" s="66" t="str">
        <f>IF(AND($O667=$R$7,$B667&lt;'111'!$N$11),"x","")</f>
        <v/>
      </c>
      <c r="T667" s="66" t="str">
        <f>IF(AND($P667=$R$7,$B667&lt;'111'!$N$11),"x","")</f>
        <v/>
      </c>
      <c r="U667" s="66" t="str">
        <f>IF(AND($B667&gt;='112'!$M$9,$B667&lt;='112'!$N$9,OR($O667='112'!$I$6,$P667='112'!$I$6)),"x","")</f>
        <v>x</v>
      </c>
      <c r="V667" s="66" t="str">
        <f>IF(AND($O667='112'!$I$6,$B667&lt;'112'!$M$9),"x","")</f>
        <v/>
      </c>
      <c r="W667" s="66" t="str">
        <f>IF(AND($P667='112'!$I$6,$B667&lt;'112'!$M$9),"x","")</f>
        <v/>
      </c>
      <c r="X667" s="66" t="str">
        <f>IF(AND('131-CT'!$H$9=TH!H667,OR(O667="131",P667="131")),"x","")</f>
        <v/>
      </c>
      <c r="Y667" s="80" t="str">
        <f>IF(AND($B667&gt;='1331'!$I$9,$B667&lt;='1331'!$J$9,OR($O667=$Y$7,$P667=$Y$7)),"x","")</f>
        <v/>
      </c>
      <c r="Z667" s="80" t="str">
        <f>IF(AND($O667=$Y$7,$B667&lt;'1331'!$I$9),"x","")</f>
        <v/>
      </c>
      <c r="AA667" s="80" t="str">
        <f>IF(AND($P667=$Y$7,$B667&lt;'1331'!$I$9),"x","")</f>
        <v/>
      </c>
      <c r="AB667" s="80" t="str">
        <f>IF(AND($B667&gt;='1332'!$I$9,$B667&lt;='1332'!$I$9,OR($O667=$AB$7,$P667=$AB$7)),"x","")</f>
        <v/>
      </c>
      <c r="AC667" s="80" t="str">
        <f>IF(AND($O667=$AB$7,$B667&lt;'1332'!$I$9),"x","")</f>
        <v/>
      </c>
      <c r="AD667" s="80" t="str">
        <f>IF(AND($P667=$AB$7,$B667&lt;'1332'!$I$9),"x","")</f>
        <v/>
      </c>
      <c r="AE667" s="80" t="str">
        <f>IF(AND('341-CT'!$H$9=H667,OR(LEFT(O667,3)=$AE$7,LEFT(P667,3)=$AE$7)),"x","")</f>
        <v/>
      </c>
      <c r="AF667" s="80" t="str">
        <f>IF(OR(TH!O667=TH!$AF$7,P667=TH!$AF$7),"x","")</f>
        <v/>
      </c>
      <c r="AG667" s="80"/>
      <c r="AH667" s="80" t="str">
        <f>IF(AND(B667&gt;='IN-NX'!$P$3,B667&lt;='IN-NX'!$Q$3,'IN-NX'!$D$7=D667,OR(LEFT(L667,2)="15",AND(LEFT(M667,2)&lt;&gt;"15",LEFT(M667,2)&lt;&gt;"33"))),"x","")</f>
        <v/>
      </c>
      <c r="AI667" s="80" t="str">
        <f>IF(AND(OR(LEFT(TH!O667,2)="15",LEFT(TH!P667,2)="15"),'152-CT'!$J$8=TH!F667),"x","")</f>
        <v/>
      </c>
      <c r="AJ667" s="80" t="str">
        <f>IF(AND(OR(LEFT(TH!O667,2)="15",LEFT(TH!P667,2)="15"),'THE KHO'!$E$7=TH!F667),"x","")</f>
        <v/>
      </c>
      <c r="AK667" s="80" t="str">
        <f>IF(AND(O667="1521",MONTH(C667)='BK NL'!$M$11),"x","")</f>
        <v/>
      </c>
    </row>
    <row r="668" spans="1:37" ht="15.75" customHeight="1">
      <c r="A668" s="362" t="str">
        <f>IF(B668&lt;&gt;"",IF(AND(B668&gt;=_TM1,B668&lt;=_TM2,OR(TH!O668="1111",TH!P668="1111")),TH!D668,""),"")</f>
        <v/>
      </c>
      <c r="B668" s="63">
        <f t="shared" si="47"/>
        <v>9</v>
      </c>
      <c r="C668" s="1045">
        <v>42637</v>
      </c>
      <c r="D668" s="1045" t="s">
        <v>8</v>
      </c>
      <c r="E668" s="1045">
        <v>42637</v>
      </c>
      <c r="F668" s="1046" t="s">
        <v>405</v>
      </c>
      <c r="G668" s="1047" t="s">
        <v>798</v>
      </c>
      <c r="H668" s="1048" t="s">
        <v>166</v>
      </c>
      <c r="I668" s="1049"/>
      <c r="J668" s="1049"/>
      <c r="K668" s="1050"/>
      <c r="L668" s="1049"/>
      <c r="M668" s="1051">
        <v>8196747</v>
      </c>
      <c r="N668" s="1051"/>
      <c r="O668" s="1052" t="s">
        <v>133</v>
      </c>
      <c r="P668" s="1052" t="s">
        <v>31</v>
      </c>
      <c r="Q668" s="66" t="str">
        <f>IF(AND('331-CT'!$E$7=TH!H668,OR(O668="331",P668="331")),"x","")</f>
        <v/>
      </c>
      <c r="R668" s="66" t="str">
        <f>IF(AND($B668&gt;='111'!$N$11,$B668&lt;='111'!$O$11,OR($O668=$R$7,$P668=$R$7)),"x","")</f>
        <v/>
      </c>
      <c r="S668" s="66" t="str">
        <f>IF(AND($O668=$R$7,$B668&lt;'111'!$N$11),"x","")</f>
        <v/>
      </c>
      <c r="T668" s="66" t="str">
        <f>IF(AND($P668=$R$7,$B668&lt;'111'!$N$11),"x","")</f>
        <v/>
      </c>
      <c r="U668" s="66" t="str">
        <f>IF(AND($B668&gt;='112'!$M$9,$B668&lt;='112'!$N$9,OR($O668='112'!$I$6,$P668='112'!$I$6)),"x","")</f>
        <v>x</v>
      </c>
      <c r="V668" s="66" t="str">
        <f>IF(AND($O668='112'!$I$6,$B668&lt;'112'!$M$9),"x","")</f>
        <v/>
      </c>
      <c r="W668" s="66" t="str">
        <f>IF(AND($P668='112'!$I$6,$B668&lt;'112'!$M$9),"x","")</f>
        <v/>
      </c>
      <c r="X668" s="66" t="str">
        <f>IF(AND('131-CT'!$H$9=TH!H668,OR(O668="131",P668="131")),"x","")</f>
        <v/>
      </c>
      <c r="Y668" s="80" t="str">
        <f>IF(AND($B668&gt;='1331'!$I$9,$B668&lt;='1331'!$J$9,OR($O668=$Y$7,$P668=$Y$7)),"x","")</f>
        <v/>
      </c>
      <c r="Z668" s="80" t="str">
        <f>IF(AND($O668=$Y$7,$B668&lt;'1331'!$I$9),"x","")</f>
        <v/>
      </c>
      <c r="AA668" s="80" t="str">
        <f>IF(AND($P668=$Y$7,$B668&lt;'1331'!$I$9),"x","")</f>
        <v/>
      </c>
      <c r="AB668" s="80" t="str">
        <f>IF(AND($B668&gt;='1332'!$I$9,$B668&lt;='1332'!$I$9,OR($O668=$AB$7,$P668=$AB$7)),"x","")</f>
        <v/>
      </c>
      <c r="AC668" s="80" t="str">
        <f>IF(AND($O668=$AB$7,$B668&lt;'1332'!$I$9),"x","")</f>
        <v/>
      </c>
      <c r="AD668" s="80" t="str">
        <f>IF(AND($P668=$AB$7,$B668&lt;'1332'!$I$9),"x","")</f>
        <v/>
      </c>
      <c r="AE668" s="80" t="str">
        <f>IF(AND('341-CT'!$H$9=H668,OR(LEFT(O668,3)=$AE$7,LEFT(P668,3)=$AE$7)),"x","")</f>
        <v/>
      </c>
      <c r="AF668" s="80" t="str">
        <f>IF(OR(TH!O668=TH!$AF$7,P668=TH!$AF$7),"x","")</f>
        <v/>
      </c>
      <c r="AG668" s="80"/>
      <c r="AH668" s="80" t="str">
        <f>IF(AND(B668&gt;='IN-NX'!$P$3,B668&lt;='IN-NX'!$Q$3,'IN-NX'!$D$7=D668,OR(LEFT(L668,2)="15",AND(LEFT(M668,2)&lt;&gt;"15",LEFT(M668,2)&lt;&gt;"33"))),"x","")</f>
        <v/>
      </c>
      <c r="AI668" s="80" t="str">
        <f>IF(AND(OR(LEFT(TH!O668,2)="15",LEFT(TH!P668,2)="15"),'152-CT'!$J$8=TH!F668),"x","")</f>
        <v/>
      </c>
      <c r="AJ668" s="80" t="str">
        <f>IF(AND(OR(LEFT(TH!O668,2)="15",LEFT(TH!P668,2)="15"),'THE KHO'!$E$7=TH!F668),"x","")</f>
        <v/>
      </c>
      <c r="AK668" s="80" t="str">
        <f>IF(AND(O668="1521",MONTH(C668)='BK NL'!$M$11),"x","")</f>
        <v/>
      </c>
    </row>
    <row r="669" spans="1:37" ht="15.75" customHeight="1">
      <c r="A669" s="362" t="str">
        <f>IF(B669&lt;&gt;"",IF(AND(B669&gt;=_TM1,B669&lt;=_TM2,OR(TH!O669="1111",TH!P669="1111")),TH!D669,""),"")</f>
        <v/>
      </c>
      <c r="B669" s="63">
        <f t="shared" si="47"/>
        <v>9</v>
      </c>
      <c r="C669" s="1045">
        <v>42637</v>
      </c>
      <c r="D669" s="1045" t="s">
        <v>8</v>
      </c>
      <c r="E669" s="1045">
        <v>42637</v>
      </c>
      <c r="F669" s="1046" t="s">
        <v>405</v>
      </c>
      <c r="G669" s="1047" t="s">
        <v>798</v>
      </c>
      <c r="H669" s="1048" t="s">
        <v>167</v>
      </c>
      <c r="I669" s="1049"/>
      <c r="J669" s="1049"/>
      <c r="K669" s="1050"/>
      <c r="L669" s="1049"/>
      <c r="M669" s="1051">
        <v>16393492</v>
      </c>
      <c r="N669" s="1051"/>
      <c r="O669" s="1052" t="s">
        <v>133</v>
      </c>
      <c r="P669" s="1052" t="s">
        <v>31</v>
      </c>
      <c r="Q669" s="66" t="str">
        <f>IF(AND('331-CT'!$E$7=TH!H669,OR(O669="331",P669="331")),"x","")</f>
        <v/>
      </c>
      <c r="R669" s="66" t="str">
        <f>IF(AND($B669&gt;='111'!$N$11,$B669&lt;='111'!$O$11,OR($O669=$R$7,$P669=$R$7)),"x","")</f>
        <v/>
      </c>
      <c r="S669" s="66" t="str">
        <f>IF(AND($O669=$R$7,$B669&lt;'111'!$N$11),"x","")</f>
        <v/>
      </c>
      <c r="T669" s="66" t="str">
        <f>IF(AND($P669=$R$7,$B669&lt;'111'!$N$11),"x","")</f>
        <v/>
      </c>
      <c r="U669" s="66" t="str">
        <f>IF(AND($B669&gt;='112'!$M$9,$B669&lt;='112'!$N$9,OR($O669='112'!$I$6,$P669='112'!$I$6)),"x","")</f>
        <v>x</v>
      </c>
      <c r="V669" s="66" t="str">
        <f>IF(AND($O669='112'!$I$6,$B669&lt;'112'!$M$9),"x","")</f>
        <v/>
      </c>
      <c r="W669" s="66" t="str">
        <f>IF(AND($P669='112'!$I$6,$B669&lt;'112'!$M$9),"x","")</f>
        <v/>
      </c>
      <c r="X669" s="66" t="str">
        <f>IF(AND('131-CT'!$H$9=TH!H669,OR(O669="131",P669="131")),"x","")</f>
        <v/>
      </c>
      <c r="Y669" s="80" t="str">
        <f>IF(AND($B669&gt;='1331'!$I$9,$B669&lt;='1331'!$J$9,OR($O669=$Y$7,$P669=$Y$7)),"x","")</f>
        <v/>
      </c>
      <c r="Z669" s="80" t="str">
        <f>IF(AND($O669=$Y$7,$B669&lt;'1331'!$I$9),"x","")</f>
        <v/>
      </c>
      <c r="AA669" s="80" t="str">
        <f>IF(AND($P669=$Y$7,$B669&lt;'1331'!$I$9),"x","")</f>
        <v/>
      </c>
      <c r="AB669" s="80" t="str">
        <f>IF(AND($B669&gt;='1332'!$I$9,$B669&lt;='1332'!$I$9,OR($O669=$AB$7,$P669=$AB$7)),"x","")</f>
        <v/>
      </c>
      <c r="AC669" s="80" t="str">
        <f>IF(AND($O669=$AB$7,$B669&lt;'1332'!$I$9),"x","")</f>
        <v/>
      </c>
      <c r="AD669" s="80" t="str">
        <f>IF(AND($P669=$AB$7,$B669&lt;'1332'!$I$9),"x","")</f>
        <v/>
      </c>
      <c r="AE669" s="80" t="str">
        <f>IF(AND('341-CT'!$H$9=H669,OR(LEFT(O669,3)=$AE$7,LEFT(P669,3)=$AE$7)),"x","")</f>
        <v/>
      </c>
      <c r="AF669" s="80" t="str">
        <f>IF(OR(TH!O669=TH!$AF$7,P669=TH!$AF$7),"x","")</f>
        <v/>
      </c>
      <c r="AG669" s="80"/>
      <c r="AH669" s="80" t="str">
        <f>IF(AND(B669&gt;='IN-NX'!$P$3,B669&lt;='IN-NX'!$Q$3,'IN-NX'!$D$7=D669,OR(LEFT(L669,2)="15",AND(LEFT(M669,2)&lt;&gt;"15",LEFT(M669,2)&lt;&gt;"33"))),"x","")</f>
        <v/>
      </c>
      <c r="AI669" s="80" t="str">
        <f>IF(AND(OR(LEFT(TH!O669,2)="15",LEFT(TH!P669,2)="15"),'152-CT'!$J$8=TH!F669),"x","")</f>
        <v/>
      </c>
      <c r="AJ669" s="80" t="str">
        <f>IF(AND(OR(LEFT(TH!O669,2)="15",LEFT(TH!P669,2)="15"),'THE KHO'!$E$7=TH!F669),"x","")</f>
        <v/>
      </c>
      <c r="AK669" s="80" t="str">
        <f>IF(AND(O669="1521",MONTH(C669)='BK NL'!$M$11),"x","")</f>
        <v/>
      </c>
    </row>
    <row r="670" spans="1:37" ht="15.75" customHeight="1">
      <c r="A670" s="362" t="str">
        <f>IF(B670&lt;&gt;"",IF(AND(B670&gt;=_TM1,B670&lt;=_TM2,OR(TH!O670="1111",TH!P670="1111")),TH!D670,""),"")</f>
        <v/>
      </c>
      <c r="B670" s="63">
        <f t="shared" si="47"/>
        <v>9</v>
      </c>
      <c r="C670" s="1045">
        <v>42637</v>
      </c>
      <c r="D670" s="1045" t="s">
        <v>8</v>
      </c>
      <c r="E670" s="1045">
        <v>42637</v>
      </c>
      <c r="F670" s="1046" t="s">
        <v>405</v>
      </c>
      <c r="G670" s="1047" t="s">
        <v>798</v>
      </c>
      <c r="H670" s="1128" t="s">
        <v>169</v>
      </c>
      <c r="I670" s="1049"/>
      <c r="J670" s="1049"/>
      <c r="K670" s="1050"/>
      <c r="L670" s="1049"/>
      <c r="M670" s="1051">
        <v>13114794</v>
      </c>
      <c r="N670" s="1051"/>
      <c r="O670" s="1052" t="s">
        <v>133</v>
      </c>
      <c r="P670" s="1052" t="s">
        <v>31</v>
      </c>
      <c r="Q670" s="66" t="str">
        <f>IF(AND('331-CT'!$E$7=TH!H670,OR(O670="331",P670="331")),"x","")</f>
        <v/>
      </c>
      <c r="R670" s="66" t="str">
        <f>IF(AND($B670&gt;='111'!$N$11,$B670&lt;='111'!$O$11,OR($O670=$R$7,$P670=$R$7)),"x","")</f>
        <v/>
      </c>
      <c r="S670" s="66" t="str">
        <f>IF(AND($O670=$R$7,$B670&lt;'111'!$N$11),"x","")</f>
        <v/>
      </c>
      <c r="T670" s="66" t="str">
        <f>IF(AND($P670=$R$7,$B670&lt;'111'!$N$11),"x","")</f>
        <v/>
      </c>
      <c r="U670" s="66" t="str">
        <f>IF(AND($B670&gt;='112'!$M$9,$B670&lt;='112'!$N$9,OR($O670='112'!$I$6,$P670='112'!$I$6)),"x","")</f>
        <v>x</v>
      </c>
      <c r="V670" s="66" t="str">
        <f>IF(AND($O670='112'!$I$6,$B670&lt;'112'!$M$9),"x","")</f>
        <v/>
      </c>
      <c r="W670" s="66" t="str">
        <f>IF(AND($P670='112'!$I$6,$B670&lt;'112'!$M$9),"x","")</f>
        <v/>
      </c>
      <c r="X670" s="66" t="str">
        <f>IF(AND('131-CT'!$H$9=TH!H670,OR(O670="131",P670="131")),"x","")</f>
        <v/>
      </c>
      <c r="Y670" s="80" t="str">
        <f>IF(AND($B670&gt;='1331'!$I$9,$B670&lt;='1331'!$J$9,OR($O670=$Y$7,$P670=$Y$7)),"x","")</f>
        <v/>
      </c>
      <c r="Z670" s="80" t="str">
        <f>IF(AND($O670=$Y$7,$B670&lt;'1331'!$I$9),"x","")</f>
        <v/>
      </c>
      <c r="AA670" s="80" t="str">
        <f>IF(AND($P670=$Y$7,$B670&lt;'1331'!$I$9),"x","")</f>
        <v/>
      </c>
      <c r="AB670" s="80" t="str">
        <f>IF(AND($B670&gt;='1332'!$I$9,$B670&lt;='1332'!$I$9,OR($O670=$AB$7,$P670=$AB$7)),"x","")</f>
        <v/>
      </c>
      <c r="AC670" s="80" t="str">
        <f>IF(AND($O670=$AB$7,$B670&lt;'1332'!$I$9),"x","")</f>
        <v/>
      </c>
      <c r="AD670" s="80" t="str">
        <f>IF(AND($P670=$AB$7,$B670&lt;'1332'!$I$9),"x","")</f>
        <v/>
      </c>
      <c r="AE670" s="80" t="str">
        <f>IF(AND('341-CT'!$H$9=H670,OR(LEFT(O670,3)=$AE$7,LEFT(P670,3)=$AE$7)),"x","")</f>
        <v/>
      </c>
      <c r="AF670" s="80" t="str">
        <f>IF(OR(TH!O670=TH!$AF$7,P670=TH!$AF$7),"x","")</f>
        <v/>
      </c>
      <c r="AG670" s="80"/>
      <c r="AH670" s="80" t="str">
        <f>IF(AND(B670&gt;='IN-NX'!$P$3,B670&lt;='IN-NX'!$Q$3,'IN-NX'!$D$7=D670,OR(LEFT(L670,2)="15",AND(LEFT(M670,2)&lt;&gt;"15",LEFT(M670,2)&lt;&gt;"33"))),"x","")</f>
        <v/>
      </c>
      <c r="AI670" s="80" t="str">
        <f>IF(AND(OR(LEFT(TH!O670,2)="15",LEFT(TH!P670,2)="15"),'152-CT'!$J$8=TH!F670),"x","")</f>
        <v/>
      </c>
      <c r="AJ670" s="80" t="str">
        <f>IF(AND(OR(LEFT(TH!O670,2)="15",LEFT(TH!P670,2)="15"),'THE KHO'!$E$7=TH!F670),"x","")</f>
        <v/>
      </c>
      <c r="AK670" s="80" t="str">
        <f>IF(AND(O670="1521",MONTH(C670)='BK NL'!$M$11),"x","")</f>
        <v/>
      </c>
    </row>
    <row r="671" spans="1:37" ht="15.75" customHeight="1">
      <c r="A671" s="362" t="str">
        <f>IF(B671&lt;&gt;"",IF(AND(B671&gt;=_TM1,B671&lt;=_TM2,OR(TH!O671="1111",TH!P671="1111")),TH!D671,""),"")</f>
        <v/>
      </c>
      <c r="B671" s="63">
        <f t="shared" si="47"/>
        <v>9</v>
      </c>
      <c r="C671" s="1045">
        <v>42637</v>
      </c>
      <c r="D671" s="1045" t="s">
        <v>8</v>
      </c>
      <c r="E671" s="1045">
        <v>42637</v>
      </c>
      <c r="F671" s="1046" t="s">
        <v>405</v>
      </c>
      <c r="G671" s="1047" t="s">
        <v>798</v>
      </c>
      <c r="H671" s="1048" t="s">
        <v>168</v>
      </c>
      <c r="I671" s="1049"/>
      <c r="J671" s="1049"/>
      <c r="K671" s="1050"/>
      <c r="L671" s="1049"/>
      <c r="M671" s="1051">
        <v>12295119</v>
      </c>
      <c r="N671" s="1051"/>
      <c r="O671" s="1052" t="s">
        <v>133</v>
      </c>
      <c r="P671" s="1052" t="s">
        <v>31</v>
      </c>
      <c r="Q671" s="66" t="str">
        <f>IF(AND('331-CT'!$E$7=TH!H671,OR(O671="331",P671="331")),"x","")</f>
        <v/>
      </c>
      <c r="R671" s="66" t="str">
        <f>IF(AND($B671&gt;='111'!$N$11,$B671&lt;='111'!$O$11,OR($O671=$R$7,$P671=$R$7)),"x","")</f>
        <v/>
      </c>
      <c r="S671" s="66" t="str">
        <f>IF(AND($O671=$R$7,$B671&lt;'111'!$N$11),"x","")</f>
        <v/>
      </c>
      <c r="T671" s="66" t="str">
        <f>IF(AND($P671=$R$7,$B671&lt;'111'!$N$11),"x","")</f>
        <v/>
      </c>
      <c r="U671" s="66" t="str">
        <f>IF(AND($B671&gt;='112'!$M$9,$B671&lt;='112'!$N$9,OR($O671='112'!$I$6,$P671='112'!$I$6)),"x","")</f>
        <v>x</v>
      </c>
      <c r="V671" s="66" t="str">
        <f>IF(AND($O671='112'!$I$6,$B671&lt;'112'!$M$9),"x","")</f>
        <v/>
      </c>
      <c r="W671" s="66" t="str">
        <f>IF(AND($P671='112'!$I$6,$B671&lt;'112'!$M$9),"x","")</f>
        <v/>
      </c>
      <c r="X671" s="66" t="str">
        <f>IF(AND('131-CT'!$H$9=TH!H671,OR(O671="131",P671="131")),"x","")</f>
        <v/>
      </c>
      <c r="Y671" s="80" t="str">
        <f>IF(AND($B671&gt;='1331'!$I$9,$B671&lt;='1331'!$J$9,OR($O671=$Y$7,$P671=$Y$7)),"x","")</f>
        <v/>
      </c>
      <c r="Z671" s="80" t="str">
        <f>IF(AND($O671=$Y$7,$B671&lt;'1331'!$I$9),"x","")</f>
        <v/>
      </c>
      <c r="AA671" s="80" t="str">
        <f>IF(AND($P671=$Y$7,$B671&lt;'1331'!$I$9),"x","")</f>
        <v/>
      </c>
      <c r="AB671" s="80" t="str">
        <f>IF(AND($B671&gt;='1332'!$I$9,$B671&lt;='1332'!$I$9,OR($O671=$AB$7,$P671=$AB$7)),"x","")</f>
        <v/>
      </c>
      <c r="AC671" s="80" t="str">
        <f>IF(AND($O671=$AB$7,$B671&lt;'1332'!$I$9),"x","")</f>
        <v/>
      </c>
      <c r="AD671" s="80" t="str">
        <f>IF(AND($P671=$AB$7,$B671&lt;'1332'!$I$9),"x","")</f>
        <v/>
      </c>
      <c r="AE671" s="80" t="str">
        <f>IF(AND('341-CT'!$H$9=H671,OR(LEFT(O671,3)=$AE$7,LEFT(P671,3)=$AE$7)),"x","")</f>
        <v/>
      </c>
      <c r="AF671" s="80" t="str">
        <f>IF(OR(TH!O671=TH!$AF$7,P671=TH!$AF$7),"x","")</f>
        <v/>
      </c>
      <c r="AG671" s="80"/>
      <c r="AH671" s="80" t="str">
        <f>IF(AND(B671&gt;='IN-NX'!$P$3,B671&lt;='IN-NX'!$Q$3,'IN-NX'!$D$7=D671,OR(LEFT(L671,2)="15",AND(LEFT(M671,2)&lt;&gt;"15",LEFT(M671,2)&lt;&gt;"33"))),"x","")</f>
        <v/>
      </c>
      <c r="AI671" s="80" t="str">
        <f>IF(AND(OR(LEFT(TH!O671,2)="15",LEFT(TH!P671,2)="15"),'152-CT'!$J$8=TH!F671),"x","")</f>
        <v/>
      </c>
      <c r="AJ671" s="80" t="str">
        <f>IF(AND(OR(LEFT(TH!O671,2)="15",LEFT(TH!P671,2)="15"),'THE KHO'!$E$7=TH!F671),"x","")</f>
        <v/>
      </c>
      <c r="AK671" s="80" t="str">
        <f>IF(AND(O671="1521",MONTH(C671)='BK NL'!$M$11),"x","")</f>
        <v/>
      </c>
    </row>
    <row r="672" spans="1:37" ht="15.75" customHeight="1">
      <c r="A672" s="362" t="str">
        <f>IF(B672&lt;&gt;"",IF(AND(B672&gt;=_TM1,B672&lt;=_TM2,OR(TH!O672="1111",TH!P672="1111")),TH!D672,""),"")</f>
        <v/>
      </c>
      <c r="B672" s="63">
        <f t="shared" si="47"/>
        <v>9</v>
      </c>
      <c r="C672" s="1045">
        <v>42637</v>
      </c>
      <c r="D672" s="1045" t="s">
        <v>8</v>
      </c>
      <c r="E672" s="1045">
        <v>42637</v>
      </c>
      <c r="F672" s="1046" t="s">
        <v>405</v>
      </c>
      <c r="G672" s="1047" t="s">
        <v>798</v>
      </c>
      <c r="H672" s="1048" t="s">
        <v>170</v>
      </c>
      <c r="I672" s="1049"/>
      <c r="J672" s="1049"/>
      <c r="K672" s="1050"/>
      <c r="L672" s="1049"/>
      <c r="M672" s="1051">
        <v>8196747</v>
      </c>
      <c r="N672" s="1051"/>
      <c r="O672" s="1052" t="s">
        <v>133</v>
      </c>
      <c r="P672" s="1052" t="s">
        <v>31</v>
      </c>
      <c r="Q672" s="66" t="str">
        <f>IF(AND('331-CT'!$E$7=TH!H672,OR(O672="331",P672="331")),"x","")</f>
        <v/>
      </c>
      <c r="R672" s="66" t="str">
        <f>IF(AND($B672&gt;='111'!$N$11,$B672&lt;='111'!$O$11,OR($O672=$R$7,$P672=$R$7)),"x","")</f>
        <v/>
      </c>
      <c r="S672" s="66" t="str">
        <f>IF(AND($O672=$R$7,$B672&lt;'111'!$N$11),"x","")</f>
        <v/>
      </c>
      <c r="T672" s="66" t="str">
        <f>IF(AND($P672=$R$7,$B672&lt;'111'!$N$11),"x","")</f>
        <v/>
      </c>
      <c r="U672" s="66" t="str">
        <f>IF(AND($B672&gt;='112'!$M$9,$B672&lt;='112'!$N$9,OR($O672='112'!$I$6,$P672='112'!$I$6)),"x","")</f>
        <v>x</v>
      </c>
      <c r="V672" s="66" t="str">
        <f>IF(AND($O672='112'!$I$6,$B672&lt;'112'!$M$9),"x","")</f>
        <v/>
      </c>
      <c r="W672" s="66" t="str">
        <f>IF(AND($P672='112'!$I$6,$B672&lt;'112'!$M$9),"x","")</f>
        <v/>
      </c>
      <c r="X672" s="66" t="str">
        <f>IF(AND('131-CT'!$H$9=TH!H672,OR(O672="131",P672="131")),"x","")</f>
        <v/>
      </c>
      <c r="Y672" s="80" t="str">
        <f>IF(AND($B672&gt;='1331'!$I$9,$B672&lt;='1331'!$J$9,OR($O672=$Y$7,$P672=$Y$7)),"x","")</f>
        <v/>
      </c>
      <c r="Z672" s="80" t="str">
        <f>IF(AND($O672=$Y$7,$B672&lt;'1331'!$I$9),"x","")</f>
        <v/>
      </c>
      <c r="AA672" s="80" t="str">
        <f>IF(AND($P672=$Y$7,$B672&lt;'1331'!$I$9),"x","")</f>
        <v/>
      </c>
      <c r="AB672" s="80" t="str">
        <f>IF(AND($B672&gt;='1332'!$I$9,$B672&lt;='1332'!$I$9,OR($O672=$AB$7,$P672=$AB$7)),"x","")</f>
        <v/>
      </c>
      <c r="AC672" s="80" t="str">
        <f>IF(AND($O672=$AB$7,$B672&lt;'1332'!$I$9),"x","")</f>
        <v/>
      </c>
      <c r="AD672" s="80" t="str">
        <f>IF(AND($P672=$AB$7,$B672&lt;'1332'!$I$9),"x","")</f>
        <v/>
      </c>
      <c r="AE672" s="80" t="str">
        <f>IF(AND('341-CT'!$H$9=H672,OR(LEFT(O672,3)=$AE$7,LEFT(P672,3)=$AE$7)),"x","")</f>
        <v/>
      </c>
      <c r="AF672" s="80" t="str">
        <f>IF(OR(TH!O672=TH!$AF$7,P672=TH!$AF$7),"x","")</f>
        <v/>
      </c>
      <c r="AG672" s="80"/>
      <c r="AH672" s="80" t="str">
        <f>IF(AND(B672&gt;='IN-NX'!$P$3,B672&lt;='IN-NX'!$Q$3,'IN-NX'!$D$7=D672,OR(LEFT(L672,2)="15",AND(LEFT(M672,2)&lt;&gt;"15",LEFT(M672,2)&lt;&gt;"33"))),"x","")</f>
        <v/>
      </c>
      <c r="AI672" s="80" t="str">
        <f>IF(AND(OR(LEFT(TH!O672,2)="15",LEFT(TH!P672,2)="15"),'152-CT'!$J$8=TH!F672),"x","")</f>
        <v/>
      </c>
      <c r="AJ672" s="80" t="str">
        <f>IF(AND(OR(LEFT(TH!O672,2)="15",LEFT(TH!P672,2)="15"),'THE KHO'!$E$7=TH!F672),"x","")</f>
        <v/>
      </c>
      <c r="AK672" s="80" t="str">
        <f>IF(AND(O672="1521",MONTH(C672)='BK NL'!$M$11),"x","")</f>
        <v/>
      </c>
    </row>
    <row r="673" spans="1:39" ht="15.75" customHeight="1">
      <c r="A673" s="362" t="str">
        <f>IF(B673&lt;&gt;"",IF(AND(B673&gt;=_TM1,B673&lt;=_TM2,OR(TH!O673="1111",TH!P673="1111")),TH!D673,""),"")</f>
        <v/>
      </c>
      <c r="B673" s="63">
        <f t="shared" si="47"/>
        <v>9</v>
      </c>
      <c r="C673" s="1045">
        <v>42637</v>
      </c>
      <c r="D673" s="1045" t="s">
        <v>8</v>
      </c>
      <c r="E673" s="1045">
        <v>42637</v>
      </c>
      <c r="F673" s="1046" t="s">
        <v>405</v>
      </c>
      <c r="G673" s="1047" t="s">
        <v>798</v>
      </c>
      <c r="H673" s="1048" t="s">
        <v>171</v>
      </c>
      <c r="I673" s="1049"/>
      <c r="J673" s="1049"/>
      <c r="K673" s="1050"/>
      <c r="L673" s="1049"/>
      <c r="M673" s="1051">
        <v>12295119</v>
      </c>
      <c r="N673" s="1051"/>
      <c r="O673" s="1052" t="s">
        <v>133</v>
      </c>
      <c r="P673" s="1052" t="s">
        <v>31</v>
      </c>
      <c r="Q673" s="66" t="str">
        <f>IF(AND('331-CT'!$E$7=TH!H673,OR(O673="331",P673="331")),"x","")</f>
        <v/>
      </c>
      <c r="R673" s="66" t="str">
        <f>IF(AND($B673&gt;='111'!$N$11,$B673&lt;='111'!$O$11,OR($O673=$R$7,$P673=$R$7)),"x","")</f>
        <v/>
      </c>
      <c r="S673" s="66" t="str">
        <f>IF(AND($O673=$R$7,$B673&lt;'111'!$N$11),"x","")</f>
        <v/>
      </c>
      <c r="T673" s="66" t="str">
        <f>IF(AND($P673=$R$7,$B673&lt;'111'!$N$11),"x","")</f>
        <v/>
      </c>
      <c r="U673" s="66" t="str">
        <f>IF(AND($B673&gt;='112'!$M$9,$B673&lt;='112'!$N$9,OR($O673='112'!$I$6,$P673='112'!$I$6)),"x","")</f>
        <v>x</v>
      </c>
      <c r="V673" s="66" t="str">
        <f>IF(AND($O673='112'!$I$6,$B673&lt;'112'!$M$9),"x","")</f>
        <v/>
      </c>
      <c r="W673" s="66" t="str">
        <f>IF(AND($P673='112'!$I$6,$B673&lt;'112'!$M$9),"x","")</f>
        <v/>
      </c>
      <c r="X673" s="66" t="str">
        <f>IF(AND('131-CT'!$H$9=TH!H673,OR(O673="131",P673="131")),"x","")</f>
        <v/>
      </c>
      <c r="Y673" s="80" t="str">
        <f>IF(AND($B673&gt;='1331'!$I$9,$B673&lt;='1331'!$J$9,OR($O673=$Y$7,$P673=$Y$7)),"x","")</f>
        <v/>
      </c>
      <c r="Z673" s="80" t="str">
        <f>IF(AND($O673=$Y$7,$B673&lt;'1331'!$I$9),"x","")</f>
        <v/>
      </c>
      <c r="AA673" s="80" t="str">
        <f>IF(AND($P673=$Y$7,$B673&lt;'1331'!$I$9),"x","")</f>
        <v/>
      </c>
      <c r="AB673" s="80" t="str">
        <f>IF(AND($B673&gt;='1332'!$I$9,$B673&lt;='1332'!$I$9,OR($O673=$AB$7,$P673=$AB$7)),"x","")</f>
        <v/>
      </c>
      <c r="AC673" s="80" t="str">
        <f>IF(AND($O673=$AB$7,$B673&lt;'1332'!$I$9),"x","")</f>
        <v/>
      </c>
      <c r="AD673" s="80" t="str">
        <f>IF(AND($P673=$AB$7,$B673&lt;'1332'!$I$9),"x","")</f>
        <v/>
      </c>
      <c r="AE673" s="80" t="str">
        <f>IF(AND('341-CT'!$H$9=H673,OR(LEFT(O673,3)=$AE$7,LEFT(P673,3)=$AE$7)),"x","")</f>
        <v/>
      </c>
      <c r="AF673" s="80" t="str">
        <f>IF(OR(TH!O673=TH!$AF$7,P673=TH!$AF$7),"x","")</f>
        <v/>
      </c>
      <c r="AG673" s="80"/>
      <c r="AH673" s="80" t="str">
        <f>IF(AND(B673&gt;='IN-NX'!$P$3,B673&lt;='IN-NX'!$Q$3,'IN-NX'!$D$7=D673,OR(LEFT(L673,2)="15",AND(LEFT(M673,2)&lt;&gt;"15",LEFT(M673,2)&lt;&gt;"33"))),"x","")</f>
        <v/>
      </c>
      <c r="AI673" s="80" t="str">
        <f>IF(AND(OR(LEFT(TH!O673,2)="15",LEFT(TH!P673,2)="15"),'152-CT'!$J$8=TH!F673),"x","")</f>
        <v/>
      </c>
      <c r="AJ673" s="80" t="str">
        <f>IF(AND(OR(LEFT(TH!O673,2)="15",LEFT(TH!P673,2)="15"),'THE KHO'!$E$7=TH!F673),"x","")</f>
        <v/>
      </c>
      <c r="AK673" s="80" t="str">
        <f>IF(AND(O673="1521",MONTH(C673)='BK NL'!$M$11),"x","")</f>
        <v/>
      </c>
    </row>
    <row r="674" spans="1:39" ht="15.75" customHeight="1">
      <c r="A674" s="362" t="str">
        <f>IF(B674&lt;&gt;"",IF(AND(B674&gt;=_TM1,B674&lt;=_TM2,OR(TH!O674="1111",TH!P674="1111")),TH!D674,""),"")</f>
        <v/>
      </c>
      <c r="B674" s="63">
        <f t="shared" si="47"/>
        <v>9</v>
      </c>
      <c r="C674" s="1045">
        <v>42637</v>
      </c>
      <c r="D674" s="1045" t="s">
        <v>8</v>
      </c>
      <c r="E674" s="1045">
        <v>42637</v>
      </c>
      <c r="F674" s="1046" t="s">
        <v>405</v>
      </c>
      <c r="G674" s="1047" t="s">
        <v>798</v>
      </c>
      <c r="H674" s="1048" t="s">
        <v>172</v>
      </c>
      <c r="I674" s="1049"/>
      <c r="J674" s="1049"/>
      <c r="K674" s="1050"/>
      <c r="L674" s="1049"/>
      <c r="M674" s="1051">
        <v>16393492</v>
      </c>
      <c r="N674" s="1051"/>
      <c r="O674" s="1052" t="s">
        <v>133</v>
      </c>
      <c r="P674" s="1052" t="s">
        <v>31</v>
      </c>
      <c r="Q674" s="66" t="str">
        <f>IF(AND('331-CT'!$E$7=TH!H674,OR(O674="331",P674="331")),"x","")</f>
        <v/>
      </c>
      <c r="R674" s="66" t="str">
        <f>IF(AND($B674&gt;='111'!$N$11,$B674&lt;='111'!$O$11,OR($O674=$R$7,$P674=$R$7)),"x","")</f>
        <v/>
      </c>
      <c r="S674" s="66" t="str">
        <f>IF(AND($O674=$R$7,$B674&lt;'111'!$N$11),"x","")</f>
        <v/>
      </c>
      <c r="T674" s="66" t="str">
        <f>IF(AND($P674=$R$7,$B674&lt;'111'!$N$11),"x","")</f>
        <v/>
      </c>
      <c r="U674" s="66" t="str">
        <f>IF(AND($B674&gt;='112'!$M$9,$B674&lt;='112'!$N$9,OR($O674='112'!$I$6,$P674='112'!$I$6)),"x","")</f>
        <v>x</v>
      </c>
      <c r="V674" s="66" t="str">
        <f>IF(AND($O674='112'!$I$6,$B674&lt;'112'!$M$9),"x","")</f>
        <v/>
      </c>
      <c r="W674" s="66" t="str">
        <f>IF(AND($P674='112'!$I$6,$B674&lt;'112'!$M$9),"x","")</f>
        <v/>
      </c>
      <c r="X674" s="66" t="str">
        <f>IF(AND('131-CT'!$H$9=TH!H674,OR(O674="131",P674="131")),"x","")</f>
        <v/>
      </c>
      <c r="Y674" s="80" t="str">
        <f>IF(AND($B674&gt;='1331'!$I$9,$B674&lt;='1331'!$J$9,OR($O674=$Y$7,$P674=$Y$7)),"x","")</f>
        <v/>
      </c>
      <c r="Z674" s="80" t="str">
        <f>IF(AND($O674=$Y$7,$B674&lt;'1331'!$I$9),"x","")</f>
        <v/>
      </c>
      <c r="AA674" s="80" t="str">
        <f>IF(AND($P674=$Y$7,$B674&lt;'1331'!$I$9),"x","")</f>
        <v/>
      </c>
      <c r="AB674" s="80" t="str">
        <f>IF(AND($B674&gt;='1332'!$I$9,$B674&lt;='1332'!$I$9,OR($O674=$AB$7,$P674=$AB$7)),"x","")</f>
        <v/>
      </c>
      <c r="AC674" s="80" t="str">
        <f>IF(AND($O674=$AB$7,$B674&lt;'1332'!$I$9),"x","")</f>
        <v/>
      </c>
      <c r="AD674" s="80" t="str">
        <f>IF(AND($P674=$AB$7,$B674&lt;'1332'!$I$9),"x","")</f>
        <v/>
      </c>
      <c r="AE674" s="80" t="str">
        <f>IF(AND('341-CT'!$H$9=H674,OR(LEFT(O674,3)=$AE$7,LEFT(P674,3)=$AE$7)),"x","")</f>
        <v/>
      </c>
      <c r="AF674" s="80" t="str">
        <f>IF(OR(TH!O674=TH!$AF$7,P674=TH!$AF$7),"x","")</f>
        <v/>
      </c>
      <c r="AG674" s="80"/>
      <c r="AH674" s="80" t="str">
        <f>IF(AND(B674&gt;='IN-NX'!$P$3,B674&lt;='IN-NX'!$Q$3,'IN-NX'!$D$7=D674,OR(LEFT(L674,2)="15",AND(LEFT(M674,2)&lt;&gt;"15",LEFT(M674,2)&lt;&gt;"33"))),"x","")</f>
        <v/>
      </c>
      <c r="AI674" s="80" t="str">
        <f>IF(AND(OR(LEFT(TH!O674,2)="15",LEFT(TH!P674,2)="15"),'152-CT'!$J$8=TH!F674),"x","")</f>
        <v/>
      </c>
      <c r="AJ674" s="80" t="str">
        <f>IF(AND(OR(LEFT(TH!O674,2)="15",LEFT(TH!P674,2)="15"),'THE KHO'!$E$7=TH!F674),"x","")</f>
        <v/>
      </c>
      <c r="AK674" s="80" t="str">
        <f>IF(AND(O674="1521",MONTH(C674)='BK NL'!$M$11),"x","")</f>
        <v/>
      </c>
    </row>
    <row r="675" spans="1:39" ht="15.75" customHeight="1">
      <c r="A675" s="362" t="str">
        <f>IF(B675&lt;&gt;"",IF(AND(B675&gt;=_TM1,B675&lt;=_TM2,OR(TH!O675="1111",TH!P675="1111")),TH!D675,""),"")</f>
        <v/>
      </c>
      <c r="B675" s="63">
        <f t="shared" si="47"/>
        <v>9</v>
      </c>
      <c r="C675" s="1045">
        <v>42637</v>
      </c>
      <c r="D675" s="1045" t="s">
        <v>8</v>
      </c>
      <c r="E675" s="1045">
        <v>42637</v>
      </c>
      <c r="F675" s="1046" t="s">
        <v>405</v>
      </c>
      <c r="G675" s="1047" t="s">
        <v>798</v>
      </c>
      <c r="H675" s="1048" t="s">
        <v>173</v>
      </c>
      <c r="I675" s="1049"/>
      <c r="J675" s="1049"/>
      <c r="K675" s="1050"/>
      <c r="L675" s="1049"/>
      <c r="M675" s="1051">
        <v>11475445</v>
      </c>
      <c r="N675" s="1051"/>
      <c r="O675" s="1052" t="s">
        <v>133</v>
      </c>
      <c r="P675" s="1052" t="s">
        <v>31</v>
      </c>
      <c r="Q675" s="66" t="str">
        <f>IF(AND('331-CT'!$E$7=TH!H675,OR(O675="331",P675="331")),"x","")</f>
        <v/>
      </c>
      <c r="R675" s="66" t="str">
        <f>IF(AND($B675&gt;='111'!$N$11,$B675&lt;='111'!$O$11,OR($O675=$R$7,$P675=$R$7)),"x","")</f>
        <v/>
      </c>
      <c r="S675" s="66" t="str">
        <f>IF(AND($O675=$R$7,$B675&lt;'111'!$N$11),"x","")</f>
        <v/>
      </c>
      <c r="T675" s="66" t="str">
        <f>IF(AND($P675=$R$7,$B675&lt;'111'!$N$11),"x","")</f>
        <v/>
      </c>
      <c r="U675" s="66" t="str">
        <f>IF(AND($B675&gt;='112'!$M$9,$B675&lt;='112'!$N$9,OR($O675='112'!$I$6,$P675='112'!$I$6)),"x","")</f>
        <v>x</v>
      </c>
      <c r="V675" s="66" t="str">
        <f>IF(AND($O675='112'!$I$6,$B675&lt;'112'!$M$9),"x","")</f>
        <v/>
      </c>
      <c r="W675" s="66" t="str">
        <f>IF(AND($P675='112'!$I$6,$B675&lt;'112'!$M$9),"x","")</f>
        <v/>
      </c>
      <c r="X675" s="66" t="str">
        <f>IF(AND('131-CT'!$H$9=TH!H675,OR(O675="131",P675="131")),"x","")</f>
        <v/>
      </c>
      <c r="Y675" s="80" t="str">
        <f>IF(AND($B675&gt;='1331'!$I$9,$B675&lt;='1331'!$J$9,OR($O675=$Y$7,$P675=$Y$7)),"x","")</f>
        <v/>
      </c>
      <c r="Z675" s="80" t="str">
        <f>IF(AND($O675=$Y$7,$B675&lt;'1331'!$I$9),"x","")</f>
        <v/>
      </c>
      <c r="AA675" s="80" t="str">
        <f>IF(AND($P675=$Y$7,$B675&lt;'1331'!$I$9),"x","")</f>
        <v/>
      </c>
      <c r="AB675" s="80" t="str">
        <f>IF(AND($B675&gt;='1332'!$I$9,$B675&lt;='1332'!$I$9,OR($O675=$AB$7,$P675=$AB$7)),"x","")</f>
        <v/>
      </c>
      <c r="AC675" s="80" t="str">
        <f>IF(AND($O675=$AB$7,$B675&lt;'1332'!$I$9),"x","")</f>
        <v/>
      </c>
      <c r="AD675" s="80" t="str">
        <f>IF(AND($P675=$AB$7,$B675&lt;'1332'!$I$9),"x","")</f>
        <v/>
      </c>
      <c r="AE675" s="80" t="str">
        <f>IF(AND('341-CT'!$H$9=H675,OR(LEFT(O675,3)=$AE$7,LEFT(P675,3)=$AE$7)),"x","")</f>
        <v/>
      </c>
      <c r="AF675" s="80" t="str">
        <f>IF(OR(TH!O675=TH!$AF$7,P675=TH!$AF$7),"x","")</f>
        <v/>
      </c>
      <c r="AG675" s="80"/>
      <c r="AH675" s="80" t="str">
        <f>IF(AND(B675&gt;='IN-NX'!$P$3,B675&lt;='IN-NX'!$Q$3,'IN-NX'!$D$7=D675,OR(LEFT(L675,2)="15",AND(LEFT(M675,2)&lt;&gt;"15",LEFT(M675,2)&lt;&gt;"33"))),"x","")</f>
        <v/>
      </c>
      <c r="AI675" s="80" t="str">
        <f>IF(AND(OR(LEFT(TH!O675,2)="15",LEFT(TH!P675,2)="15"),'152-CT'!$J$8=TH!F675),"x","")</f>
        <v/>
      </c>
      <c r="AJ675" s="80" t="str">
        <f>IF(AND(OR(LEFT(TH!O675,2)="15",LEFT(TH!P675,2)="15"),'THE KHO'!$E$7=TH!F675),"x","")</f>
        <v/>
      </c>
      <c r="AK675" s="80" t="str">
        <f>IF(AND(O675="1521",MONTH(C675)='BK NL'!$M$11),"x","")</f>
        <v/>
      </c>
    </row>
    <row r="676" spans="1:39" ht="15.75" customHeight="1">
      <c r="A676" s="362" t="str">
        <f>IF(B676&lt;&gt;"",IF(AND(B676&gt;=_TM1,B676&lt;=_TM2,OR(TH!O676="1111",TH!P676="1111")),TH!D676,""),"")</f>
        <v/>
      </c>
      <c r="B676" s="63">
        <f t="shared" si="47"/>
        <v>9</v>
      </c>
      <c r="C676" s="1045">
        <v>42637</v>
      </c>
      <c r="D676" s="1045" t="s">
        <v>8</v>
      </c>
      <c r="E676" s="1045">
        <v>42637</v>
      </c>
      <c r="F676" s="1046" t="s">
        <v>405</v>
      </c>
      <c r="G676" s="1047" t="s">
        <v>798</v>
      </c>
      <c r="H676" s="1129" t="s">
        <v>174</v>
      </c>
      <c r="I676" s="1049"/>
      <c r="J676" s="1049"/>
      <c r="K676" s="1050"/>
      <c r="L676" s="1049"/>
      <c r="M676" s="1051">
        <v>12295119</v>
      </c>
      <c r="N676" s="1051"/>
      <c r="O676" s="1052" t="s">
        <v>133</v>
      </c>
      <c r="P676" s="1052" t="s">
        <v>31</v>
      </c>
      <c r="Q676" s="66" t="str">
        <f>IF(AND('331-CT'!$E$7=TH!H676,OR(O676="331",P676="331")),"x","")</f>
        <v/>
      </c>
      <c r="R676" s="66" t="str">
        <f>IF(AND($B676&gt;='111'!$N$11,$B676&lt;='111'!$O$11,OR($O676=$R$7,$P676=$R$7)),"x","")</f>
        <v/>
      </c>
      <c r="S676" s="66" t="str">
        <f>IF(AND($O676=$R$7,$B676&lt;'111'!$N$11),"x","")</f>
        <v/>
      </c>
      <c r="T676" s="66" t="str">
        <f>IF(AND($P676=$R$7,$B676&lt;'111'!$N$11),"x","")</f>
        <v/>
      </c>
      <c r="U676" s="66" t="str">
        <f>IF(AND($B676&gt;='112'!$M$9,$B676&lt;='112'!$N$9,OR($O676='112'!$I$6,$P676='112'!$I$6)),"x","")</f>
        <v>x</v>
      </c>
      <c r="V676" s="66" t="str">
        <f>IF(AND($O676='112'!$I$6,$B676&lt;'112'!$M$9),"x","")</f>
        <v/>
      </c>
      <c r="W676" s="66" t="str">
        <f>IF(AND($P676='112'!$I$6,$B676&lt;'112'!$M$9),"x","")</f>
        <v/>
      </c>
      <c r="X676" s="66" t="str">
        <f>IF(AND('131-CT'!$H$9=TH!H676,OR(O676="131",P676="131")),"x","")</f>
        <v/>
      </c>
      <c r="Y676" s="80" t="str">
        <f>IF(AND($B676&gt;='1331'!$I$9,$B676&lt;='1331'!$J$9,OR($O676=$Y$7,$P676=$Y$7)),"x","")</f>
        <v/>
      </c>
      <c r="Z676" s="80" t="str">
        <f>IF(AND($O676=$Y$7,$B676&lt;'1331'!$I$9),"x","")</f>
        <v/>
      </c>
      <c r="AA676" s="80" t="str">
        <f>IF(AND($P676=$Y$7,$B676&lt;'1331'!$I$9),"x","")</f>
        <v/>
      </c>
      <c r="AB676" s="80" t="str">
        <f>IF(AND($B676&gt;='1332'!$I$9,$B676&lt;='1332'!$I$9,OR($O676=$AB$7,$P676=$AB$7)),"x","")</f>
        <v/>
      </c>
      <c r="AC676" s="80" t="str">
        <f>IF(AND($O676=$AB$7,$B676&lt;'1332'!$I$9),"x","")</f>
        <v/>
      </c>
      <c r="AD676" s="80" t="str">
        <f>IF(AND($P676=$AB$7,$B676&lt;'1332'!$I$9),"x","")</f>
        <v/>
      </c>
      <c r="AE676" s="80" t="str">
        <f>IF(AND('341-CT'!$H$9=H676,OR(LEFT(O676,3)=$AE$7,LEFT(P676,3)=$AE$7)),"x","")</f>
        <v/>
      </c>
      <c r="AF676" s="80" t="str">
        <f>IF(OR(TH!O676=TH!$AF$7,P676=TH!$AF$7),"x","")</f>
        <v/>
      </c>
      <c r="AG676" s="80"/>
      <c r="AH676" s="80" t="str">
        <f>IF(AND(B676&gt;='IN-NX'!$P$3,B676&lt;='IN-NX'!$Q$3,'IN-NX'!$D$7=D676,OR(LEFT(L676,2)="15",AND(LEFT(M676,2)&lt;&gt;"15",LEFT(M676,2)&lt;&gt;"33"))),"x","")</f>
        <v/>
      </c>
      <c r="AI676" s="80" t="str">
        <f>IF(AND(OR(LEFT(TH!O676,2)="15",LEFT(TH!P676,2)="15"),'152-CT'!$J$8=TH!F676),"x","")</f>
        <v/>
      </c>
      <c r="AJ676" s="80" t="str">
        <f>IF(AND(OR(LEFT(TH!O676,2)="15",LEFT(TH!P676,2)="15"),'THE KHO'!$E$7=TH!F676),"x","")</f>
        <v/>
      </c>
      <c r="AK676" s="80" t="str">
        <f>IF(AND(O676="1521",MONTH(C676)='BK NL'!$M$11),"x","")</f>
        <v/>
      </c>
    </row>
    <row r="677" spans="1:39" ht="15" customHeight="1">
      <c r="A677" s="362" t="str">
        <f>IF(B677&lt;&gt;"",IF(AND(B677&gt;=_TM1,B677&lt;=_TM2,OR(TH!O677="1111",TH!P677="1111")),TH!D677,""),"")</f>
        <v/>
      </c>
      <c r="B677" s="63">
        <f t="shared" ref="B677:B697" si="48">IF(C677&lt;&gt;"",MONTH(C677),"")</f>
        <v>9</v>
      </c>
      <c r="C677" s="1045">
        <v>42637</v>
      </c>
      <c r="D677" s="1045" t="s">
        <v>8</v>
      </c>
      <c r="E677" s="1045">
        <v>42637</v>
      </c>
      <c r="F677" s="1046" t="s">
        <v>1215</v>
      </c>
      <c r="G677" s="1047" t="s">
        <v>798</v>
      </c>
      <c r="H677" s="1048" t="s">
        <v>166</v>
      </c>
      <c r="I677" s="1049"/>
      <c r="J677" s="1049"/>
      <c r="K677" s="1050"/>
      <c r="L677" s="1049"/>
      <c r="M677" s="1051">
        <v>8340000</v>
      </c>
      <c r="N677" s="1051"/>
      <c r="O677" s="1052" t="s">
        <v>121</v>
      </c>
      <c r="P677" s="1052" t="s">
        <v>31</v>
      </c>
      <c r="Q677" s="66" t="str">
        <f>IF(AND('331-CT'!$E$7=TH!H677,OR(O677="331",P677="331")),"x","")</f>
        <v/>
      </c>
      <c r="R677" s="66" t="str">
        <f>IF(AND($B677&gt;='111'!$N$11,$B677&lt;='111'!$O$11,OR($O677=$R$7,$P677=$R$7)),"x","")</f>
        <v/>
      </c>
      <c r="S677" s="66" t="str">
        <f>IF(AND($O677=$R$7,$B677&lt;'111'!$N$11),"x","")</f>
        <v/>
      </c>
      <c r="T677" s="66" t="str">
        <f>IF(AND($P677=$R$7,$B677&lt;'111'!$N$11),"x","")</f>
        <v/>
      </c>
      <c r="U677" s="66" t="str">
        <f>IF(AND($B677&gt;='112'!$M$9,$B677&lt;='112'!$N$9,OR($O677='112'!$I$6,$P677='112'!$I$6)),"x","")</f>
        <v>x</v>
      </c>
      <c r="V677" s="66" t="str">
        <f>IF(AND($O677='112'!$I$6,$B677&lt;'112'!$M$9),"x","")</f>
        <v/>
      </c>
      <c r="W677" s="66" t="str">
        <f>IF(AND($P677='112'!$I$6,$B677&lt;'112'!$M$9),"x","")</f>
        <v/>
      </c>
      <c r="X677" s="66" t="str">
        <f>IF(AND('131-CT'!$H$9=TH!H677,OR(O677="131",P677="131")),"x","")</f>
        <v/>
      </c>
      <c r="Y677" s="80" t="str">
        <f>IF(AND($B677&gt;='1331'!$I$9,$B677&lt;='1331'!$J$9,OR($O677=$Y$7,$P677=$Y$7)),"x","")</f>
        <v/>
      </c>
      <c r="Z677" s="80" t="str">
        <f>IF(AND($O677=$Y$7,$B677&lt;'1331'!$I$9),"x","")</f>
        <v/>
      </c>
      <c r="AA677" s="80" t="str">
        <f>IF(AND($P677=$Y$7,$B677&lt;'1331'!$I$9),"x","")</f>
        <v/>
      </c>
      <c r="AB677" s="80" t="str">
        <f>IF(AND($B677&gt;='1332'!$I$9,$B677&lt;='1332'!$I$9,OR($O677=$AB$7,$P677=$AB$7)),"x","")</f>
        <v/>
      </c>
      <c r="AC677" s="80" t="str">
        <f>IF(AND($O677=$AB$7,$B677&lt;'1332'!$I$9),"x","")</f>
        <v/>
      </c>
      <c r="AD677" s="80" t="str">
        <f>IF(AND($P677=$AB$7,$B677&lt;'1332'!$I$9),"x","")</f>
        <v/>
      </c>
      <c r="AE677" s="80" t="str">
        <f>IF(AND('341-CT'!$H$9=H677,OR(LEFT(O677,3)=$AE$7,LEFT(P677,3)=$AE$7)),"x","")</f>
        <v/>
      </c>
      <c r="AF677" s="80" t="str">
        <f>IF(OR(TH!O677=TH!$AF$7,P677=TH!$AF$7),"x","")</f>
        <v/>
      </c>
      <c r="AG677" s="80"/>
      <c r="AH677" s="80" t="str">
        <f>IF(AND(B677&gt;='IN-NX'!$P$3,B677&lt;='IN-NX'!$Q$3,'IN-NX'!$D$7=D677,OR(LEFT(L677,2)="15",AND(LEFT(M677,2)&lt;&gt;"15",LEFT(M677,2)&lt;&gt;"33"))),"x","")</f>
        <v/>
      </c>
      <c r="AI677" s="80" t="str">
        <f>IF(AND(OR(LEFT(TH!O677,2)="15",LEFT(TH!P677,2)="15"),'152-CT'!$J$8=TH!F677),"x","")</f>
        <v/>
      </c>
      <c r="AJ677" s="80" t="str">
        <f>IF(AND(OR(LEFT(TH!O677,2)="15",LEFT(TH!P677,2)="15"),'THE KHO'!$E$7=TH!F677),"x","")</f>
        <v/>
      </c>
      <c r="AK677" s="80" t="str">
        <f>IF(AND(O677="1521",MONTH(C677)='BK NL'!$M$11),"x","")</f>
        <v/>
      </c>
    </row>
    <row r="678" spans="1:39" ht="15.75" customHeight="1">
      <c r="A678" s="362" t="str">
        <f>IF(B678&lt;&gt;"",IF(AND(B678&gt;=_TM1,B678&lt;=_TM2,OR(TH!O678="1111",TH!P678="1111")),TH!D678,""),"")</f>
        <v/>
      </c>
      <c r="B678" s="63">
        <f t="shared" si="48"/>
        <v>9</v>
      </c>
      <c r="C678" s="1045">
        <v>42637</v>
      </c>
      <c r="D678" s="1045" t="s">
        <v>8</v>
      </c>
      <c r="E678" s="1045">
        <v>42637</v>
      </c>
      <c r="F678" s="1046" t="s">
        <v>1215</v>
      </c>
      <c r="G678" s="1047" t="s">
        <v>798</v>
      </c>
      <c r="H678" s="1048" t="s">
        <v>167</v>
      </c>
      <c r="I678" s="1049"/>
      <c r="J678" s="1049"/>
      <c r="K678" s="1050"/>
      <c r="L678" s="1049"/>
      <c r="M678" s="1051">
        <v>16670000</v>
      </c>
      <c r="N678" s="1051"/>
      <c r="O678" s="1052" t="s">
        <v>121</v>
      </c>
      <c r="P678" s="1052" t="s">
        <v>31</v>
      </c>
      <c r="Q678" s="66" t="str">
        <f>IF(AND('331-CT'!$E$7=TH!H678,OR(O678="331",P678="331")),"x","")</f>
        <v/>
      </c>
      <c r="R678" s="66" t="str">
        <f>IF(AND($B678&gt;='111'!$N$11,$B678&lt;='111'!$O$11,OR($O678=$R$7,$P678=$R$7)),"x","")</f>
        <v/>
      </c>
      <c r="S678" s="66" t="str">
        <f>IF(AND($O678=$R$7,$B678&lt;'111'!$N$11),"x","")</f>
        <v/>
      </c>
      <c r="T678" s="66" t="str">
        <f>IF(AND($P678=$R$7,$B678&lt;'111'!$N$11),"x","")</f>
        <v/>
      </c>
      <c r="U678" s="66" t="str">
        <f>IF(AND($B678&gt;='112'!$M$9,$B678&lt;='112'!$N$9,OR($O678='112'!$I$6,$P678='112'!$I$6)),"x","")</f>
        <v>x</v>
      </c>
      <c r="V678" s="66" t="str">
        <f>IF(AND($O678='112'!$I$6,$B678&lt;'112'!$M$9),"x","")</f>
        <v/>
      </c>
      <c r="W678" s="66" t="str">
        <f>IF(AND($P678='112'!$I$6,$B678&lt;'112'!$M$9),"x","")</f>
        <v/>
      </c>
      <c r="X678" s="66" t="str">
        <f>IF(AND('131-CT'!$H$9=TH!H678,OR(O678="131",P678="131")),"x","")</f>
        <v/>
      </c>
      <c r="Y678" s="80" t="str">
        <f>IF(AND($B678&gt;='1331'!$I$9,$B678&lt;='1331'!$J$9,OR($O678=$Y$7,$P678=$Y$7)),"x","")</f>
        <v/>
      </c>
      <c r="Z678" s="80" t="str">
        <f>IF(AND($O678=$Y$7,$B678&lt;'1331'!$I$9),"x","")</f>
        <v/>
      </c>
      <c r="AA678" s="80" t="str">
        <f>IF(AND($P678=$Y$7,$B678&lt;'1331'!$I$9),"x","")</f>
        <v/>
      </c>
      <c r="AB678" s="80" t="str">
        <f>IF(AND($B678&gt;='1332'!$I$9,$B678&lt;='1332'!$I$9,OR($O678=$AB$7,$P678=$AB$7)),"x","")</f>
        <v/>
      </c>
      <c r="AC678" s="80" t="str">
        <f>IF(AND($O678=$AB$7,$B678&lt;'1332'!$I$9),"x","")</f>
        <v/>
      </c>
      <c r="AD678" s="80" t="str">
        <f>IF(AND($P678=$AB$7,$B678&lt;'1332'!$I$9),"x","")</f>
        <v/>
      </c>
      <c r="AE678" s="80" t="str">
        <f>IF(AND('341-CT'!$H$9=H678,OR(LEFT(O678,3)=$AE$7,LEFT(P678,3)=$AE$7)),"x","")</f>
        <v/>
      </c>
      <c r="AF678" s="80" t="str">
        <f>IF(OR(TH!O678=TH!$AF$7,P678=TH!$AF$7),"x","")</f>
        <v/>
      </c>
      <c r="AG678" s="80"/>
      <c r="AH678" s="80" t="str">
        <f>IF(AND(B678&gt;='IN-NX'!$P$3,B678&lt;='IN-NX'!$Q$3,'IN-NX'!$D$7=D678,OR(LEFT(L678,2)="15",AND(LEFT(M678,2)&lt;&gt;"15",LEFT(M678,2)&lt;&gt;"33"))),"x","")</f>
        <v/>
      </c>
      <c r="AI678" s="80" t="str">
        <f>IF(AND(OR(LEFT(TH!O678,2)="15",LEFT(TH!P678,2)="15"),'152-CT'!$J$8=TH!F678),"x","")</f>
        <v/>
      </c>
      <c r="AJ678" s="80" t="str">
        <f>IF(AND(OR(LEFT(TH!O678,2)="15",LEFT(TH!P678,2)="15"),'THE KHO'!$E$7=TH!F678),"x","")</f>
        <v/>
      </c>
      <c r="AK678" s="80" t="str">
        <f>IF(AND(O678="1521",MONTH(C678)='BK NL'!$M$11),"x","")</f>
        <v/>
      </c>
    </row>
    <row r="679" spans="1:39" ht="15.75" customHeight="1">
      <c r="A679" s="362" t="str">
        <f>IF(B679&lt;&gt;"",IF(AND(B679&gt;=_TM1,B679&lt;=_TM2,OR(TH!O679="1111",TH!P679="1111")),TH!D679,""),"")</f>
        <v/>
      </c>
      <c r="B679" s="63">
        <f t="shared" si="48"/>
        <v>9</v>
      </c>
      <c r="C679" s="1045">
        <v>42637</v>
      </c>
      <c r="D679" s="1045" t="s">
        <v>8</v>
      </c>
      <c r="E679" s="1045">
        <v>42637</v>
      </c>
      <c r="F679" s="1046" t="s">
        <v>1215</v>
      </c>
      <c r="G679" s="1047" t="s">
        <v>798</v>
      </c>
      <c r="H679" s="1128" t="s">
        <v>169</v>
      </c>
      <c r="I679" s="1049"/>
      <c r="J679" s="1049"/>
      <c r="K679" s="1050"/>
      <c r="L679" s="1049"/>
      <c r="M679" s="1051">
        <v>13340000</v>
      </c>
      <c r="N679" s="1051"/>
      <c r="O679" s="1052" t="s">
        <v>121</v>
      </c>
      <c r="P679" s="1052" t="s">
        <v>31</v>
      </c>
      <c r="Q679" s="66" t="str">
        <f>IF(AND('331-CT'!$E$7=TH!H679,OR(O679="331",P679="331")),"x","")</f>
        <v/>
      </c>
      <c r="R679" s="66" t="str">
        <f>IF(AND($B679&gt;='111'!$N$11,$B679&lt;='111'!$O$11,OR($O679=$R$7,$P679=$R$7)),"x","")</f>
        <v/>
      </c>
      <c r="S679" s="66" t="str">
        <f>IF(AND($O679=$R$7,$B679&lt;'111'!$N$11),"x","")</f>
        <v/>
      </c>
      <c r="T679" s="66" t="str">
        <f>IF(AND($P679=$R$7,$B679&lt;'111'!$N$11),"x","")</f>
        <v/>
      </c>
      <c r="U679" s="66" t="str">
        <f>IF(AND($B679&gt;='112'!$M$9,$B679&lt;='112'!$N$9,OR($O679='112'!$I$6,$P679='112'!$I$6)),"x","")</f>
        <v>x</v>
      </c>
      <c r="V679" s="66" t="str">
        <f>IF(AND($O679='112'!$I$6,$B679&lt;'112'!$M$9),"x","")</f>
        <v/>
      </c>
      <c r="W679" s="66" t="str">
        <f>IF(AND($P679='112'!$I$6,$B679&lt;'112'!$M$9),"x","")</f>
        <v/>
      </c>
      <c r="X679" s="66" t="str">
        <f>IF(AND('131-CT'!$H$9=TH!H679,OR(O679="131",P679="131")),"x","")</f>
        <v/>
      </c>
      <c r="Y679" s="80" t="str">
        <f>IF(AND($B679&gt;='1331'!$I$9,$B679&lt;='1331'!$J$9,OR($O679=$Y$7,$P679=$Y$7)),"x","")</f>
        <v/>
      </c>
      <c r="Z679" s="80" t="str">
        <f>IF(AND($O679=$Y$7,$B679&lt;'1331'!$I$9),"x","")</f>
        <v/>
      </c>
      <c r="AA679" s="80" t="str">
        <f>IF(AND($P679=$Y$7,$B679&lt;'1331'!$I$9),"x","")</f>
        <v/>
      </c>
      <c r="AB679" s="80" t="str">
        <f>IF(AND($B679&gt;='1332'!$I$9,$B679&lt;='1332'!$I$9,OR($O679=$AB$7,$P679=$AB$7)),"x","")</f>
        <v/>
      </c>
      <c r="AC679" s="80" t="str">
        <f>IF(AND($O679=$AB$7,$B679&lt;'1332'!$I$9),"x","")</f>
        <v/>
      </c>
      <c r="AD679" s="80" t="str">
        <f>IF(AND($P679=$AB$7,$B679&lt;'1332'!$I$9),"x","")</f>
        <v/>
      </c>
      <c r="AE679" s="80" t="str">
        <f>IF(AND('341-CT'!$H$9=H679,OR(LEFT(O679,3)=$AE$7,LEFT(P679,3)=$AE$7)),"x","")</f>
        <v/>
      </c>
      <c r="AF679" s="80" t="str">
        <f>IF(OR(TH!O679=TH!$AF$7,P679=TH!$AF$7),"x","")</f>
        <v/>
      </c>
      <c r="AG679" s="80"/>
      <c r="AH679" s="80" t="str">
        <f>IF(AND(B679&gt;='IN-NX'!$P$3,B679&lt;='IN-NX'!$Q$3,'IN-NX'!$D$7=D679,OR(LEFT(L679,2)="15",AND(LEFT(M679,2)&lt;&gt;"15",LEFT(M679,2)&lt;&gt;"33"))),"x","")</f>
        <v/>
      </c>
      <c r="AI679" s="80" t="str">
        <f>IF(AND(OR(LEFT(TH!O679,2)="15",LEFT(TH!P679,2)="15"),'152-CT'!$J$8=TH!F679),"x","")</f>
        <v/>
      </c>
      <c r="AJ679" s="80" t="str">
        <f>IF(AND(OR(LEFT(TH!O679,2)="15",LEFT(TH!P679,2)="15"),'THE KHO'!$E$7=TH!F679),"x","")</f>
        <v/>
      </c>
      <c r="AK679" s="80" t="str">
        <f>IF(AND(O679="1521",MONTH(C679)='BK NL'!$M$11),"x","")</f>
        <v/>
      </c>
    </row>
    <row r="680" spans="1:39" ht="15.75" customHeight="1">
      <c r="A680" s="362" t="str">
        <f>IF(B680&lt;&gt;"",IF(AND(B680&gt;=_TM1,B680&lt;=_TM2,OR(TH!O680="1111",TH!P680="1111")),TH!D680,""),"")</f>
        <v/>
      </c>
      <c r="B680" s="63">
        <f t="shared" si="48"/>
        <v>9</v>
      </c>
      <c r="C680" s="1045">
        <v>42637</v>
      </c>
      <c r="D680" s="1045" t="s">
        <v>8</v>
      </c>
      <c r="E680" s="1045">
        <v>42637</v>
      </c>
      <c r="F680" s="1046" t="s">
        <v>1215</v>
      </c>
      <c r="G680" s="1047" t="s">
        <v>798</v>
      </c>
      <c r="H680" s="1048" t="s">
        <v>168</v>
      </c>
      <c r="I680" s="1049"/>
      <c r="J680" s="1049"/>
      <c r="K680" s="1050"/>
      <c r="L680" s="1049"/>
      <c r="M680" s="1051">
        <v>12500000</v>
      </c>
      <c r="N680" s="1051"/>
      <c r="O680" s="1052" t="s">
        <v>121</v>
      </c>
      <c r="P680" s="1052" t="s">
        <v>31</v>
      </c>
      <c r="Q680" s="66" t="str">
        <f>IF(AND('331-CT'!$E$7=TH!H680,OR(O680="331",P680="331")),"x","")</f>
        <v/>
      </c>
      <c r="R680" s="66" t="str">
        <f>IF(AND($B680&gt;='111'!$N$11,$B680&lt;='111'!$O$11,OR($O680=$R$7,$P680=$R$7)),"x","")</f>
        <v/>
      </c>
      <c r="S680" s="66" t="str">
        <f>IF(AND($O680=$R$7,$B680&lt;'111'!$N$11),"x","")</f>
        <v/>
      </c>
      <c r="T680" s="66" t="str">
        <f>IF(AND($P680=$R$7,$B680&lt;'111'!$N$11),"x","")</f>
        <v/>
      </c>
      <c r="U680" s="66" t="str">
        <f>IF(AND($B680&gt;='112'!$M$9,$B680&lt;='112'!$N$9,OR($O680='112'!$I$6,$P680='112'!$I$6)),"x","")</f>
        <v>x</v>
      </c>
      <c r="V680" s="66" t="str">
        <f>IF(AND($O680='112'!$I$6,$B680&lt;'112'!$M$9),"x","")</f>
        <v/>
      </c>
      <c r="W680" s="66" t="str">
        <f>IF(AND($P680='112'!$I$6,$B680&lt;'112'!$M$9),"x","")</f>
        <v/>
      </c>
      <c r="X680" s="66" t="str">
        <f>IF(AND('131-CT'!$H$9=TH!H680,OR(O680="131",P680="131")),"x","")</f>
        <v/>
      </c>
      <c r="Y680" s="80" t="str">
        <f>IF(AND($B680&gt;='1331'!$I$9,$B680&lt;='1331'!$J$9,OR($O680=$Y$7,$P680=$Y$7)),"x","")</f>
        <v/>
      </c>
      <c r="Z680" s="80" t="str">
        <f>IF(AND($O680=$Y$7,$B680&lt;'1331'!$I$9),"x","")</f>
        <v/>
      </c>
      <c r="AA680" s="80" t="str">
        <f>IF(AND($P680=$Y$7,$B680&lt;'1331'!$I$9),"x","")</f>
        <v/>
      </c>
      <c r="AB680" s="80" t="str">
        <f>IF(AND($B680&gt;='1332'!$I$9,$B680&lt;='1332'!$I$9,OR($O680=$AB$7,$P680=$AB$7)),"x","")</f>
        <v/>
      </c>
      <c r="AC680" s="80" t="str">
        <f>IF(AND($O680=$AB$7,$B680&lt;'1332'!$I$9),"x","")</f>
        <v/>
      </c>
      <c r="AD680" s="80" t="str">
        <f>IF(AND($P680=$AB$7,$B680&lt;'1332'!$I$9),"x","")</f>
        <v/>
      </c>
      <c r="AE680" s="80" t="str">
        <f>IF(AND('341-CT'!$H$9=H680,OR(LEFT(O680,3)=$AE$7,LEFT(P680,3)=$AE$7)),"x","")</f>
        <v/>
      </c>
      <c r="AF680" s="80" t="str">
        <f>IF(OR(TH!O680=TH!$AF$7,P680=TH!$AF$7),"x","")</f>
        <v/>
      </c>
      <c r="AG680" s="80"/>
      <c r="AH680" s="80" t="str">
        <f>IF(AND(B680&gt;='IN-NX'!$P$3,B680&lt;='IN-NX'!$Q$3,'IN-NX'!$D$7=D680,OR(LEFT(L680,2)="15",AND(LEFT(M680,2)&lt;&gt;"15",LEFT(M680,2)&lt;&gt;"33"))),"x","")</f>
        <v/>
      </c>
      <c r="AI680" s="80" t="str">
        <f>IF(AND(OR(LEFT(TH!O680,2)="15",LEFT(TH!P680,2)="15"),'152-CT'!$J$8=TH!F680),"x","")</f>
        <v/>
      </c>
      <c r="AJ680" s="80" t="str">
        <f>IF(AND(OR(LEFT(TH!O680,2)="15",LEFT(TH!P680,2)="15"),'THE KHO'!$E$7=TH!F680),"x","")</f>
        <v/>
      </c>
      <c r="AK680" s="80" t="str">
        <f>IF(AND(O680="1521",MONTH(C680)='BK NL'!$M$11),"x","")</f>
        <v/>
      </c>
    </row>
    <row r="681" spans="1:39" ht="15.75" customHeight="1">
      <c r="A681" s="362" t="str">
        <f>IF(B681&lt;&gt;"",IF(AND(B681&gt;=_TM1,B681&lt;=_TM2,OR(TH!O681="1111",TH!P681="1111")),TH!D681,""),"")</f>
        <v/>
      </c>
      <c r="B681" s="63">
        <f t="shared" si="48"/>
        <v>9</v>
      </c>
      <c r="C681" s="1045">
        <v>42637</v>
      </c>
      <c r="D681" s="1045" t="s">
        <v>8</v>
      </c>
      <c r="E681" s="1045">
        <v>42637</v>
      </c>
      <c r="F681" s="1046" t="s">
        <v>1215</v>
      </c>
      <c r="G681" s="1047" t="s">
        <v>798</v>
      </c>
      <c r="H681" s="1048" t="s">
        <v>170</v>
      </c>
      <c r="I681" s="1049"/>
      <c r="J681" s="1049"/>
      <c r="K681" s="1050"/>
      <c r="L681" s="1049"/>
      <c r="M681" s="1051">
        <v>8330000</v>
      </c>
      <c r="N681" s="1051"/>
      <c r="O681" s="1052" t="s">
        <v>121</v>
      </c>
      <c r="P681" s="1052" t="s">
        <v>31</v>
      </c>
      <c r="Q681" s="66" t="str">
        <f>IF(AND('331-CT'!$E$7=TH!H681,OR(O681="331",P681="331")),"x","")</f>
        <v/>
      </c>
      <c r="R681" s="66" t="str">
        <f>IF(AND($B681&gt;='111'!$N$11,$B681&lt;='111'!$O$11,OR($O681=$R$7,$P681=$R$7)),"x","")</f>
        <v/>
      </c>
      <c r="S681" s="66" t="str">
        <f>IF(AND($O681=$R$7,$B681&lt;'111'!$N$11),"x","")</f>
        <v/>
      </c>
      <c r="T681" s="66" t="str">
        <f>IF(AND($P681=$R$7,$B681&lt;'111'!$N$11),"x","")</f>
        <v/>
      </c>
      <c r="U681" s="66" t="str">
        <f>IF(AND($B681&gt;='112'!$M$9,$B681&lt;='112'!$N$9,OR($O681='112'!$I$6,$P681='112'!$I$6)),"x","")</f>
        <v>x</v>
      </c>
      <c r="V681" s="66" t="str">
        <f>IF(AND($O681='112'!$I$6,$B681&lt;'112'!$M$9),"x","")</f>
        <v/>
      </c>
      <c r="W681" s="66" t="str">
        <f>IF(AND($P681='112'!$I$6,$B681&lt;'112'!$M$9),"x","")</f>
        <v/>
      </c>
      <c r="X681" s="66" t="str">
        <f>IF(AND('131-CT'!$H$9=TH!H681,OR(O681="131",P681="131")),"x","")</f>
        <v/>
      </c>
      <c r="Y681" s="80" t="str">
        <f>IF(AND($B681&gt;='1331'!$I$9,$B681&lt;='1331'!$J$9,OR($O681=$Y$7,$P681=$Y$7)),"x","")</f>
        <v/>
      </c>
      <c r="Z681" s="80" t="str">
        <f>IF(AND($O681=$Y$7,$B681&lt;'1331'!$I$9),"x","")</f>
        <v/>
      </c>
      <c r="AA681" s="80" t="str">
        <f>IF(AND($P681=$Y$7,$B681&lt;'1331'!$I$9),"x","")</f>
        <v/>
      </c>
      <c r="AB681" s="80" t="str">
        <f>IF(AND($B681&gt;='1332'!$I$9,$B681&lt;='1332'!$I$9,OR($O681=$AB$7,$P681=$AB$7)),"x","")</f>
        <v/>
      </c>
      <c r="AC681" s="80" t="str">
        <f>IF(AND($O681=$AB$7,$B681&lt;'1332'!$I$9),"x","")</f>
        <v/>
      </c>
      <c r="AD681" s="80" t="str">
        <f>IF(AND($P681=$AB$7,$B681&lt;'1332'!$I$9),"x","")</f>
        <v/>
      </c>
      <c r="AE681" s="80" t="str">
        <f>IF(AND('341-CT'!$H$9=H681,OR(LEFT(O681,3)=$AE$7,LEFT(P681,3)=$AE$7)),"x","")</f>
        <v/>
      </c>
      <c r="AF681" s="80" t="str">
        <f>IF(OR(TH!O681=TH!$AF$7,P681=TH!$AF$7),"x","")</f>
        <v/>
      </c>
      <c r="AG681" s="80"/>
      <c r="AH681" s="80" t="str">
        <f>IF(AND(B681&gt;='IN-NX'!$P$3,B681&lt;='IN-NX'!$Q$3,'IN-NX'!$D$7=D681,OR(LEFT(L681,2)="15",AND(LEFT(M681,2)&lt;&gt;"15",LEFT(M681,2)&lt;&gt;"33"))),"x","")</f>
        <v/>
      </c>
      <c r="AI681" s="80" t="str">
        <f>IF(AND(OR(LEFT(TH!O681,2)="15",LEFT(TH!P681,2)="15"),'152-CT'!$J$8=TH!F681),"x","")</f>
        <v/>
      </c>
      <c r="AJ681" s="80" t="str">
        <f>IF(AND(OR(LEFT(TH!O681,2)="15",LEFT(TH!P681,2)="15"),'THE KHO'!$E$7=TH!F681),"x","")</f>
        <v/>
      </c>
      <c r="AK681" s="80" t="str">
        <f>IF(AND(O681="1521",MONTH(C681)='BK NL'!$M$11),"x","")</f>
        <v/>
      </c>
    </row>
    <row r="682" spans="1:39" s="374" customFormat="1" ht="15.75" customHeight="1">
      <c r="A682" s="362" t="str">
        <f>IF(B682&lt;&gt;"",IF(AND(B682&gt;=_TM1,B682&lt;=_TM2,OR(TH!O682="1111",TH!P682="1111")),TH!D682,""),"")</f>
        <v/>
      </c>
      <c r="B682" s="63">
        <f t="shared" ref="B682:B683" si="49">IF(C682&lt;&gt;"",MONTH(C682),"")</f>
        <v>9</v>
      </c>
      <c r="C682" s="337">
        <v>42639</v>
      </c>
      <c r="D682" s="337" t="s">
        <v>8</v>
      </c>
      <c r="E682" s="337">
        <f>C682</f>
        <v>42639</v>
      </c>
      <c r="F682" s="338" t="s">
        <v>1227</v>
      </c>
      <c r="G682" s="351" t="s">
        <v>798</v>
      </c>
      <c r="H682" s="368"/>
      <c r="I682" s="477"/>
      <c r="J682" s="477"/>
      <c r="K682" s="470"/>
      <c r="L682" s="477"/>
      <c r="M682" s="65">
        <v>50000</v>
      </c>
      <c r="N682" s="65"/>
      <c r="O682" s="340" t="s">
        <v>135</v>
      </c>
      <c r="P682" s="340" t="s">
        <v>31</v>
      </c>
      <c r="Q682" s="66" t="str">
        <f>IF(AND('331-CT'!$E$7=TH!H682,OR(O682="331",P682="331")),"x","")</f>
        <v/>
      </c>
      <c r="R682" s="66" t="str">
        <f>IF(AND($B682&gt;='111'!$N$11,$B682&lt;='111'!$O$11,OR($O682=$R$7,$P682=$R$7)),"x","")</f>
        <v/>
      </c>
      <c r="S682" s="66" t="str">
        <f>IF(AND($O682=$R$7,$B682&lt;'111'!$N$11),"x","")</f>
        <v/>
      </c>
      <c r="T682" s="66" t="str">
        <f>IF(AND($P682=$R$7,$B682&lt;'111'!$N$11),"x","")</f>
        <v/>
      </c>
      <c r="U682" s="66" t="str">
        <f>IF(AND($B682&gt;='112'!$M$9,$B682&lt;='112'!$N$9,OR($O682='112'!$I$6,$P682='112'!$I$6)),"x","")</f>
        <v>x</v>
      </c>
      <c r="V682" s="66" t="str">
        <f>IF(AND($O682='112'!$I$6,$B682&lt;'112'!$M$9),"x","")</f>
        <v/>
      </c>
      <c r="W682" s="66" t="str">
        <f>IF(AND($P682='112'!$I$6,$B682&lt;'112'!$M$9),"x","")</f>
        <v/>
      </c>
      <c r="X682" s="66" t="str">
        <f>IF(AND('131-CT'!$H$9=TH!H682,OR(O682="131",P682="131")),"x","")</f>
        <v/>
      </c>
      <c r="Y682" s="80" t="str">
        <f>IF(AND($B682&gt;='1331'!$I$9,$B682&lt;='1331'!$J$9,OR($O682=$Y$7,$P682=$Y$7)),"x","")</f>
        <v/>
      </c>
      <c r="Z682" s="80" t="str">
        <f>IF(AND($O682=$Y$7,$B682&lt;'1331'!$I$9),"x","")</f>
        <v/>
      </c>
      <c r="AA682" s="80" t="str">
        <f>IF(AND($P682=$Y$7,$B682&lt;'1331'!$I$9),"x","")</f>
        <v/>
      </c>
      <c r="AB682" s="80" t="str">
        <f>IF(AND($B682&gt;='1332'!$I$9,$B682&lt;='1332'!$I$9,OR($O682=$AB$7,$P682=$AB$7)),"x","")</f>
        <v/>
      </c>
      <c r="AC682" s="80" t="str">
        <f>IF(AND($O682=$AB$7,$B682&lt;'1332'!$I$9),"x","")</f>
        <v/>
      </c>
      <c r="AD682" s="80" t="str">
        <f>IF(AND($P682=$AB$7,$B682&lt;'1332'!$I$9),"x","")</f>
        <v/>
      </c>
      <c r="AE682" s="80" t="str">
        <f>IF(AND('341-CT'!$H$9=H682,OR(LEFT(O682,3)=$AE$7,LEFT(P682,3)=$AE$7)),"x","")</f>
        <v/>
      </c>
      <c r="AF682" s="80" t="str">
        <f>IF(OR(TH!O682=TH!$AF$7,P682=TH!$AF$7),"x","")</f>
        <v/>
      </c>
      <c r="AG682" s="80"/>
      <c r="AH682" s="80" t="str">
        <f>IF(AND(B682&gt;='IN-NX'!$P$3,B682&lt;='IN-NX'!$Q$3,'IN-NX'!$D$7=D682,OR(LEFT(L682,2)="15",AND(LEFT(M682,2)&lt;&gt;"15",LEFT(M682,2)&lt;&gt;"33"))),"x","")</f>
        <v/>
      </c>
      <c r="AI682" s="80" t="str">
        <f>IF(AND(OR(LEFT(TH!O682,2)="15",LEFT(TH!P682,2)="15"),'152-CT'!$J$8=TH!F682),"x","")</f>
        <v/>
      </c>
      <c r="AJ682" s="80" t="str">
        <f>IF(AND(OR(LEFT(TH!O682,2)="15",LEFT(TH!P682,2)="15"),'THE KHO'!$E$7=TH!F682),"x","")</f>
        <v/>
      </c>
      <c r="AK682" s="80" t="str">
        <f>IF(AND(O682="1521",MONTH(C682)='BK NL'!$M$11),"x","")</f>
        <v/>
      </c>
      <c r="AM682" s="374">
        <v>1</v>
      </c>
    </row>
    <row r="683" spans="1:39" s="374" customFormat="1" ht="15.75" customHeight="1">
      <c r="A683" s="362" t="str">
        <f>IF(B683&lt;&gt;"",IF(AND(B683&gt;=_TM1,B683&lt;=_TM2,OR(TH!O683="1111",TH!P683="1111")),TH!D683,""),"")</f>
        <v/>
      </c>
      <c r="B683" s="63">
        <f t="shared" si="49"/>
        <v>9</v>
      </c>
      <c r="C683" s="337">
        <v>42639</v>
      </c>
      <c r="D683" s="337" t="s">
        <v>8</v>
      </c>
      <c r="E683" s="337">
        <f t="shared" ref="E683" si="50">C683</f>
        <v>42639</v>
      </c>
      <c r="F683" s="338" t="s">
        <v>824</v>
      </c>
      <c r="G683" s="351" t="s">
        <v>798</v>
      </c>
      <c r="H683" s="339"/>
      <c r="I683" s="476"/>
      <c r="J683" s="476"/>
      <c r="K683" s="469"/>
      <c r="L683" s="476"/>
      <c r="M683" s="88">
        <v>5000</v>
      </c>
      <c r="N683" s="88"/>
      <c r="O683" s="340" t="s">
        <v>10</v>
      </c>
      <c r="P683" s="340" t="s">
        <v>31</v>
      </c>
      <c r="Q683" s="66" t="str">
        <f>IF(AND('331-CT'!$E$7=TH!H683,OR(O683="331",P683="331")),"x","")</f>
        <v/>
      </c>
      <c r="R683" s="66" t="str">
        <f>IF(AND($B683&gt;='111'!$N$11,$B683&lt;='111'!$O$11,OR($O683=$R$7,$P683=$R$7)),"x","")</f>
        <v/>
      </c>
      <c r="S683" s="66" t="str">
        <f>IF(AND($O683=$R$7,$B683&lt;'111'!$N$11),"x","")</f>
        <v/>
      </c>
      <c r="T683" s="66" t="str">
        <f>IF(AND($P683=$R$7,$B683&lt;'111'!$N$11),"x","")</f>
        <v/>
      </c>
      <c r="U683" s="66" t="str">
        <f>IF(AND($B683&gt;='112'!$M$9,$B683&lt;='112'!$N$9,OR($O683='112'!$I$6,$P683='112'!$I$6)),"x","")</f>
        <v>x</v>
      </c>
      <c r="V683" s="66" t="str">
        <f>IF(AND($O683='112'!$I$6,$B683&lt;'112'!$M$9),"x","")</f>
        <v/>
      </c>
      <c r="W683" s="66" t="str">
        <f>IF(AND($P683='112'!$I$6,$B683&lt;'112'!$M$9),"x","")</f>
        <v/>
      </c>
      <c r="X683" s="66" t="str">
        <f>IF(AND('131-CT'!$H$9=TH!H683,OR(O683="131",P683="131")),"x","")</f>
        <v/>
      </c>
      <c r="Y683" s="80" t="str">
        <f>IF(AND($B683&gt;='1331'!$I$9,$B683&lt;='1331'!$J$9,OR($O683=$Y$7,$P683=$Y$7)),"x","")</f>
        <v>x</v>
      </c>
      <c r="Z683" s="80" t="str">
        <f>IF(AND($O683=$Y$7,$B683&lt;'1331'!$I$9),"x","")</f>
        <v/>
      </c>
      <c r="AA683" s="80" t="str">
        <f>IF(AND($P683=$Y$7,$B683&lt;'1331'!$I$9),"x","")</f>
        <v/>
      </c>
      <c r="AB683" s="80" t="str">
        <f>IF(AND($B683&gt;='1332'!$I$9,$B683&lt;='1332'!$I$9,OR($O683=$AB$7,$P683=$AB$7)),"x","")</f>
        <v/>
      </c>
      <c r="AC683" s="80" t="str">
        <f>IF(AND($O683=$AB$7,$B683&lt;'1332'!$I$9),"x","")</f>
        <v/>
      </c>
      <c r="AD683" s="80" t="str">
        <f>IF(AND($P683=$AB$7,$B683&lt;'1332'!$I$9),"x","")</f>
        <v/>
      </c>
      <c r="AE683" s="80" t="str">
        <f>IF(AND('341-CT'!$H$9=H683,OR(LEFT(O683,3)=$AE$7,LEFT(P683,3)=$AE$7)),"x","")</f>
        <v/>
      </c>
      <c r="AF683" s="80" t="str">
        <f>IF(OR(TH!O683=TH!$AF$7,P683=TH!$AF$7),"x","")</f>
        <v/>
      </c>
      <c r="AG683" s="80"/>
      <c r="AH683" s="80" t="str">
        <f>IF(AND(B683&gt;='IN-NX'!$P$3,B683&lt;='IN-NX'!$Q$3,'IN-NX'!$D$7=D683,OR(LEFT(L683,2)="15",AND(LEFT(M683,2)&lt;&gt;"15",LEFT(M683,2)&lt;&gt;"33"))),"x","")</f>
        <v/>
      </c>
      <c r="AI683" s="80" t="str">
        <f>IF(AND(OR(LEFT(TH!O683,2)="15",LEFT(TH!P683,2)="15"),'152-CT'!$J$8=TH!F683),"x","")</f>
        <v/>
      </c>
      <c r="AJ683" s="80" t="str">
        <f>IF(AND(OR(LEFT(TH!O683,2)="15",LEFT(TH!P683,2)="15"),'THE KHO'!$E$7=TH!F683),"x","")</f>
        <v/>
      </c>
      <c r="AK683" s="80" t="str">
        <f>IF(AND(O683="1521",MONTH(C683)='BK NL'!$M$11),"x","")</f>
        <v/>
      </c>
      <c r="AM683" s="374">
        <v>1</v>
      </c>
    </row>
    <row r="684" spans="1:39" s="374" customFormat="1" ht="15.75" customHeight="1">
      <c r="A684" s="362" t="str">
        <f>IF(B684&lt;&gt;"",IF(AND(B684&gt;=_TM1,B684&lt;=_TM2,OR(TH!O684="1111",TH!P684="1111")),TH!D684,""),"")</f>
        <v/>
      </c>
      <c r="B684" s="63">
        <f t="shared" si="48"/>
        <v>9</v>
      </c>
      <c r="C684" s="337">
        <v>42639</v>
      </c>
      <c r="D684" s="337" t="s">
        <v>8</v>
      </c>
      <c r="E684" s="337">
        <f t="shared" ref="E684:E685" si="51">C684</f>
        <v>42639</v>
      </c>
      <c r="F684" s="338" t="s">
        <v>1228</v>
      </c>
      <c r="G684" s="351" t="s">
        <v>798</v>
      </c>
      <c r="H684" s="368"/>
      <c r="I684" s="477"/>
      <c r="J684" s="477"/>
      <c r="K684" s="470"/>
      <c r="L684" s="477"/>
      <c r="M684" s="65">
        <v>50000</v>
      </c>
      <c r="N684" s="65"/>
      <c r="O684" s="340" t="s">
        <v>135</v>
      </c>
      <c r="P684" s="340" t="s">
        <v>31</v>
      </c>
      <c r="Q684" s="66" t="str">
        <f>IF(AND('331-CT'!$E$7=TH!H684,OR(O684="331",P684="331")),"x","")</f>
        <v/>
      </c>
      <c r="R684" s="66" t="str">
        <f>IF(AND($B684&gt;='111'!$N$11,$B684&lt;='111'!$O$11,OR($O684=$R$7,$P684=$R$7)),"x","")</f>
        <v/>
      </c>
      <c r="S684" s="66" t="str">
        <f>IF(AND($O684=$R$7,$B684&lt;'111'!$N$11),"x","")</f>
        <v/>
      </c>
      <c r="T684" s="66" t="str">
        <f>IF(AND($P684=$R$7,$B684&lt;'111'!$N$11),"x","")</f>
        <v/>
      </c>
      <c r="U684" s="66" t="str">
        <f>IF(AND($B684&gt;='112'!$M$9,$B684&lt;='112'!$N$9,OR($O684='112'!$I$6,$P684='112'!$I$6)),"x","")</f>
        <v>x</v>
      </c>
      <c r="V684" s="66" t="str">
        <f>IF(AND($O684='112'!$I$6,$B684&lt;'112'!$M$9),"x","")</f>
        <v/>
      </c>
      <c r="W684" s="66" t="str">
        <f>IF(AND($P684='112'!$I$6,$B684&lt;'112'!$M$9),"x","")</f>
        <v/>
      </c>
      <c r="X684" s="66" t="str">
        <f>IF(AND('131-CT'!$H$9=TH!H684,OR(O684="131",P684="131")),"x","")</f>
        <v/>
      </c>
      <c r="Y684" s="80" t="str">
        <f>IF(AND($B684&gt;='1331'!$I$9,$B684&lt;='1331'!$J$9,OR($O684=$Y$7,$P684=$Y$7)),"x","")</f>
        <v/>
      </c>
      <c r="Z684" s="80" t="str">
        <f>IF(AND($O684=$Y$7,$B684&lt;'1331'!$I$9),"x","")</f>
        <v/>
      </c>
      <c r="AA684" s="80" t="str">
        <f>IF(AND($P684=$Y$7,$B684&lt;'1331'!$I$9),"x","")</f>
        <v/>
      </c>
      <c r="AB684" s="80" t="str">
        <f>IF(AND($B684&gt;='1332'!$I$9,$B684&lt;='1332'!$I$9,OR($O684=$AB$7,$P684=$AB$7)),"x","")</f>
        <v/>
      </c>
      <c r="AC684" s="80" t="str">
        <f>IF(AND($O684=$AB$7,$B684&lt;'1332'!$I$9),"x","")</f>
        <v/>
      </c>
      <c r="AD684" s="80" t="str">
        <f>IF(AND($P684=$AB$7,$B684&lt;'1332'!$I$9),"x","")</f>
        <v/>
      </c>
      <c r="AE684" s="80" t="str">
        <f>IF(AND('341-CT'!$H$9=H684,OR(LEFT(O684,3)=$AE$7,LEFT(P684,3)=$AE$7)),"x","")</f>
        <v/>
      </c>
      <c r="AF684" s="80" t="str">
        <f>IF(OR(TH!O684=TH!$AF$7,P684=TH!$AF$7),"x","")</f>
        <v/>
      </c>
      <c r="AG684" s="80"/>
      <c r="AH684" s="80" t="str">
        <f>IF(AND(B684&gt;='IN-NX'!$P$3,B684&lt;='IN-NX'!$Q$3,'IN-NX'!$D$7=D684,OR(LEFT(L684,2)="15",AND(LEFT(M684,2)&lt;&gt;"15",LEFT(M684,2)&lt;&gt;"33"))),"x","")</f>
        <v/>
      </c>
      <c r="AI684" s="80" t="str">
        <f>IF(AND(OR(LEFT(TH!O684,2)="15",LEFT(TH!P684,2)="15"),'152-CT'!$J$8=TH!F684),"x","")</f>
        <v/>
      </c>
      <c r="AJ684" s="80" t="str">
        <f>IF(AND(OR(LEFT(TH!O684,2)="15",LEFT(TH!P684,2)="15"),'THE KHO'!$E$7=TH!F684),"x","")</f>
        <v/>
      </c>
      <c r="AK684" s="80" t="str">
        <f>IF(AND(O684="1521",MONTH(C684)='BK NL'!$M$11),"x","")</f>
        <v/>
      </c>
      <c r="AM684" s="374">
        <v>1</v>
      </c>
    </row>
    <row r="685" spans="1:39" s="374" customFormat="1" ht="15.75" customHeight="1">
      <c r="A685" s="362" t="str">
        <f>IF(B685&lt;&gt;"",IF(AND(B685&gt;=_TM1,B685&lt;=_TM2,OR(TH!O685="1111",TH!P685="1111")),TH!D685,""),"")</f>
        <v/>
      </c>
      <c r="B685" s="63">
        <f t="shared" si="48"/>
        <v>9</v>
      </c>
      <c r="C685" s="337">
        <v>42639</v>
      </c>
      <c r="D685" s="337" t="s">
        <v>8</v>
      </c>
      <c r="E685" s="337">
        <f t="shared" si="51"/>
        <v>42639</v>
      </c>
      <c r="F685" s="338" t="s">
        <v>824</v>
      </c>
      <c r="G685" s="351" t="s">
        <v>798</v>
      </c>
      <c r="H685" s="339"/>
      <c r="I685" s="476"/>
      <c r="J685" s="476"/>
      <c r="K685" s="469"/>
      <c r="L685" s="476"/>
      <c r="M685" s="88">
        <v>5000</v>
      </c>
      <c r="N685" s="88"/>
      <c r="O685" s="340" t="s">
        <v>10</v>
      </c>
      <c r="P685" s="340" t="s">
        <v>31</v>
      </c>
      <c r="Q685" s="66" t="str">
        <f>IF(AND('331-CT'!$E$7=TH!H685,OR(O685="331",P685="331")),"x","")</f>
        <v/>
      </c>
      <c r="R685" s="66" t="str">
        <f>IF(AND($B685&gt;='111'!$N$11,$B685&lt;='111'!$O$11,OR($O685=$R$7,$P685=$R$7)),"x","")</f>
        <v/>
      </c>
      <c r="S685" s="66" t="str">
        <f>IF(AND($O685=$R$7,$B685&lt;'111'!$N$11),"x","")</f>
        <v/>
      </c>
      <c r="T685" s="66" t="str">
        <f>IF(AND($P685=$R$7,$B685&lt;'111'!$N$11),"x","")</f>
        <v/>
      </c>
      <c r="U685" s="66" t="str">
        <f>IF(AND($B685&gt;='112'!$M$9,$B685&lt;='112'!$N$9,OR($O685='112'!$I$6,$P685='112'!$I$6)),"x","")</f>
        <v>x</v>
      </c>
      <c r="V685" s="66" t="str">
        <f>IF(AND($O685='112'!$I$6,$B685&lt;'112'!$M$9),"x","")</f>
        <v/>
      </c>
      <c r="W685" s="66" t="str">
        <f>IF(AND($P685='112'!$I$6,$B685&lt;'112'!$M$9),"x","")</f>
        <v/>
      </c>
      <c r="X685" s="66" t="str">
        <f>IF(AND('131-CT'!$H$9=TH!H685,OR(O685="131",P685="131")),"x","")</f>
        <v/>
      </c>
      <c r="Y685" s="80" t="str">
        <f>IF(AND($B685&gt;='1331'!$I$9,$B685&lt;='1331'!$J$9,OR($O685=$Y$7,$P685=$Y$7)),"x","")</f>
        <v>x</v>
      </c>
      <c r="Z685" s="80" t="str">
        <f>IF(AND($O685=$Y$7,$B685&lt;'1331'!$I$9),"x","")</f>
        <v/>
      </c>
      <c r="AA685" s="80" t="str">
        <f>IF(AND($P685=$Y$7,$B685&lt;'1331'!$I$9),"x","")</f>
        <v/>
      </c>
      <c r="AB685" s="80" t="str">
        <f>IF(AND($B685&gt;='1332'!$I$9,$B685&lt;='1332'!$I$9,OR($O685=$AB$7,$P685=$AB$7)),"x","")</f>
        <v/>
      </c>
      <c r="AC685" s="80" t="str">
        <f>IF(AND($O685=$AB$7,$B685&lt;'1332'!$I$9),"x","")</f>
        <v/>
      </c>
      <c r="AD685" s="80" t="str">
        <f>IF(AND($P685=$AB$7,$B685&lt;'1332'!$I$9),"x","")</f>
        <v/>
      </c>
      <c r="AE685" s="80" t="str">
        <f>IF(AND('341-CT'!$H$9=H685,OR(LEFT(O685,3)=$AE$7,LEFT(P685,3)=$AE$7)),"x","")</f>
        <v/>
      </c>
      <c r="AF685" s="80" t="str">
        <f>IF(OR(TH!O685=TH!$AF$7,P685=TH!$AF$7),"x","")</f>
        <v/>
      </c>
      <c r="AG685" s="80"/>
      <c r="AH685" s="80" t="str">
        <f>IF(AND(B685&gt;='IN-NX'!$P$3,B685&lt;='IN-NX'!$Q$3,'IN-NX'!$D$7=D685,OR(LEFT(L685,2)="15",AND(LEFT(M685,2)&lt;&gt;"15",LEFT(M685,2)&lt;&gt;"33"))),"x","")</f>
        <v/>
      </c>
      <c r="AI685" s="80" t="str">
        <f>IF(AND(OR(LEFT(TH!O685,2)="15",LEFT(TH!P685,2)="15"),'152-CT'!$J$8=TH!F685),"x","")</f>
        <v/>
      </c>
      <c r="AJ685" s="80" t="str">
        <f>IF(AND(OR(LEFT(TH!O685,2)="15",LEFT(TH!P685,2)="15"),'THE KHO'!$E$7=TH!F685),"x","")</f>
        <v/>
      </c>
      <c r="AK685" s="80" t="str">
        <f>IF(AND(O685="1521",MONTH(C685)='BK NL'!$M$11),"x","")</f>
        <v/>
      </c>
      <c r="AM685" s="374">
        <v>1</v>
      </c>
    </row>
    <row r="686" spans="1:39" ht="15.75" customHeight="1">
      <c r="A686" s="362" t="str">
        <f>IF(B686&lt;&gt;"",IF(AND(B686&gt;=_TM1,B686&lt;=_TM2,OR(TH!O686="1111",TH!P686="1111")),TH!D686,""),"")</f>
        <v/>
      </c>
      <c r="B686" s="63">
        <f t="shared" si="48"/>
        <v>9</v>
      </c>
      <c r="C686" s="1045">
        <v>42641</v>
      </c>
      <c r="D686" s="1045" t="s">
        <v>747</v>
      </c>
      <c r="E686" s="1045">
        <v>42641</v>
      </c>
      <c r="F686" s="1046" t="s">
        <v>1074</v>
      </c>
      <c r="G686" s="1047"/>
      <c r="H686" s="1048" t="s">
        <v>1216</v>
      </c>
      <c r="I686" s="1049"/>
      <c r="J686" s="1049"/>
      <c r="K686" s="1050"/>
      <c r="L686" s="1049"/>
      <c r="M686" s="1051">
        <v>160000000</v>
      </c>
      <c r="N686" s="1051"/>
      <c r="O686" s="1052" t="s">
        <v>31</v>
      </c>
      <c r="P686" s="1052" t="s">
        <v>97</v>
      </c>
      <c r="Q686" s="66" t="str">
        <f>IF(AND('331-CT'!$E$7=TH!H686,OR(O686="331",P686="331")),"x","")</f>
        <v/>
      </c>
      <c r="R686" s="66" t="str">
        <f>IF(AND($B686&gt;='111'!$N$11,$B686&lt;='111'!$O$11,OR($O686=$R$7,$P686=$R$7)),"x","")</f>
        <v>x</v>
      </c>
      <c r="S686" s="66" t="str">
        <f>IF(AND($O686=$R$7,$B686&lt;'111'!$N$11),"x","")</f>
        <v/>
      </c>
      <c r="T686" s="66" t="str">
        <f>IF(AND($P686=$R$7,$B686&lt;'111'!$N$11),"x","")</f>
        <v/>
      </c>
      <c r="U686" s="66" t="str">
        <f>IF(AND($B686&gt;='112'!$M$9,$B686&lt;='112'!$N$9,OR($O686='112'!$I$6,$P686='112'!$I$6)),"x","")</f>
        <v>x</v>
      </c>
      <c r="V686" s="66" t="str">
        <f>IF(AND($O686='112'!$I$6,$B686&lt;'112'!$M$9),"x","")</f>
        <v/>
      </c>
      <c r="W686" s="66" t="str">
        <f>IF(AND($P686='112'!$I$6,$B686&lt;'112'!$M$9),"x","")</f>
        <v/>
      </c>
      <c r="X686" s="66" t="str">
        <f>IF(AND('131-CT'!$H$9=TH!H686,OR(O686="131",P686="131")),"x","")</f>
        <v/>
      </c>
      <c r="Y686" s="80" t="str">
        <f>IF(AND($B686&gt;='1331'!$I$9,$B686&lt;='1331'!$J$9,OR($O686=$Y$7,$P686=$Y$7)),"x","")</f>
        <v/>
      </c>
      <c r="Z686" s="80" t="str">
        <f>IF(AND($O686=$Y$7,$B686&lt;'1331'!$I$9),"x","")</f>
        <v/>
      </c>
      <c r="AA686" s="80" t="str">
        <f>IF(AND($P686=$Y$7,$B686&lt;'1331'!$I$9),"x","")</f>
        <v/>
      </c>
      <c r="AB686" s="80" t="str">
        <f>IF(AND($B686&gt;='1332'!$I$9,$B686&lt;='1332'!$I$9,OR($O686=$AB$7,$P686=$AB$7)),"x","")</f>
        <v/>
      </c>
      <c r="AC686" s="80" t="str">
        <f>IF(AND($O686=$AB$7,$B686&lt;'1332'!$I$9),"x","")</f>
        <v/>
      </c>
      <c r="AD686" s="80" t="str">
        <f>IF(AND($P686=$AB$7,$B686&lt;'1332'!$I$9),"x","")</f>
        <v/>
      </c>
      <c r="AE686" s="80" t="str">
        <f>IF(AND('341-CT'!$H$9=H686,OR(LEFT(O686,3)=$AE$7,LEFT(P686,3)=$AE$7)),"x","")</f>
        <v/>
      </c>
      <c r="AF686" s="80" t="str">
        <f>IF(OR(TH!O686=TH!$AF$7,P686=TH!$AF$7),"x","")</f>
        <v/>
      </c>
      <c r="AG686" s="80"/>
      <c r="AH686" s="80" t="str">
        <f>IF(AND(B686&gt;='IN-NX'!$P$3,B686&lt;='IN-NX'!$Q$3,'IN-NX'!$D$7=D686,OR(LEFT(L686,2)="15",AND(LEFT(M686,2)&lt;&gt;"15",LEFT(M686,2)&lt;&gt;"33"))),"x","")</f>
        <v/>
      </c>
      <c r="AI686" s="80" t="str">
        <f>IF(AND(OR(LEFT(TH!O686,2)="15",LEFT(TH!P686,2)="15"),'152-CT'!$J$8=TH!F686),"x","")</f>
        <v/>
      </c>
      <c r="AJ686" s="80" t="str">
        <f>IF(AND(OR(LEFT(TH!O686,2)="15",LEFT(TH!P686,2)="15"),'THE KHO'!$E$7=TH!F686),"x","")</f>
        <v/>
      </c>
      <c r="AK686" s="80" t="str">
        <f>IF(AND(O686="1521",MONTH(C686)='BK NL'!$M$11),"x","")</f>
        <v/>
      </c>
    </row>
    <row r="687" spans="1:39" ht="15.75" customHeight="1">
      <c r="A687" s="362" t="str">
        <f>IF(B687&lt;&gt;"",IF(AND(B687&gt;=_TM1,B687&lt;=_TM2,OR(TH!O687="1111",TH!P687="1111")),TH!D687,""),"")</f>
        <v/>
      </c>
      <c r="B687" s="63">
        <f t="shared" si="48"/>
        <v>9</v>
      </c>
      <c r="C687" s="1045">
        <v>42641</v>
      </c>
      <c r="D687" s="1045" t="s">
        <v>8</v>
      </c>
      <c r="E687" s="1045">
        <v>42641</v>
      </c>
      <c r="F687" s="1046" t="s">
        <v>1215</v>
      </c>
      <c r="G687" s="1047" t="s">
        <v>798</v>
      </c>
      <c r="H687" s="1048" t="s">
        <v>171</v>
      </c>
      <c r="I687" s="1049"/>
      <c r="J687" s="1049"/>
      <c r="K687" s="1050"/>
      <c r="L687" s="1049"/>
      <c r="M687" s="1051">
        <v>12500000</v>
      </c>
      <c r="N687" s="1051"/>
      <c r="O687" s="1052" t="s">
        <v>121</v>
      </c>
      <c r="P687" s="1052" t="s">
        <v>31</v>
      </c>
      <c r="Q687" s="66" t="str">
        <f>IF(AND('331-CT'!$E$7=TH!H687,OR(O687="331",P687="331")),"x","")</f>
        <v/>
      </c>
      <c r="R687" s="66" t="str">
        <f>IF(AND($B687&gt;='111'!$N$11,$B687&lt;='111'!$O$11,OR($O687=$R$7,$P687=$R$7)),"x","")</f>
        <v/>
      </c>
      <c r="S687" s="66" t="str">
        <f>IF(AND($O687=$R$7,$B687&lt;'111'!$N$11),"x","")</f>
        <v/>
      </c>
      <c r="T687" s="66" t="str">
        <f>IF(AND($P687=$R$7,$B687&lt;'111'!$N$11),"x","")</f>
        <v/>
      </c>
      <c r="U687" s="66" t="str">
        <f>IF(AND($B687&gt;='112'!$M$9,$B687&lt;='112'!$N$9,OR($O687='112'!$I$6,$P687='112'!$I$6)),"x","")</f>
        <v>x</v>
      </c>
      <c r="V687" s="66" t="str">
        <f>IF(AND($O687='112'!$I$6,$B687&lt;'112'!$M$9),"x","")</f>
        <v/>
      </c>
      <c r="W687" s="66" t="str">
        <f>IF(AND($P687='112'!$I$6,$B687&lt;'112'!$M$9),"x","")</f>
        <v/>
      </c>
      <c r="X687" s="66" t="str">
        <f>IF(AND('131-CT'!$H$9=TH!H687,OR(O687="131",P687="131")),"x","")</f>
        <v/>
      </c>
      <c r="Y687" s="80" t="str">
        <f>IF(AND($B687&gt;='1331'!$I$9,$B687&lt;='1331'!$J$9,OR($O687=$Y$7,$P687=$Y$7)),"x","")</f>
        <v/>
      </c>
      <c r="Z687" s="80" t="str">
        <f>IF(AND($O687=$Y$7,$B687&lt;'1331'!$I$9),"x","")</f>
        <v/>
      </c>
      <c r="AA687" s="80" t="str">
        <f>IF(AND($P687=$Y$7,$B687&lt;'1331'!$I$9),"x","")</f>
        <v/>
      </c>
      <c r="AB687" s="80" t="str">
        <f>IF(AND($B687&gt;='1332'!$I$9,$B687&lt;='1332'!$I$9,OR($O687=$AB$7,$P687=$AB$7)),"x","")</f>
        <v/>
      </c>
      <c r="AC687" s="80" t="str">
        <f>IF(AND($O687=$AB$7,$B687&lt;'1332'!$I$9),"x","")</f>
        <v/>
      </c>
      <c r="AD687" s="80" t="str">
        <f>IF(AND($P687=$AB$7,$B687&lt;'1332'!$I$9),"x","")</f>
        <v/>
      </c>
      <c r="AE687" s="80" t="str">
        <f>IF(AND('341-CT'!$H$9=H687,OR(LEFT(O687,3)=$AE$7,LEFT(P687,3)=$AE$7)),"x","")</f>
        <v/>
      </c>
      <c r="AF687" s="80" t="str">
        <f>IF(OR(TH!O687=TH!$AF$7,P687=TH!$AF$7),"x","")</f>
        <v/>
      </c>
      <c r="AG687" s="80"/>
      <c r="AH687" s="80" t="str">
        <f>IF(AND(B687&gt;='IN-NX'!$P$3,B687&lt;='IN-NX'!$Q$3,'IN-NX'!$D$7=D687,OR(LEFT(L687,2)="15",AND(LEFT(M687,2)&lt;&gt;"15",LEFT(M687,2)&lt;&gt;"33"))),"x","")</f>
        <v/>
      </c>
      <c r="AI687" s="80" t="str">
        <f>IF(AND(OR(LEFT(TH!O687,2)="15",LEFT(TH!P687,2)="15"),'152-CT'!$J$8=TH!F687),"x","")</f>
        <v/>
      </c>
      <c r="AJ687" s="80" t="str">
        <f>IF(AND(OR(LEFT(TH!O687,2)="15",LEFT(TH!P687,2)="15"),'THE KHO'!$E$7=TH!F687),"x","")</f>
        <v/>
      </c>
      <c r="AK687" s="80" t="str">
        <f>IF(AND(O687="1521",MONTH(C687)='BK NL'!$M$11),"x","")</f>
        <v/>
      </c>
    </row>
    <row r="688" spans="1:39" ht="15.75" customHeight="1">
      <c r="A688" s="362" t="str">
        <f>IF(B688&lt;&gt;"",IF(AND(B688&gt;=_TM1,B688&lt;=_TM2,OR(TH!O688="1111",TH!P688="1111")),TH!D688,""),"")</f>
        <v/>
      </c>
      <c r="B688" s="63">
        <f t="shared" si="48"/>
        <v>9</v>
      </c>
      <c r="C688" s="1045">
        <v>42641</v>
      </c>
      <c r="D688" s="1045" t="s">
        <v>8</v>
      </c>
      <c r="E688" s="1045">
        <v>42641</v>
      </c>
      <c r="F688" s="1046" t="s">
        <v>1215</v>
      </c>
      <c r="G688" s="1047" t="s">
        <v>798</v>
      </c>
      <c r="H688" s="1048" t="s">
        <v>172</v>
      </c>
      <c r="I688" s="1049"/>
      <c r="J688" s="1049"/>
      <c r="K688" s="1050"/>
      <c r="L688" s="1049"/>
      <c r="M688" s="1051">
        <v>16670000</v>
      </c>
      <c r="N688" s="1051"/>
      <c r="O688" s="1052" t="s">
        <v>121</v>
      </c>
      <c r="P688" s="1052" t="s">
        <v>31</v>
      </c>
      <c r="Q688" s="66" t="str">
        <f>IF(AND('331-CT'!$E$7=TH!H688,OR(O688="331",P688="331")),"x","")</f>
        <v/>
      </c>
      <c r="R688" s="66" t="str">
        <f>IF(AND($B688&gt;='111'!$N$11,$B688&lt;='111'!$O$11,OR($O688=$R$7,$P688=$R$7)),"x","")</f>
        <v/>
      </c>
      <c r="S688" s="66" t="str">
        <f>IF(AND($O688=$R$7,$B688&lt;'111'!$N$11),"x","")</f>
        <v/>
      </c>
      <c r="T688" s="66" t="str">
        <f>IF(AND($P688=$R$7,$B688&lt;'111'!$N$11),"x","")</f>
        <v/>
      </c>
      <c r="U688" s="66" t="str">
        <f>IF(AND($B688&gt;='112'!$M$9,$B688&lt;='112'!$N$9,OR($O688='112'!$I$6,$P688='112'!$I$6)),"x","")</f>
        <v>x</v>
      </c>
      <c r="V688" s="66" t="str">
        <f>IF(AND($O688='112'!$I$6,$B688&lt;'112'!$M$9),"x","")</f>
        <v/>
      </c>
      <c r="W688" s="66" t="str">
        <f>IF(AND($P688='112'!$I$6,$B688&lt;'112'!$M$9),"x","")</f>
        <v/>
      </c>
      <c r="X688" s="66" t="str">
        <f>IF(AND('131-CT'!$H$9=TH!H688,OR(O688="131",P688="131")),"x","")</f>
        <v/>
      </c>
      <c r="Y688" s="80" t="str">
        <f>IF(AND($B688&gt;='1331'!$I$9,$B688&lt;='1331'!$J$9,OR($O688=$Y$7,$P688=$Y$7)),"x","")</f>
        <v/>
      </c>
      <c r="Z688" s="80" t="str">
        <f>IF(AND($O688=$Y$7,$B688&lt;'1331'!$I$9),"x","")</f>
        <v/>
      </c>
      <c r="AA688" s="80" t="str">
        <f>IF(AND($P688=$Y$7,$B688&lt;'1331'!$I$9),"x","")</f>
        <v/>
      </c>
      <c r="AB688" s="80" t="str">
        <f>IF(AND($B688&gt;='1332'!$I$9,$B688&lt;='1332'!$I$9,OR($O688=$AB$7,$P688=$AB$7)),"x","")</f>
        <v/>
      </c>
      <c r="AC688" s="80" t="str">
        <f>IF(AND($O688=$AB$7,$B688&lt;'1332'!$I$9),"x","")</f>
        <v/>
      </c>
      <c r="AD688" s="80" t="str">
        <f>IF(AND($P688=$AB$7,$B688&lt;'1332'!$I$9),"x","")</f>
        <v/>
      </c>
      <c r="AE688" s="80" t="str">
        <f>IF(AND('341-CT'!$H$9=H688,OR(LEFT(O688,3)=$AE$7,LEFT(P688,3)=$AE$7)),"x","")</f>
        <v/>
      </c>
      <c r="AF688" s="80" t="str">
        <f>IF(OR(TH!O688=TH!$AF$7,P688=TH!$AF$7),"x","")</f>
        <v/>
      </c>
      <c r="AG688" s="80"/>
      <c r="AH688" s="80" t="str">
        <f>IF(AND(B688&gt;='IN-NX'!$P$3,B688&lt;='IN-NX'!$Q$3,'IN-NX'!$D$7=D688,OR(LEFT(L688,2)="15",AND(LEFT(M688,2)&lt;&gt;"15",LEFT(M688,2)&lt;&gt;"33"))),"x","")</f>
        <v/>
      </c>
      <c r="AI688" s="80" t="str">
        <f>IF(AND(OR(LEFT(TH!O688,2)="15",LEFT(TH!P688,2)="15"),'152-CT'!$J$8=TH!F688),"x","")</f>
        <v/>
      </c>
      <c r="AJ688" s="80" t="str">
        <f>IF(AND(OR(LEFT(TH!O688,2)="15",LEFT(TH!P688,2)="15"),'THE KHO'!$E$7=TH!F688),"x","")</f>
        <v/>
      </c>
      <c r="AK688" s="80" t="str">
        <f>IF(AND(O688="1521",MONTH(C688)='BK NL'!$M$11),"x","")</f>
        <v/>
      </c>
    </row>
    <row r="689" spans="1:37" ht="15.75" customHeight="1">
      <c r="A689" s="362" t="str">
        <f>IF(B689&lt;&gt;"",IF(AND(B689&gt;=_TM1,B689&lt;=_TM2,OR(TH!O689="1111",TH!P689="1111")),TH!D689,""),"")</f>
        <v/>
      </c>
      <c r="B689" s="63">
        <f t="shared" si="48"/>
        <v>9</v>
      </c>
      <c r="C689" s="1045">
        <v>42641</v>
      </c>
      <c r="D689" s="1045" t="s">
        <v>8</v>
      </c>
      <c r="E689" s="1045">
        <v>42641</v>
      </c>
      <c r="F689" s="1046" t="s">
        <v>1215</v>
      </c>
      <c r="G689" s="1047" t="s">
        <v>798</v>
      </c>
      <c r="H689" s="1048" t="s">
        <v>173</v>
      </c>
      <c r="I689" s="1049"/>
      <c r="J689" s="1049"/>
      <c r="K689" s="1050"/>
      <c r="L689" s="1049"/>
      <c r="M689" s="1051">
        <v>11670000</v>
      </c>
      <c r="N689" s="1051"/>
      <c r="O689" s="1052" t="s">
        <v>121</v>
      </c>
      <c r="P689" s="1052" t="s">
        <v>31</v>
      </c>
      <c r="Q689" s="66" t="str">
        <f>IF(AND('331-CT'!$E$7=TH!H689,OR(O689="331",P689="331")),"x","")</f>
        <v/>
      </c>
      <c r="R689" s="66" t="str">
        <f>IF(AND($B689&gt;='111'!$N$11,$B689&lt;='111'!$O$11,OR($O689=$R$7,$P689=$R$7)),"x","")</f>
        <v/>
      </c>
      <c r="S689" s="66" t="str">
        <f>IF(AND($O689=$R$7,$B689&lt;'111'!$N$11),"x","")</f>
        <v/>
      </c>
      <c r="T689" s="66" t="str">
        <f>IF(AND($P689=$R$7,$B689&lt;'111'!$N$11),"x","")</f>
        <v/>
      </c>
      <c r="U689" s="66" t="str">
        <f>IF(AND($B689&gt;='112'!$M$9,$B689&lt;='112'!$N$9,OR($O689='112'!$I$6,$P689='112'!$I$6)),"x","")</f>
        <v>x</v>
      </c>
      <c r="V689" s="66" t="str">
        <f>IF(AND($O689='112'!$I$6,$B689&lt;'112'!$M$9),"x","")</f>
        <v/>
      </c>
      <c r="W689" s="66" t="str">
        <f>IF(AND($P689='112'!$I$6,$B689&lt;'112'!$M$9),"x","")</f>
        <v/>
      </c>
      <c r="X689" s="66" t="str">
        <f>IF(AND('131-CT'!$H$9=TH!H689,OR(O689="131",P689="131")),"x","")</f>
        <v/>
      </c>
      <c r="Y689" s="80" t="str">
        <f>IF(AND($B689&gt;='1331'!$I$9,$B689&lt;='1331'!$J$9,OR($O689=$Y$7,$P689=$Y$7)),"x","")</f>
        <v/>
      </c>
      <c r="Z689" s="80" t="str">
        <f>IF(AND($O689=$Y$7,$B689&lt;'1331'!$I$9),"x","")</f>
        <v/>
      </c>
      <c r="AA689" s="80" t="str">
        <f>IF(AND($P689=$Y$7,$B689&lt;'1331'!$I$9),"x","")</f>
        <v/>
      </c>
      <c r="AB689" s="80" t="str">
        <f>IF(AND($B689&gt;='1332'!$I$9,$B689&lt;='1332'!$I$9,OR($O689=$AB$7,$P689=$AB$7)),"x","")</f>
        <v/>
      </c>
      <c r="AC689" s="80" t="str">
        <f>IF(AND($O689=$AB$7,$B689&lt;'1332'!$I$9),"x","")</f>
        <v/>
      </c>
      <c r="AD689" s="80" t="str">
        <f>IF(AND($P689=$AB$7,$B689&lt;'1332'!$I$9),"x","")</f>
        <v/>
      </c>
      <c r="AE689" s="80" t="str">
        <f>IF(AND('341-CT'!$H$9=H689,OR(LEFT(O689,3)=$AE$7,LEFT(P689,3)=$AE$7)),"x","")</f>
        <v/>
      </c>
      <c r="AF689" s="80" t="str">
        <f>IF(OR(TH!O689=TH!$AF$7,P689=TH!$AF$7),"x","")</f>
        <v/>
      </c>
      <c r="AG689" s="80"/>
      <c r="AH689" s="80" t="str">
        <f>IF(AND(B689&gt;='IN-NX'!$P$3,B689&lt;='IN-NX'!$Q$3,'IN-NX'!$D$7=D689,OR(LEFT(L689,2)="15",AND(LEFT(M689,2)&lt;&gt;"15",LEFT(M689,2)&lt;&gt;"33"))),"x","")</f>
        <v/>
      </c>
      <c r="AI689" s="80" t="str">
        <f>IF(AND(OR(LEFT(TH!O689,2)="15",LEFT(TH!P689,2)="15"),'152-CT'!$J$8=TH!F689),"x","")</f>
        <v/>
      </c>
      <c r="AJ689" s="80" t="str">
        <f>IF(AND(OR(LEFT(TH!O689,2)="15",LEFT(TH!P689,2)="15"),'THE KHO'!$E$7=TH!F689),"x","")</f>
        <v/>
      </c>
      <c r="AK689" s="80" t="str">
        <f>IF(AND(O689="1521",MONTH(C689)='BK NL'!$M$11),"x","")</f>
        <v/>
      </c>
    </row>
    <row r="690" spans="1:37" ht="15.75" customHeight="1">
      <c r="A690" s="362" t="str">
        <f>IF(B690&lt;&gt;"",IF(AND(B690&gt;=_TM1,B690&lt;=_TM2,OR(TH!O690="1111",TH!P690="1111")),TH!D690,""),"")</f>
        <v/>
      </c>
      <c r="B690" s="63">
        <f t="shared" si="48"/>
        <v>9</v>
      </c>
      <c r="C690" s="1045">
        <v>42641</v>
      </c>
      <c r="D690" s="1045" t="s">
        <v>8</v>
      </c>
      <c r="E690" s="1045">
        <v>42641</v>
      </c>
      <c r="F690" s="1046" t="s">
        <v>1215</v>
      </c>
      <c r="G690" s="1047" t="s">
        <v>798</v>
      </c>
      <c r="H690" s="1129" t="s">
        <v>174</v>
      </c>
      <c r="I690" s="1049"/>
      <c r="J690" s="1049"/>
      <c r="K690" s="1050"/>
      <c r="L690" s="1049"/>
      <c r="M690" s="1051">
        <v>12500000</v>
      </c>
      <c r="N690" s="1051"/>
      <c r="O690" s="1052" t="s">
        <v>121</v>
      </c>
      <c r="P690" s="1052" t="s">
        <v>31</v>
      </c>
      <c r="Q690" s="66" t="str">
        <f>IF(AND('331-CT'!$E$7=TH!H690,OR(O690="331",P690="331")),"x","")</f>
        <v/>
      </c>
      <c r="R690" s="66" t="str">
        <f>IF(AND($B690&gt;='111'!$N$11,$B690&lt;='111'!$O$11,OR($O690=$R$7,$P690=$R$7)),"x","")</f>
        <v/>
      </c>
      <c r="S690" s="66" t="str">
        <f>IF(AND($O690=$R$7,$B690&lt;'111'!$N$11),"x","")</f>
        <v/>
      </c>
      <c r="T690" s="66" t="str">
        <f>IF(AND($P690=$R$7,$B690&lt;'111'!$N$11),"x","")</f>
        <v/>
      </c>
      <c r="U690" s="66" t="str">
        <f>IF(AND($B690&gt;='112'!$M$9,$B690&lt;='112'!$N$9,OR($O690='112'!$I$6,$P690='112'!$I$6)),"x","")</f>
        <v>x</v>
      </c>
      <c r="V690" s="66" t="str">
        <f>IF(AND($O690='112'!$I$6,$B690&lt;'112'!$M$9),"x","")</f>
        <v/>
      </c>
      <c r="W690" s="66" t="str">
        <f>IF(AND($P690='112'!$I$6,$B690&lt;'112'!$M$9),"x","")</f>
        <v/>
      </c>
      <c r="X690" s="66" t="str">
        <f>IF(AND('131-CT'!$H$9=TH!H690,OR(O690="131",P690="131")),"x","")</f>
        <v/>
      </c>
      <c r="Y690" s="80" t="str">
        <f>IF(AND($B690&gt;='1331'!$I$9,$B690&lt;='1331'!$J$9,OR($O690=$Y$7,$P690=$Y$7)),"x","")</f>
        <v/>
      </c>
      <c r="Z690" s="80" t="str">
        <f>IF(AND($O690=$Y$7,$B690&lt;'1331'!$I$9),"x","")</f>
        <v/>
      </c>
      <c r="AA690" s="80" t="str">
        <f>IF(AND($P690=$Y$7,$B690&lt;'1331'!$I$9),"x","")</f>
        <v/>
      </c>
      <c r="AB690" s="80" t="str">
        <f>IF(AND($B690&gt;='1332'!$I$9,$B690&lt;='1332'!$I$9,OR($O690=$AB$7,$P690=$AB$7)),"x","")</f>
        <v/>
      </c>
      <c r="AC690" s="80" t="str">
        <f>IF(AND($O690=$AB$7,$B690&lt;'1332'!$I$9),"x","")</f>
        <v/>
      </c>
      <c r="AD690" s="80" t="str">
        <f>IF(AND($P690=$AB$7,$B690&lt;'1332'!$I$9),"x","")</f>
        <v/>
      </c>
      <c r="AE690" s="80" t="str">
        <f>IF(AND('341-CT'!$H$9=H690,OR(LEFT(O690,3)=$AE$7,LEFT(P690,3)=$AE$7)),"x","")</f>
        <v/>
      </c>
      <c r="AF690" s="80" t="str">
        <f>IF(OR(TH!O690=TH!$AF$7,P690=TH!$AF$7),"x","")</f>
        <v/>
      </c>
      <c r="AG690" s="80"/>
      <c r="AH690" s="80" t="str">
        <f>IF(AND(B690&gt;='IN-NX'!$P$3,B690&lt;='IN-NX'!$Q$3,'IN-NX'!$D$7=D690,OR(LEFT(L690,2)="15",AND(LEFT(M690,2)&lt;&gt;"15",LEFT(M690,2)&lt;&gt;"33"))),"x","")</f>
        <v/>
      </c>
      <c r="AI690" s="80" t="str">
        <f>IF(AND(OR(LEFT(TH!O690,2)="15",LEFT(TH!P690,2)="15"),'152-CT'!$J$8=TH!F690),"x","")</f>
        <v/>
      </c>
      <c r="AJ690" s="80" t="str">
        <f>IF(AND(OR(LEFT(TH!O690,2)="15",LEFT(TH!P690,2)="15"),'THE KHO'!$E$7=TH!F690),"x","")</f>
        <v/>
      </c>
      <c r="AK690" s="80" t="str">
        <f>IF(AND(O690="1521",MONTH(C690)='BK NL'!$M$11),"x","")</f>
        <v/>
      </c>
    </row>
    <row r="691" spans="1:37" ht="15.75" customHeight="1">
      <c r="A691" s="362" t="str">
        <f>IF(B691&lt;&gt;"",IF(AND(B691&gt;=_TM1,B691&lt;=_TM2,OR(TH!O691="1111",TH!P691="1111")),TH!D691,""),"")</f>
        <v/>
      </c>
      <c r="B691" s="63">
        <f t="shared" si="48"/>
        <v>9</v>
      </c>
      <c r="C691" s="1045">
        <v>42641</v>
      </c>
      <c r="D691" s="1045" t="s">
        <v>8</v>
      </c>
      <c r="E691" s="1045">
        <v>42641</v>
      </c>
      <c r="F691" s="1046" t="s">
        <v>1215</v>
      </c>
      <c r="G691" s="1047" t="s">
        <v>798</v>
      </c>
      <c r="H691" s="1048" t="s">
        <v>176</v>
      </c>
      <c r="I691" s="1130"/>
      <c r="J691" s="1130"/>
      <c r="K691" s="1131"/>
      <c r="L691" s="1130"/>
      <c r="M691" s="1051">
        <v>12500000</v>
      </c>
      <c r="N691" s="1051"/>
      <c r="O691" s="1052" t="s">
        <v>121</v>
      </c>
      <c r="P691" s="1052" t="s">
        <v>31</v>
      </c>
      <c r="Q691" s="66" t="str">
        <f>IF(AND('331-CT'!$E$7=TH!H691,OR(O691="331",P691="331")),"x","")</f>
        <v/>
      </c>
      <c r="R691" s="66" t="str">
        <f>IF(AND($B691&gt;='111'!$N$11,$B691&lt;='111'!$O$11,OR($O691=$R$7,$P691=$R$7)),"x","")</f>
        <v/>
      </c>
      <c r="S691" s="66" t="str">
        <f>IF(AND($O691=$R$7,$B691&lt;'111'!$N$11),"x","")</f>
        <v/>
      </c>
      <c r="T691" s="66" t="str">
        <f>IF(AND($P691=$R$7,$B691&lt;'111'!$N$11),"x","")</f>
        <v/>
      </c>
      <c r="U691" s="66" t="str">
        <f>IF(AND($B691&gt;='112'!$M$9,$B691&lt;='112'!$N$9,OR($O691='112'!$I$6,$P691='112'!$I$6)),"x","")</f>
        <v>x</v>
      </c>
      <c r="V691" s="66" t="str">
        <f>IF(AND($O691='112'!$I$6,$B691&lt;'112'!$M$9),"x","")</f>
        <v/>
      </c>
      <c r="W691" s="66" t="str">
        <f>IF(AND($P691='112'!$I$6,$B691&lt;'112'!$M$9),"x","")</f>
        <v/>
      </c>
      <c r="X691" s="66" t="str">
        <f>IF(AND('131-CT'!$H$9=TH!H691,OR(O691="131",P691="131")),"x","")</f>
        <v/>
      </c>
      <c r="Y691" s="80" t="str">
        <f>IF(AND($B691&gt;='1331'!$I$9,$B691&lt;='1331'!$J$9,OR($O691=$Y$7,$P691=$Y$7)),"x","")</f>
        <v/>
      </c>
      <c r="Z691" s="80" t="str">
        <f>IF(AND($O691=$Y$7,$B691&lt;'1331'!$I$9),"x","")</f>
        <v/>
      </c>
      <c r="AA691" s="80" t="str">
        <f>IF(AND($P691=$Y$7,$B691&lt;'1331'!$I$9),"x","")</f>
        <v/>
      </c>
      <c r="AB691" s="80" t="str">
        <f>IF(AND($B691&gt;='1332'!$I$9,$B691&lt;='1332'!$I$9,OR($O691=$AB$7,$P691=$AB$7)),"x","")</f>
        <v/>
      </c>
      <c r="AC691" s="80" t="str">
        <f>IF(AND($O691=$AB$7,$B691&lt;'1332'!$I$9),"x","")</f>
        <v/>
      </c>
      <c r="AD691" s="80" t="str">
        <f>IF(AND($P691=$AB$7,$B691&lt;'1332'!$I$9),"x","")</f>
        <v/>
      </c>
      <c r="AE691" s="80" t="str">
        <f>IF(AND('341-CT'!$H$9=H691,OR(LEFT(O691,3)=$AE$7,LEFT(P691,3)=$AE$7)),"x","")</f>
        <v/>
      </c>
      <c r="AF691" s="80" t="str">
        <f>IF(OR(TH!O691=TH!$AF$7,P691=TH!$AF$7),"x","")</f>
        <v/>
      </c>
      <c r="AG691" s="80"/>
      <c r="AH691" s="80" t="str">
        <f>IF(AND(B691&gt;='IN-NX'!$P$3,B691&lt;='IN-NX'!$Q$3,'IN-NX'!$D$7=D691,OR(LEFT(L691,2)="15",AND(LEFT(M691,2)&lt;&gt;"15",LEFT(M691,2)&lt;&gt;"33"))),"x","")</f>
        <v/>
      </c>
      <c r="AI691" s="80" t="str">
        <f>IF(AND(OR(LEFT(TH!O691,2)="15",LEFT(TH!P691,2)="15"),'152-CT'!$J$8=TH!F691),"x","")</f>
        <v/>
      </c>
      <c r="AJ691" s="80" t="str">
        <f>IF(AND(OR(LEFT(TH!O691,2)="15",LEFT(TH!P691,2)="15"),'THE KHO'!$E$7=TH!F691),"x","")</f>
        <v/>
      </c>
      <c r="AK691" s="80" t="str">
        <f>IF(AND(O691="1521",MONTH(C691)='BK NL'!$M$11),"x","")</f>
        <v/>
      </c>
    </row>
    <row r="692" spans="1:37" ht="15.75" customHeight="1">
      <c r="A692" s="362" t="str">
        <f>IF(B692&lt;&gt;"",IF(AND(B692&gt;=_TM1,B692&lt;=_TM2,OR(TH!O692="1111",TH!P692="1111")),TH!D692,""),"")</f>
        <v/>
      </c>
      <c r="B692" s="63">
        <f>IF(C692&lt;&gt;"",MONTH(C692),"")</f>
        <v>9</v>
      </c>
      <c r="C692" s="1045">
        <v>42641</v>
      </c>
      <c r="D692" s="1045" t="s">
        <v>8</v>
      </c>
      <c r="E692" s="1045">
        <v>42641</v>
      </c>
      <c r="F692" s="1046" t="s">
        <v>405</v>
      </c>
      <c r="G692" s="1047" t="s">
        <v>798</v>
      </c>
      <c r="H692" s="1048" t="s">
        <v>176</v>
      </c>
      <c r="I692" s="1130"/>
      <c r="J692" s="1130"/>
      <c r="K692" s="1131"/>
      <c r="L692" s="1130"/>
      <c r="M692" s="1051">
        <v>12314548</v>
      </c>
      <c r="N692" s="1051"/>
      <c r="O692" s="1052" t="s">
        <v>133</v>
      </c>
      <c r="P692" s="1052" t="s">
        <v>31</v>
      </c>
      <c r="Q692" s="66" t="str">
        <f>IF(AND('331-CT'!$E$7=TH!H692,OR(O692="331",P692="331")),"x","")</f>
        <v/>
      </c>
      <c r="R692" s="66" t="str">
        <f>IF(AND($B692&gt;='111'!$N$11,$B692&lt;='111'!$O$11,OR($O692=$R$7,$P692=$R$7)),"x","")</f>
        <v/>
      </c>
      <c r="S692" s="66" t="str">
        <f>IF(AND($O692=$R$7,$B692&lt;'111'!$N$11),"x","")</f>
        <v/>
      </c>
      <c r="T692" s="66" t="str">
        <f>IF(AND($P692=$R$7,$B692&lt;'111'!$N$11),"x","")</f>
        <v/>
      </c>
      <c r="U692" s="66" t="str">
        <f>IF(AND($B692&gt;='112'!$M$9,$B692&lt;='112'!$N$9,OR($O692='112'!$I$6,$P692='112'!$I$6)),"x","")</f>
        <v>x</v>
      </c>
      <c r="V692" s="66" t="str">
        <f>IF(AND($O692='112'!$I$6,$B692&lt;'112'!$M$9),"x","")</f>
        <v/>
      </c>
      <c r="W692" s="66" t="str">
        <f>IF(AND($P692='112'!$I$6,$B692&lt;'112'!$M$9),"x","")</f>
        <v/>
      </c>
      <c r="X692" s="66" t="str">
        <f>IF(AND('131-CT'!$H$9=TH!H692,OR(O692="131",P692="131")),"x","")</f>
        <v/>
      </c>
      <c r="Y692" s="80" t="str">
        <f>IF(AND($B692&gt;='1331'!$I$9,$B692&lt;='1331'!$J$9,OR($O692=$Y$7,$P692=$Y$7)),"x","")</f>
        <v/>
      </c>
      <c r="Z692" s="80" t="str">
        <f>IF(AND($O692=$Y$7,$B692&lt;'1331'!$I$9),"x","")</f>
        <v/>
      </c>
      <c r="AA692" s="80" t="str">
        <f>IF(AND($P692=$Y$7,$B692&lt;'1331'!$I$9),"x","")</f>
        <v/>
      </c>
      <c r="AB692" s="80" t="str">
        <f>IF(AND($B692&gt;='1332'!$I$9,$B692&lt;='1332'!$I$9,OR($O692=$AB$7,$P692=$AB$7)),"x","")</f>
        <v/>
      </c>
      <c r="AC692" s="80" t="str">
        <f>IF(AND($O692=$AB$7,$B692&lt;'1332'!$I$9),"x","")</f>
        <v/>
      </c>
      <c r="AD692" s="80" t="str">
        <f>IF(AND($P692=$AB$7,$B692&lt;'1332'!$I$9),"x","")</f>
        <v/>
      </c>
      <c r="AE692" s="80" t="str">
        <f>IF(AND('341-CT'!$H$9=H692,OR(LEFT(O692,3)=$AE$7,LEFT(P692,3)=$AE$7)),"x","")</f>
        <v/>
      </c>
      <c r="AF692" s="80" t="str">
        <f>IF(OR(TH!O692=TH!$AF$7,P692=TH!$AF$7),"x","")</f>
        <v/>
      </c>
      <c r="AG692" s="80"/>
      <c r="AH692" s="80" t="str">
        <f>IF(AND(B692&gt;='IN-NX'!$P$3,B692&lt;='IN-NX'!$Q$3,'IN-NX'!$D$7=D692,OR(LEFT(L692,2)="15",AND(LEFT(M692,2)&lt;&gt;"15",LEFT(M692,2)&lt;&gt;"33"))),"x","")</f>
        <v/>
      </c>
      <c r="AI692" s="80" t="str">
        <f>IF(AND(OR(LEFT(TH!O692,2)="15",LEFT(TH!P692,2)="15"),'152-CT'!$J$8=TH!F692),"x","")</f>
        <v/>
      </c>
      <c r="AJ692" s="80" t="str">
        <f>IF(AND(OR(LEFT(TH!O692,2)="15",LEFT(TH!P692,2)="15"),'THE KHO'!$E$7=TH!F692),"x","")</f>
        <v/>
      </c>
      <c r="AK692" s="80" t="str">
        <f>IF(AND(O692="1521",MONTH(C692)='BK NL'!$M$11),"x","")</f>
        <v/>
      </c>
    </row>
    <row r="693" spans="1:37" ht="15.75" customHeight="1">
      <c r="A693" s="362" t="str">
        <f>IF(B693&lt;&gt;"",IF(AND(B693&gt;=_TM1,B693&lt;=_TM2,OR(TH!O693="1111",TH!P693="1111")),TH!D693,""),"")</f>
        <v/>
      </c>
      <c r="B693" s="63">
        <f>IF(C693&lt;&gt;"",MONTH(C693),"")</f>
        <v>9</v>
      </c>
      <c r="C693" s="1045">
        <v>42641</v>
      </c>
      <c r="D693" s="1045" t="s">
        <v>8</v>
      </c>
      <c r="E693" s="1045">
        <v>42641</v>
      </c>
      <c r="F693" s="1046" t="s">
        <v>405</v>
      </c>
      <c r="G693" s="1047" t="s">
        <v>798</v>
      </c>
      <c r="H693" s="1129" t="s">
        <v>179</v>
      </c>
      <c r="I693" s="1049"/>
      <c r="J693" s="1049"/>
      <c r="K693" s="1050"/>
      <c r="L693" s="1049"/>
      <c r="M693" s="1051">
        <v>12314548</v>
      </c>
      <c r="N693" s="1051"/>
      <c r="O693" s="1052" t="s">
        <v>133</v>
      </c>
      <c r="P693" s="1052" t="s">
        <v>31</v>
      </c>
      <c r="Q693" s="66" t="str">
        <f>IF(AND('331-CT'!$E$7=TH!H693,OR(O693="331",P693="331")),"x","")</f>
        <v/>
      </c>
      <c r="R693" s="66" t="str">
        <f>IF(AND($B693&gt;='111'!$N$11,$B693&lt;='111'!$O$11,OR($O693=$R$7,$P693=$R$7)),"x","")</f>
        <v/>
      </c>
      <c r="S693" s="66" t="str">
        <f>IF(AND($O693=$R$7,$B693&lt;'111'!$N$11),"x","")</f>
        <v/>
      </c>
      <c r="T693" s="66" t="str">
        <f>IF(AND($P693=$R$7,$B693&lt;'111'!$N$11),"x","")</f>
        <v/>
      </c>
      <c r="U693" s="66" t="str">
        <f>IF(AND($B693&gt;='112'!$M$9,$B693&lt;='112'!$N$9,OR($O693='112'!$I$6,$P693='112'!$I$6)),"x","")</f>
        <v>x</v>
      </c>
      <c r="V693" s="66" t="str">
        <f>IF(AND($O693='112'!$I$6,$B693&lt;'112'!$M$9),"x","")</f>
        <v/>
      </c>
      <c r="W693" s="66" t="str">
        <f>IF(AND($P693='112'!$I$6,$B693&lt;'112'!$M$9),"x","")</f>
        <v/>
      </c>
      <c r="X693" s="66" t="str">
        <f>IF(AND('131-CT'!$H$9=TH!H693,OR(O693="131",P693="131")),"x","")</f>
        <v/>
      </c>
      <c r="Y693" s="80" t="str">
        <f>IF(AND($B693&gt;='1331'!$I$9,$B693&lt;='1331'!$J$9,OR($O693=$Y$7,$P693=$Y$7)),"x","")</f>
        <v/>
      </c>
      <c r="Z693" s="80" t="str">
        <f>IF(AND($O693=$Y$7,$B693&lt;'1331'!$I$9),"x","")</f>
        <v/>
      </c>
      <c r="AA693" s="80" t="str">
        <f>IF(AND($P693=$Y$7,$B693&lt;'1331'!$I$9),"x","")</f>
        <v/>
      </c>
      <c r="AB693" s="80" t="str">
        <f>IF(AND($B693&gt;='1332'!$I$9,$B693&lt;='1332'!$I$9,OR($O693=$AB$7,$P693=$AB$7)),"x","")</f>
        <v/>
      </c>
      <c r="AC693" s="80" t="str">
        <f>IF(AND($O693=$AB$7,$B693&lt;'1332'!$I$9),"x","")</f>
        <v/>
      </c>
      <c r="AD693" s="80" t="str">
        <f>IF(AND($P693=$AB$7,$B693&lt;'1332'!$I$9),"x","")</f>
        <v/>
      </c>
      <c r="AE693" s="80" t="str">
        <f>IF(AND('341-CT'!$H$9=H693,OR(LEFT(O693,3)=$AE$7,LEFT(P693,3)=$AE$7)),"x","")</f>
        <v/>
      </c>
      <c r="AF693" s="80" t="str">
        <f>IF(OR(TH!O693=TH!$AF$7,P693=TH!$AF$7),"x","")</f>
        <v/>
      </c>
      <c r="AG693" s="80"/>
      <c r="AH693" s="80" t="str">
        <f>IF(AND(B693&gt;='IN-NX'!$P$3,B693&lt;='IN-NX'!$Q$3,'IN-NX'!$D$7=D693,OR(LEFT(L693,2)="15",AND(LEFT(M693,2)&lt;&gt;"15",LEFT(M693,2)&lt;&gt;"33"))),"x","")</f>
        <v/>
      </c>
      <c r="AI693" s="80" t="str">
        <f>IF(AND(OR(LEFT(TH!O693,2)="15",LEFT(TH!P693,2)="15"),'152-CT'!$J$8=TH!F693),"x","")</f>
        <v/>
      </c>
      <c r="AJ693" s="80" t="str">
        <f>IF(AND(OR(LEFT(TH!O693,2)="15",LEFT(TH!P693,2)="15"),'THE KHO'!$E$7=TH!F693),"x","")</f>
        <v/>
      </c>
      <c r="AK693" s="80" t="str">
        <f>IF(AND(O693="1521",MONTH(C693)='BK NL'!$M$11),"x","")</f>
        <v/>
      </c>
    </row>
    <row r="694" spans="1:37" ht="15.75" customHeight="1">
      <c r="A694" s="362" t="str">
        <f>IF(B694&lt;&gt;"",IF(AND(B694&gt;=_TM1,B694&lt;=_TM2,OR(TH!O694="1111",TH!P694="1111")),TH!D694,""),"")</f>
        <v/>
      </c>
      <c r="B694" s="63">
        <f t="shared" si="48"/>
        <v>9</v>
      </c>
      <c r="C694" s="1045">
        <v>42641</v>
      </c>
      <c r="D694" s="1045" t="s">
        <v>8</v>
      </c>
      <c r="E694" s="1045">
        <v>42641</v>
      </c>
      <c r="F694" s="1046" t="s">
        <v>1215</v>
      </c>
      <c r="G694" s="1047" t="s">
        <v>798</v>
      </c>
      <c r="H694" s="1129" t="s">
        <v>179</v>
      </c>
      <c r="I694" s="1049"/>
      <c r="J694" s="1049"/>
      <c r="K694" s="1050"/>
      <c r="L694" s="1049"/>
      <c r="M694" s="1051">
        <v>12500000</v>
      </c>
      <c r="N694" s="1051"/>
      <c r="O694" s="1052" t="s">
        <v>121</v>
      </c>
      <c r="P694" s="1052" t="s">
        <v>31</v>
      </c>
      <c r="Q694" s="66" t="str">
        <f>IF(AND('331-CT'!$E$7=TH!H694,OR(O694="331",P694="331")),"x","")</f>
        <v/>
      </c>
      <c r="R694" s="66" t="str">
        <f>IF(AND($B694&gt;='111'!$N$11,$B694&lt;='111'!$O$11,OR($O694=$R$7,$P694=$R$7)),"x","")</f>
        <v/>
      </c>
      <c r="S694" s="66" t="str">
        <f>IF(AND($O694=$R$7,$B694&lt;'111'!$N$11),"x","")</f>
        <v/>
      </c>
      <c r="T694" s="66" t="str">
        <f>IF(AND($P694=$R$7,$B694&lt;'111'!$N$11),"x","")</f>
        <v/>
      </c>
      <c r="U694" s="66" t="str">
        <f>IF(AND($B694&gt;='112'!$M$9,$B694&lt;='112'!$N$9,OR($O694='112'!$I$6,$P694='112'!$I$6)),"x","")</f>
        <v>x</v>
      </c>
      <c r="V694" s="66" t="str">
        <f>IF(AND($O694='112'!$I$6,$B694&lt;'112'!$M$9),"x","")</f>
        <v/>
      </c>
      <c r="W694" s="66" t="str">
        <f>IF(AND($P694='112'!$I$6,$B694&lt;'112'!$M$9),"x","")</f>
        <v/>
      </c>
      <c r="X694" s="66" t="str">
        <f>IF(AND('131-CT'!$H$9=TH!H694,OR(O694="131",P694="131")),"x","")</f>
        <v/>
      </c>
      <c r="Y694" s="80" t="str">
        <f>IF(AND($B694&gt;='1331'!$I$9,$B694&lt;='1331'!$J$9,OR($O694=$Y$7,$P694=$Y$7)),"x","")</f>
        <v/>
      </c>
      <c r="Z694" s="80" t="str">
        <f>IF(AND($O694=$Y$7,$B694&lt;'1331'!$I$9),"x","")</f>
        <v/>
      </c>
      <c r="AA694" s="80" t="str">
        <f>IF(AND($P694=$Y$7,$B694&lt;'1331'!$I$9),"x","")</f>
        <v/>
      </c>
      <c r="AB694" s="80" t="str">
        <f>IF(AND($B694&gt;='1332'!$I$9,$B694&lt;='1332'!$I$9,OR($O694=$AB$7,$P694=$AB$7)),"x","")</f>
        <v/>
      </c>
      <c r="AC694" s="80" t="str">
        <f>IF(AND($O694=$AB$7,$B694&lt;'1332'!$I$9),"x","")</f>
        <v/>
      </c>
      <c r="AD694" s="80" t="str">
        <f>IF(AND($P694=$AB$7,$B694&lt;'1332'!$I$9),"x","")</f>
        <v/>
      </c>
      <c r="AE694" s="80" t="str">
        <f>IF(AND('341-CT'!$H$9=H694,OR(LEFT(O694,3)=$AE$7,LEFT(P694,3)=$AE$7)),"x","")</f>
        <v/>
      </c>
      <c r="AF694" s="80" t="str">
        <f>IF(OR(TH!O694=TH!$AF$7,P694=TH!$AF$7),"x","")</f>
        <v/>
      </c>
      <c r="AG694" s="80"/>
      <c r="AH694" s="80" t="str">
        <f>IF(AND(B694&gt;='IN-NX'!$P$3,B694&lt;='IN-NX'!$Q$3,'IN-NX'!$D$7=D694,OR(LEFT(L694,2)="15",AND(LEFT(M694,2)&lt;&gt;"15",LEFT(M694,2)&lt;&gt;"33"))),"x","")</f>
        <v/>
      </c>
      <c r="AI694" s="80" t="str">
        <f>IF(AND(OR(LEFT(TH!O694,2)="15",LEFT(TH!P694,2)="15"),'152-CT'!$J$8=TH!F694),"x","")</f>
        <v/>
      </c>
      <c r="AJ694" s="80" t="str">
        <f>IF(AND(OR(LEFT(TH!O694,2)="15",LEFT(TH!P694,2)="15"),'THE KHO'!$E$7=TH!F694),"x","")</f>
        <v/>
      </c>
      <c r="AK694" s="80" t="str">
        <f>IF(AND(O694="1521",MONTH(C694)='BK NL'!$M$11),"x","")</f>
        <v/>
      </c>
    </row>
    <row r="695" spans="1:37" ht="15.75" customHeight="1">
      <c r="A695" s="362" t="str">
        <f>IF(B695&lt;&gt;"",IF(AND(B695&gt;=_TM1,B695&lt;=_TM2,OR(TH!O695="1111",TH!P695="1111")),TH!D695,""),"")</f>
        <v/>
      </c>
      <c r="B695" s="63">
        <f t="shared" si="48"/>
        <v>9</v>
      </c>
      <c r="C695" s="1045">
        <v>42641</v>
      </c>
      <c r="D695" s="1045" t="s">
        <v>8</v>
      </c>
      <c r="E695" s="1045">
        <v>42641</v>
      </c>
      <c r="F695" s="1046" t="s">
        <v>1215</v>
      </c>
      <c r="G695" s="1047" t="s">
        <v>798</v>
      </c>
      <c r="H695" s="1048" t="s">
        <v>180</v>
      </c>
      <c r="I695" s="1049"/>
      <c r="J695" s="1049"/>
      <c r="K695" s="1050"/>
      <c r="L695" s="1049"/>
      <c r="M695" s="1051">
        <v>8340000</v>
      </c>
      <c r="N695" s="1051"/>
      <c r="O695" s="1052" t="s">
        <v>121</v>
      </c>
      <c r="P695" s="1052" t="s">
        <v>31</v>
      </c>
      <c r="Q695" s="66" t="str">
        <f>IF(AND('331-CT'!$E$7=TH!H695,OR(O695="331",P695="331")),"x","")</f>
        <v/>
      </c>
      <c r="R695" s="66" t="str">
        <f>IF(AND($B695&gt;='111'!$N$11,$B695&lt;='111'!$O$11,OR($O695=$R$7,$P695=$R$7)),"x","")</f>
        <v/>
      </c>
      <c r="S695" s="66" t="str">
        <f>IF(AND($O695=$R$7,$B695&lt;'111'!$N$11),"x","")</f>
        <v/>
      </c>
      <c r="T695" s="66" t="str">
        <f>IF(AND($P695=$R$7,$B695&lt;'111'!$N$11),"x","")</f>
        <v/>
      </c>
      <c r="U695" s="66" t="str">
        <f>IF(AND($B695&gt;='112'!$M$9,$B695&lt;='112'!$N$9,OR($O695='112'!$I$6,$P695='112'!$I$6)),"x","")</f>
        <v>x</v>
      </c>
      <c r="V695" s="66" t="str">
        <f>IF(AND($O695='112'!$I$6,$B695&lt;'112'!$M$9),"x","")</f>
        <v/>
      </c>
      <c r="W695" s="66" t="str">
        <f>IF(AND($P695='112'!$I$6,$B695&lt;'112'!$M$9),"x","")</f>
        <v/>
      </c>
      <c r="X695" s="66" t="str">
        <f>IF(AND('131-CT'!$H$9=TH!H695,OR(O695="131",P695="131")),"x","")</f>
        <v/>
      </c>
      <c r="Y695" s="80" t="str">
        <f>IF(AND($B695&gt;='1331'!$I$9,$B695&lt;='1331'!$J$9,OR($O695=$Y$7,$P695=$Y$7)),"x","")</f>
        <v/>
      </c>
      <c r="Z695" s="80" t="str">
        <f>IF(AND($O695=$Y$7,$B695&lt;'1331'!$I$9),"x","")</f>
        <v/>
      </c>
      <c r="AA695" s="80" t="str">
        <f>IF(AND($P695=$Y$7,$B695&lt;'1331'!$I$9),"x","")</f>
        <v/>
      </c>
      <c r="AB695" s="80" t="str">
        <f>IF(AND($B695&gt;='1332'!$I$9,$B695&lt;='1332'!$I$9,OR($O695=$AB$7,$P695=$AB$7)),"x","")</f>
        <v/>
      </c>
      <c r="AC695" s="80" t="str">
        <f>IF(AND($O695=$AB$7,$B695&lt;'1332'!$I$9),"x","")</f>
        <v/>
      </c>
      <c r="AD695" s="80" t="str">
        <f>IF(AND($P695=$AB$7,$B695&lt;'1332'!$I$9),"x","")</f>
        <v/>
      </c>
      <c r="AE695" s="80" t="str">
        <f>IF(AND('341-CT'!$H$9=H695,OR(LEFT(O695,3)=$AE$7,LEFT(P695,3)=$AE$7)),"x","")</f>
        <v/>
      </c>
      <c r="AF695" s="80" t="str">
        <f>IF(OR(TH!O695=TH!$AF$7,P695=TH!$AF$7),"x","")</f>
        <v/>
      </c>
      <c r="AG695" s="80"/>
      <c r="AH695" s="80" t="str">
        <f>IF(AND(B695&gt;='IN-NX'!$P$3,B695&lt;='IN-NX'!$Q$3,'IN-NX'!$D$7=D695,OR(LEFT(L695,2)="15",AND(LEFT(M695,2)&lt;&gt;"15",LEFT(M695,2)&lt;&gt;"33"))),"x","")</f>
        <v/>
      </c>
      <c r="AI695" s="80" t="str">
        <f>IF(AND(OR(LEFT(TH!O695,2)="15",LEFT(TH!P695,2)="15"),'152-CT'!$J$8=TH!F695),"x","")</f>
        <v/>
      </c>
      <c r="AJ695" s="80" t="str">
        <f>IF(AND(OR(LEFT(TH!O695,2)="15",LEFT(TH!P695,2)="15"),'THE KHO'!$E$7=TH!F695),"x","")</f>
        <v/>
      </c>
      <c r="AK695" s="80" t="str">
        <f>IF(AND(O695="1521",MONTH(C695)='BK NL'!$M$11),"x","")</f>
        <v/>
      </c>
    </row>
    <row r="696" spans="1:37" ht="15.75" customHeight="1">
      <c r="A696" s="362" t="str">
        <f>IF(B696&lt;&gt;"",IF(AND(B696&gt;=_TM1,B696&lt;=_TM2,OR(TH!O696="1111",TH!P696="1111")),TH!D696,""),"")</f>
        <v/>
      </c>
      <c r="B696" s="63">
        <f>IF(C696&lt;&gt;"",MONTH(C696),"")</f>
        <v>9</v>
      </c>
      <c r="C696" s="1045">
        <v>42641</v>
      </c>
      <c r="D696" s="1045" t="s">
        <v>8</v>
      </c>
      <c r="E696" s="1045">
        <v>42641</v>
      </c>
      <c r="F696" s="1046" t="s">
        <v>405</v>
      </c>
      <c r="G696" s="1047" t="s">
        <v>798</v>
      </c>
      <c r="H696" s="1048" t="s">
        <v>180</v>
      </c>
      <c r="I696" s="1049"/>
      <c r="J696" s="1049"/>
      <c r="K696" s="1050"/>
      <c r="L696" s="1049"/>
      <c r="M696" s="1051">
        <v>8209699</v>
      </c>
      <c r="N696" s="1051"/>
      <c r="O696" s="1052" t="s">
        <v>133</v>
      </c>
      <c r="P696" s="1052" t="s">
        <v>31</v>
      </c>
      <c r="Q696" s="66" t="str">
        <f>IF(AND('331-CT'!$E$7=TH!H696,OR(O696="331",P696="331")),"x","")</f>
        <v/>
      </c>
      <c r="R696" s="66" t="str">
        <f>IF(AND($B696&gt;='111'!$N$11,$B696&lt;='111'!$O$11,OR($O696=$R$7,$P696=$R$7)),"x","")</f>
        <v/>
      </c>
      <c r="S696" s="66" t="str">
        <f>IF(AND($O696=$R$7,$B696&lt;'111'!$N$11),"x","")</f>
        <v/>
      </c>
      <c r="T696" s="66" t="str">
        <f>IF(AND($P696=$R$7,$B696&lt;'111'!$N$11),"x","")</f>
        <v/>
      </c>
      <c r="U696" s="66" t="str">
        <f>IF(AND($B696&gt;='112'!$M$9,$B696&lt;='112'!$N$9,OR($O696='112'!$I$6,$P696='112'!$I$6)),"x","")</f>
        <v>x</v>
      </c>
      <c r="V696" s="66" t="str">
        <f>IF(AND($O696='112'!$I$6,$B696&lt;'112'!$M$9),"x","")</f>
        <v/>
      </c>
      <c r="W696" s="66" t="str">
        <f>IF(AND($P696='112'!$I$6,$B696&lt;'112'!$M$9),"x","")</f>
        <v/>
      </c>
      <c r="X696" s="66" t="str">
        <f>IF(AND('131-CT'!$H$9=TH!H696,OR(O696="131",P696="131")),"x","")</f>
        <v/>
      </c>
      <c r="Y696" s="80" t="str">
        <f>IF(AND($B696&gt;='1331'!$I$9,$B696&lt;='1331'!$J$9,OR($O696=$Y$7,$P696=$Y$7)),"x","")</f>
        <v/>
      </c>
      <c r="Z696" s="80" t="str">
        <f>IF(AND($O696=$Y$7,$B696&lt;'1331'!$I$9),"x","")</f>
        <v/>
      </c>
      <c r="AA696" s="80" t="str">
        <f>IF(AND($P696=$Y$7,$B696&lt;'1331'!$I$9),"x","")</f>
        <v/>
      </c>
      <c r="AB696" s="80" t="str">
        <f>IF(AND($B696&gt;='1332'!$I$9,$B696&lt;='1332'!$I$9,OR($O696=$AB$7,$P696=$AB$7)),"x","")</f>
        <v/>
      </c>
      <c r="AC696" s="80" t="str">
        <f>IF(AND($O696=$AB$7,$B696&lt;'1332'!$I$9),"x","")</f>
        <v/>
      </c>
      <c r="AD696" s="80" t="str">
        <f>IF(AND($P696=$AB$7,$B696&lt;'1332'!$I$9),"x","")</f>
        <v/>
      </c>
      <c r="AE696" s="80" t="str">
        <f>IF(AND('341-CT'!$H$9=H696,OR(LEFT(O696,3)=$AE$7,LEFT(P696,3)=$AE$7)),"x","")</f>
        <v/>
      </c>
      <c r="AF696" s="80" t="str">
        <f>IF(OR(TH!O696=TH!$AF$7,P696=TH!$AF$7),"x","")</f>
        <v/>
      </c>
      <c r="AG696" s="80"/>
      <c r="AH696" s="80" t="str">
        <f>IF(AND(B696&gt;='IN-NX'!$P$3,B696&lt;='IN-NX'!$Q$3,'IN-NX'!$D$7=D696,OR(LEFT(L696,2)="15",AND(LEFT(M696,2)&lt;&gt;"15",LEFT(M696,2)&lt;&gt;"33"))),"x","")</f>
        <v/>
      </c>
      <c r="AI696" s="80" t="str">
        <f>IF(AND(OR(LEFT(TH!O696,2)="15",LEFT(TH!P696,2)="15"),'152-CT'!$J$8=TH!F696),"x","")</f>
        <v/>
      </c>
      <c r="AJ696" s="80" t="str">
        <f>IF(AND(OR(LEFT(TH!O696,2)="15",LEFT(TH!P696,2)="15"),'THE KHO'!$E$7=TH!F696),"x","")</f>
        <v/>
      </c>
      <c r="AK696" s="80" t="str">
        <f>IF(AND(O696="1521",MONTH(C696)='BK NL'!$M$11),"x","")</f>
        <v/>
      </c>
    </row>
    <row r="697" spans="1:37" ht="15.75" customHeight="1">
      <c r="A697" s="362" t="str">
        <f>IF(B697&lt;&gt;"",IF(AND(B697&gt;=_TM1,B697&lt;=_TM2,OR(TH!O697="1111",TH!P697="1111")),TH!D697,""),"")</f>
        <v/>
      </c>
      <c r="B697" s="63">
        <f t="shared" si="48"/>
        <v>9</v>
      </c>
      <c r="C697" s="1045">
        <v>42641</v>
      </c>
      <c r="D697" s="1045" t="s">
        <v>8</v>
      </c>
      <c r="E697" s="1045">
        <v>42641</v>
      </c>
      <c r="F697" s="1046" t="s">
        <v>1215</v>
      </c>
      <c r="G697" s="1047" t="s">
        <v>798</v>
      </c>
      <c r="H697" s="1048" t="s">
        <v>184</v>
      </c>
      <c r="I697" s="1132"/>
      <c r="J697" s="1132"/>
      <c r="K697" s="1133"/>
      <c r="L697" s="1132"/>
      <c r="M697" s="1051">
        <v>8340000</v>
      </c>
      <c r="N697" s="1051"/>
      <c r="O697" s="1052" t="s">
        <v>121</v>
      </c>
      <c r="P697" s="1052" t="s">
        <v>31</v>
      </c>
      <c r="Q697" s="66" t="str">
        <f>IF(AND('331-CT'!$E$7=TH!H697,OR(O697="331",P697="331")),"x","")</f>
        <v/>
      </c>
      <c r="R697" s="66" t="str">
        <f>IF(AND($B697&gt;='111'!$N$11,$B697&lt;='111'!$O$11,OR($O697=$R$7,$P697=$R$7)),"x","")</f>
        <v/>
      </c>
      <c r="S697" s="66" t="str">
        <f>IF(AND($O697=$R$7,$B697&lt;'111'!$N$11),"x","")</f>
        <v/>
      </c>
      <c r="T697" s="66" t="str">
        <f>IF(AND($P697=$R$7,$B697&lt;'111'!$N$11),"x","")</f>
        <v/>
      </c>
      <c r="U697" s="66" t="str">
        <f>IF(AND($B697&gt;='112'!$M$9,$B697&lt;='112'!$N$9,OR($O697='112'!$I$6,$P697='112'!$I$6)),"x","")</f>
        <v>x</v>
      </c>
      <c r="V697" s="66" t="str">
        <f>IF(AND($O697='112'!$I$6,$B697&lt;'112'!$M$9),"x","")</f>
        <v/>
      </c>
      <c r="W697" s="66" t="str">
        <f>IF(AND($P697='112'!$I$6,$B697&lt;'112'!$M$9),"x","")</f>
        <v/>
      </c>
      <c r="X697" s="66" t="str">
        <f>IF(AND('131-CT'!$H$9=TH!H697,OR(O697="131",P697="131")),"x","")</f>
        <v/>
      </c>
      <c r="Y697" s="80" t="str">
        <f>IF(AND($B697&gt;='1331'!$I$9,$B697&lt;='1331'!$J$9,OR($O697=$Y$7,$P697=$Y$7)),"x","")</f>
        <v/>
      </c>
      <c r="Z697" s="80" t="str">
        <f>IF(AND($O697=$Y$7,$B697&lt;'1331'!$I$9),"x","")</f>
        <v/>
      </c>
      <c r="AA697" s="80" t="str">
        <f>IF(AND($P697=$Y$7,$B697&lt;'1331'!$I$9),"x","")</f>
        <v/>
      </c>
      <c r="AB697" s="80" t="str">
        <f>IF(AND($B697&gt;='1332'!$I$9,$B697&lt;='1332'!$I$9,OR($O697=$AB$7,$P697=$AB$7)),"x","")</f>
        <v/>
      </c>
      <c r="AC697" s="80" t="str">
        <f>IF(AND($O697=$AB$7,$B697&lt;'1332'!$I$9),"x","")</f>
        <v/>
      </c>
      <c r="AD697" s="80" t="str">
        <f>IF(AND($P697=$AB$7,$B697&lt;'1332'!$I$9),"x","")</f>
        <v/>
      </c>
      <c r="AE697" s="80" t="str">
        <f>IF(AND('341-CT'!$H$9=H697,OR(LEFT(O697,3)=$AE$7,LEFT(P697,3)=$AE$7)),"x","")</f>
        <v/>
      </c>
      <c r="AF697" s="80" t="str">
        <f>IF(OR(TH!O697=TH!$AF$7,P697=TH!$AF$7),"x","")</f>
        <v/>
      </c>
      <c r="AG697" s="80"/>
      <c r="AH697" s="80" t="str">
        <f>IF(AND(B697&gt;='IN-NX'!$P$3,B697&lt;='IN-NX'!$Q$3,'IN-NX'!$D$7=D697,OR(LEFT(L697,2)="15",AND(LEFT(M697,2)&lt;&gt;"15",LEFT(M697,2)&lt;&gt;"33"))),"x","")</f>
        <v/>
      </c>
      <c r="AI697" s="80" t="str">
        <f>IF(AND(OR(LEFT(TH!O697,2)="15",LEFT(TH!P697,2)="15"),'152-CT'!$J$8=TH!F697),"x","")</f>
        <v/>
      </c>
      <c r="AJ697" s="80" t="str">
        <f>IF(AND(OR(LEFT(TH!O697,2)="15",LEFT(TH!P697,2)="15"),'THE KHO'!$E$7=TH!F697),"x","")</f>
        <v/>
      </c>
      <c r="AK697" s="80" t="str">
        <f>IF(AND(O697="1521",MONTH(C697)='BK NL'!$M$11),"x","")</f>
        <v/>
      </c>
    </row>
    <row r="698" spans="1:37" ht="15.75" customHeight="1">
      <c r="A698" s="362" t="str">
        <f>IF(B698&lt;&gt;"",IF(AND(B698&gt;=_TM1,B698&lt;=_TM2,OR(TH!O698="1111",TH!P698="1111")),TH!D698,""),"")</f>
        <v/>
      </c>
      <c r="B698" s="63">
        <f>IF(C698&lt;&gt;"",MONTH(C698),"")</f>
        <v>9</v>
      </c>
      <c r="C698" s="1045">
        <v>42641</v>
      </c>
      <c r="D698" s="1045" t="s">
        <v>8</v>
      </c>
      <c r="E698" s="1045">
        <v>42641</v>
      </c>
      <c r="F698" s="1046" t="s">
        <v>405</v>
      </c>
      <c r="G698" s="1047" t="s">
        <v>798</v>
      </c>
      <c r="H698" s="1048" t="s">
        <v>184</v>
      </c>
      <c r="I698" s="1132"/>
      <c r="J698" s="1132"/>
      <c r="K698" s="1133"/>
      <c r="L698" s="1132"/>
      <c r="M698" s="1051">
        <v>8209699</v>
      </c>
      <c r="N698" s="1051"/>
      <c r="O698" s="1052" t="s">
        <v>133</v>
      </c>
      <c r="P698" s="1052" t="s">
        <v>31</v>
      </c>
      <c r="Q698" s="66" t="str">
        <f>IF(AND('331-CT'!$E$7=TH!H698,OR(O698="331",P698="331")),"x","")</f>
        <v/>
      </c>
      <c r="R698" s="66" t="str">
        <f>IF(AND($B698&gt;='111'!$N$11,$B698&lt;='111'!$O$11,OR($O698=$R$7,$P698=$R$7)),"x","")</f>
        <v/>
      </c>
      <c r="S698" s="66" t="str">
        <f>IF(AND($O698=$R$7,$B698&lt;'111'!$N$11),"x","")</f>
        <v/>
      </c>
      <c r="T698" s="66" t="str">
        <f>IF(AND($P698=$R$7,$B698&lt;'111'!$N$11),"x","")</f>
        <v/>
      </c>
      <c r="U698" s="66" t="str">
        <f>IF(AND($B698&gt;='112'!$M$9,$B698&lt;='112'!$N$9,OR($O698='112'!$I$6,$P698='112'!$I$6)),"x","")</f>
        <v>x</v>
      </c>
      <c r="V698" s="66" t="str">
        <f>IF(AND($O698='112'!$I$6,$B698&lt;'112'!$M$9),"x","")</f>
        <v/>
      </c>
      <c r="W698" s="66" t="str">
        <f>IF(AND($P698='112'!$I$6,$B698&lt;'112'!$M$9),"x","")</f>
        <v/>
      </c>
      <c r="X698" s="66" t="str">
        <f>IF(AND('131-CT'!$H$9=TH!H698,OR(O698="131",P698="131")),"x","")</f>
        <v/>
      </c>
      <c r="Y698" s="80" t="str">
        <f>IF(AND($B698&gt;='1331'!$I$9,$B698&lt;='1331'!$J$9,OR($O698=$Y$7,$P698=$Y$7)),"x","")</f>
        <v/>
      </c>
      <c r="Z698" s="80" t="str">
        <f>IF(AND($O698=$Y$7,$B698&lt;'1331'!$I$9),"x","")</f>
        <v/>
      </c>
      <c r="AA698" s="80" t="str">
        <f>IF(AND($P698=$Y$7,$B698&lt;'1331'!$I$9),"x","")</f>
        <v/>
      </c>
      <c r="AB698" s="80" t="str">
        <f>IF(AND($B698&gt;='1332'!$I$9,$B698&lt;='1332'!$I$9,OR($O698=$AB$7,$P698=$AB$7)),"x","")</f>
        <v/>
      </c>
      <c r="AC698" s="80" t="str">
        <f>IF(AND($O698=$AB$7,$B698&lt;'1332'!$I$9),"x","")</f>
        <v/>
      </c>
      <c r="AD698" s="80" t="str">
        <f>IF(AND($P698=$AB$7,$B698&lt;'1332'!$I$9),"x","")</f>
        <v/>
      </c>
      <c r="AE698" s="80" t="str">
        <f>IF(AND('341-CT'!$H$9=H698,OR(LEFT(O698,3)=$AE$7,LEFT(P698,3)=$AE$7)),"x","")</f>
        <v/>
      </c>
      <c r="AF698" s="80" t="str">
        <f>IF(OR(TH!O698=TH!$AF$7,P698=TH!$AF$7),"x","")</f>
        <v/>
      </c>
      <c r="AG698" s="80"/>
      <c r="AH698" s="80" t="str">
        <f>IF(AND(B698&gt;='IN-NX'!$P$3,B698&lt;='IN-NX'!$Q$3,'IN-NX'!$D$7=D698,OR(LEFT(L698,2)="15",AND(LEFT(M698,2)&lt;&gt;"15",LEFT(M698,2)&lt;&gt;"33"))),"x","")</f>
        <v/>
      </c>
      <c r="AI698" s="80" t="str">
        <f>IF(AND(OR(LEFT(TH!O698,2)="15",LEFT(TH!P698,2)="15"),'152-CT'!$J$8=TH!F698),"x","")</f>
        <v/>
      </c>
      <c r="AJ698" s="80" t="str">
        <f>IF(AND(OR(LEFT(TH!O698,2)="15",LEFT(TH!P698,2)="15"),'THE KHO'!$E$7=TH!F698),"x","")</f>
        <v/>
      </c>
      <c r="AK698" s="80" t="str">
        <f>IF(AND(O698="1521",MONTH(C698)='BK NL'!$M$11),"x","")</f>
        <v/>
      </c>
    </row>
    <row r="699" spans="1:37" s="1158" customFormat="1" ht="15.75" customHeight="1">
      <c r="A699" s="362" t="str">
        <f>IF(B699&lt;&gt;"",IF(AND(B699&gt;=_TM1,B699&lt;=_TM2,OR(TH!O699="1111",TH!P699="1111")),TH!D699,""),"")</f>
        <v/>
      </c>
      <c r="B699" s="1154">
        <f>IF(C699&lt;&gt;"",MONTH(C699),"")</f>
        <v>9</v>
      </c>
      <c r="C699" s="1045">
        <v>42641</v>
      </c>
      <c r="D699" s="1045" t="s">
        <v>8</v>
      </c>
      <c r="E699" s="1045">
        <v>42641</v>
      </c>
      <c r="F699" s="1110" t="s">
        <v>1215</v>
      </c>
      <c r="G699" s="1155" t="s">
        <v>798</v>
      </c>
      <c r="H699" s="1156" t="s">
        <v>175</v>
      </c>
      <c r="I699" s="1113"/>
      <c r="J699" s="1113"/>
      <c r="K699" s="1114"/>
      <c r="L699" s="1113"/>
      <c r="M699" s="1115">
        <v>12500000</v>
      </c>
      <c r="N699" s="1115"/>
      <c r="O699" s="1052" t="s">
        <v>121</v>
      </c>
      <c r="P699" s="1117" t="s">
        <v>31</v>
      </c>
      <c r="Q699" s="1157" t="str">
        <f>IF(AND('331-CT'!$E$7=TH!H699,OR(O699="331",P699="331")),"x","")</f>
        <v/>
      </c>
      <c r="R699" s="1157" t="str">
        <f>IF(AND($B699&gt;='111'!$N$11,$B699&lt;='111'!$O$11,OR($O699=$R$7,$P699=$R$7)),"x","")</f>
        <v/>
      </c>
      <c r="S699" s="1157" t="str">
        <f>IF(AND($O699=$R$7,$B699&lt;'111'!$N$11),"x","")</f>
        <v/>
      </c>
      <c r="T699" s="1157" t="str">
        <f>IF(AND($P699=$R$7,$B699&lt;'111'!$N$11),"x","")</f>
        <v/>
      </c>
      <c r="U699" s="1157" t="str">
        <f>IF(AND($B699&gt;='112'!$M$9,$B699&lt;='112'!$N$9,OR($O699='112'!$I$6,$P699='112'!$I$6)),"x","")</f>
        <v>x</v>
      </c>
      <c r="V699" s="1157" t="str">
        <f>IF(AND($O699='112'!$I$6,$B699&lt;'112'!$M$9),"x","")</f>
        <v/>
      </c>
      <c r="W699" s="1157" t="str">
        <f>IF(AND($P699='112'!$I$6,$B699&lt;'112'!$M$9),"x","")</f>
        <v/>
      </c>
      <c r="X699" s="1157" t="str">
        <f>IF(AND('131-CT'!$H$9=TH!H699,OR(O699="131",P699="131")),"x","")</f>
        <v/>
      </c>
      <c r="Y699" s="1157" t="str">
        <f>IF(AND($B699&gt;='1331'!$I$9,$B699&lt;='1331'!$J$9,OR($O699=$Y$7,$P699=$Y$7)),"x","")</f>
        <v/>
      </c>
      <c r="Z699" s="1157" t="str">
        <f>IF(AND($O699=$Y$7,$B699&lt;'1331'!$I$9),"x","")</f>
        <v/>
      </c>
      <c r="AA699" s="1157" t="str">
        <f>IF(AND($P699=$Y$7,$B699&lt;'1331'!$I$9),"x","")</f>
        <v/>
      </c>
      <c r="AB699" s="1157" t="str">
        <f>IF(AND($B699&gt;='1332'!$I$9,$B699&lt;='1332'!$I$9,OR($O699=$AB$7,$P699=$AB$7)),"x","")</f>
        <v/>
      </c>
      <c r="AC699" s="1157" t="str">
        <f>IF(AND($O699=$AB$7,$B699&lt;'1332'!$I$9),"x","")</f>
        <v/>
      </c>
      <c r="AD699" s="1157" t="str">
        <f>IF(AND($P699=$AB$7,$B699&lt;'1332'!$I$9),"x","")</f>
        <v/>
      </c>
      <c r="AE699" s="1157" t="str">
        <f>IF(AND('341-CT'!$H$9=H699,OR(LEFT(O699,3)=$AE$7,LEFT(P699,3)=$AE$7)),"x","")</f>
        <v/>
      </c>
      <c r="AF699" s="1157" t="str">
        <f>IF(OR(TH!O699=TH!$AF$7,P699=TH!$AF$7),"x","")</f>
        <v/>
      </c>
      <c r="AG699" s="1157"/>
      <c r="AH699" s="1157" t="str">
        <f>IF(AND(B699&gt;='IN-NX'!$P$3,B699&lt;='IN-NX'!$Q$3,'IN-NX'!$D$7=D699,OR(LEFT(L699,2)="15",AND(LEFT(M699,2)&lt;&gt;"15",LEFT(M699,2)&lt;&gt;"33"))),"x","")</f>
        <v/>
      </c>
      <c r="AI699" s="1157" t="str">
        <f>IF(AND(OR(LEFT(TH!O699,2)="15",LEFT(TH!P699,2)="15"),'152-CT'!$J$8=TH!F699),"x","")</f>
        <v/>
      </c>
      <c r="AJ699" s="1157" t="str">
        <f>IF(AND(OR(LEFT(TH!O699,2)="15",LEFT(TH!P699,2)="15"),'THE KHO'!$E$7=TH!F699),"x","")</f>
        <v/>
      </c>
      <c r="AK699" s="1157" t="str">
        <f>IF(AND(O699="1521",MONTH(C699)='BK NL'!$M$11),"x","")</f>
        <v/>
      </c>
    </row>
    <row r="700" spans="1:37" s="1158" customFormat="1" ht="15.75" customHeight="1">
      <c r="A700" s="362" t="str">
        <f>IF(B700&lt;&gt;"",IF(AND(B700&gt;=_TM1,B700&lt;=_TM2,OR(TH!O700="1111",TH!P700="1111")),TH!D700,""),"")</f>
        <v/>
      </c>
      <c r="B700" s="1154">
        <f>IF(C700&lt;&gt;"",MONTH(C700),"")</f>
        <v>9</v>
      </c>
      <c r="C700" s="1045">
        <v>42641</v>
      </c>
      <c r="D700" s="1045" t="s">
        <v>8</v>
      </c>
      <c r="E700" s="1045">
        <v>42641</v>
      </c>
      <c r="F700" s="1046" t="s">
        <v>405</v>
      </c>
      <c r="G700" s="1155" t="s">
        <v>798</v>
      </c>
      <c r="H700" s="1156" t="s">
        <v>175</v>
      </c>
      <c r="I700" s="1113"/>
      <c r="J700" s="1113"/>
      <c r="K700" s="1114"/>
      <c r="L700" s="1113"/>
      <c r="M700" s="1115">
        <v>12314548</v>
      </c>
      <c r="N700" s="1115"/>
      <c r="O700" s="1117" t="s">
        <v>133</v>
      </c>
      <c r="P700" s="1117" t="s">
        <v>31</v>
      </c>
      <c r="Q700" s="1157" t="str">
        <f>IF(AND('331-CT'!$E$7=TH!H700,OR(O700="331",P700="331")),"x","")</f>
        <v/>
      </c>
      <c r="R700" s="1157" t="str">
        <f>IF(AND($B700&gt;='111'!$N$11,$B700&lt;='111'!$O$11,OR($O700=$R$7,$P700=$R$7)),"x","")</f>
        <v/>
      </c>
      <c r="S700" s="1157" t="str">
        <f>IF(AND($O700=$R$7,$B700&lt;'111'!$N$11),"x","")</f>
        <v/>
      </c>
      <c r="T700" s="1157" t="str">
        <f>IF(AND($P700=$R$7,$B700&lt;'111'!$N$11),"x","")</f>
        <v/>
      </c>
      <c r="U700" s="1157" t="str">
        <f>IF(AND($B700&gt;='112'!$M$9,$B700&lt;='112'!$N$9,OR($O700='112'!$I$6,$P700='112'!$I$6)),"x","")</f>
        <v>x</v>
      </c>
      <c r="V700" s="1157" t="str">
        <f>IF(AND($O700='112'!$I$6,$B700&lt;'112'!$M$9),"x","")</f>
        <v/>
      </c>
      <c r="W700" s="1157" t="str">
        <f>IF(AND($P700='112'!$I$6,$B700&lt;'112'!$M$9),"x","")</f>
        <v/>
      </c>
      <c r="X700" s="1157" t="str">
        <f>IF(AND('131-CT'!$H$9=TH!H700,OR(O700="131",P700="131")),"x","")</f>
        <v/>
      </c>
      <c r="Y700" s="1157" t="str">
        <f>IF(AND($B700&gt;='1331'!$I$9,$B700&lt;='1331'!$J$9,OR($O700=$Y$7,$P700=$Y$7)),"x","")</f>
        <v/>
      </c>
      <c r="Z700" s="1157" t="str">
        <f>IF(AND($O700=$Y$7,$B700&lt;'1331'!$I$9),"x","")</f>
        <v/>
      </c>
      <c r="AA700" s="1157" t="str">
        <f>IF(AND($P700=$Y$7,$B700&lt;'1331'!$I$9),"x","")</f>
        <v/>
      </c>
      <c r="AB700" s="1157" t="str">
        <f>IF(AND($B700&gt;='1332'!$I$9,$B700&lt;='1332'!$I$9,OR($O700=$AB$7,$P700=$AB$7)),"x","")</f>
        <v/>
      </c>
      <c r="AC700" s="1157" t="str">
        <f>IF(AND($O700=$AB$7,$B700&lt;'1332'!$I$9),"x","")</f>
        <v/>
      </c>
      <c r="AD700" s="1157" t="str">
        <f>IF(AND($P700=$AB$7,$B700&lt;'1332'!$I$9),"x","")</f>
        <v/>
      </c>
      <c r="AE700" s="1157" t="str">
        <f>IF(AND('341-CT'!$H$9=H700,OR(LEFT(O700,3)=$AE$7,LEFT(P700,3)=$AE$7)),"x","")</f>
        <v/>
      </c>
      <c r="AF700" s="1157" t="str">
        <f>IF(OR(TH!O700=TH!$AF$7,P700=TH!$AF$7),"x","")</f>
        <v/>
      </c>
      <c r="AG700" s="1157"/>
      <c r="AH700" s="1157" t="str">
        <f>IF(AND(B700&gt;='IN-NX'!$P$3,B700&lt;='IN-NX'!$Q$3,'IN-NX'!$D$7=D700,OR(LEFT(L700,2)="15",AND(LEFT(M700,2)&lt;&gt;"15",LEFT(M700,2)&lt;&gt;"33"))),"x","")</f>
        <v/>
      </c>
      <c r="AI700" s="1157" t="str">
        <f>IF(AND(OR(LEFT(TH!O700,2)="15",LEFT(TH!P700,2)="15"),'152-CT'!$J$8=TH!F700),"x","")</f>
        <v/>
      </c>
      <c r="AJ700" s="1157" t="str">
        <f>IF(AND(OR(LEFT(TH!O700,2)="15",LEFT(TH!P700,2)="15"),'THE KHO'!$E$7=TH!F700),"x","")</f>
        <v/>
      </c>
      <c r="AK700" s="1157" t="str">
        <f>IF(AND(O700="1521",MONTH(C700)='BK NL'!$M$11),"x","")</f>
        <v/>
      </c>
    </row>
    <row r="701" spans="1:37" ht="15.75" customHeight="1">
      <c r="A701" s="362" t="str">
        <f>IF(B701&lt;&gt;"",IF(AND(B701&gt;=_TM1,B701&lt;=_TM2,OR(TH!O701="1111",TH!P701="1111")),TH!D701,""),"")</f>
        <v/>
      </c>
      <c r="B701" s="63">
        <f t="shared" ref="B701:B703" si="52">IF(C701&lt;&gt;"",MONTH(C701),"")</f>
        <v>9</v>
      </c>
      <c r="C701" s="1045">
        <v>42642</v>
      </c>
      <c r="D701" s="1045" t="s">
        <v>748</v>
      </c>
      <c r="E701" s="1045">
        <v>42642</v>
      </c>
      <c r="F701" s="1046" t="s">
        <v>1074</v>
      </c>
      <c r="G701" s="1047"/>
      <c r="H701" s="1048" t="s">
        <v>825</v>
      </c>
      <c r="I701" s="1049"/>
      <c r="J701" s="1049"/>
      <c r="K701" s="1050"/>
      <c r="L701" s="1049"/>
      <c r="M701" s="1137">
        <v>30000000</v>
      </c>
      <c r="N701" s="1137"/>
      <c r="O701" s="1052" t="s">
        <v>31</v>
      </c>
      <c r="P701" s="1052" t="s">
        <v>97</v>
      </c>
      <c r="Q701" s="66" t="str">
        <f>IF(AND('331-CT'!$E$7=TH!H701,OR(O701="331",P701="331")),"x","")</f>
        <v/>
      </c>
      <c r="R701" s="66" t="str">
        <f>IF(AND($B701&gt;='111'!$N$11,$B701&lt;='111'!$O$11,OR($O701=$R$7,$P701=$R$7)),"x","")</f>
        <v>x</v>
      </c>
      <c r="S701" s="66" t="str">
        <f>IF(AND($O701=$R$7,$B701&lt;'111'!$N$11),"x","")</f>
        <v/>
      </c>
      <c r="T701" s="66" t="str">
        <f>IF(AND($P701=$R$7,$B701&lt;'111'!$N$11),"x","")</f>
        <v/>
      </c>
      <c r="U701" s="66" t="str">
        <f>IF(AND($B701&gt;='112'!$M$9,$B701&lt;='112'!$N$9,OR($O701='112'!$I$6,$P701='112'!$I$6)),"x","")</f>
        <v>x</v>
      </c>
      <c r="V701" s="66" t="str">
        <f>IF(AND($O701='112'!$I$6,$B701&lt;'112'!$M$9),"x","")</f>
        <v/>
      </c>
      <c r="W701" s="66" t="str">
        <f>IF(AND($P701='112'!$I$6,$B701&lt;'112'!$M$9),"x","")</f>
        <v/>
      </c>
      <c r="X701" s="66" t="str">
        <f>IF(AND('131-CT'!$H$9=TH!H701,OR(O701="131",P701="131")),"x","")</f>
        <v/>
      </c>
      <c r="Y701" s="80" t="str">
        <f>IF(AND($B701&gt;='1331'!$I$9,$B701&lt;='1331'!$J$9,OR($O701=$Y$7,$P701=$Y$7)),"x","")</f>
        <v/>
      </c>
      <c r="Z701" s="80" t="str">
        <f>IF(AND($O701=$Y$7,$B701&lt;'1331'!$I$9),"x","")</f>
        <v/>
      </c>
      <c r="AA701" s="80" t="str">
        <f>IF(AND($P701=$Y$7,$B701&lt;'1331'!$I$9),"x","")</f>
        <v/>
      </c>
      <c r="AB701" s="80" t="str">
        <f>IF(AND($B701&gt;='1332'!$I$9,$B701&lt;='1332'!$I$9,OR($O701=$AB$7,$P701=$AB$7)),"x","")</f>
        <v/>
      </c>
      <c r="AC701" s="80" t="str">
        <f>IF(AND($O701=$AB$7,$B701&lt;'1332'!$I$9),"x","")</f>
        <v/>
      </c>
      <c r="AD701" s="80" t="str">
        <f>IF(AND($P701=$AB$7,$B701&lt;'1332'!$I$9),"x","")</f>
        <v/>
      </c>
      <c r="AE701" s="80" t="str">
        <f>IF(AND('341-CT'!$H$9=H701,OR(LEFT(O701,3)=$AE$7,LEFT(P701,3)=$AE$7)),"x","")</f>
        <v/>
      </c>
      <c r="AF701" s="80" t="str">
        <f>IF(OR(TH!O701=TH!$AF$7,P701=TH!$AF$7),"x","")</f>
        <v/>
      </c>
      <c r="AG701" s="80"/>
      <c r="AH701" s="80" t="str">
        <f>IF(AND(B701&gt;='IN-NX'!$P$3,B701&lt;='IN-NX'!$Q$3,'IN-NX'!$D$7=D701,OR(LEFT(L701,2)="15",AND(LEFT(M701,2)&lt;&gt;"15",LEFT(M701,2)&lt;&gt;"33"))),"x","")</f>
        <v/>
      </c>
      <c r="AI701" s="80" t="str">
        <f>IF(AND(OR(LEFT(TH!O701,2)="15",LEFT(TH!P701,2)="15"),'152-CT'!$J$8=TH!F701),"x","")</f>
        <v/>
      </c>
      <c r="AJ701" s="80" t="str">
        <f>IF(AND(OR(LEFT(TH!O701,2)="15",LEFT(TH!P701,2)="15"),'THE KHO'!$E$7=TH!F701),"x","")</f>
        <v/>
      </c>
      <c r="AK701" s="80" t="str">
        <f>IF(AND(O701="1521",MONTH(C701)='BK NL'!$M$11),"x","")</f>
        <v/>
      </c>
    </row>
    <row r="702" spans="1:37" ht="15.75" customHeight="1">
      <c r="A702" s="362" t="str">
        <f>IF(B702&lt;&gt;"",IF(AND(B702&gt;=_TM1,B702&lt;=_TM2,OR(TH!O702="1111",TH!P702="1111")),TH!D702,""),"")</f>
        <v/>
      </c>
      <c r="B702" s="63">
        <f t="shared" ref="B702" si="53">IF(C702&lt;&gt;"",MONTH(C702),"")</f>
        <v>9</v>
      </c>
      <c r="C702" s="1045">
        <v>42642</v>
      </c>
      <c r="D702" s="1045" t="s">
        <v>752</v>
      </c>
      <c r="E702" s="1045">
        <v>42642</v>
      </c>
      <c r="F702" s="1046" t="s">
        <v>1008</v>
      </c>
      <c r="G702" s="1053"/>
      <c r="H702" s="1048" t="s">
        <v>429</v>
      </c>
      <c r="I702" s="1049"/>
      <c r="J702" s="1049"/>
      <c r="K702" s="1050"/>
      <c r="L702" s="1049"/>
      <c r="M702" s="1051">
        <v>60000000</v>
      </c>
      <c r="N702" s="1051"/>
      <c r="O702" s="1052" t="s">
        <v>24</v>
      </c>
      <c r="P702" s="1052" t="s">
        <v>97</v>
      </c>
      <c r="Q702" s="66" t="str">
        <f>IF(AND('331-CT'!$E$7=TH!H702,OR(O702="331",P702="331")),"x","")</f>
        <v/>
      </c>
      <c r="R702" s="66" t="str">
        <f>IF(AND($B702&gt;='111'!$N$11,$B702&lt;='111'!$O$11,OR($O702=$R$7,$P702=$R$7)),"x","")</f>
        <v>x</v>
      </c>
      <c r="S702" s="66" t="str">
        <f>IF(AND($O702=$R$7,$B702&lt;'111'!$N$11),"x","")</f>
        <v/>
      </c>
      <c r="T702" s="66" t="str">
        <f>IF(AND($P702=$R$7,$B702&lt;'111'!$N$11),"x","")</f>
        <v/>
      </c>
      <c r="U702" s="66" t="str">
        <f>IF(AND($B702&gt;='112'!$M$9,$B702&lt;='112'!$N$9,OR($O702='112'!$I$6,$P702='112'!$I$6)),"x","")</f>
        <v/>
      </c>
      <c r="V702" s="66" t="str">
        <f>IF(AND($O702='112'!$I$6,$B702&lt;'112'!$M$9),"x","")</f>
        <v/>
      </c>
      <c r="W702" s="66" t="str">
        <f>IF(AND($P702='112'!$I$6,$B702&lt;'112'!$M$9),"x","")</f>
        <v/>
      </c>
      <c r="X702" s="66" t="str">
        <f>IF(AND('131-CT'!$H$9=TH!H702,OR(O702="131",P702="131")),"x","")</f>
        <v/>
      </c>
      <c r="Y702" s="80" t="str">
        <f>IF(AND($B702&gt;='1331'!$I$9,$B702&lt;='1331'!$J$9,OR($O702=$Y$7,$P702=$Y$7)),"x","")</f>
        <v/>
      </c>
      <c r="Z702" s="80" t="str">
        <f>IF(AND($O702=$Y$7,$B702&lt;'1331'!$I$9),"x","")</f>
        <v/>
      </c>
      <c r="AA702" s="80" t="str">
        <f>IF(AND($P702=$Y$7,$B702&lt;'1331'!$I$9),"x","")</f>
        <v/>
      </c>
      <c r="AB702" s="80" t="str">
        <f>IF(AND($B702&gt;='1332'!$I$9,$B702&lt;='1332'!$I$9,OR($O702=$AB$7,$P702=$AB$7)),"x","")</f>
        <v/>
      </c>
      <c r="AC702" s="80" t="str">
        <f>IF(AND($O702=$AB$7,$B702&lt;'1332'!$I$9),"x","")</f>
        <v/>
      </c>
      <c r="AD702" s="80" t="str">
        <f>IF(AND($P702=$AB$7,$B702&lt;'1332'!$I$9),"x","")</f>
        <v/>
      </c>
      <c r="AE702" s="80" t="str">
        <f>IF(AND('341-CT'!$H$9=H702,OR(LEFT(O702,3)=$AE$7,LEFT(P702,3)=$AE$7)),"x","")</f>
        <v/>
      </c>
      <c r="AF702" s="80" t="str">
        <f>IF(OR(TH!O702=TH!$AF$7,P702=TH!$AF$7),"x","")</f>
        <v>x</v>
      </c>
      <c r="AG702" s="80"/>
      <c r="AH702" s="80" t="str">
        <f>IF(AND(B702&gt;='IN-NX'!$P$3,B702&lt;='IN-NX'!$Q$3,'IN-NX'!$D$7=D702,OR(LEFT(L702,2)="15",AND(LEFT(M702,2)&lt;&gt;"15",LEFT(M702,2)&lt;&gt;"33"))),"x","")</f>
        <v/>
      </c>
      <c r="AI702" s="80" t="str">
        <f>IF(AND(OR(LEFT(TH!O702,2)="15",LEFT(TH!P702,2)="15"),'152-CT'!$J$8=TH!F702),"x","")</f>
        <v/>
      </c>
      <c r="AJ702" s="80" t="str">
        <f>IF(AND(OR(LEFT(TH!O702,2)="15",LEFT(TH!P702,2)="15"),'THE KHO'!$E$7=TH!F702),"x","")</f>
        <v/>
      </c>
      <c r="AK702" s="80" t="str">
        <f>IF(AND(O702="1521",MONTH(C702)='BK NL'!$M$11),"x","")</f>
        <v/>
      </c>
    </row>
    <row r="703" spans="1:37" ht="15.75" customHeight="1">
      <c r="A703" s="362" t="str">
        <f>IF(B703&lt;&gt;"",IF(AND(B703&gt;=_TM1,B703&lt;=_TM2,OR(TH!O703="1111",TH!P703="1111")),TH!D703,""),"")</f>
        <v/>
      </c>
      <c r="B703" s="63">
        <f t="shared" si="52"/>
        <v>9</v>
      </c>
      <c r="C703" s="1045">
        <v>42642</v>
      </c>
      <c r="D703" s="1045" t="s">
        <v>12</v>
      </c>
      <c r="E703" s="1045">
        <v>42642</v>
      </c>
      <c r="F703" s="338" t="s">
        <v>1247</v>
      </c>
      <c r="G703" s="1047"/>
      <c r="H703" s="339" t="s">
        <v>429</v>
      </c>
      <c r="I703" s="1049"/>
      <c r="J703" s="1049"/>
      <c r="K703" s="1050"/>
      <c r="L703" s="1049"/>
      <c r="M703" s="1051">
        <v>60000000</v>
      </c>
      <c r="N703" s="1051"/>
      <c r="O703" s="1052" t="s">
        <v>31</v>
      </c>
      <c r="P703" s="1052" t="s">
        <v>24</v>
      </c>
      <c r="Q703" s="66" t="str">
        <f>IF(AND('331-CT'!$E$7=TH!H703,OR(O703="331",P703="331")),"x","")</f>
        <v/>
      </c>
      <c r="R703" s="66" t="str">
        <f>IF(AND($B703&gt;='111'!$N$11,$B703&lt;='111'!$O$11,OR($O703=$R$7,$P703=$R$7)),"x","")</f>
        <v/>
      </c>
      <c r="S703" s="66" t="str">
        <f>IF(AND($O703=$R$7,$B703&lt;'111'!$N$11),"x","")</f>
        <v/>
      </c>
      <c r="T703" s="66" t="str">
        <f>IF(AND($P703=$R$7,$B703&lt;'111'!$N$11),"x","")</f>
        <v/>
      </c>
      <c r="U703" s="66" t="str">
        <f>IF(AND($B703&gt;='112'!$M$9,$B703&lt;='112'!$N$9,OR($O703='112'!$I$6,$P703='112'!$I$6)),"x","")</f>
        <v>x</v>
      </c>
      <c r="V703" s="66" t="str">
        <f>IF(AND($O703='112'!$I$6,$B703&lt;'112'!$M$9),"x","")</f>
        <v/>
      </c>
      <c r="W703" s="66" t="str">
        <f>IF(AND($P703='112'!$I$6,$B703&lt;'112'!$M$9),"x","")</f>
        <v/>
      </c>
      <c r="X703" s="66" t="str">
        <f>IF(AND('131-CT'!$H$9=TH!H703,OR(O703="131",P703="131")),"x","")</f>
        <v/>
      </c>
      <c r="Y703" s="80" t="str">
        <f>IF(AND($B703&gt;='1331'!$I$9,$B703&lt;='1331'!$J$9,OR($O703=$Y$7,$P703=$Y$7)),"x","")</f>
        <v/>
      </c>
      <c r="Z703" s="80" t="str">
        <f>IF(AND($O703=$Y$7,$B703&lt;'1331'!$I$9),"x","")</f>
        <v/>
      </c>
      <c r="AA703" s="80" t="str">
        <f>IF(AND($P703=$Y$7,$B703&lt;'1331'!$I$9),"x","")</f>
        <v/>
      </c>
      <c r="AB703" s="80" t="str">
        <f>IF(AND($B703&gt;='1332'!$I$9,$B703&lt;='1332'!$I$9,OR($O703=$AB$7,$P703=$AB$7)),"x","")</f>
        <v/>
      </c>
      <c r="AC703" s="80" t="str">
        <f>IF(AND($O703=$AB$7,$B703&lt;'1332'!$I$9),"x","")</f>
        <v/>
      </c>
      <c r="AD703" s="80" t="str">
        <f>IF(AND($P703=$AB$7,$B703&lt;'1332'!$I$9),"x","")</f>
        <v/>
      </c>
      <c r="AE703" s="80" t="str">
        <f>IF(AND('341-CT'!$H$9=H703,OR(LEFT(O703,3)=$AE$7,LEFT(P703,3)=$AE$7)),"x","")</f>
        <v/>
      </c>
      <c r="AF703" s="80" t="str">
        <f>IF(OR(TH!O703=TH!$AF$7,P703=TH!$AF$7),"x","")</f>
        <v>x</v>
      </c>
      <c r="AG703" s="80"/>
      <c r="AH703" s="80" t="str">
        <f>IF(AND(B703&gt;='IN-NX'!$P$3,B703&lt;='IN-NX'!$Q$3,'IN-NX'!$D$7=D703,OR(LEFT(L703,2)="15",AND(LEFT(M703,2)&lt;&gt;"15",LEFT(M703,2)&lt;&gt;"33"))),"x","")</f>
        <v/>
      </c>
      <c r="AI703" s="80" t="str">
        <f>IF(AND(OR(LEFT(TH!O703,2)="15",LEFT(TH!P703,2)="15"),'152-CT'!$J$8=TH!F703),"x","")</f>
        <v/>
      </c>
      <c r="AJ703" s="80" t="str">
        <f>IF(AND(OR(LEFT(TH!O703,2)="15",LEFT(TH!P703,2)="15"),'THE KHO'!$E$7=TH!F703),"x","")</f>
        <v/>
      </c>
      <c r="AK703" s="80" t="str">
        <f>IF(AND(O703="1521",MONTH(C703)='BK NL'!$M$11),"x","")</f>
        <v/>
      </c>
    </row>
    <row r="704" spans="1:37" ht="15.75" customHeight="1">
      <c r="A704" s="362" t="str">
        <f>IF(B704&lt;&gt;"",IF(AND(B704&gt;=_TM1,B704&lt;=_TM2,OR(TH!O704="1111",TH!P704="1111")),TH!D704,""),"")</f>
        <v/>
      </c>
      <c r="B704" s="63">
        <f t="shared" ref="B704:B706" si="54">IF(C704&lt;&gt;"",MONTH(C704),"")</f>
        <v>9</v>
      </c>
      <c r="C704" s="1045">
        <v>42642</v>
      </c>
      <c r="D704" s="1045" t="s">
        <v>1219</v>
      </c>
      <c r="E704" s="1045">
        <v>42642</v>
      </c>
      <c r="F704" s="1046" t="s">
        <v>308</v>
      </c>
      <c r="G704" s="1150" t="s">
        <v>1220</v>
      </c>
      <c r="H704" s="1048" t="s">
        <v>309</v>
      </c>
      <c r="I704" s="1049">
        <v>384</v>
      </c>
      <c r="J704" s="1049">
        <v>18143</v>
      </c>
      <c r="K704" s="1050"/>
      <c r="L704" s="1049"/>
      <c r="M704" s="1122">
        <v>6966912</v>
      </c>
      <c r="N704" s="1122"/>
      <c r="O704" s="1138" t="s">
        <v>462</v>
      </c>
      <c r="P704" s="1139" t="s">
        <v>9</v>
      </c>
      <c r="Q704" s="66" t="str">
        <f>IF(AND('331-CT'!$E$7=TH!H704,OR(O704="331",P704="331")),"x","")</f>
        <v/>
      </c>
      <c r="R704" s="66" t="str">
        <f>IF(AND($B704&gt;='111'!$N$11,$B704&lt;='111'!$O$11,OR($O704=$R$7,$P704=$R$7)),"x","")</f>
        <v/>
      </c>
      <c r="S704" s="66" t="str">
        <f>IF(AND($O704=$R$7,$B704&lt;'111'!$N$11),"x","")</f>
        <v/>
      </c>
      <c r="T704" s="66" t="str">
        <f>IF(AND($P704=$R$7,$B704&lt;'111'!$N$11),"x","")</f>
        <v/>
      </c>
      <c r="U704" s="66" t="str">
        <f>IF(AND($B704&gt;='112'!$M$9,$B704&lt;='112'!$N$9,OR($O704='112'!$I$6,$P704='112'!$I$6)),"x","")</f>
        <v/>
      </c>
      <c r="V704" s="66" t="str">
        <f>IF(AND($O704='112'!$I$6,$B704&lt;'112'!$M$9),"x","")</f>
        <v/>
      </c>
      <c r="W704" s="66" t="str">
        <f>IF(AND($P704='112'!$I$6,$B704&lt;'112'!$M$9),"x","")</f>
        <v/>
      </c>
      <c r="X704" s="66" t="str">
        <f>IF(AND('131-CT'!$H$9=TH!H704,OR(O704="131",P704="131")),"x","")</f>
        <v/>
      </c>
      <c r="Y704" s="80" t="str">
        <f>IF(AND($B704&gt;='1331'!$I$9,$B704&lt;='1331'!$J$9,OR($O704=$Y$7,$P704=$Y$7)),"x","")</f>
        <v/>
      </c>
      <c r="Z704" s="80" t="str">
        <f>IF(AND($O704=$Y$7,$B704&lt;'1331'!$I$9),"x","")</f>
        <v/>
      </c>
      <c r="AA704" s="80" t="str">
        <f>IF(AND($P704=$Y$7,$B704&lt;'1331'!$I$9),"x","")</f>
        <v/>
      </c>
      <c r="AB704" s="80" t="str">
        <f>IF(AND($B704&gt;='1332'!$I$9,$B704&lt;='1332'!$I$9,OR($O704=$AB$7,$P704=$AB$7)),"x","")</f>
        <v/>
      </c>
      <c r="AC704" s="80" t="str">
        <f>IF(AND($O704=$AB$7,$B704&lt;'1332'!$I$9),"x","")</f>
        <v/>
      </c>
      <c r="AD704" s="80" t="str">
        <f>IF(AND($P704=$AB$7,$B704&lt;'1332'!$I$9),"x","")</f>
        <v/>
      </c>
      <c r="AE704" s="80" t="str">
        <f>IF(AND('341-CT'!$H$9=H704,OR(LEFT(O704,3)=$AE$7,LEFT(P704,3)=$AE$7)),"x","")</f>
        <v/>
      </c>
      <c r="AF704" s="80" t="str">
        <f>IF(OR(TH!O704=TH!$AF$7,P704=TH!$AF$7),"x","")</f>
        <v/>
      </c>
      <c r="AG704" s="80"/>
      <c r="AH704" s="80" t="str">
        <f>IF(AND(B704&gt;='IN-NX'!$P$3,B704&lt;='IN-NX'!$Q$3,'IN-NX'!$D$7=D704,OR(LEFT(L704,2)="15",AND(LEFT(M704,2)&lt;&gt;"15",LEFT(M704,2)&lt;&gt;"33"))),"x","")</f>
        <v/>
      </c>
      <c r="AI704" s="80" t="str">
        <f>IF(AND(OR(LEFT(TH!O704,2)="15",LEFT(TH!P704,2)="15"),'152-CT'!$J$8=TH!F704),"x","")</f>
        <v/>
      </c>
      <c r="AJ704" s="80" t="str">
        <f>IF(AND(OR(LEFT(TH!O704,2)="15",LEFT(TH!P704,2)="15"),'THE KHO'!$E$7=TH!F704),"x","")</f>
        <v/>
      </c>
      <c r="AK704" s="80" t="str">
        <f>IF(AND(O704="1521",MONTH(C704)='BK NL'!$M$11),"x","")</f>
        <v/>
      </c>
    </row>
    <row r="705" spans="1:37" ht="15.75" customHeight="1">
      <c r="A705" s="362" t="str">
        <f>IF(B705&lt;&gt;"",IF(AND(B705&gt;=_TM1,B705&lt;=_TM2,OR(TH!O705="1111",TH!P705="1111")),TH!D705,""),"")</f>
        <v/>
      </c>
      <c r="B705" s="63">
        <f t="shared" si="54"/>
        <v>9</v>
      </c>
      <c r="C705" s="1045">
        <v>42642</v>
      </c>
      <c r="D705" s="1045" t="s">
        <v>1219</v>
      </c>
      <c r="E705" s="1045">
        <v>42642</v>
      </c>
      <c r="F705" s="1046" t="s">
        <v>310</v>
      </c>
      <c r="G705" s="1150" t="s">
        <v>1220</v>
      </c>
      <c r="H705" s="1048" t="s">
        <v>309</v>
      </c>
      <c r="I705" s="1049"/>
      <c r="J705" s="1049"/>
      <c r="K705" s="1050"/>
      <c r="L705" s="1049"/>
      <c r="M705" s="1122">
        <v>696691</v>
      </c>
      <c r="N705" s="1122"/>
      <c r="O705" s="1052" t="s">
        <v>10</v>
      </c>
      <c r="P705" s="1139" t="s">
        <v>9</v>
      </c>
      <c r="Q705" s="66" t="str">
        <f>IF(AND('331-CT'!$E$7=TH!H705,OR(O705="331",P705="331")),"x","")</f>
        <v/>
      </c>
      <c r="R705" s="66" t="str">
        <f>IF(AND($B705&gt;='111'!$N$11,$B705&lt;='111'!$O$11,OR($O705=$R$7,$P705=$R$7)),"x","")</f>
        <v/>
      </c>
      <c r="S705" s="66" t="str">
        <f>IF(AND($O705=$R$7,$B705&lt;'111'!$N$11),"x","")</f>
        <v/>
      </c>
      <c r="T705" s="66" t="str">
        <f>IF(AND($P705=$R$7,$B705&lt;'111'!$N$11),"x","")</f>
        <v/>
      </c>
      <c r="U705" s="66" t="str">
        <f>IF(AND($B705&gt;='112'!$M$9,$B705&lt;='112'!$N$9,OR($O705='112'!$I$6,$P705='112'!$I$6)),"x","")</f>
        <v/>
      </c>
      <c r="V705" s="66" t="str">
        <f>IF(AND($O705='112'!$I$6,$B705&lt;'112'!$M$9),"x","")</f>
        <v/>
      </c>
      <c r="W705" s="66" t="str">
        <f>IF(AND($P705='112'!$I$6,$B705&lt;'112'!$M$9),"x","")</f>
        <v/>
      </c>
      <c r="X705" s="66" t="str">
        <f>IF(AND('131-CT'!$H$9=TH!H705,OR(O705="131",P705="131")),"x","")</f>
        <v/>
      </c>
      <c r="Y705" s="80" t="str">
        <f>IF(AND($B705&gt;='1331'!$I$9,$B705&lt;='1331'!$J$9,OR($O705=$Y$7,$P705=$Y$7)),"x","")</f>
        <v>x</v>
      </c>
      <c r="Z705" s="80" t="str">
        <f>IF(AND($O705=$Y$7,$B705&lt;'1331'!$I$9),"x","")</f>
        <v/>
      </c>
      <c r="AA705" s="80" t="str">
        <f>IF(AND($P705=$Y$7,$B705&lt;'1331'!$I$9),"x","")</f>
        <v/>
      </c>
      <c r="AB705" s="80" t="str">
        <f>IF(AND($B705&gt;='1332'!$I$9,$B705&lt;='1332'!$I$9,OR($O705=$AB$7,$P705=$AB$7)),"x","")</f>
        <v/>
      </c>
      <c r="AC705" s="80" t="str">
        <f>IF(AND($O705=$AB$7,$B705&lt;'1332'!$I$9),"x","")</f>
        <v/>
      </c>
      <c r="AD705" s="80" t="str">
        <f>IF(AND($P705=$AB$7,$B705&lt;'1332'!$I$9),"x","")</f>
        <v/>
      </c>
      <c r="AE705" s="80" t="str">
        <f>IF(AND('341-CT'!$H$9=H705,OR(LEFT(O705,3)=$AE$7,LEFT(P705,3)=$AE$7)),"x","")</f>
        <v/>
      </c>
      <c r="AF705" s="80" t="str">
        <f>IF(OR(TH!O705=TH!$AF$7,P705=TH!$AF$7),"x","")</f>
        <v/>
      </c>
      <c r="AG705" s="80"/>
      <c r="AH705" s="80" t="str">
        <f>IF(AND(B705&gt;='IN-NX'!$P$3,B705&lt;='IN-NX'!$Q$3,'IN-NX'!$D$7=D705,OR(LEFT(L705,2)="15",AND(LEFT(M705,2)&lt;&gt;"15",LEFT(M705,2)&lt;&gt;"33"))),"x","")</f>
        <v/>
      </c>
      <c r="AI705" s="80" t="str">
        <f>IF(AND(OR(LEFT(TH!O705,2)="15",LEFT(TH!P705,2)="15"),'152-CT'!$J$8=TH!F705),"x","")</f>
        <v/>
      </c>
      <c r="AJ705" s="80" t="str">
        <f>IF(AND(OR(LEFT(TH!O705,2)="15",LEFT(TH!P705,2)="15"),'THE KHO'!$E$7=TH!F705),"x","")</f>
        <v/>
      </c>
      <c r="AK705" s="80" t="str">
        <f>IF(AND(O705="1521",MONTH(C705)='BK NL'!$M$11),"x","")</f>
        <v/>
      </c>
    </row>
    <row r="706" spans="1:37" ht="15.75" customHeight="1">
      <c r="A706" s="362" t="str">
        <f>IF(B706&lt;&gt;"",IF(AND(B706&gt;=_TM1,B706&lt;=_TM2,OR(TH!O706="1111",TH!P706="1111")),TH!D706,""),"")</f>
        <v/>
      </c>
      <c r="B706" s="63">
        <f t="shared" si="54"/>
        <v>9</v>
      </c>
      <c r="C706" s="337">
        <v>42643</v>
      </c>
      <c r="D706" s="1045" t="s">
        <v>755</v>
      </c>
      <c r="E706" s="337">
        <v>42643</v>
      </c>
      <c r="F706" s="1046" t="s">
        <v>1249</v>
      </c>
      <c r="G706" s="1053"/>
      <c r="H706" s="1048"/>
      <c r="I706" s="1049"/>
      <c r="J706" s="1049"/>
      <c r="K706" s="1050"/>
      <c r="L706" s="1049"/>
      <c r="M706" s="1051">
        <v>186376940</v>
      </c>
      <c r="N706" s="1051"/>
      <c r="O706" s="1052" t="s">
        <v>1020</v>
      </c>
      <c r="P706" s="1052" t="s">
        <v>97</v>
      </c>
      <c r="Q706" s="66" t="str">
        <f>IF(AND('331-CT'!$E$7=TH!H706,OR(O706="331",P706="331")),"x","")</f>
        <v/>
      </c>
      <c r="R706" s="66" t="str">
        <f>IF(AND($B706&gt;='111'!$N$11,$B706&lt;='111'!$O$11,OR($O706=$R$7,$P706=$R$7)),"x","")</f>
        <v>x</v>
      </c>
      <c r="S706" s="66" t="str">
        <f>IF(AND($O706=$R$7,$B706&lt;'111'!$N$11),"x","")</f>
        <v/>
      </c>
      <c r="T706" s="66" t="str">
        <f>IF(AND($P706=$R$7,$B706&lt;'111'!$N$11),"x","")</f>
        <v/>
      </c>
      <c r="U706" s="66" t="str">
        <f>IF(AND($B706&gt;='112'!$M$9,$B706&lt;='112'!$N$9,OR($O706='112'!$I$6,$P706='112'!$I$6)),"x","")</f>
        <v/>
      </c>
      <c r="V706" s="66" t="str">
        <f>IF(AND($O706='112'!$I$6,$B706&lt;'112'!$M$9),"x","")</f>
        <v/>
      </c>
      <c r="W706" s="66" t="str">
        <f>IF(AND($P706='112'!$I$6,$B706&lt;'112'!$M$9),"x","")</f>
        <v/>
      </c>
      <c r="X706" s="66" t="str">
        <f>IF(AND('131-CT'!$H$9=TH!H706,OR(O706="131",P706="131")),"x","")</f>
        <v/>
      </c>
      <c r="Y706" s="80" t="str">
        <f>IF(AND($B706&gt;='1331'!$I$9,$B706&lt;='1331'!$J$9,OR($O706=$Y$7,$P706=$Y$7)),"x","")</f>
        <v/>
      </c>
      <c r="Z706" s="80" t="str">
        <f>IF(AND($O706=$Y$7,$B706&lt;'1331'!$I$9),"x","")</f>
        <v/>
      </c>
      <c r="AA706" s="80" t="str">
        <f>IF(AND($P706=$Y$7,$B706&lt;'1331'!$I$9),"x","")</f>
        <v/>
      </c>
      <c r="AB706" s="80" t="str">
        <f>IF(AND($B706&gt;='1332'!$I$9,$B706&lt;='1332'!$I$9,OR($O706=$AB$7,$P706=$AB$7)),"x","")</f>
        <v/>
      </c>
      <c r="AC706" s="80" t="str">
        <f>IF(AND($O706=$AB$7,$B706&lt;'1332'!$I$9),"x","")</f>
        <v/>
      </c>
      <c r="AD706" s="80" t="str">
        <f>IF(AND($P706=$AB$7,$B706&lt;'1332'!$I$9),"x","")</f>
        <v/>
      </c>
      <c r="AE706" s="80" t="str">
        <f>IF(AND('341-CT'!$H$9=H706,OR(LEFT(O706,3)=$AE$7,LEFT(P706,3)=$AE$7)),"x","")</f>
        <v/>
      </c>
      <c r="AF706" s="80" t="str">
        <f>IF(OR(TH!O706=TH!$AF$7,P706=TH!$AF$7),"x","")</f>
        <v/>
      </c>
      <c r="AG706" s="80"/>
      <c r="AH706" s="80" t="str">
        <f>IF(AND(B706&gt;='IN-NX'!$P$3,B706&lt;='IN-NX'!$Q$3,'IN-NX'!$D$7=D706,OR(LEFT(L706,2)="15",AND(LEFT(M706,2)&lt;&gt;"15",LEFT(M706,2)&lt;&gt;"33"))),"x","")</f>
        <v/>
      </c>
      <c r="AI706" s="80" t="str">
        <f>IF(AND(OR(LEFT(TH!O706,2)="15",LEFT(TH!P706,2)="15"),'152-CT'!$J$8=TH!F706),"x","")</f>
        <v/>
      </c>
      <c r="AJ706" s="80" t="str">
        <f>IF(AND(OR(LEFT(TH!O706,2)="15",LEFT(TH!P706,2)="15"),'THE KHO'!$E$7=TH!F706),"x","")</f>
        <v/>
      </c>
      <c r="AK706" s="80" t="str">
        <f>IF(AND(O706="1521",MONTH(C706)='BK NL'!$M$11),"x","")</f>
        <v/>
      </c>
    </row>
    <row r="707" spans="1:37" ht="15.75" customHeight="1">
      <c r="A707" s="362" t="str">
        <f>IF(B707&lt;&gt;"",IF(AND(B707&gt;=_TM1,B707&lt;=_TM2,OR(TH!O707="1111",TH!P707="1111")),TH!D707,""),"")</f>
        <v/>
      </c>
      <c r="B707" s="63">
        <f t="shared" si="45"/>
        <v>9</v>
      </c>
      <c r="C707" s="337">
        <v>42643</v>
      </c>
      <c r="D707" s="337" t="s">
        <v>8</v>
      </c>
      <c r="E707" s="337">
        <v>42643</v>
      </c>
      <c r="F707" s="338" t="s">
        <v>1217</v>
      </c>
      <c r="G707" s="355"/>
      <c r="H707" s="339" t="s">
        <v>221</v>
      </c>
      <c r="I707" s="476"/>
      <c r="J707" s="476"/>
      <c r="K707" s="469"/>
      <c r="L707" s="476"/>
      <c r="M707" s="65">
        <v>88048620</v>
      </c>
      <c r="N707" s="65"/>
      <c r="O707" s="340" t="s">
        <v>9</v>
      </c>
      <c r="P707" s="340" t="s">
        <v>31</v>
      </c>
      <c r="Q707" s="66" t="str">
        <f>IF(AND('331-CT'!$E$7=TH!H707,OR(O707="331",P707="331")),"x","")</f>
        <v/>
      </c>
      <c r="R707" s="66" t="str">
        <f>IF(AND($B707&gt;='111'!$N$11,$B707&lt;='111'!$O$11,OR($O707=$R$7,$P707=$R$7)),"x","")</f>
        <v/>
      </c>
      <c r="S707" s="66" t="str">
        <f>IF(AND($O707=$R$7,$B707&lt;'111'!$N$11),"x","")</f>
        <v/>
      </c>
      <c r="T707" s="66" t="str">
        <f>IF(AND($P707=$R$7,$B707&lt;'111'!$N$11),"x","")</f>
        <v/>
      </c>
      <c r="U707" s="66" t="str">
        <f>IF(AND($B707&gt;='112'!$M$9,$B707&lt;='112'!$N$9,OR($O707='112'!$I$6,$P707='112'!$I$6)),"x","")</f>
        <v>x</v>
      </c>
      <c r="V707" s="66" t="str">
        <f>IF(AND($O707='112'!$I$6,$B707&lt;'112'!$M$9),"x","")</f>
        <v/>
      </c>
      <c r="W707" s="66" t="str">
        <f>IF(AND($P707='112'!$I$6,$B707&lt;'112'!$M$9),"x","")</f>
        <v/>
      </c>
      <c r="X707" s="66" t="str">
        <f>IF(AND('131-CT'!$H$9=TH!H707,OR(O707="131",P707="131")),"x","")</f>
        <v/>
      </c>
      <c r="Y707" s="80" t="str">
        <f>IF(AND($B707&gt;='1331'!$I$9,$B707&lt;='1331'!$J$9,OR($O707=$Y$7,$P707=$Y$7)),"x","")</f>
        <v/>
      </c>
      <c r="Z707" s="80" t="str">
        <f>IF(AND($O707=$Y$7,$B707&lt;'1331'!$I$9),"x","")</f>
        <v/>
      </c>
      <c r="AA707" s="80" t="str">
        <f>IF(AND($P707=$Y$7,$B707&lt;'1331'!$I$9),"x","")</f>
        <v/>
      </c>
      <c r="AB707" s="80" t="str">
        <f>IF(AND($B707&gt;='1332'!$I$9,$B707&lt;='1332'!$I$9,OR($O707=$AB$7,$P707=$AB$7)),"x","")</f>
        <v/>
      </c>
      <c r="AC707" s="80" t="str">
        <f>IF(AND($O707=$AB$7,$B707&lt;'1332'!$I$9),"x","")</f>
        <v/>
      </c>
      <c r="AD707" s="80" t="str">
        <f>IF(AND($P707=$AB$7,$B707&lt;'1332'!$I$9),"x","")</f>
        <v/>
      </c>
      <c r="AE707" s="80" t="str">
        <f>IF(AND('341-CT'!$H$9=H707,OR(LEFT(O707,3)=$AE$7,LEFT(P707,3)=$AE$7)),"x","")</f>
        <v/>
      </c>
      <c r="AF707" s="80" t="str">
        <f>IF(OR(TH!O707=TH!$AF$7,P707=TH!$AF$7),"x","")</f>
        <v/>
      </c>
      <c r="AG707" s="80"/>
      <c r="AH707" s="80" t="str">
        <f>IF(AND(B707&gt;='IN-NX'!$P$3,B707&lt;='IN-NX'!$Q$3,'IN-NX'!$D$7=D707,OR(LEFT(L707,2)="15",AND(LEFT(M707,2)&lt;&gt;"15",LEFT(M707,2)&lt;&gt;"33"))),"x","")</f>
        <v/>
      </c>
      <c r="AI707" s="80" t="str">
        <f>IF(AND(OR(LEFT(TH!O707,2)="15",LEFT(TH!P707,2)="15"),'152-CT'!$J$8=TH!F707),"x","")</f>
        <v/>
      </c>
      <c r="AJ707" s="80" t="str">
        <f>IF(AND(OR(LEFT(TH!O707,2)="15",LEFT(TH!P707,2)="15"),'THE KHO'!$E$7=TH!F707),"x","")</f>
        <v/>
      </c>
      <c r="AK707" s="80" t="str">
        <f>IF(AND(O707="1521",MONTH(C707)='BK NL'!$M$11),"x","")</f>
        <v/>
      </c>
    </row>
    <row r="708" spans="1:37" ht="17.25" customHeight="1">
      <c r="A708" s="362" t="str">
        <f>IF(B708&lt;&gt;"",IF(AND(B708&gt;=_TM1,B708&lt;=_TM2,OR(TH!O708="1111",TH!P708="1111")),TH!D708,""),"")</f>
        <v/>
      </c>
      <c r="B708" s="63">
        <f t="shared" si="45"/>
        <v>9</v>
      </c>
      <c r="C708" s="337">
        <v>42643</v>
      </c>
      <c r="D708" s="337" t="s">
        <v>8</v>
      </c>
      <c r="E708" s="337">
        <v>42643</v>
      </c>
      <c r="F708" s="1046" t="s">
        <v>22</v>
      </c>
      <c r="G708" s="1047" t="s">
        <v>798</v>
      </c>
      <c r="H708" s="1129"/>
      <c r="I708" s="1135"/>
      <c r="J708" s="1135"/>
      <c r="K708" s="1136"/>
      <c r="L708" s="1135"/>
      <c r="M708" s="1051">
        <v>64024</v>
      </c>
      <c r="N708" s="1051"/>
      <c r="O708" s="1052" t="s">
        <v>135</v>
      </c>
      <c r="P708" s="1052" t="s">
        <v>31</v>
      </c>
      <c r="Q708" s="66" t="str">
        <f>IF(AND('331-CT'!$E$7=TH!H708,OR(O708="331",P708="331")),"x","")</f>
        <v/>
      </c>
      <c r="R708" s="66" t="str">
        <f>IF(AND($B708&gt;='111'!$N$11,$B708&lt;='111'!$O$11,OR($O708=$R$7,$P708=$R$7)),"x","")</f>
        <v/>
      </c>
      <c r="S708" s="66" t="str">
        <f>IF(AND($O708=$R$7,$B708&lt;'111'!$N$11),"x","")</f>
        <v/>
      </c>
      <c r="T708" s="66" t="str">
        <f>IF(AND($P708=$R$7,$B708&lt;'111'!$N$11),"x","")</f>
        <v/>
      </c>
      <c r="U708" s="66" t="str">
        <f>IF(AND($B708&gt;='112'!$M$9,$B708&lt;='112'!$N$9,OR($O708='112'!$I$6,$P708='112'!$I$6)),"x","")</f>
        <v>x</v>
      </c>
      <c r="V708" s="66" t="str">
        <f>IF(AND($O708='112'!$I$6,$B708&lt;'112'!$M$9),"x","")</f>
        <v/>
      </c>
      <c r="W708" s="66" t="str">
        <f>IF(AND($P708='112'!$I$6,$B708&lt;'112'!$M$9),"x","")</f>
        <v/>
      </c>
      <c r="X708" s="66" t="str">
        <f>IF(AND('131-CT'!$H$9=TH!H708,OR(O708="131",P708="131")),"x","")</f>
        <v/>
      </c>
      <c r="Y708" s="80" t="str">
        <f>IF(AND($B708&gt;='1331'!$I$9,$B708&lt;='1331'!$J$9,OR($O708=$Y$7,$P708=$Y$7)),"x","")</f>
        <v/>
      </c>
      <c r="Z708" s="80" t="str">
        <f>IF(AND($O708=$Y$7,$B708&lt;'1331'!$I$9),"x","")</f>
        <v/>
      </c>
      <c r="AA708" s="80" t="str">
        <f>IF(AND($P708=$Y$7,$B708&lt;'1331'!$I$9),"x","")</f>
        <v/>
      </c>
      <c r="AB708" s="80" t="str">
        <f>IF(AND($B708&gt;='1332'!$I$9,$B708&lt;='1332'!$I$9,OR($O708=$AB$7,$P708=$AB$7)),"x","")</f>
        <v/>
      </c>
      <c r="AC708" s="80" t="str">
        <f>IF(AND($O708=$AB$7,$B708&lt;'1332'!$I$9),"x","")</f>
        <v/>
      </c>
      <c r="AD708" s="80" t="str">
        <f>IF(AND($P708=$AB$7,$B708&lt;'1332'!$I$9),"x","")</f>
        <v/>
      </c>
      <c r="AE708" s="80" t="str">
        <f>IF(AND('341-CT'!$H$9=H708,OR(LEFT(O708,3)=$AE$7,LEFT(P708,3)=$AE$7)),"x","")</f>
        <v/>
      </c>
      <c r="AF708" s="80" t="str">
        <f>IF(OR(TH!O708=TH!$AF$7,P708=TH!$AF$7),"x","")</f>
        <v/>
      </c>
      <c r="AG708" s="80"/>
      <c r="AH708" s="80" t="str">
        <f>IF(AND(B708&gt;='IN-NX'!$P$3,B708&lt;='IN-NX'!$Q$3,'IN-NX'!$D$7=D708,OR(LEFT(L708,2)="15",AND(LEFT(M708,2)&lt;&gt;"15",LEFT(M708,2)&lt;&gt;"33"))),"x","")</f>
        <v/>
      </c>
      <c r="AI708" s="80" t="str">
        <f>IF(AND(OR(LEFT(TH!O708,2)="15",LEFT(TH!P708,2)="15"),'152-CT'!$J$8=TH!F708),"x","")</f>
        <v/>
      </c>
      <c r="AJ708" s="80" t="str">
        <f>IF(AND(OR(LEFT(TH!O708,2)="15",LEFT(TH!P708,2)="15"),'THE KHO'!$E$7=TH!F708),"x","")</f>
        <v/>
      </c>
      <c r="AK708" s="80" t="str">
        <f>IF(AND(O708="1521",MONTH(C708)='BK NL'!$M$11),"x","")</f>
        <v/>
      </c>
    </row>
    <row r="709" spans="1:37" ht="17.25" customHeight="1">
      <c r="A709" s="362" t="str">
        <f>IF(B709&lt;&gt;"",IF(AND(B709&gt;=_TM1,B709&lt;=_TM2,OR(TH!O709="1111",TH!P709="1111")),TH!D709,""),"")</f>
        <v/>
      </c>
      <c r="B709" s="63">
        <f t="shared" si="45"/>
        <v>9</v>
      </c>
      <c r="C709" s="337">
        <v>42643</v>
      </c>
      <c r="D709" s="337" t="s">
        <v>8</v>
      </c>
      <c r="E709" s="337">
        <v>42643</v>
      </c>
      <c r="F709" s="1046" t="s">
        <v>23</v>
      </c>
      <c r="G709" s="1047" t="s">
        <v>798</v>
      </c>
      <c r="H709" s="1048"/>
      <c r="I709" s="1049"/>
      <c r="J709" s="1049"/>
      <c r="K709" s="1050"/>
      <c r="L709" s="1049"/>
      <c r="M709" s="1137">
        <v>6402</v>
      </c>
      <c r="N709" s="1137"/>
      <c r="O709" s="1052" t="s">
        <v>10</v>
      </c>
      <c r="P709" s="1052" t="s">
        <v>31</v>
      </c>
      <c r="Q709" s="66" t="str">
        <f>IF(AND('331-CT'!$E$7=TH!H709,OR(O709="331",P709="331")),"x","")</f>
        <v/>
      </c>
      <c r="R709" s="66" t="str">
        <f>IF(AND($B709&gt;='111'!$N$11,$B709&lt;='111'!$O$11,OR($O709=$R$7,$P709=$R$7)),"x","")</f>
        <v/>
      </c>
      <c r="S709" s="66" t="str">
        <f>IF(AND($O709=$R$7,$B709&lt;'111'!$N$11),"x","")</f>
        <v/>
      </c>
      <c r="T709" s="66" t="str">
        <f>IF(AND($P709=$R$7,$B709&lt;'111'!$N$11),"x","")</f>
        <v/>
      </c>
      <c r="U709" s="66" t="str">
        <f>IF(AND($B709&gt;='112'!$M$9,$B709&lt;='112'!$N$9,OR($O709='112'!$I$6,$P709='112'!$I$6)),"x","")</f>
        <v>x</v>
      </c>
      <c r="V709" s="66" t="str">
        <f>IF(AND($O709='112'!$I$6,$B709&lt;'112'!$M$9),"x","")</f>
        <v/>
      </c>
      <c r="W709" s="66" t="str">
        <f>IF(AND($P709='112'!$I$6,$B709&lt;'112'!$M$9),"x","")</f>
        <v/>
      </c>
      <c r="X709" s="66" t="str">
        <f>IF(AND('131-CT'!$H$9=TH!H709,OR(O709="131",P709="131")),"x","")</f>
        <v/>
      </c>
      <c r="Y709" s="80" t="str">
        <f>IF(AND($B709&gt;='1331'!$I$9,$B709&lt;='1331'!$J$9,OR($O709=$Y$7,$P709=$Y$7)),"x","")</f>
        <v>x</v>
      </c>
      <c r="Z709" s="80" t="str">
        <f>IF(AND($O709=$Y$7,$B709&lt;'1331'!$I$9),"x","")</f>
        <v/>
      </c>
      <c r="AA709" s="80" t="str">
        <f>IF(AND($P709=$Y$7,$B709&lt;'1331'!$I$9),"x","")</f>
        <v/>
      </c>
      <c r="AB709" s="80" t="str">
        <f>IF(AND($B709&gt;='1332'!$I$9,$B709&lt;='1332'!$I$9,OR($O709=$AB$7,$P709=$AB$7)),"x","")</f>
        <v/>
      </c>
      <c r="AC709" s="80" t="str">
        <f>IF(AND($O709=$AB$7,$B709&lt;'1332'!$I$9),"x","")</f>
        <v/>
      </c>
      <c r="AD709" s="80" t="str">
        <f>IF(AND($P709=$AB$7,$B709&lt;'1332'!$I$9),"x","")</f>
        <v/>
      </c>
      <c r="AE709" s="80" t="str">
        <f>IF(AND('341-CT'!$H$9=H709,OR(LEFT(O709,3)=$AE$7,LEFT(P709,3)=$AE$7)),"x","")</f>
        <v/>
      </c>
      <c r="AF709" s="80" t="str">
        <f>IF(OR(TH!O709=TH!$AF$7,P709=TH!$AF$7),"x","")</f>
        <v/>
      </c>
      <c r="AG709" s="80"/>
      <c r="AH709" s="80" t="str">
        <f>IF(AND(B709&gt;='IN-NX'!$P$3,B709&lt;='IN-NX'!$Q$3,'IN-NX'!$D$7=D709,OR(LEFT(L709,2)="15",AND(LEFT(M709,2)&lt;&gt;"15",LEFT(M709,2)&lt;&gt;"33"))),"x","")</f>
        <v/>
      </c>
      <c r="AI709" s="80" t="str">
        <f>IF(AND(OR(LEFT(TH!O709,2)="15",LEFT(TH!P709,2)="15"),'152-CT'!$J$8=TH!F709),"x","")</f>
        <v/>
      </c>
      <c r="AJ709" s="80" t="str">
        <f>IF(AND(OR(LEFT(TH!O709,2)="15",LEFT(TH!P709,2)="15"),'THE KHO'!$E$7=TH!F709),"x","")</f>
        <v/>
      </c>
      <c r="AK709" s="80" t="str">
        <f>IF(AND(O709="1521",MONTH(C709)='BK NL'!$M$11),"x","")</f>
        <v/>
      </c>
    </row>
    <row r="710" spans="1:37" ht="15.75" customHeight="1">
      <c r="A710" s="362" t="str">
        <f>IF(B710&lt;&gt;"",IF(AND(B710&gt;=_TM1,B710&lt;=_TM2,OR(TH!O710="1111",TH!P710="1111")),TH!D710,""),"")</f>
        <v/>
      </c>
      <c r="B710" s="63">
        <f t="shared" si="45"/>
        <v>9</v>
      </c>
      <c r="C710" s="337">
        <v>42643</v>
      </c>
      <c r="D710" s="1045" t="s">
        <v>1229</v>
      </c>
      <c r="E710" s="337">
        <v>42624</v>
      </c>
      <c r="F710" s="1046" t="s">
        <v>1231</v>
      </c>
      <c r="G710" s="1047" t="s">
        <v>1230</v>
      </c>
      <c r="H710" s="1048" t="s">
        <v>221</v>
      </c>
      <c r="I710" s="1132"/>
      <c r="J710" s="1132"/>
      <c r="K710" s="1133"/>
      <c r="L710" s="1132"/>
      <c r="M710" s="1051">
        <v>42145400</v>
      </c>
      <c r="N710" s="1051"/>
      <c r="O710" s="1116" t="s">
        <v>135</v>
      </c>
      <c r="P710" s="1052" t="s">
        <v>9</v>
      </c>
      <c r="Q710" s="66" t="str">
        <f>IF(AND('331-CT'!$E$7=TH!H710,OR(O710="331",P710="331")),"x","")</f>
        <v/>
      </c>
      <c r="R710" s="66" t="str">
        <f>IF(AND($B710&gt;='111'!$N$11,$B710&lt;='111'!$O$11,OR($O710=$R$7,$P710=$R$7)),"x","")</f>
        <v/>
      </c>
      <c r="S710" s="66" t="str">
        <f>IF(AND($O710=$R$7,$B710&lt;'111'!$N$11),"x","")</f>
        <v/>
      </c>
      <c r="T710" s="66" t="str">
        <f>IF(AND($P710=$R$7,$B710&lt;'111'!$N$11),"x","")</f>
        <v/>
      </c>
      <c r="U710" s="66" t="str">
        <f>IF(AND($B710&gt;='112'!$M$9,$B710&lt;='112'!$N$9,OR($O710='112'!$I$6,$P710='112'!$I$6)),"x","")</f>
        <v/>
      </c>
      <c r="V710" s="66" t="str">
        <f>IF(AND($O710='112'!$I$6,$B710&lt;'112'!$M$9),"x","")</f>
        <v/>
      </c>
      <c r="W710" s="66" t="str">
        <f>IF(AND($P710='112'!$I$6,$B710&lt;'112'!$M$9),"x","")</f>
        <v/>
      </c>
      <c r="X710" s="66" t="str">
        <f>IF(AND('131-CT'!$H$9=TH!H710,OR(O710="131",P710="131")),"x","")</f>
        <v/>
      </c>
      <c r="Y710" s="80" t="str">
        <f>IF(AND($B710&gt;='1331'!$I$9,$B710&lt;='1331'!$J$9,OR($O710=$Y$7,$P710=$Y$7)),"x","")</f>
        <v/>
      </c>
      <c r="Z710" s="80" t="str">
        <f>IF(AND($O710=$Y$7,$B710&lt;'1331'!$I$9),"x","")</f>
        <v/>
      </c>
      <c r="AA710" s="80" t="str">
        <f>IF(AND($P710=$Y$7,$B710&lt;'1331'!$I$9),"x","")</f>
        <v/>
      </c>
      <c r="AB710" s="80" t="str">
        <f>IF(AND($B710&gt;='1332'!$I$9,$B710&lt;='1332'!$I$9,OR($O710=$AB$7,$P710=$AB$7)),"x","")</f>
        <v/>
      </c>
      <c r="AC710" s="80" t="str">
        <f>IF(AND($O710=$AB$7,$B710&lt;'1332'!$I$9),"x","")</f>
        <v/>
      </c>
      <c r="AD710" s="80" t="str">
        <f>IF(AND($P710=$AB$7,$B710&lt;'1332'!$I$9),"x","")</f>
        <v/>
      </c>
      <c r="AE710" s="80" t="str">
        <f>IF(AND('341-CT'!$H$9=H710,OR(LEFT(O710,3)=$AE$7,LEFT(P710,3)=$AE$7)),"x","")</f>
        <v/>
      </c>
      <c r="AF710" s="80" t="str">
        <f>IF(OR(TH!O710=TH!$AF$7,P710=TH!$AF$7),"x","")</f>
        <v/>
      </c>
      <c r="AG710" s="80"/>
      <c r="AH710" s="80" t="str">
        <f>IF(AND(B710&gt;='IN-NX'!$P$3,B710&lt;='IN-NX'!$Q$3,'IN-NX'!$D$7=D710,OR(LEFT(L710,2)="15",AND(LEFT(M710,2)&lt;&gt;"15",LEFT(M710,2)&lt;&gt;"33"))),"x","")</f>
        <v/>
      </c>
      <c r="AI710" s="80" t="str">
        <f>IF(AND(OR(LEFT(TH!O710,2)="15",LEFT(TH!P710,2)="15"),'152-CT'!$J$8=TH!F710),"x","")</f>
        <v/>
      </c>
      <c r="AJ710" s="80" t="str">
        <f>IF(AND(OR(LEFT(TH!O710,2)="15",LEFT(TH!P710,2)="15"),'THE KHO'!$E$7=TH!F710),"x","")</f>
        <v/>
      </c>
      <c r="AK710" s="80" t="str">
        <f>IF(AND(O710="1521",MONTH(C710)='BK NL'!$M$11),"x","")</f>
        <v/>
      </c>
    </row>
    <row r="711" spans="1:37" ht="15.75" customHeight="1">
      <c r="A711" s="362" t="str">
        <f>IF(B711&lt;&gt;"",IF(AND(B711&gt;=_TM1,B711&lt;=_TM2,OR(TH!O711="1111",TH!P711="1111")),TH!D711,""),"")</f>
        <v/>
      </c>
      <c r="B711" s="63">
        <f t="shared" si="45"/>
        <v>9</v>
      </c>
      <c r="C711" s="337">
        <v>42643</v>
      </c>
      <c r="D711" s="1045" t="s">
        <v>1229</v>
      </c>
      <c r="E711" s="337">
        <v>42624</v>
      </c>
      <c r="F711" s="1046" t="s">
        <v>1232</v>
      </c>
      <c r="G711" s="1047" t="s">
        <v>1230</v>
      </c>
      <c r="H711" s="1048" t="s">
        <v>221</v>
      </c>
      <c r="I711" s="1049"/>
      <c r="J711" s="1049"/>
      <c r="K711" s="1050"/>
      <c r="L711" s="1049"/>
      <c r="M711" s="1051">
        <v>4214540</v>
      </c>
      <c r="N711" s="1051"/>
      <c r="O711" s="1052" t="s">
        <v>10</v>
      </c>
      <c r="P711" s="1052" t="s">
        <v>9</v>
      </c>
      <c r="Q711" s="66" t="str">
        <f>IF(AND('331-CT'!$E$7=TH!H711,OR(O711="331",P711="331")),"x","")</f>
        <v/>
      </c>
      <c r="R711" s="66" t="str">
        <f>IF(AND($B711&gt;='111'!$N$11,$B711&lt;='111'!$O$11,OR($O711=$R$7,$P711=$R$7)),"x","")</f>
        <v/>
      </c>
      <c r="S711" s="66" t="str">
        <f>IF(AND($O711=$R$7,$B711&lt;'111'!$N$11),"x","")</f>
        <v/>
      </c>
      <c r="T711" s="66" t="str">
        <f>IF(AND($P711=$R$7,$B711&lt;'111'!$N$11),"x","")</f>
        <v/>
      </c>
      <c r="U711" s="66" t="str">
        <f>IF(AND($B711&gt;='112'!$M$9,$B711&lt;='112'!$N$9,OR($O711='112'!$I$6,$P711='112'!$I$6)),"x","")</f>
        <v/>
      </c>
      <c r="V711" s="66" t="str">
        <f>IF(AND($O711='112'!$I$6,$B711&lt;'112'!$M$9),"x","")</f>
        <v/>
      </c>
      <c r="W711" s="66" t="str">
        <f>IF(AND($P711='112'!$I$6,$B711&lt;'112'!$M$9),"x","")</f>
        <v/>
      </c>
      <c r="X711" s="66" t="str">
        <f>IF(AND('131-CT'!$H$9=TH!H711,OR(O711="131",P711="131")),"x","")</f>
        <v/>
      </c>
      <c r="Y711" s="80" t="str">
        <f>IF(AND($B711&gt;='1331'!$I$9,$B711&lt;='1331'!$J$9,OR($O711=$Y$7,$P711=$Y$7)),"x","")</f>
        <v>x</v>
      </c>
      <c r="Z711" s="80" t="str">
        <f>IF(AND($O711=$Y$7,$B711&lt;'1331'!$I$9),"x","")</f>
        <v/>
      </c>
      <c r="AA711" s="80" t="str">
        <f>IF(AND($P711=$Y$7,$B711&lt;'1331'!$I$9),"x","")</f>
        <v/>
      </c>
      <c r="AB711" s="80" t="str">
        <f>IF(AND($B711&gt;='1332'!$I$9,$B711&lt;='1332'!$I$9,OR($O711=$AB$7,$P711=$AB$7)),"x","")</f>
        <v/>
      </c>
      <c r="AC711" s="80" t="str">
        <f>IF(AND($O711=$AB$7,$B711&lt;'1332'!$I$9),"x","")</f>
        <v/>
      </c>
      <c r="AD711" s="80" t="str">
        <f>IF(AND($P711=$AB$7,$B711&lt;'1332'!$I$9),"x","")</f>
        <v/>
      </c>
      <c r="AE711" s="80" t="str">
        <f>IF(AND('341-CT'!$H$9=H711,OR(LEFT(O711,3)=$AE$7,LEFT(P711,3)=$AE$7)),"x","")</f>
        <v/>
      </c>
      <c r="AF711" s="80" t="str">
        <f>IF(OR(TH!O711=TH!$AF$7,P711=TH!$AF$7),"x","")</f>
        <v/>
      </c>
      <c r="AG711" s="80"/>
      <c r="AH711" s="80" t="str">
        <f>IF(AND(B711&gt;='IN-NX'!$P$3,B711&lt;='IN-NX'!$Q$3,'IN-NX'!$D$7=D711,OR(LEFT(L711,2)="15",AND(LEFT(M711,2)&lt;&gt;"15",LEFT(M711,2)&lt;&gt;"33"))),"x","")</f>
        <v/>
      </c>
      <c r="AI711" s="80" t="str">
        <f>IF(AND(OR(LEFT(TH!O711,2)="15",LEFT(TH!P711,2)="15"),'152-CT'!$J$8=TH!F711),"x","")</f>
        <v/>
      </c>
      <c r="AJ711" s="80" t="str">
        <f>IF(AND(OR(LEFT(TH!O711,2)="15",LEFT(TH!P711,2)="15"),'THE KHO'!$E$7=TH!F711),"x","")</f>
        <v/>
      </c>
      <c r="AK711" s="80" t="str">
        <f>IF(AND(O711="1521",MONTH(C711)='BK NL'!$M$11),"x","")</f>
        <v/>
      </c>
    </row>
    <row r="712" spans="1:37" ht="15.75" customHeight="1">
      <c r="A712" s="362" t="str">
        <f>IF(B712&lt;&gt;"",IF(AND(B712&gt;=_TM1,B712&lt;=_TM2,OR(TH!O712="1111",TH!P712="1111")),TH!D712,""),"")</f>
        <v/>
      </c>
      <c r="B712" s="63">
        <f t="shared" ref="B712:B713" si="55">IF(C712&lt;&gt;"",MONTH(C712),"")</f>
        <v>9</v>
      </c>
      <c r="C712" s="337">
        <v>42643</v>
      </c>
      <c r="D712" s="1045" t="s">
        <v>1229</v>
      </c>
      <c r="E712" s="337">
        <v>42639</v>
      </c>
      <c r="F712" s="1046" t="s">
        <v>1233</v>
      </c>
      <c r="G712" s="1047" t="s">
        <v>1235</v>
      </c>
      <c r="H712" s="1048" t="s">
        <v>221</v>
      </c>
      <c r="I712" s="1132"/>
      <c r="J712" s="1132"/>
      <c r="K712" s="1133"/>
      <c r="L712" s="1132"/>
      <c r="M712" s="1051">
        <v>37898800</v>
      </c>
      <c r="N712" s="1051"/>
      <c r="O712" s="1116" t="s">
        <v>135</v>
      </c>
      <c r="P712" s="1052" t="s">
        <v>9</v>
      </c>
      <c r="Q712" s="66" t="str">
        <f>IF(AND('331-CT'!$E$7=TH!H712,OR(O712="331",P712="331")),"x","")</f>
        <v/>
      </c>
      <c r="R712" s="66" t="str">
        <f>IF(AND($B712&gt;='111'!$N$11,$B712&lt;='111'!$O$11,OR($O712=$R$7,$P712=$R$7)),"x","")</f>
        <v/>
      </c>
      <c r="S712" s="66" t="str">
        <f>IF(AND($O712=$R$7,$B712&lt;'111'!$N$11),"x","")</f>
        <v/>
      </c>
      <c r="T712" s="66" t="str">
        <f>IF(AND($P712=$R$7,$B712&lt;'111'!$N$11),"x","")</f>
        <v/>
      </c>
      <c r="U712" s="66" t="str">
        <f>IF(AND($B712&gt;='112'!$M$9,$B712&lt;='112'!$N$9,OR($O712='112'!$I$6,$P712='112'!$I$6)),"x","")</f>
        <v/>
      </c>
      <c r="V712" s="66" t="str">
        <f>IF(AND($O712='112'!$I$6,$B712&lt;'112'!$M$9),"x","")</f>
        <v/>
      </c>
      <c r="W712" s="66" t="str">
        <f>IF(AND($P712='112'!$I$6,$B712&lt;'112'!$M$9),"x","")</f>
        <v/>
      </c>
      <c r="X712" s="66" t="str">
        <f>IF(AND('131-CT'!$H$9=TH!H712,OR(O712="131",P712="131")),"x","")</f>
        <v/>
      </c>
      <c r="Y712" s="80" t="str">
        <f>IF(AND($B712&gt;='1331'!$I$9,$B712&lt;='1331'!$J$9,OR($O712=$Y$7,$P712=$Y$7)),"x","")</f>
        <v/>
      </c>
      <c r="Z712" s="80" t="str">
        <f>IF(AND($O712=$Y$7,$B712&lt;'1331'!$I$9),"x","")</f>
        <v/>
      </c>
      <c r="AA712" s="80" t="str">
        <f>IF(AND($P712=$Y$7,$B712&lt;'1331'!$I$9),"x","")</f>
        <v/>
      </c>
      <c r="AB712" s="80" t="str">
        <f>IF(AND($B712&gt;='1332'!$I$9,$B712&lt;='1332'!$I$9,OR($O712=$AB$7,$P712=$AB$7)),"x","")</f>
        <v/>
      </c>
      <c r="AC712" s="80" t="str">
        <f>IF(AND($O712=$AB$7,$B712&lt;'1332'!$I$9),"x","")</f>
        <v/>
      </c>
      <c r="AD712" s="80" t="str">
        <f>IF(AND($P712=$AB$7,$B712&lt;'1332'!$I$9),"x","")</f>
        <v/>
      </c>
      <c r="AE712" s="80" t="str">
        <f>IF(AND('341-CT'!$H$9=H712,OR(LEFT(O712,3)=$AE$7,LEFT(P712,3)=$AE$7)),"x","")</f>
        <v/>
      </c>
      <c r="AF712" s="80" t="str">
        <f>IF(OR(TH!O712=TH!$AF$7,P712=TH!$AF$7),"x","")</f>
        <v/>
      </c>
      <c r="AG712" s="80"/>
      <c r="AH712" s="80" t="str">
        <f>IF(AND(B712&gt;='IN-NX'!$P$3,B712&lt;='IN-NX'!$Q$3,'IN-NX'!$D$7=D712,OR(LEFT(L712,2)="15",AND(LEFT(M712,2)&lt;&gt;"15",LEFT(M712,2)&lt;&gt;"33"))),"x","")</f>
        <v/>
      </c>
      <c r="AI712" s="80" t="str">
        <f>IF(AND(OR(LEFT(TH!O712,2)="15",LEFT(TH!P712,2)="15"),'152-CT'!$J$8=TH!F712),"x","")</f>
        <v/>
      </c>
      <c r="AJ712" s="80" t="str">
        <f>IF(AND(OR(LEFT(TH!O712,2)="15",LEFT(TH!P712,2)="15"),'THE KHO'!$E$7=TH!F712),"x","")</f>
        <v/>
      </c>
      <c r="AK712" s="80" t="str">
        <f>IF(AND(O712="1521",MONTH(C712)='BK NL'!$M$11),"x","")</f>
        <v/>
      </c>
    </row>
    <row r="713" spans="1:37" ht="15.75" customHeight="1">
      <c r="A713" s="362" t="str">
        <f>IF(B713&lt;&gt;"",IF(AND(B713&gt;=_TM1,B713&lt;=_TM2,OR(TH!O713="1111",TH!P713="1111")),TH!D713,""),"")</f>
        <v/>
      </c>
      <c r="B713" s="63">
        <f t="shared" si="55"/>
        <v>9</v>
      </c>
      <c r="C713" s="337">
        <v>42643</v>
      </c>
      <c r="D713" s="1045" t="s">
        <v>1229</v>
      </c>
      <c r="E713" s="337">
        <v>42639</v>
      </c>
      <c r="F713" s="1046" t="s">
        <v>1234</v>
      </c>
      <c r="G713" s="1047" t="s">
        <v>1235</v>
      </c>
      <c r="H713" s="1048" t="s">
        <v>221</v>
      </c>
      <c r="I713" s="1049"/>
      <c r="J713" s="1049"/>
      <c r="K713" s="1050"/>
      <c r="L713" s="1049"/>
      <c r="M713" s="1051">
        <v>3789880</v>
      </c>
      <c r="N713" s="1051"/>
      <c r="O713" s="1052" t="s">
        <v>10</v>
      </c>
      <c r="P713" s="1052" t="s">
        <v>9</v>
      </c>
      <c r="Q713" s="66" t="str">
        <f>IF(AND('331-CT'!$E$7=TH!H713,OR(O713="331",P713="331")),"x","")</f>
        <v/>
      </c>
      <c r="R713" s="66" t="str">
        <f>IF(AND($B713&gt;='111'!$N$11,$B713&lt;='111'!$O$11,OR($O713=$R$7,$P713=$R$7)),"x","")</f>
        <v/>
      </c>
      <c r="S713" s="66" t="str">
        <f>IF(AND($O713=$R$7,$B713&lt;'111'!$N$11),"x","")</f>
        <v/>
      </c>
      <c r="T713" s="66" t="str">
        <f>IF(AND($P713=$R$7,$B713&lt;'111'!$N$11),"x","")</f>
        <v/>
      </c>
      <c r="U713" s="66" t="str">
        <f>IF(AND($B713&gt;='112'!$M$9,$B713&lt;='112'!$N$9,OR($O713='112'!$I$6,$P713='112'!$I$6)),"x","")</f>
        <v/>
      </c>
      <c r="V713" s="66" t="str">
        <f>IF(AND($O713='112'!$I$6,$B713&lt;'112'!$M$9),"x","")</f>
        <v/>
      </c>
      <c r="W713" s="66" t="str">
        <f>IF(AND($P713='112'!$I$6,$B713&lt;'112'!$M$9),"x","")</f>
        <v/>
      </c>
      <c r="X713" s="66" t="str">
        <f>IF(AND('131-CT'!$H$9=TH!H713,OR(O713="131",P713="131")),"x","")</f>
        <v/>
      </c>
      <c r="Y713" s="80" t="str">
        <f>IF(AND($B713&gt;='1331'!$I$9,$B713&lt;='1331'!$J$9,OR($O713=$Y$7,$P713=$Y$7)),"x","")</f>
        <v>x</v>
      </c>
      <c r="Z713" s="80" t="str">
        <f>IF(AND($O713=$Y$7,$B713&lt;'1331'!$I$9),"x","")</f>
        <v/>
      </c>
      <c r="AA713" s="80" t="str">
        <f>IF(AND($P713=$Y$7,$B713&lt;'1331'!$I$9),"x","")</f>
        <v/>
      </c>
      <c r="AB713" s="80" t="str">
        <f>IF(AND($B713&gt;='1332'!$I$9,$B713&lt;='1332'!$I$9,OR($O713=$AB$7,$P713=$AB$7)),"x","")</f>
        <v/>
      </c>
      <c r="AC713" s="80" t="str">
        <f>IF(AND($O713=$AB$7,$B713&lt;'1332'!$I$9),"x","")</f>
        <v/>
      </c>
      <c r="AD713" s="80" t="str">
        <f>IF(AND($P713=$AB$7,$B713&lt;'1332'!$I$9),"x","")</f>
        <v/>
      </c>
      <c r="AE713" s="80" t="str">
        <f>IF(AND('341-CT'!$H$9=H713,OR(LEFT(O713,3)=$AE$7,LEFT(P713,3)=$AE$7)),"x","")</f>
        <v/>
      </c>
      <c r="AF713" s="80" t="str">
        <f>IF(OR(TH!O713=TH!$AF$7,P713=TH!$AF$7),"x","")</f>
        <v/>
      </c>
      <c r="AG713" s="80"/>
      <c r="AH713" s="80" t="str">
        <f>IF(AND(B713&gt;='IN-NX'!$P$3,B713&lt;='IN-NX'!$Q$3,'IN-NX'!$D$7=D713,OR(LEFT(L713,2)="15",AND(LEFT(M713,2)&lt;&gt;"15",LEFT(M713,2)&lt;&gt;"33"))),"x","")</f>
        <v/>
      </c>
      <c r="AI713" s="80" t="str">
        <f>IF(AND(OR(LEFT(TH!O713,2)="15",LEFT(TH!P713,2)="15"),'152-CT'!$J$8=TH!F713),"x","")</f>
        <v/>
      </c>
      <c r="AJ713" s="80" t="str">
        <f>IF(AND(OR(LEFT(TH!O713,2)="15",LEFT(TH!P713,2)="15"),'THE KHO'!$E$7=TH!F713),"x","")</f>
        <v/>
      </c>
      <c r="AK713" s="80" t="str">
        <f>IF(AND(O713="1521",MONTH(C713)='BK NL'!$M$11),"x","")</f>
        <v/>
      </c>
    </row>
    <row r="714" spans="1:37" ht="15.75" customHeight="1">
      <c r="A714" s="362" t="str">
        <f>IF(B714&lt;&gt;"",IF(AND(B714&gt;=_TM1,B714&lt;=_TM2,OR(TH!O714="1111",TH!P714="1111")),TH!D714,""),"")</f>
        <v/>
      </c>
      <c r="B714" s="63">
        <f t="shared" si="45"/>
        <v>9</v>
      </c>
      <c r="C714" s="337">
        <v>42643</v>
      </c>
      <c r="D714" s="1045" t="s">
        <v>1229</v>
      </c>
      <c r="E714" s="337">
        <v>42643</v>
      </c>
      <c r="F714" s="338" t="s">
        <v>1236</v>
      </c>
      <c r="G714" s="351"/>
      <c r="H714" s="339"/>
      <c r="I714" s="476"/>
      <c r="J714" s="476"/>
      <c r="K714" s="469"/>
      <c r="L714" s="476"/>
      <c r="M714" s="65">
        <v>4125000</v>
      </c>
      <c r="N714" s="1051"/>
      <c r="O714" s="1052" t="s">
        <v>468</v>
      </c>
      <c r="P714" s="1052" t="s">
        <v>1020</v>
      </c>
      <c r="Q714" s="66" t="str">
        <f>IF(AND('331-CT'!$E$7=TH!H714,OR(O714="331",P714="331")),"x","")</f>
        <v/>
      </c>
      <c r="R714" s="66" t="str">
        <f>IF(AND($B714&gt;='111'!$N$11,$B714&lt;='111'!$O$11,OR($O714=$R$7,$P714=$R$7)),"x","")</f>
        <v/>
      </c>
      <c r="S714" s="66" t="str">
        <f>IF(AND($O714=$R$7,$B714&lt;'111'!$N$11),"x","")</f>
        <v/>
      </c>
      <c r="T714" s="66" t="str">
        <f>IF(AND($P714=$R$7,$B714&lt;'111'!$N$11),"x","")</f>
        <v/>
      </c>
      <c r="U714" s="66" t="str">
        <f>IF(AND($B714&gt;='112'!$M$9,$B714&lt;='112'!$N$9,OR($O714='112'!$I$6,$P714='112'!$I$6)),"x","")</f>
        <v/>
      </c>
      <c r="V714" s="66" t="str">
        <f>IF(AND($O714='112'!$I$6,$B714&lt;'112'!$M$9),"x","")</f>
        <v/>
      </c>
      <c r="W714" s="66" t="str">
        <f>IF(AND($P714='112'!$I$6,$B714&lt;'112'!$M$9),"x","")</f>
        <v/>
      </c>
      <c r="X714" s="66" t="str">
        <f>IF(AND('131-CT'!$H$9=TH!H714,OR(O714="131",P714="131")),"x","")</f>
        <v/>
      </c>
      <c r="Y714" s="80" t="str">
        <f>IF(AND($B714&gt;='1331'!$I$9,$B714&lt;='1331'!$J$9,OR($O714=$Y$7,$P714=$Y$7)),"x","")</f>
        <v/>
      </c>
      <c r="Z714" s="80" t="str">
        <f>IF(AND($O714=$Y$7,$B714&lt;'1331'!$I$9),"x","")</f>
        <v/>
      </c>
      <c r="AA714" s="80" t="str">
        <f>IF(AND($P714=$Y$7,$B714&lt;'1331'!$I$9),"x","")</f>
        <v/>
      </c>
      <c r="AB714" s="80" t="str">
        <f>IF(AND($B714&gt;='1332'!$I$9,$B714&lt;='1332'!$I$9,OR($O714=$AB$7,$P714=$AB$7)),"x","")</f>
        <v/>
      </c>
      <c r="AC714" s="80" t="str">
        <f>IF(AND($O714=$AB$7,$B714&lt;'1332'!$I$9),"x","")</f>
        <v/>
      </c>
      <c r="AD714" s="80" t="str">
        <f>IF(AND($P714=$AB$7,$B714&lt;'1332'!$I$9),"x","")</f>
        <v/>
      </c>
      <c r="AE714" s="80" t="str">
        <f>IF(AND('341-CT'!$H$9=H714,OR(LEFT(O714,3)=$AE$7,LEFT(P714,3)=$AE$7)),"x","")</f>
        <v/>
      </c>
      <c r="AF714" s="80" t="str">
        <f>IF(OR(TH!O714=TH!$AF$7,P714=TH!$AF$7),"x","")</f>
        <v/>
      </c>
      <c r="AG714" s="80"/>
      <c r="AH714" s="80" t="str">
        <f>IF(AND(B714&gt;='IN-NX'!$P$3,B714&lt;='IN-NX'!$Q$3,'IN-NX'!$D$7=D714,OR(LEFT(L714,2)="15",AND(LEFT(M714,2)&lt;&gt;"15",LEFT(M714,2)&lt;&gt;"33"))),"x","")</f>
        <v/>
      </c>
      <c r="AI714" s="80" t="str">
        <f>IF(AND(OR(LEFT(TH!O714,2)="15",LEFT(TH!P714,2)="15"),'152-CT'!$J$8=TH!F714),"x","")</f>
        <v/>
      </c>
      <c r="AJ714" s="80" t="str">
        <f>IF(AND(OR(LEFT(TH!O714,2)="15",LEFT(TH!P714,2)="15"),'THE KHO'!$E$7=TH!F714),"x","")</f>
        <v/>
      </c>
      <c r="AK714" s="80" t="str">
        <f>IF(AND(O714="1521",MONTH(C714)='BK NL'!$M$11),"x","")</f>
        <v/>
      </c>
    </row>
    <row r="715" spans="1:37" ht="15.75" customHeight="1">
      <c r="A715" s="362" t="str">
        <f>IF(B715&lt;&gt;"",IF(AND(B715&gt;=_TM1,B715&lt;=_TM2,OR(TH!O715="1111",TH!P715="1111")),TH!D715,""),"")</f>
        <v/>
      </c>
      <c r="B715" s="63">
        <f t="shared" si="45"/>
        <v>9</v>
      </c>
      <c r="C715" s="337">
        <v>42643</v>
      </c>
      <c r="D715" s="1045" t="s">
        <v>1229</v>
      </c>
      <c r="E715" s="337">
        <v>42643</v>
      </c>
      <c r="F715" s="338" t="s">
        <v>1237</v>
      </c>
      <c r="G715" s="351"/>
      <c r="H715" s="339"/>
      <c r="I715" s="476"/>
      <c r="J715" s="476"/>
      <c r="K715" s="469"/>
      <c r="L715" s="476"/>
      <c r="M715" s="65">
        <f>169308640-22663000</f>
        <v>146645640</v>
      </c>
      <c r="N715" s="1051"/>
      <c r="O715" s="1052" t="s">
        <v>468</v>
      </c>
      <c r="P715" s="1052" t="s">
        <v>1020</v>
      </c>
      <c r="Q715" s="66" t="str">
        <f>IF(AND('331-CT'!$E$7=TH!H715,OR(O715="331",P715="331")),"x","")</f>
        <v/>
      </c>
      <c r="R715" s="66" t="str">
        <f>IF(AND($B715&gt;='111'!$N$11,$B715&lt;='111'!$O$11,OR($O715=$R$7,$P715=$R$7)),"x","")</f>
        <v/>
      </c>
      <c r="S715" s="66" t="str">
        <f>IF(AND($O715=$R$7,$B715&lt;'111'!$N$11),"x","")</f>
        <v/>
      </c>
      <c r="T715" s="66" t="str">
        <f>IF(AND($P715=$R$7,$B715&lt;'111'!$N$11),"x","")</f>
        <v/>
      </c>
      <c r="U715" s="66" t="str">
        <f>IF(AND($B715&gt;='112'!$M$9,$B715&lt;='112'!$N$9,OR($O715='112'!$I$6,$P715='112'!$I$6)),"x","")</f>
        <v/>
      </c>
      <c r="V715" s="66" t="str">
        <f>IF(AND($O715='112'!$I$6,$B715&lt;'112'!$M$9),"x","")</f>
        <v/>
      </c>
      <c r="W715" s="66" t="str">
        <f>IF(AND($P715='112'!$I$6,$B715&lt;'112'!$M$9),"x","")</f>
        <v/>
      </c>
      <c r="X715" s="66" t="str">
        <f>IF(AND('131-CT'!$H$9=TH!H715,OR(O715="131",P715="131")),"x","")</f>
        <v/>
      </c>
      <c r="Y715" s="80" t="str">
        <f>IF(AND($B715&gt;='1331'!$I$9,$B715&lt;='1331'!$J$9,OR($O715=$Y$7,$P715=$Y$7)),"x","")</f>
        <v/>
      </c>
      <c r="Z715" s="80" t="str">
        <f>IF(AND($O715=$Y$7,$B715&lt;'1331'!$I$9),"x","")</f>
        <v/>
      </c>
      <c r="AA715" s="80" t="str">
        <f>IF(AND($P715=$Y$7,$B715&lt;'1331'!$I$9),"x","")</f>
        <v/>
      </c>
      <c r="AB715" s="80" t="str">
        <f>IF(AND($B715&gt;='1332'!$I$9,$B715&lt;='1332'!$I$9,OR($O715=$AB$7,$P715=$AB$7)),"x","")</f>
        <v/>
      </c>
      <c r="AC715" s="80" t="str">
        <f>IF(AND($O715=$AB$7,$B715&lt;'1332'!$I$9),"x","")</f>
        <v/>
      </c>
      <c r="AD715" s="80" t="str">
        <f>IF(AND($P715=$AB$7,$B715&lt;'1332'!$I$9),"x","")</f>
        <v/>
      </c>
      <c r="AE715" s="80" t="str">
        <f>IF(AND('341-CT'!$H$9=H715,OR(LEFT(O715,3)=$AE$7,LEFT(P715,3)=$AE$7)),"x","")</f>
        <v/>
      </c>
      <c r="AF715" s="80" t="str">
        <f>IF(OR(TH!O715=TH!$AF$7,P715=TH!$AF$7),"x","")</f>
        <v/>
      </c>
      <c r="AG715" s="80"/>
      <c r="AH715" s="80" t="str">
        <f>IF(AND(B715&gt;='IN-NX'!$P$3,B715&lt;='IN-NX'!$Q$3,'IN-NX'!$D$7=D715,OR(LEFT(L715,2)="15",AND(LEFT(M715,2)&lt;&gt;"15",LEFT(M715,2)&lt;&gt;"33"))),"x","")</f>
        <v/>
      </c>
      <c r="AI715" s="80" t="str">
        <f>IF(AND(OR(LEFT(TH!O715,2)="15",LEFT(TH!P715,2)="15"),'152-CT'!$J$8=TH!F715),"x","")</f>
        <v/>
      </c>
      <c r="AJ715" s="80" t="str">
        <f>IF(AND(OR(LEFT(TH!O715,2)="15",LEFT(TH!P715,2)="15"),'THE KHO'!$E$7=TH!F715),"x","")</f>
        <v/>
      </c>
      <c r="AK715" s="80" t="str">
        <f>IF(AND(O715="1521",MONTH(C715)='BK NL'!$M$11),"x","")</f>
        <v/>
      </c>
    </row>
    <row r="716" spans="1:37" ht="15.75" customHeight="1">
      <c r="A716" s="362" t="str">
        <f>IF(B716&lt;&gt;"",IF(AND(B716&gt;=_TM1,B716&lt;=_TM2,OR(TH!O716="1111",TH!P716="1111")),TH!D716,""),"")</f>
        <v/>
      </c>
      <c r="B716" s="63">
        <f t="shared" si="45"/>
        <v>9</v>
      </c>
      <c r="C716" s="337">
        <v>42643</v>
      </c>
      <c r="D716" s="1045" t="s">
        <v>1229</v>
      </c>
      <c r="E716" s="337">
        <v>42643</v>
      </c>
      <c r="F716" s="338" t="s">
        <v>1236</v>
      </c>
      <c r="G716" s="351"/>
      <c r="H716" s="339" t="s">
        <v>778</v>
      </c>
      <c r="I716" s="476"/>
      <c r="J716" s="476"/>
      <c r="K716" s="469"/>
      <c r="L716" s="476"/>
      <c r="M716" s="65">
        <v>19035000</v>
      </c>
      <c r="N716" s="1051" t="s">
        <v>26</v>
      </c>
      <c r="O716" s="1052" t="s">
        <v>135</v>
      </c>
      <c r="P716" s="1052" t="s">
        <v>1020</v>
      </c>
      <c r="Q716" s="66" t="str">
        <f>IF(AND('331-CT'!$E$7=TH!H716,OR(O716="331",P716="331")),"x","")</f>
        <v/>
      </c>
      <c r="R716" s="66" t="str">
        <f>IF(AND($B716&gt;='111'!$N$11,$B716&lt;='111'!$O$11,OR($O716=$R$7,$P716=$R$7)),"x","")</f>
        <v/>
      </c>
      <c r="S716" s="66" t="str">
        <f>IF(AND($O716=$R$7,$B716&lt;'111'!$N$11),"x","")</f>
        <v/>
      </c>
      <c r="T716" s="66" t="str">
        <f>IF(AND($P716=$R$7,$B716&lt;'111'!$N$11),"x","")</f>
        <v/>
      </c>
      <c r="U716" s="66" t="str">
        <f>IF(AND($B716&gt;='112'!$M$9,$B716&lt;='112'!$N$9,OR($O716='112'!$I$6,$P716='112'!$I$6)),"x","")</f>
        <v/>
      </c>
      <c r="V716" s="66" t="str">
        <f>IF(AND($O716='112'!$I$6,$B716&lt;'112'!$M$9),"x","")</f>
        <v/>
      </c>
      <c r="W716" s="66" t="str">
        <f>IF(AND($P716='112'!$I$6,$B716&lt;'112'!$M$9),"x","")</f>
        <v/>
      </c>
      <c r="X716" s="66" t="str">
        <f>IF(AND('131-CT'!$H$9=TH!H716,OR(O716="131",P716="131")),"x","")</f>
        <v/>
      </c>
      <c r="Y716" s="80" t="str">
        <f>IF(AND($B716&gt;='1331'!$I$9,$B716&lt;='1331'!$J$9,OR($O716=$Y$7,$P716=$Y$7)),"x","")</f>
        <v/>
      </c>
      <c r="Z716" s="80" t="str">
        <f>IF(AND($O716=$Y$7,$B716&lt;'1331'!$I$9),"x","")</f>
        <v/>
      </c>
      <c r="AA716" s="80" t="str">
        <f>IF(AND($P716=$Y$7,$B716&lt;'1331'!$I$9),"x","")</f>
        <v/>
      </c>
      <c r="AB716" s="80" t="str">
        <f>IF(AND($B716&gt;='1332'!$I$9,$B716&lt;='1332'!$I$9,OR($O716=$AB$7,$P716=$AB$7)),"x","")</f>
        <v/>
      </c>
      <c r="AC716" s="80" t="str">
        <f>IF(AND($O716=$AB$7,$B716&lt;'1332'!$I$9),"x","")</f>
        <v/>
      </c>
      <c r="AD716" s="80" t="str">
        <f>IF(AND($P716=$AB$7,$B716&lt;'1332'!$I$9),"x","")</f>
        <v/>
      </c>
      <c r="AE716" s="80" t="str">
        <f>IF(AND('341-CT'!$H$9=H716,OR(LEFT(O716,3)=$AE$7,LEFT(P716,3)=$AE$7)),"x","")</f>
        <v/>
      </c>
      <c r="AF716" s="80" t="str">
        <f>IF(OR(TH!O716=TH!$AF$7,P716=TH!$AF$7),"x","")</f>
        <v/>
      </c>
      <c r="AG716" s="80"/>
      <c r="AH716" s="80" t="str">
        <f>IF(AND(B716&gt;='IN-NX'!$P$3,B716&lt;='IN-NX'!$Q$3,'IN-NX'!$D$7=D716,OR(LEFT(L716,2)="15",AND(LEFT(M716,2)&lt;&gt;"15",LEFT(M716,2)&lt;&gt;"33"))),"x","")</f>
        <v/>
      </c>
      <c r="AI716" s="80" t="str">
        <f>IF(AND(OR(LEFT(TH!O716,2)="15",LEFT(TH!P716,2)="15"),'152-CT'!$J$8=TH!F716),"x","")</f>
        <v/>
      </c>
      <c r="AJ716" s="80" t="str">
        <f>IF(AND(OR(LEFT(TH!O716,2)="15",LEFT(TH!P716,2)="15"),'THE KHO'!$E$7=TH!F716),"x","")</f>
        <v/>
      </c>
      <c r="AK716" s="80" t="str">
        <f>IF(AND(O716="1521",MONTH(C716)='BK NL'!$M$11),"x","")</f>
        <v/>
      </c>
    </row>
    <row r="717" spans="1:37" ht="15.75" customHeight="1">
      <c r="A717" s="362" t="str">
        <f>IF(B717&lt;&gt;"",IF(AND(B717&gt;=_TM1,B717&lt;=_TM2,OR(TH!O717="1111",TH!P717="1111")),TH!D717,""),"")</f>
        <v/>
      </c>
      <c r="B717" s="63">
        <f t="shared" si="45"/>
        <v>9</v>
      </c>
      <c r="C717" s="337">
        <v>42643</v>
      </c>
      <c r="D717" s="1045" t="s">
        <v>1229</v>
      </c>
      <c r="E717" s="337">
        <v>42643</v>
      </c>
      <c r="F717" s="338" t="s">
        <v>1238</v>
      </c>
      <c r="G717" s="351"/>
      <c r="H717" s="339"/>
      <c r="I717" s="476"/>
      <c r="J717" s="476"/>
      <c r="K717" s="469"/>
      <c r="L717" s="476"/>
      <c r="M717" s="65">
        <f>(13138000+22663000)</f>
        <v>35801000</v>
      </c>
      <c r="N717" s="1051" t="s">
        <v>26</v>
      </c>
      <c r="O717" s="1052" t="s">
        <v>135</v>
      </c>
      <c r="P717" s="1052" t="s">
        <v>1020</v>
      </c>
      <c r="Q717" s="66" t="str">
        <f>IF(AND('331-CT'!$E$7=TH!H717,OR(O717="331",P717="331")),"x","")</f>
        <v/>
      </c>
      <c r="R717" s="66" t="str">
        <f>IF(AND($B717&gt;='111'!$N$11,$B717&lt;='111'!$O$11,OR($O717=$R$7,$P717=$R$7)),"x","")</f>
        <v/>
      </c>
      <c r="S717" s="66" t="str">
        <f>IF(AND($O717=$R$7,$B717&lt;'111'!$N$11),"x","")</f>
        <v/>
      </c>
      <c r="T717" s="66" t="str">
        <f>IF(AND($P717=$R$7,$B717&lt;'111'!$N$11),"x","")</f>
        <v/>
      </c>
      <c r="U717" s="66" t="str">
        <f>IF(AND($B717&gt;='112'!$M$9,$B717&lt;='112'!$N$9,OR($O717='112'!$I$6,$P717='112'!$I$6)),"x","")</f>
        <v/>
      </c>
      <c r="V717" s="66" t="str">
        <f>IF(AND($O717='112'!$I$6,$B717&lt;'112'!$M$9),"x","")</f>
        <v/>
      </c>
      <c r="W717" s="66" t="str">
        <f>IF(AND($P717='112'!$I$6,$B717&lt;'112'!$M$9),"x","")</f>
        <v/>
      </c>
      <c r="X717" s="66" t="str">
        <f>IF(AND('131-CT'!$H$9=TH!H717,OR(O717="131",P717="131")),"x","")</f>
        <v/>
      </c>
      <c r="Y717" s="80" t="str">
        <f>IF(AND($B717&gt;='1331'!$I$9,$B717&lt;='1331'!$J$9,OR($O717=$Y$7,$P717=$Y$7)),"x","")</f>
        <v/>
      </c>
      <c r="Z717" s="80" t="str">
        <f>IF(AND($O717=$Y$7,$B717&lt;'1331'!$I$9),"x","")</f>
        <v/>
      </c>
      <c r="AA717" s="80" t="str">
        <f>IF(AND($P717=$Y$7,$B717&lt;'1331'!$I$9),"x","")</f>
        <v/>
      </c>
      <c r="AB717" s="80" t="str">
        <f>IF(AND($B717&gt;='1332'!$I$9,$B717&lt;='1332'!$I$9,OR($O717=$AB$7,$P717=$AB$7)),"x","")</f>
        <v/>
      </c>
      <c r="AC717" s="80" t="str">
        <f>IF(AND($O717=$AB$7,$B717&lt;'1332'!$I$9),"x","")</f>
        <v/>
      </c>
      <c r="AD717" s="80" t="str">
        <f>IF(AND($P717=$AB$7,$B717&lt;'1332'!$I$9),"x","")</f>
        <v/>
      </c>
      <c r="AE717" s="80" t="str">
        <f>IF(AND('341-CT'!$H$9=H717,OR(LEFT(O717,3)=$AE$7,LEFT(P717,3)=$AE$7)),"x","")</f>
        <v/>
      </c>
      <c r="AF717" s="80" t="str">
        <f>IF(OR(TH!O717=TH!$AF$7,P717=TH!$AF$7),"x","")</f>
        <v/>
      </c>
      <c r="AG717" s="80"/>
      <c r="AH717" s="80" t="str">
        <f>IF(AND(B717&gt;='IN-NX'!$P$3,B717&lt;='IN-NX'!$Q$3,'IN-NX'!$D$7=D717,OR(LEFT(L717,2)="15",AND(LEFT(M717,2)&lt;&gt;"15",LEFT(M717,2)&lt;&gt;"33"))),"x","")</f>
        <v/>
      </c>
      <c r="AI717" s="80" t="str">
        <f>IF(AND(OR(LEFT(TH!O717,2)="15",LEFT(TH!P717,2)="15"),'152-CT'!$J$8=TH!F717),"x","")</f>
        <v/>
      </c>
      <c r="AJ717" s="80" t="str">
        <f>IF(AND(OR(LEFT(TH!O717,2)="15",LEFT(TH!P717,2)="15"),'THE KHO'!$E$7=TH!F717),"x","")</f>
        <v/>
      </c>
      <c r="AK717" s="80" t="str">
        <f>IF(AND(O717="1521",MONTH(C717)='BK NL'!$M$11),"x","")</f>
        <v/>
      </c>
    </row>
    <row r="718" spans="1:37" ht="15.75" customHeight="1">
      <c r="A718" s="362" t="str">
        <f>IF(B718&lt;&gt;"",IF(AND(B718&gt;=_TM1,B718&lt;=_TM2,OR(TH!O718="1111",TH!P718="1111")),TH!D718,""),"")</f>
        <v/>
      </c>
      <c r="B718" s="63">
        <f t="shared" si="45"/>
        <v>9</v>
      </c>
      <c r="C718" s="337">
        <v>42643</v>
      </c>
      <c r="D718" s="1045" t="s">
        <v>1229</v>
      </c>
      <c r="E718" s="337">
        <v>42643</v>
      </c>
      <c r="F718" s="338" t="s">
        <v>1026</v>
      </c>
      <c r="G718" s="351"/>
      <c r="H718" s="339"/>
      <c r="I718" s="476"/>
      <c r="J718" s="476"/>
      <c r="K718" s="469"/>
      <c r="L718" s="476"/>
      <c r="M718" s="65">
        <f>(13138000+22663000+170002000-22663000)*8%</f>
        <v>14651200</v>
      </c>
      <c r="N718" s="1051"/>
      <c r="O718" s="1052" t="s">
        <v>1020</v>
      </c>
      <c r="P718" s="1052" t="s">
        <v>1027</v>
      </c>
      <c r="Q718" s="66" t="str">
        <f>IF(AND('331-CT'!$E$7=TH!H718,OR(O718="331",P718="331")),"x","")</f>
        <v/>
      </c>
      <c r="R718" s="66" t="str">
        <f>IF(AND($B718&gt;='111'!$N$11,$B718&lt;='111'!$O$11,OR($O718=$R$7,$P718=$R$7)),"x","")</f>
        <v/>
      </c>
      <c r="S718" s="66" t="str">
        <f>IF(AND($O718=$R$7,$B718&lt;'111'!$N$11),"x","")</f>
        <v/>
      </c>
      <c r="T718" s="66" t="str">
        <f>IF(AND($P718=$R$7,$B718&lt;'111'!$N$11),"x","")</f>
        <v/>
      </c>
      <c r="U718" s="66" t="str">
        <f>IF(AND($B718&gt;='112'!$M$9,$B718&lt;='112'!$N$9,OR($O718='112'!$I$6,$P718='112'!$I$6)),"x","")</f>
        <v/>
      </c>
      <c r="V718" s="66" t="str">
        <f>IF(AND($O718='112'!$I$6,$B718&lt;'112'!$M$9),"x","")</f>
        <v/>
      </c>
      <c r="W718" s="66" t="str">
        <f>IF(AND($P718='112'!$I$6,$B718&lt;'112'!$M$9),"x","")</f>
        <v/>
      </c>
      <c r="X718" s="66" t="str">
        <f>IF(AND('131-CT'!$H$9=TH!H718,OR(O718="131",P718="131")),"x","")</f>
        <v/>
      </c>
      <c r="Y718" s="80" t="str">
        <f>IF(AND($B718&gt;='1331'!$I$9,$B718&lt;='1331'!$J$9,OR($O718=$Y$7,$P718=$Y$7)),"x","")</f>
        <v/>
      </c>
      <c r="Z718" s="80" t="str">
        <f>IF(AND($O718=$Y$7,$B718&lt;'1331'!$I$9),"x","")</f>
        <v/>
      </c>
      <c r="AA718" s="80" t="str">
        <f>IF(AND($P718=$Y$7,$B718&lt;'1331'!$I$9),"x","")</f>
        <v/>
      </c>
      <c r="AB718" s="80" t="str">
        <f>IF(AND($B718&gt;='1332'!$I$9,$B718&lt;='1332'!$I$9,OR($O718=$AB$7,$P718=$AB$7)),"x","")</f>
        <v/>
      </c>
      <c r="AC718" s="80" t="str">
        <f>IF(AND($O718=$AB$7,$B718&lt;'1332'!$I$9),"x","")</f>
        <v/>
      </c>
      <c r="AD718" s="80" t="str">
        <f>IF(AND($P718=$AB$7,$B718&lt;'1332'!$I$9),"x","")</f>
        <v/>
      </c>
      <c r="AE718" s="80" t="str">
        <f>IF(AND('341-CT'!$H$9=H718,OR(LEFT(O718,3)=$AE$7,LEFT(P718,3)=$AE$7)),"x","")</f>
        <v/>
      </c>
      <c r="AF718" s="80" t="str">
        <f>IF(OR(TH!O718=TH!$AF$7,P718=TH!$AF$7),"x","")</f>
        <v/>
      </c>
      <c r="AG718" s="80"/>
      <c r="AH718" s="80" t="str">
        <f>IF(AND(B718&gt;='IN-NX'!$P$3,B718&lt;='IN-NX'!$Q$3,'IN-NX'!$D$7=D718,OR(LEFT(L718,2)="15",AND(LEFT(M718,2)&lt;&gt;"15",LEFT(M718,2)&lt;&gt;"33"))),"x","")</f>
        <v/>
      </c>
      <c r="AI718" s="80" t="str">
        <f>IF(AND(OR(LEFT(TH!O718,2)="15",LEFT(TH!P718,2)="15"),'152-CT'!$J$8=TH!F718),"x","")</f>
        <v/>
      </c>
      <c r="AJ718" s="80" t="str">
        <f>IF(AND(OR(LEFT(TH!O718,2)="15",LEFT(TH!P718,2)="15"),'THE KHO'!$E$7=TH!F718),"x","")</f>
        <v/>
      </c>
      <c r="AK718" s="80" t="str">
        <f>IF(AND(O718="1521",MONTH(C718)='BK NL'!$M$11),"x","")</f>
        <v/>
      </c>
    </row>
    <row r="719" spans="1:37" ht="15.75" customHeight="1">
      <c r="A719" s="362" t="str">
        <f>IF(B719&lt;&gt;"",IF(AND(B719&gt;=_TM1,B719&lt;=_TM2,OR(TH!O719="1111",TH!P719="1111")),TH!D719,""),"")</f>
        <v/>
      </c>
      <c r="B719" s="63">
        <f t="shared" si="45"/>
        <v>9</v>
      </c>
      <c r="C719" s="337">
        <v>42643</v>
      </c>
      <c r="D719" s="1045" t="s">
        <v>1229</v>
      </c>
      <c r="E719" s="337">
        <v>42643</v>
      </c>
      <c r="F719" s="338" t="s">
        <v>1028</v>
      </c>
      <c r="G719" s="351"/>
      <c r="H719" s="339"/>
      <c r="I719" s="476"/>
      <c r="J719" s="476"/>
      <c r="K719" s="469"/>
      <c r="L719" s="476"/>
      <c r="M719" s="65">
        <f>(13138000+22663000+170002000-22663000)*1.5%</f>
        <v>2747100</v>
      </c>
      <c r="N719" s="1051"/>
      <c r="O719" s="1052" t="s">
        <v>1020</v>
      </c>
      <c r="P719" s="1052" t="s">
        <v>1029</v>
      </c>
      <c r="Q719" s="66" t="str">
        <f>IF(AND('331-CT'!$E$7=TH!H719,OR(O719="331",P719="331")),"x","")</f>
        <v/>
      </c>
      <c r="R719" s="66" t="str">
        <f>IF(AND($B719&gt;='111'!$N$11,$B719&lt;='111'!$O$11,OR($O719=$R$7,$P719=$R$7)),"x","")</f>
        <v/>
      </c>
      <c r="S719" s="66" t="str">
        <f>IF(AND($O719=$R$7,$B719&lt;'111'!$N$11),"x","")</f>
        <v/>
      </c>
      <c r="T719" s="66" t="str">
        <f>IF(AND($P719=$R$7,$B719&lt;'111'!$N$11),"x","")</f>
        <v/>
      </c>
      <c r="U719" s="66" t="str">
        <f>IF(AND($B719&gt;='112'!$M$9,$B719&lt;='112'!$N$9,OR($O719='112'!$I$6,$P719='112'!$I$6)),"x","")</f>
        <v/>
      </c>
      <c r="V719" s="66" t="str">
        <f>IF(AND($O719='112'!$I$6,$B719&lt;'112'!$M$9),"x","")</f>
        <v/>
      </c>
      <c r="W719" s="66" t="str">
        <f>IF(AND($P719='112'!$I$6,$B719&lt;'112'!$M$9),"x","")</f>
        <v/>
      </c>
      <c r="X719" s="66" t="str">
        <f>IF(AND('131-CT'!$H$9=TH!H719,OR(O719="131",P719="131")),"x","")</f>
        <v/>
      </c>
      <c r="Y719" s="80" t="str">
        <f>IF(AND($B719&gt;='1331'!$I$9,$B719&lt;='1331'!$J$9,OR($O719=$Y$7,$P719=$Y$7)),"x","")</f>
        <v/>
      </c>
      <c r="Z719" s="80" t="str">
        <f>IF(AND($O719=$Y$7,$B719&lt;'1331'!$I$9),"x","")</f>
        <v/>
      </c>
      <c r="AA719" s="80" t="str">
        <f>IF(AND($P719=$Y$7,$B719&lt;'1331'!$I$9),"x","")</f>
        <v/>
      </c>
      <c r="AB719" s="80" t="str">
        <f>IF(AND($B719&gt;='1332'!$I$9,$B719&lt;='1332'!$I$9,OR($O719=$AB$7,$P719=$AB$7)),"x","")</f>
        <v/>
      </c>
      <c r="AC719" s="80" t="str">
        <f>IF(AND($O719=$AB$7,$B719&lt;'1332'!$I$9),"x","")</f>
        <v/>
      </c>
      <c r="AD719" s="80" t="str">
        <f>IF(AND($P719=$AB$7,$B719&lt;'1332'!$I$9),"x","")</f>
        <v/>
      </c>
      <c r="AE719" s="80" t="str">
        <f>IF(AND('341-CT'!$H$9=H719,OR(LEFT(O719,3)=$AE$7,LEFT(P719,3)=$AE$7)),"x","")</f>
        <v/>
      </c>
      <c r="AF719" s="80" t="str">
        <f>IF(OR(TH!O719=TH!$AF$7,P719=TH!$AF$7),"x","")</f>
        <v/>
      </c>
      <c r="AG719" s="80"/>
      <c r="AH719" s="80" t="str">
        <f>IF(AND(B719&gt;='IN-NX'!$P$3,B719&lt;='IN-NX'!$Q$3,'IN-NX'!$D$7=D719,OR(LEFT(L719,2)="15",AND(LEFT(M719,2)&lt;&gt;"15",LEFT(M719,2)&lt;&gt;"33"))),"x","")</f>
        <v/>
      </c>
      <c r="AI719" s="80" t="str">
        <f>IF(AND(OR(LEFT(TH!O719,2)="15",LEFT(TH!P719,2)="15"),'152-CT'!$J$8=TH!F719),"x","")</f>
        <v/>
      </c>
      <c r="AJ719" s="80" t="str">
        <f>IF(AND(OR(LEFT(TH!O719,2)="15",LEFT(TH!P719,2)="15"),'THE KHO'!$E$7=TH!F719),"x","")</f>
        <v/>
      </c>
      <c r="AK719" s="80" t="str">
        <f>IF(AND(O719="1521",MONTH(C719)='BK NL'!$M$11),"x","")</f>
        <v/>
      </c>
    </row>
    <row r="720" spans="1:37" ht="15.75" customHeight="1">
      <c r="A720" s="362" t="str">
        <f>IF(B720&lt;&gt;"",IF(AND(B720&gt;=_TM1,B720&lt;=_TM2,OR(TH!O720="1111",TH!P720="1111")),TH!D720,""),"")</f>
        <v/>
      </c>
      <c r="B720" s="63">
        <f t="shared" si="45"/>
        <v>9</v>
      </c>
      <c r="C720" s="337">
        <v>42643</v>
      </c>
      <c r="D720" s="1045" t="s">
        <v>1229</v>
      </c>
      <c r="E720" s="337">
        <v>42643</v>
      </c>
      <c r="F720" s="338" t="s">
        <v>1030</v>
      </c>
      <c r="G720" s="351"/>
      <c r="H720" s="339"/>
      <c r="I720" s="476"/>
      <c r="J720" s="476"/>
      <c r="K720" s="469"/>
      <c r="L720" s="476"/>
      <c r="M720" s="65">
        <f>(13138000+22663000+170002000-22663000)*1%</f>
        <v>1831400</v>
      </c>
      <c r="N720" s="1051"/>
      <c r="O720" s="1052" t="s">
        <v>1020</v>
      </c>
      <c r="P720" s="1052" t="s">
        <v>1031</v>
      </c>
      <c r="Q720" s="66" t="str">
        <f>IF(AND('331-CT'!$E$7=TH!H720,OR(O720="331",P720="331")),"x","")</f>
        <v/>
      </c>
      <c r="R720" s="66" t="str">
        <f>IF(AND($B720&gt;='111'!$N$11,$B720&lt;='111'!$O$11,OR($O720=$R$7,$P720=$R$7)),"x","")</f>
        <v/>
      </c>
      <c r="S720" s="66" t="str">
        <f>IF(AND($O720=$R$7,$B720&lt;'111'!$N$11),"x","")</f>
        <v/>
      </c>
      <c r="T720" s="66" t="str">
        <f>IF(AND($P720=$R$7,$B720&lt;'111'!$N$11),"x","")</f>
        <v/>
      </c>
      <c r="U720" s="66" t="str">
        <f>IF(AND($B720&gt;='112'!$M$9,$B720&lt;='112'!$N$9,OR($O720='112'!$I$6,$P720='112'!$I$6)),"x","")</f>
        <v/>
      </c>
      <c r="V720" s="66" t="str">
        <f>IF(AND($O720='112'!$I$6,$B720&lt;'112'!$M$9),"x","")</f>
        <v/>
      </c>
      <c r="W720" s="66" t="str">
        <f>IF(AND($P720='112'!$I$6,$B720&lt;'112'!$M$9),"x","")</f>
        <v/>
      </c>
      <c r="X720" s="66" t="str">
        <f>IF(AND('131-CT'!$H$9=TH!H720,OR(O720="131",P720="131")),"x","")</f>
        <v/>
      </c>
      <c r="Y720" s="80" t="str">
        <f>IF(AND($B720&gt;='1331'!$I$9,$B720&lt;='1331'!$J$9,OR($O720=$Y$7,$P720=$Y$7)),"x","")</f>
        <v/>
      </c>
      <c r="Z720" s="80" t="str">
        <f>IF(AND($O720=$Y$7,$B720&lt;'1331'!$I$9),"x","")</f>
        <v/>
      </c>
      <c r="AA720" s="80" t="str">
        <f>IF(AND($P720=$Y$7,$B720&lt;'1331'!$I$9),"x","")</f>
        <v/>
      </c>
      <c r="AB720" s="80" t="str">
        <f>IF(AND($B720&gt;='1332'!$I$9,$B720&lt;='1332'!$I$9,OR($O720=$AB$7,$P720=$AB$7)),"x","")</f>
        <v/>
      </c>
      <c r="AC720" s="80" t="str">
        <f>IF(AND($O720=$AB$7,$B720&lt;'1332'!$I$9),"x","")</f>
        <v/>
      </c>
      <c r="AD720" s="80" t="str">
        <f>IF(AND($P720=$AB$7,$B720&lt;'1332'!$I$9),"x","")</f>
        <v/>
      </c>
      <c r="AE720" s="80" t="str">
        <f>IF(AND('341-CT'!$H$9=H720,OR(LEFT(O720,3)=$AE$7,LEFT(P720,3)=$AE$7)),"x","")</f>
        <v/>
      </c>
      <c r="AF720" s="80" t="str">
        <f>IF(OR(TH!O720=TH!$AF$7,P720=TH!$AF$7),"x","")</f>
        <v/>
      </c>
      <c r="AG720" s="80"/>
      <c r="AH720" s="80" t="str">
        <f>IF(AND(B720&gt;='IN-NX'!$P$3,B720&lt;='IN-NX'!$Q$3,'IN-NX'!$D$7=D720,OR(LEFT(L720,2)="15",AND(LEFT(M720,2)&lt;&gt;"15",LEFT(M720,2)&lt;&gt;"33"))),"x","")</f>
        <v/>
      </c>
      <c r="AI720" s="80" t="str">
        <f>IF(AND(OR(LEFT(TH!O720,2)="15",LEFT(TH!P720,2)="15"),'152-CT'!$J$8=TH!F720),"x","")</f>
        <v/>
      </c>
      <c r="AJ720" s="80" t="str">
        <f>IF(AND(OR(LEFT(TH!O720,2)="15",LEFT(TH!P720,2)="15"),'THE KHO'!$E$7=TH!F720),"x","")</f>
        <v/>
      </c>
      <c r="AK720" s="80" t="str">
        <f>IF(AND(O720="1521",MONTH(C720)='BK NL'!$M$11),"x","")</f>
        <v/>
      </c>
    </row>
    <row r="721" spans="1:37" ht="15.75" customHeight="1">
      <c r="A721" s="362" t="str">
        <f>IF(B721&lt;&gt;"",IF(AND(B721&gt;=_TM1,B721&lt;=_TM2,OR(TH!O721="1111",TH!P721="1111")),TH!D721,""),"")</f>
        <v/>
      </c>
      <c r="B721" s="63">
        <f t="shared" si="45"/>
        <v>9</v>
      </c>
      <c r="C721" s="337">
        <v>42643</v>
      </c>
      <c r="D721" s="1045" t="s">
        <v>1229</v>
      </c>
      <c r="E721" s="337">
        <v>42643</v>
      </c>
      <c r="F721" s="338" t="s">
        <v>1032</v>
      </c>
      <c r="G721" s="351"/>
      <c r="H721" s="339"/>
      <c r="I721" s="476"/>
      <c r="J721" s="476"/>
      <c r="K721" s="469"/>
      <c r="L721" s="476"/>
      <c r="M721" s="65">
        <f>(13138000+22663000)*18%</f>
        <v>6444180</v>
      </c>
      <c r="N721" s="1167" t="s">
        <v>26</v>
      </c>
      <c r="O721" s="1052" t="s">
        <v>135</v>
      </c>
      <c r="P721" s="1052" t="s">
        <v>1027</v>
      </c>
      <c r="Q721" s="66" t="str">
        <f>IF(AND('331-CT'!$E$7=TH!H721,OR(O721="331",P721="331")),"x","")</f>
        <v/>
      </c>
      <c r="R721" s="66" t="str">
        <f>IF(AND($B721&gt;='111'!$N$11,$B721&lt;='111'!$O$11,OR($O721=$R$7,$P721=$R$7)),"x","")</f>
        <v/>
      </c>
      <c r="S721" s="66" t="str">
        <f>IF(AND($O721=$R$7,$B721&lt;'111'!$N$11),"x","")</f>
        <v/>
      </c>
      <c r="T721" s="66" t="str">
        <f>IF(AND($P721=$R$7,$B721&lt;'111'!$N$11),"x","")</f>
        <v/>
      </c>
      <c r="U721" s="66" t="str">
        <f>IF(AND($B721&gt;='112'!$M$9,$B721&lt;='112'!$N$9,OR($O721='112'!$I$6,$P721='112'!$I$6)),"x","")</f>
        <v/>
      </c>
      <c r="V721" s="66" t="str">
        <f>IF(AND($O721='112'!$I$6,$B721&lt;'112'!$M$9),"x","")</f>
        <v/>
      </c>
      <c r="W721" s="66" t="str">
        <f>IF(AND($P721='112'!$I$6,$B721&lt;'112'!$M$9),"x","")</f>
        <v/>
      </c>
      <c r="X721" s="66" t="str">
        <f>IF(AND('131-CT'!$H$9=TH!H721,OR(O721="131",P721="131")),"x","")</f>
        <v/>
      </c>
      <c r="Y721" s="80" t="str">
        <f>IF(AND($B721&gt;='1331'!$I$9,$B721&lt;='1331'!$J$9,OR($O721=$Y$7,$P721=$Y$7)),"x","")</f>
        <v/>
      </c>
      <c r="Z721" s="80" t="str">
        <f>IF(AND($O721=$Y$7,$B721&lt;'1331'!$I$9),"x","")</f>
        <v/>
      </c>
      <c r="AA721" s="80" t="str">
        <f>IF(AND($P721=$Y$7,$B721&lt;'1331'!$I$9),"x","")</f>
        <v/>
      </c>
      <c r="AB721" s="80" t="str">
        <f>IF(AND($B721&gt;='1332'!$I$9,$B721&lt;='1332'!$I$9,OR($O721=$AB$7,$P721=$AB$7)),"x","")</f>
        <v/>
      </c>
      <c r="AC721" s="80" t="str">
        <f>IF(AND($O721=$AB$7,$B721&lt;'1332'!$I$9),"x","")</f>
        <v/>
      </c>
      <c r="AD721" s="80" t="str">
        <f>IF(AND($P721=$AB$7,$B721&lt;'1332'!$I$9),"x","")</f>
        <v/>
      </c>
      <c r="AE721" s="80" t="str">
        <f>IF(AND('341-CT'!$H$9=H721,OR(LEFT(O721,3)=$AE$7,LEFT(P721,3)=$AE$7)),"x","")</f>
        <v/>
      </c>
      <c r="AF721" s="80" t="str">
        <f>IF(OR(TH!O721=TH!$AF$7,P721=TH!$AF$7),"x","")</f>
        <v/>
      </c>
      <c r="AG721" s="80"/>
      <c r="AH721" s="80" t="str">
        <f>IF(AND(B721&gt;='IN-NX'!$P$3,B721&lt;='IN-NX'!$Q$3,'IN-NX'!$D$7=D721,OR(LEFT(L721,2)="15",AND(LEFT(M721,2)&lt;&gt;"15",LEFT(M721,2)&lt;&gt;"33"))),"x","")</f>
        <v/>
      </c>
      <c r="AI721" s="80" t="str">
        <f>IF(AND(OR(LEFT(TH!O721,2)="15",LEFT(TH!P721,2)="15"),'152-CT'!$J$8=TH!F721),"x","")</f>
        <v/>
      </c>
      <c r="AJ721" s="80" t="str">
        <f>IF(AND(OR(LEFT(TH!O721,2)="15",LEFT(TH!P721,2)="15"),'THE KHO'!$E$7=TH!F721),"x","")</f>
        <v/>
      </c>
      <c r="AK721" s="80" t="str">
        <f>IF(AND(O721="1521",MONTH(C721)='BK NL'!$M$11),"x","")</f>
        <v/>
      </c>
    </row>
    <row r="722" spans="1:37" ht="15.75" customHeight="1">
      <c r="A722" s="362" t="str">
        <f>IF(B722&lt;&gt;"",IF(AND(B722&gt;=_TM1,B722&lt;=_TM2,OR(TH!O722="1111",TH!P722="1111")),TH!D722,""),"")</f>
        <v/>
      </c>
      <c r="B722" s="63">
        <f t="shared" si="45"/>
        <v>9</v>
      </c>
      <c r="C722" s="337">
        <v>42643</v>
      </c>
      <c r="D722" s="1045" t="s">
        <v>1229</v>
      </c>
      <c r="E722" s="337">
        <v>42643</v>
      </c>
      <c r="F722" s="338" t="s">
        <v>1033</v>
      </c>
      <c r="G722" s="351"/>
      <c r="H722" s="339"/>
      <c r="I722" s="476"/>
      <c r="J722" s="476"/>
      <c r="K722" s="469"/>
      <c r="L722" s="476"/>
      <c r="M722" s="65">
        <f>(13138000+22663000)*3%</f>
        <v>1074030</v>
      </c>
      <c r="N722" s="1167" t="s">
        <v>26</v>
      </c>
      <c r="O722" s="1052" t="s">
        <v>135</v>
      </c>
      <c r="P722" s="1052" t="s">
        <v>1029</v>
      </c>
      <c r="Q722" s="66" t="str">
        <f>IF(AND('331-CT'!$E$7=TH!H722,OR(O722="331",P722="331")),"x","")</f>
        <v/>
      </c>
      <c r="R722" s="66" t="str">
        <f>IF(AND($B722&gt;='111'!$N$11,$B722&lt;='111'!$O$11,OR($O722=$R$7,$P722=$R$7)),"x","")</f>
        <v/>
      </c>
      <c r="S722" s="66" t="str">
        <f>IF(AND($O722=$R$7,$B722&lt;'111'!$N$11),"x","")</f>
        <v/>
      </c>
      <c r="T722" s="66" t="str">
        <f>IF(AND($P722=$R$7,$B722&lt;'111'!$N$11),"x","")</f>
        <v/>
      </c>
      <c r="U722" s="66" t="str">
        <f>IF(AND($B722&gt;='112'!$M$9,$B722&lt;='112'!$N$9,OR($O722='112'!$I$6,$P722='112'!$I$6)),"x","")</f>
        <v/>
      </c>
      <c r="V722" s="66" t="str">
        <f>IF(AND($O722='112'!$I$6,$B722&lt;'112'!$M$9),"x","")</f>
        <v/>
      </c>
      <c r="W722" s="66" t="str">
        <f>IF(AND($P722='112'!$I$6,$B722&lt;'112'!$M$9),"x","")</f>
        <v/>
      </c>
      <c r="X722" s="66" t="str">
        <f>IF(AND('131-CT'!$H$9=TH!H722,OR(O722="131",P722="131")),"x","")</f>
        <v/>
      </c>
      <c r="Y722" s="80" t="str">
        <f>IF(AND($B722&gt;='1331'!$I$9,$B722&lt;='1331'!$J$9,OR($O722=$Y$7,$P722=$Y$7)),"x","")</f>
        <v/>
      </c>
      <c r="Z722" s="80" t="str">
        <f>IF(AND($O722=$Y$7,$B722&lt;'1331'!$I$9),"x","")</f>
        <v/>
      </c>
      <c r="AA722" s="80" t="str">
        <f>IF(AND($P722=$Y$7,$B722&lt;'1331'!$I$9),"x","")</f>
        <v/>
      </c>
      <c r="AB722" s="80" t="str">
        <f>IF(AND($B722&gt;='1332'!$I$9,$B722&lt;='1332'!$I$9,OR($O722=$AB$7,$P722=$AB$7)),"x","")</f>
        <v/>
      </c>
      <c r="AC722" s="80" t="str">
        <f>IF(AND($O722=$AB$7,$B722&lt;'1332'!$I$9),"x","")</f>
        <v/>
      </c>
      <c r="AD722" s="80" t="str">
        <f>IF(AND($P722=$AB$7,$B722&lt;'1332'!$I$9),"x","")</f>
        <v/>
      </c>
      <c r="AE722" s="80" t="str">
        <f>IF(AND('341-CT'!$H$9=H722,OR(LEFT(O722,3)=$AE$7,LEFT(P722,3)=$AE$7)),"x","")</f>
        <v/>
      </c>
      <c r="AF722" s="80" t="str">
        <f>IF(OR(TH!O722=TH!$AF$7,P722=TH!$AF$7),"x","")</f>
        <v/>
      </c>
      <c r="AG722" s="80"/>
      <c r="AH722" s="80" t="str">
        <f>IF(AND(B722&gt;='IN-NX'!$P$3,B722&lt;='IN-NX'!$Q$3,'IN-NX'!$D$7=D722,OR(LEFT(L722,2)="15",AND(LEFT(M722,2)&lt;&gt;"15",LEFT(M722,2)&lt;&gt;"33"))),"x","")</f>
        <v/>
      </c>
      <c r="AI722" s="80" t="str">
        <f>IF(AND(OR(LEFT(TH!O722,2)="15",LEFT(TH!P722,2)="15"),'152-CT'!$J$8=TH!F722),"x","")</f>
        <v/>
      </c>
      <c r="AJ722" s="80" t="str">
        <f>IF(AND(OR(LEFT(TH!O722,2)="15",LEFT(TH!P722,2)="15"),'THE KHO'!$E$7=TH!F722),"x","")</f>
        <v/>
      </c>
      <c r="AK722" s="80" t="str">
        <f>IF(AND(O722="1521",MONTH(C722)='BK NL'!$M$11),"x","")</f>
        <v/>
      </c>
    </row>
    <row r="723" spans="1:37" ht="15.75" customHeight="1">
      <c r="A723" s="362" t="str">
        <f>IF(B723&lt;&gt;"",IF(AND(B723&gt;=_TM1,B723&lt;=_TM2,OR(TH!O723="1111",TH!P723="1111")),TH!D723,""),"")</f>
        <v/>
      </c>
      <c r="B723" s="63">
        <f t="shared" si="45"/>
        <v>9</v>
      </c>
      <c r="C723" s="337">
        <v>42643</v>
      </c>
      <c r="D723" s="1045" t="s">
        <v>1229</v>
      </c>
      <c r="E723" s="337">
        <v>42643</v>
      </c>
      <c r="F723" s="338" t="s">
        <v>1030</v>
      </c>
      <c r="G723" s="351"/>
      <c r="H723" s="339"/>
      <c r="I723" s="476"/>
      <c r="J723" s="476"/>
      <c r="K723" s="469"/>
      <c r="L723" s="476"/>
      <c r="M723" s="65">
        <f>(13138000+22663000)*1%</f>
        <v>358010</v>
      </c>
      <c r="N723" s="1167" t="s">
        <v>26</v>
      </c>
      <c r="O723" s="1052" t="s">
        <v>135</v>
      </c>
      <c r="P723" s="1052" t="s">
        <v>1031</v>
      </c>
      <c r="Q723" s="66" t="str">
        <f>IF(AND('331-CT'!$E$7=TH!H723,OR(O723="331",P723="331")),"x","")</f>
        <v/>
      </c>
      <c r="R723" s="66" t="str">
        <f>IF(AND($B723&gt;='111'!$N$11,$B723&lt;='111'!$O$11,OR($O723=$R$7,$P723=$R$7)),"x","")</f>
        <v/>
      </c>
      <c r="S723" s="66" t="str">
        <f>IF(AND($O723=$R$7,$B723&lt;'111'!$N$11),"x","")</f>
        <v/>
      </c>
      <c r="T723" s="66" t="str">
        <f>IF(AND($P723=$R$7,$B723&lt;'111'!$N$11),"x","")</f>
        <v/>
      </c>
      <c r="U723" s="66" t="str">
        <f>IF(AND($B723&gt;='112'!$M$9,$B723&lt;='112'!$N$9,OR($O723='112'!$I$6,$P723='112'!$I$6)),"x","")</f>
        <v/>
      </c>
      <c r="V723" s="66" t="str">
        <f>IF(AND($O723='112'!$I$6,$B723&lt;'112'!$M$9),"x","")</f>
        <v/>
      </c>
      <c r="W723" s="66" t="str">
        <f>IF(AND($P723='112'!$I$6,$B723&lt;'112'!$M$9),"x","")</f>
        <v/>
      </c>
      <c r="X723" s="66" t="str">
        <f>IF(AND('131-CT'!$H$9=TH!H723,OR(O723="131",P723="131")),"x","")</f>
        <v/>
      </c>
      <c r="Y723" s="80" t="str">
        <f>IF(AND($B723&gt;='1331'!$I$9,$B723&lt;='1331'!$J$9,OR($O723=$Y$7,$P723=$Y$7)),"x","")</f>
        <v/>
      </c>
      <c r="Z723" s="80" t="str">
        <f>IF(AND($O723=$Y$7,$B723&lt;'1331'!$I$9),"x","")</f>
        <v/>
      </c>
      <c r="AA723" s="80" t="str">
        <f>IF(AND($P723=$Y$7,$B723&lt;'1331'!$I$9),"x","")</f>
        <v/>
      </c>
      <c r="AB723" s="80" t="str">
        <f>IF(AND($B723&gt;='1332'!$I$9,$B723&lt;='1332'!$I$9,OR($O723=$AB$7,$P723=$AB$7)),"x","")</f>
        <v/>
      </c>
      <c r="AC723" s="80" t="str">
        <f>IF(AND($O723=$AB$7,$B723&lt;'1332'!$I$9),"x","")</f>
        <v/>
      </c>
      <c r="AD723" s="80" t="str">
        <f>IF(AND($P723=$AB$7,$B723&lt;'1332'!$I$9),"x","")</f>
        <v/>
      </c>
      <c r="AE723" s="80" t="str">
        <f>IF(AND('341-CT'!$H$9=H723,OR(LEFT(O723,3)=$AE$7,LEFT(P723,3)=$AE$7)),"x","")</f>
        <v/>
      </c>
      <c r="AF723" s="80" t="str">
        <f>IF(OR(TH!O723=TH!$AF$7,P723=TH!$AF$7),"x","")</f>
        <v/>
      </c>
      <c r="AG723" s="80"/>
      <c r="AH723" s="80" t="str">
        <f>IF(AND(B723&gt;='IN-NX'!$P$3,B723&lt;='IN-NX'!$Q$3,'IN-NX'!$D$7=D723,OR(LEFT(L723,2)="15",AND(LEFT(M723,2)&lt;&gt;"15",LEFT(M723,2)&lt;&gt;"33"))),"x","")</f>
        <v/>
      </c>
      <c r="AI723" s="80" t="str">
        <f>IF(AND(OR(LEFT(TH!O723,2)="15",LEFT(TH!P723,2)="15"),'152-CT'!$J$8=TH!F723),"x","")</f>
        <v/>
      </c>
      <c r="AJ723" s="80" t="str">
        <f>IF(AND(OR(LEFT(TH!O723,2)="15",LEFT(TH!P723,2)="15"),'THE KHO'!$E$7=TH!F723),"x","")</f>
        <v/>
      </c>
      <c r="AK723" s="80" t="str">
        <f>IF(AND(O723="1521",MONTH(C723)='BK NL'!$M$11),"x","")</f>
        <v/>
      </c>
    </row>
    <row r="724" spans="1:37" ht="15.75" customHeight="1">
      <c r="A724" s="362" t="str">
        <f>IF(B724&lt;&gt;"",IF(AND(B724&gt;=_TM1,B724&lt;=_TM2,OR(TH!O724="1111",TH!P724="1111")),TH!D724,""),"")</f>
        <v/>
      </c>
      <c r="B724" s="63">
        <f t="shared" si="45"/>
        <v>9</v>
      </c>
      <c r="C724" s="337">
        <v>42643</v>
      </c>
      <c r="D724" s="1045" t="s">
        <v>1229</v>
      </c>
      <c r="E724" s="337">
        <v>42643</v>
      </c>
      <c r="F724" s="338" t="s">
        <v>1032</v>
      </c>
      <c r="G724" s="351"/>
      <c r="H724" s="339"/>
      <c r="I724" s="476"/>
      <c r="J724" s="476"/>
      <c r="K724" s="469"/>
      <c r="L724" s="476"/>
      <c r="M724" s="65">
        <f>(170002000-22663000)*18%</f>
        <v>26521020</v>
      </c>
      <c r="N724" s="1051"/>
      <c r="O724" s="1052" t="s">
        <v>468</v>
      </c>
      <c r="P724" s="1052" t="s">
        <v>1027</v>
      </c>
      <c r="Q724" s="66" t="str">
        <f>IF(AND('331-CT'!$E$7=TH!H724,OR(O724="331",P724="331")),"x","")</f>
        <v/>
      </c>
      <c r="R724" s="66" t="str">
        <f>IF(AND($B724&gt;='111'!$N$11,$B724&lt;='111'!$O$11,OR($O724=$R$7,$P724=$R$7)),"x","")</f>
        <v/>
      </c>
      <c r="S724" s="66" t="str">
        <f>IF(AND($O724=$R$7,$B724&lt;'111'!$N$11),"x","")</f>
        <v/>
      </c>
      <c r="T724" s="66" t="str">
        <f>IF(AND($P724=$R$7,$B724&lt;'111'!$N$11),"x","")</f>
        <v/>
      </c>
      <c r="U724" s="66" t="str">
        <f>IF(AND($B724&gt;='112'!$M$9,$B724&lt;='112'!$N$9,OR($O724='112'!$I$6,$P724='112'!$I$6)),"x","")</f>
        <v/>
      </c>
      <c r="V724" s="66" t="str">
        <f>IF(AND($O724='112'!$I$6,$B724&lt;'112'!$M$9),"x","")</f>
        <v/>
      </c>
      <c r="W724" s="66" t="str">
        <f>IF(AND($P724='112'!$I$6,$B724&lt;'112'!$M$9),"x","")</f>
        <v/>
      </c>
      <c r="X724" s="66" t="str">
        <f>IF(AND('131-CT'!$H$9=TH!H724,OR(O724="131",P724="131")),"x","")</f>
        <v/>
      </c>
      <c r="Y724" s="80" t="str">
        <f>IF(AND($B724&gt;='1331'!$I$9,$B724&lt;='1331'!$J$9,OR($O724=$Y$7,$P724=$Y$7)),"x","")</f>
        <v/>
      </c>
      <c r="Z724" s="80" t="str">
        <f>IF(AND($O724=$Y$7,$B724&lt;'1331'!$I$9),"x","")</f>
        <v/>
      </c>
      <c r="AA724" s="80" t="str">
        <f>IF(AND($P724=$Y$7,$B724&lt;'1331'!$I$9),"x","")</f>
        <v/>
      </c>
      <c r="AB724" s="80" t="str">
        <f>IF(AND($B724&gt;='1332'!$I$9,$B724&lt;='1332'!$I$9,OR($O724=$AB$7,$P724=$AB$7)),"x","")</f>
        <v/>
      </c>
      <c r="AC724" s="80" t="str">
        <f>IF(AND($O724=$AB$7,$B724&lt;'1332'!$I$9),"x","")</f>
        <v/>
      </c>
      <c r="AD724" s="80" t="str">
        <f>IF(AND($P724=$AB$7,$B724&lt;'1332'!$I$9),"x","")</f>
        <v/>
      </c>
      <c r="AE724" s="80" t="str">
        <f>IF(AND('341-CT'!$H$9=H724,OR(LEFT(O724,3)=$AE$7,LEFT(P724,3)=$AE$7)),"x","")</f>
        <v/>
      </c>
      <c r="AF724" s="80" t="str">
        <f>IF(OR(TH!O724=TH!$AF$7,P724=TH!$AF$7),"x","")</f>
        <v/>
      </c>
      <c r="AG724" s="80"/>
      <c r="AH724" s="80" t="str">
        <f>IF(AND(B724&gt;='IN-NX'!$P$3,B724&lt;='IN-NX'!$Q$3,'IN-NX'!$D$7=D724,OR(LEFT(L724,2)="15",AND(LEFT(M724,2)&lt;&gt;"15",LEFT(M724,2)&lt;&gt;"33"))),"x","")</f>
        <v/>
      </c>
      <c r="AI724" s="80" t="str">
        <f>IF(AND(OR(LEFT(TH!O724,2)="15",LEFT(TH!P724,2)="15"),'152-CT'!$J$8=TH!F724),"x","")</f>
        <v/>
      </c>
      <c r="AJ724" s="80" t="str">
        <f>IF(AND(OR(LEFT(TH!O724,2)="15",LEFT(TH!P724,2)="15"),'THE KHO'!$E$7=TH!F724),"x","")</f>
        <v/>
      </c>
      <c r="AK724" s="80" t="str">
        <f>IF(AND(O724="1521",MONTH(C724)='BK NL'!$M$11),"x","")</f>
        <v/>
      </c>
    </row>
    <row r="725" spans="1:37" ht="15.75" customHeight="1">
      <c r="A725" s="362" t="str">
        <f>IF(B725&lt;&gt;"",IF(AND(B725&gt;=_TM1,B725&lt;=_TM2,OR(TH!O725="1111",TH!P725="1111")),TH!D725,""),"")</f>
        <v/>
      </c>
      <c r="B725" s="63">
        <f t="shared" si="45"/>
        <v>9</v>
      </c>
      <c r="C725" s="337">
        <v>42643</v>
      </c>
      <c r="D725" s="1045" t="s">
        <v>1229</v>
      </c>
      <c r="E725" s="337">
        <v>42643</v>
      </c>
      <c r="F725" s="338" t="s">
        <v>1033</v>
      </c>
      <c r="G725" s="351"/>
      <c r="H725" s="339"/>
      <c r="I725" s="476"/>
      <c r="J725" s="476"/>
      <c r="K725" s="469"/>
      <c r="L725" s="476"/>
      <c r="M725" s="65">
        <f>(170002000-22663000)*3%</f>
        <v>4420170</v>
      </c>
      <c r="N725" s="1051"/>
      <c r="O725" s="1052" t="s">
        <v>468</v>
      </c>
      <c r="P725" s="1052" t="s">
        <v>1029</v>
      </c>
      <c r="Q725" s="66" t="str">
        <f>IF(AND('331-CT'!$E$7=TH!H725,OR(O725="331",P725="331")),"x","")</f>
        <v/>
      </c>
      <c r="R725" s="66" t="str">
        <f>IF(AND($B725&gt;='111'!$N$11,$B725&lt;='111'!$O$11,OR($O725=$R$7,$P725=$R$7)),"x","")</f>
        <v/>
      </c>
      <c r="S725" s="66" t="str">
        <f>IF(AND($O725=$R$7,$B725&lt;'111'!$N$11),"x","")</f>
        <v/>
      </c>
      <c r="T725" s="66" t="str">
        <f>IF(AND($P725=$R$7,$B725&lt;'111'!$N$11),"x","")</f>
        <v/>
      </c>
      <c r="U725" s="66" t="str">
        <f>IF(AND($B725&gt;='112'!$M$9,$B725&lt;='112'!$N$9,OR($O725='112'!$I$6,$P725='112'!$I$6)),"x","")</f>
        <v/>
      </c>
      <c r="V725" s="66" t="str">
        <f>IF(AND($O725='112'!$I$6,$B725&lt;'112'!$M$9),"x","")</f>
        <v/>
      </c>
      <c r="W725" s="66" t="str">
        <f>IF(AND($P725='112'!$I$6,$B725&lt;'112'!$M$9),"x","")</f>
        <v/>
      </c>
      <c r="X725" s="66" t="str">
        <f>IF(AND('131-CT'!$H$9=TH!H725,OR(O725="131",P725="131")),"x","")</f>
        <v/>
      </c>
      <c r="Y725" s="80" t="str">
        <f>IF(AND($B725&gt;='1331'!$I$9,$B725&lt;='1331'!$J$9,OR($O725=$Y$7,$P725=$Y$7)),"x","")</f>
        <v/>
      </c>
      <c r="Z725" s="80" t="str">
        <f>IF(AND($O725=$Y$7,$B725&lt;'1331'!$I$9),"x","")</f>
        <v/>
      </c>
      <c r="AA725" s="80" t="str">
        <f>IF(AND($P725=$Y$7,$B725&lt;'1331'!$I$9),"x","")</f>
        <v/>
      </c>
      <c r="AB725" s="80" t="str">
        <f>IF(AND($B725&gt;='1332'!$I$9,$B725&lt;='1332'!$I$9,OR($O725=$AB$7,$P725=$AB$7)),"x","")</f>
        <v/>
      </c>
      <c r="AC725" s="80" t="str">
        <f>IF(AND($O725=$AB$7,$B725&lt;'1332'!$I$9),"x","")</f>
        <v/>
      </c>
      <c r="AD725" s="80" t="str">
        <f>IF(AND($P725=$AB$7,$B725&lt;'1332'!$I$9),"x","")</f>
        <v/>
      </c>
      <c r="AE725" s="80" t="str">
        <f>IF(AND('341-CT'!$H$9=H725,OR(LEFT(O725,3)=$AE$7,LEFT(P725,3)=$AE$7)),"x","")</f>
        <v/>
      </c>
      <c r="AF725" s="80" t="str">
        <f>IF(OR(TH!O725=TH!$AF$7,P725=TH!$AF$7),"x","")</f>
        <v/>
      </c>
      <c r="AG725" s="80"/>
      <c r="AH725" s="80" t="str">
        <f>IF(AND(B725&gt;='IN-NX'!$P$3,B725&lt;='IN-NX'!$Q$3,'IN-NX'!$D$7=D725,OR(LEFT(L725,2)="15",AND(LEFT(M725,2)&lt;&gt;"15",LEFT(M725,2)&lt;&gt;"33"))),"x","")</f>
        <v/>
      </c>
      <c r="AI725" s="80" t="str">
        <f>IF(AND(OR(LEFT(TH!O725,2)="15",LEFT(TH!P725,2)="15"),'152-CT'!$J$8=TH!F725),"x","")</f>
        <v/>
      </c>
      <c r="AJ725" s="80" t="str">
        <f>IF(AND(OR(LEFT(TH!O725,2)="15",LEFT(TH!P725,2)="15"),'THE KHO'!$E$7=TH!F725),"x","")</f>
        <v/>
      </c>
      <c r="AK725" s="80" t="str">
        <f>IF(AND(O725="1521",MONTH(C725)='BK NL'!$M$11),"x","")</f>
        <v/>
      </c>
    </row>
    <row r="726" spans="1:37" ht="15.75" customHeight="1">
      <c r="A726" s="362" t="str">
        <f>IF(B726&lt;&gt;"",IF(AND(B726&gt;=_TM1,B726&lt;=_TM2,OR(TH!O726="1111",TH!P726="1111")),TH!D726,""),"")</f>
        <v/>
      </c>
      <c r="B726" s="63">
        <f t="shared" ref="B726" si="56">IF(C726&lt;&gt;"",MONTH(C726),"")</f>
        <v>9</v>
      </c>
      <c r="C726" s="337">
        <v>42643</v>
      </c>
      <c r="D726" s="1045" t="s">
        <v>1229</v>
      </c>
      <c r="E726" s="337">
        <v>42643</v>
      </c>
      <c r="F726" s="338" t="s">
        <v>1246</v>
      </c>
      <c r="G726" s="351"/>
      <c r="H726" s="339"/>
      <c r="I726" s="476"/>
      <c r="J726" s="476"/>
      <c r="K726" s="469"/>
      <c r="L726" s="476"/>
      <c r="M726" s="65">
        <v>1560060</v>
      </c>
      <c r="N726" s="1051"/>
      <c r="O726" s="1052" t="s">
        <v>468</v>
      </c>
      <c r="P726" s="1052" t="s">
        <v>1029</v>
      </c>
      <c r="Q726" s="66" t="str">
        <f>IF(AND('331-CT'!$E$7=TH!H726,OR(O726="331",P726="331")),"x","")</f>
        <v/>
      </c>
      <c r="R726" s="66" t="str">
        <f>IF(AND($B726&gt;='111'!$N$11,$B726&lt;='111'!$O$11,OR($O726=$R$7,$P726=$R$7)),"x","")</f>
        <v/>
      </c>
      <c r="S726" s="66" t="str">
        <f>IF(AND($O726=$R$7,$B726&lt;'111'!$N$11),"x","")</f>
        <v/>
      </c>
      <c r="T726" s="66" t="str">
        <f>IF(AND($P726=$R$7,$B726&lt;'111'!$N$11),"x","")</f>
        <v/>
      </c>
      <c r="U726" s="66" t="str">
        <f>IF(AND($B726&gt;='112'!$M$9,$B726&lt;='112'!$N$9,OR($O726='112'!$I$6,$P726='112'!$I$6)),"x","")</f>
        <v/>
      </c>
      <c r="V726" s="66" t="str">
        <f>IF(AND($O726='112'!$I$6,$B726&lt;'112'!$M$9),"x","")</f>
        <v/>
      </c>
      <c r="W726" s="66" t="str">
        <f>IF(AND($P726='112'!$I$6,$B726&lt;'112'!$M$9),"x","")</f>
        <v/>
      </c>
      <c r="X726" s="66" t="str">
        <f>IF(AND('131-CT'!$H$9=TH!H726,OR(O726="131",P726="131")),"x","")</f>
        <v/>
      </c>
      <c r="Y726" s="80" t="str">
        <f>IF(AND($B726&gt;='1331'!$I$9,$B726&lt;='1331'!$J$9,OR($O726=$Y$7,$P726=$Y$7)),"x","")</f>
        <v/>
      </c>
      <c r="Z726" s="80" t="str">
        <f>IF(AND($O726=$Y$7,$B726&lt;'1331'!$I$9),"x","")</f>
        <v/>
      </c>
      <c r="AA726" s="80" t="str">
        <f>IF(AND($P726=$Y$7,$B726&lt;'1331'!$I$9),"x","")</f>
        <v/>
      </c>
      <c r="AB726" s="80" t="str">
        <f>IF(AND($B726&gt;='1332'!$I$9,$B726&lt;='1332'!$I$9,OR($O726=$AB$7,$P726=$AB$7)),"x","")</f>
        <v/>
      </c>
      <c r="AC726" s="80" t="str">
        <f>IF(AND($O726=$AB$7,$B726&lt;'1332'!$I$9),"x","")</f>
        <v/>
      </c>
      <c r="AD726" s="80" t="str">
        <f>IF(AND($P726=$AB$7,$B726&lt;'1332'!$I$9),"x","")</f>
        <v/>
      </c>
      <c r="AE726" s="80" t="str">
        <f>IF(AND('341-CT'!$H$9=H726,OR(LEFT(O726,3)=$AE$7,LEFT(P726,3)=$AE$7)),"x","")</f>
        <v/>
      </c>
      <c r="AF726" s="80" t="str">
        <f>IF(OR(TH!O726=TH!$AF$7,P726=TH!$AF$7),"x","")</f>
        <v/>
      </c>
      <c r="AG726" s="80"/>
      <c r="AH726" s="80" t="str">
        <f>IF(AND(B726&gt;='IN-NX'!$P$3,B726&lt;='IN-NX'!$Q$3,'IN-NX'!$D$7=D726,OR(LEFT(L726,2)="15",AND(LEFT(M726,2)&lt;&gt;"15",LEFT(M726,2)&lt;&gt;"33"))),"x","")</f>
        <v/>
      </c>
      <c r="AI726" s="80" t="str">
        <f>IF(AND(OR(LEFT(TH!O726,2)="15",LEFT(TH!P726,2)="15"),'152-CT'!$J$8=TH!F726),"x","")</f>
        <v/>
      </c>
      <c r="AJ726" s="80" t="str">
        <f>IF(AND(OR(LEFT(TH!O726,2)="15",LEFT(TH!P726,2)="15"),'THE KHO'!$E$7=TH!F726),"x","")</f>
        <v/>
      </c>
      <c r="AK726" s="80" t="str">
        <f>IF(AND(O726="1521",MONTH(C726)='BK NL'!$M$11),"x","")</f>
        <v/>
      </c>
    </row>
    <row r="727" spans="1:37" ht="15.75" customHeight="1">
      <c r="A727" s="362" t="str">
        <f>IF(B727&lt;&gt;"",IF(AND(B727&gt;=_TM1,B727&lt;=_TM2,OR(TH!O727="1111",TH!P727="1111")),TH!D727,""),"")</f>
        <v/>
      </c>
      <c r="B727" s="63">
        <f t="shared" si="45"/>
        <v>9</v>
      </c>
      <c r="C727" s="337">
        <v>42643</v>
      </c>
      <c r="D727" s="1045" t="s">
        <v>1229</v>
      </c>
      <c r="E727" s="337">
        <v>42643</v>
      </c>
      <c r="F727" s="338" t="s">
        <v>1030</v>
      </c>
      <c r="G727" s="351"/>
      <c r="H727" s="339"/>
      <c r="I727" s="476"/>
      <c r="J727" s="476"/>
      <c r="K727" s="469"/>
      <c r="L727" s="476"/>
      <c r="M727" s="65">
        <f>(170002000-22663000)*1%</f>
        <v>1473390</v>
      </c>
      <c r="N727" s="1051"/>
      <c r="O727" s="1052" t="s">
        <v>468</v>
      </c>
      <c r="P727" s="1052" t="s">
        <v>1031</v>
      </c>
      <c r="Q727" s="66" t="str">
        <f>IF(AND('331-CT'!$E$7=TH!H727,OR(O727="331",P727="331")),"x","")</f>
        <v/>
      </c>
      <c r="R727" s="66" t="str">
        <f>IF(AND($B727&gt;='111'!$N$11,$B727&lt;='111'!$O$11,OR($O727=$R$7,$P727=$R$7)),"x","")</f>
        <v/>
      </c>
      <c r="S727" s="66" t="str">
        <f>IF(AND($O727=$R$7,$B727&lt;'111'!$N$11),"x","")</f>
        <v/>
      </c>
      <c r="T727" s="66" t="str">
        <f>IF(AND($P727=$R$7,$B727&lt;'111'!$N$11),"x","")</f>
        <v/>
      </c>
      <c r="U727" s="66" t="str">
        <f>IF(AND($B727&gt;='112'!$M$9,$B727&lt;='112'!$N$9,OR($O727='112'!$I$6,$P727='112'!$I$6)),"x","")</f>
        <v/>
      </c>
      <c r="V727" s="66" t="str">
        <f>IF(AND($O727='112'!$I$6,$B727&lt;'112'!$M$9),"x","")</f>
        <v/>
      </c>
      <c r="W727" s="66" t="str">
        <f>IF(AND($P727='112'!$I$6,$B727&lt;'112'!$M$9),"x","")</f>
        <v/>
      </c>
      <c r="X727" s="66" t="str">
        <f>IF(AND('131-CT'!$H$9=TH!H727,OR(O727="131",P727="131")),"x","")</f>
        <v/>
      </c>
      <c r="Y727" s="80" t="str">
        <f>IF(AND($B727&gt;='1331'!$I$9,$B727&lt;='1331'!$J$9,OR($O727=$Y$7,$P727=$Y$7)),"x","")</f>
        <v/>
      </c>
      <c r="Z727" s="80" t="str">
        <f>IF(AND($O727=$Y$7,$B727&lt;'1331'!$I$9),"x","")</f>
        <v/>
      </c>
      <c r="AA727" s="80" t="str">
        <f>IF(AND($P727=$Y$7,$B727&lt;'1331'!$I$9),"x","")</f>
        <v/>
      </c>
      <c r="AB727" s="80" t="str">
        <f>IF(AND($B727&gt;='1332'!$I$9,$B727&lt;='1332'!$I$9,OR($O727=$AB$7,$P727=$AB$7)),"x","")</f>
        <v/>
      </c>
      <c r="AC727" s="80" t="str">
        <f>IF(AND($O727=$AB$7,$B727&lt;'1332'!$I$9),"x","")</f>
        <v/>
      </c>
      <c r="AD727" s="80" t="str">
        <f>IF(AND($P727=$AB$7,$B727&lt;'1332'!$I$9),"x","")</f>
        <v/>
      </c>
      <c r="AE727" s="80" t="str">
        <f>IF(AND('341-CT'!$H$9=H727,OR(LEFT(O727,3)=$AE$7,LEFT(P727,3)=$AE$7)),"x","")</f>
        <v/>
      </c>
      <c r="AF727" s="80" t="str">
        <f>IF(OR(TH!O727=TH!$AF$7,P727=TH!$AF$7),"x","")</f>
        <v/>
      </c>
      <c r="AG727" s="80"/>
      <c r="AH727" s="80" t="str">
        <f>IF(AND(B727&gt;='IN-NX'!$P$3,B727&lt;='IN-NX'!$Q$3,'IN-NX'!$D$7=D727,OR(LEFT(L727,2)="15",AND(LEFT(M727,2)&lt;&gt;"15",LEFT(M727,2)&lt;&gt;"33"))),"x","")</f>
        <v/>
      </c>
      <c r="AI727" s="80" t="str">
        <f>IF(AND(OR(LEFT(TH!O727,2)="15",LEFT(TH!P727,2)="15"),'152-CT'!$J$8=TH!F727),"x","")</f>
        <v/>
      </c>
      <c r="AJ727" s="80" t="str">
        <f>IF(AND(OR(LEFT(TH!O727,2)="15",LEFT(TH!P727,2)="15"),'THE KHO'!$E$7=TH!F727),"x","")</f>
        <v/>
      </c>
      <c r="AK727" s="80" t="str">
        <f>IF(AND(O727="1521",MONTH(C727)='BK NL'!$M$11),"x","")</f>
        <v/>
      </c>
    </row>
    <row r="728" spans="1:37" ht="15.75" customHeight="1">
      <c r="A728" s="362" t="str">
        <f>IF(B728&lt;&gt;"",IF(AND(B728&gt;=_TM1,B728&lt;=_TM2,OR(TH!O728="1111",TH!P728="1111")),TH!D728,""),"")</f>
        <v/>
      </c>
      <c r="B728" s="63">
        <f t="shared" ref="B728:B730" si="57">IF(C728&lt;&gt;"",MONTH(C728),"")</f>
        <v>9</v>
      </c>
      <c r="C728" s="337">
        <v>42643</v>
      </c>
      <c r="D728" s="1045" t="s">
        <v>1229</v>
      </c>
      <c r="E728" s="337">
        <v>42643</v>
      </c>
      <c r="F728" s="1046" t="s">
        <v>1240</v>
      </c>
      <c r="G728" s="1047"/>
      <c r="H728" s="1054"/>
      <c r="I728" s="1055"/>
      <c r="J728" s="1055"/>
      <c r="K728" s="1056"/>
      <c r="L728" s="1055"/>
      <c r="M728" s="1051">
        <v>1124392</v>
      </c>
      <c r="N728" s="1051"/>
      <c r="O728" s="1052" t="s">
        <v>139</v>
      </c>
      <c r="P728" s="1052" t="s">
        <v>1027</v>
      </c>
      <c r="Q728" s="66" t="str">
        <f>IF(AND('331-CT'!$E$7=TH!H728,OR(O728="331",P728="331")),"x","")</f>
        <v/>
      </c>
      <c r="R728" s="66" t="str">
        <f>IF(AND($B728&gt;='111'!$N$11,$B728&lt;='111'!$O$11,OR($O728=$R$7,$P728=$R$7)),"x","")</f>
        <v/>
      </c>
      <c r="S728" s="66" t="str">
        <f>IF(AND($O728=$R$7,$B728&lt;'111'!$N$11),"x","")</f>
        <v/>
      </c>
      <c r="T728" s="66" t="str">
        <f>IF(AND($P728=$R$7,$B728&lt;'111'!$N$11),"x","")</f>
        <v/>
      </c>
      <c r="U728" s="66" t="str">
        <f>IF(AND($B728&gt;='112'!$M$9,$B728&lt;='112'!$N$9,OR($O728='112'!$I$6,$P728='112'!$I$6)),"x","")</f>
        <v/>
      </c>
      <c r="V728" s="66" t="str">
        <f>IF(AND($O728='112'!$I$6,$B728&lt;'112'!$M$9),"x","")</f>
        <v/>
      </c>
      <c r="W728" s="66" t="str">
        <f>IF(AND($P728='112'!$I$6,$B728&lt;'112'!$M$9),"x","")</f>
        <v/>
      </c>
      <c r="X728" s="66" t="str">
        <f>IF(AND('131-CT'!$H$9=TH!H728,OR(O728="131",P728="131")),"x","")</f>
        <v/>
      </c>
      <c r="Y728" s="80" t="str">
        <f>IF(AND($B728&gt;='1331'!$I$9,$B728&lt;='1331'!$J$9,OR($O728=$Y$7,$P728=$Y$7)),"x","")</f>
        <v/>
      </c>
      <c r="Z728" s="80" t="str">
        <f>IF(AND($O728=$Y$7,$B728&lt;'1331'!$I$9),"x","")</f>
        <v/>
      </c>
      <c r="AA728" s="80" t="str">
        <f>IF(AND($P728=$Y$7,$B728&lt;'1331'!$I$9),"x","")</f>
        <v/>
      </c>
      <c r="AB728" s="80" t="str">
        <f>IF(AND($B728&gt;='1332'!$I$9,$B728&lt;='1332'!$I$9,OR($O728=$AB$7,$P728=$AB$7)),"x","")</f>
        <v/>
      </c>
      <c r="AC728" s="80" t="str">
        <f>IF(AND($O728=$AB$7,$B728&lt;'1332'!$I$9),"x","")</f>
        <v/>
      </c>
      <c r="AD728" s="80" t="str">
        <f>IF(AND($P728=$AB$7,$B728&lt;'1332'!$I$9),"x","")</f>
        <v/>
      </c>
      <c r="AE728" s="80" t="str">
        <f>IF(AND('341-CT'!$H$9=H728,OR(LEFT(O728,3)=$AE$7,LEFT(P728,3)=$AE$7)),"x","")</f>
        <v/>
      </c>
      <c r="AF728" s="80" t="str">
        <f>IF(OR(TH!O728=TH!$AF$7,P728=TH!$AF$7),"x","")</f>
        <v/>
      </c>
      <c r="AG728" s="80"/>
      <c r="AH728" s="80" t="str">
        <f>IF(AND(B728&gt;='IN-NX'!$P$3,B728&lt;='IN-NX'!$Q$3,'IN-NX'!$D$7=D728,OR(LEFT(L728,2)="15",AND(LEFT(M728,2)&lt;&gt;"15",LEFT(M728,2)&lt;&gt;"33"))),"x","")</f>
        <v/>
      </c>
      <c r="AI728" s="80" t="str">
        <f>IF(AND(OR(LEFT(TH!O728,2)="15",LEFT(TH!P728,2)="15"),'152-CT'!$J$8=TH!F728),"x","")</f>
        <v/>
      </c>
      <c r="AJ728" s="80" t="str">
        <f>IF(AND(OR(LEFT(TH!O728,2)="15",LEFT(TH!P728,2)="15"),'THE KHO'!$E$7=TH!F728),"x","")</f>
        <v/>
      </c>
      <c r="AK728" s="80" t="str">
        <f>IF(AND(O728="1521",MONTH(C728)='BK NL'!$M$11),"x","")</f>
        <v/>
      </c>
    </row>
    <row r="729" spans="1:37" ht="15.75" customHeight="1">
      <c r="A729" s="362" t="str">
        <f>IF(B729&lt;&gt;"",IF(AND(B729&gt;=_TM1,B729&lt;=_TM2,OR(TH!O729="1111",TH!P729="1111")),TH!D729,""),"")</f>
        <v/>
      </c>
      <c r="B729" s="63">
        <f t="shared" si="57"/>
        <v>9</v>
      </c>
      <c r="C729" s="337">
        <v>42643</v>
      </c>
      <c r="D729" s="1045" t="s">
        <v>1229</v>
      </c>
      <c r="E729" s="337">
        <v>42643</v>
      </c>
      <c r="F729" s="1046" t="s">
        <v>1241</v>
      </c>
      <c r="G729" s="1047"/>
      <c r="H729" s="1048"/>
      <c r="I729" s="1049"/>
      <c r="J729" s="1049"/>
      <c r="K729" s="1050"/>
      <c r="L729" s="1049"/>
      <c r="M729" s="1051">
        <v>197914</v>
      </c>
      <c r="N729" s="1051"/>
      <c r="O729" s="1052" t="s">
        <v>139</v>
      </c>
      <c r="P729" s="1052" t="s">
        <v>1029</v>
      </c>
      <c r="Q729" s="66" t="str">
        <f>IF(AND('331-CT'!$E$7=TH!H729,OR(O729="331",P729="331")),"x","")</f>
        <v/>
      </c>
      <c r="R729" s="66" t="str">
        <f>IF(AND($B729&gt;='111'!$N$11,$B729&lt;='111'!$O$11,OR($O729=$R$7,$P729=$R$7)),"x","")</f>
        <v/>
      </c>
      <c r="S729" s="66" t="str">
        <f>IF(AND($O729=$R$7,$B729&lt;'111'!$N$11),"x","")</f>
        <v/>
      </c>
      <c r="T729" s="66" t="str">
        <f>IF(AND($P729=$R$7,$B729&lt;'111'!$N$11),"x","")</f>
        <v/>
      </c>
      <c r="U729" s="66" t="str">
        <f>IF(AND($B729&gt;='112'!$M$9,$B729&lt;='112'!$N$9,OR($O729='112'!$I$6,$P729='112'!$I$6)),"x","")</f>
        <v/>
      </c>
      <c r="V729" s="66" t="str">
        <f>IF(AND($O729='112'!$I$6,$B729&lt;'112'!$M$9),"x","")</f>
        <v/>
      </c>
      <c r="W729" s="66" t="str">
        <f>IF(AND($P729='112'!$I$6,$B729&lt;'112'!$M$9),"x","")</f>
        <v/>
      </c>
      <c r="X729" s="66" t="str">
        <f>IF(AND('131-CT'!$H$9=TH!H729,OR(O729="131",P729="131")),"x","")</f>
        <v/>
      </c>
      <c r="Y729" s="80" t="str">
        <f>IF(AND($B729&gt;='1331'!$I$9,$B729&lt;='1331'!$J$9,OR($O729=$Y$7,$P729=$Y$7)),"x","")</f>
        <v/>
      </c>
      <c r="Z729" s="80" t="str">
        <f>IF(AND($O729=$Y$7,$B729&lt;'1331'!$I$9),"x","")</f>
        <v/>
      </c>
      <c r="AA729" s="80" t="str">
        <f>IF(AND($P729=$Y$7,$B729&lt;'1331'!$I$9),"x","")</f>
        <v/>
      </c>
      <c r="AB729" s="80" t="str">
        <f>IF(AND($B729&gt;='1332'!$I$9,$B729&lt;='1332'!$I$9,OR($O729=$AB$7,$P729=$AB$7)),"x","")</f>
        <v/>
      </c>
      <c r="AC729" s="80" t="str">
        <f>IF(AND($O729=$AB$7,$B729&lt;'1332'!$I$9),"x","")</f>
        <v/>
      </c>
      <c r="AD729" s="80" t="str">
        <f>IF(AND($P729=$AB$7,$B729&lt;'1332'!$I$9),"x","")</f>
        <v/>
      </c>
      <c r="AE729" s="80" t="str">
        <f>IF(AND('341-CT'!$H$9=H729,OR(LEFT(O729,3)=$AE$7,LEFT(P729,3)=$AE$7)),"x","")</f>
        <v/>
      </c>
      <c r="AF729" s="80" t="str">
        <f>IF(OR(TH!O729=TH!$AF$7,P729=TH!$AF$7),"x","")</f>
        <v/>
      </c>
      <c r="AG729" s="80"/>
      <c r="AH729" s="80" t="str">
        <f>IF(AND(B729&gt;='IN-NX'!$P$3,B729&lt;='IN-NX'!$Q$3,'IN-NX'!$D$7=D729,OR(LEFT(L729,2)="15",AND(LEFT(M729,2)&lt;&gt;"15",LEFT(M729,2)&lt;&gt;"33"))),"x","")</f>
        <v/>
      </c>
      <c r="AI729" s="80" t="str">
        <f>IF(AND(OR(LEFT(TH!O729,2)="15",LEFT(TH!P729,2)="15"),'152-CT'!$J$8=TH!F729),"x","")</f>
        <v/>
      </c>
      <c r="AJ729" s="80" t="str">
        <f>IF(AND(OR(LEFT(TH!O729,2)="15",LEFT(TH!P729,2)="15"),'THE KHO'!$E$7=TH!F729),"x","")</f>
        <v/>
      </c>
      <c r="AK729" s="80" t="str">
        <f>IF(AND(O729="1521",MONTH(C729)='BK NL'!$M$11),"x","")</f>
        <v/>
      </c>
    </row>
    <row r="730" spans="1:37" ht="15.75" customHeight="1">
      <c r="A730" s="362" t="str">
        <f>IF(B730&lt;&gt;"",IF(AND(B730&gt;=_TM1,B730&lt;=_TM2,OR(TH!O730="1111",TH!P730="1111")),TH!D730,""),"")</f>
        <v/>
      </c>
      <c r="B730" s="63">
        <f t="shared" si="57"/>
        <v>9</v>
      </c>
      <c r="C730" s="337">
        <v>42643</v>
      </c>
      <c r="D730" s="1045" t="s">
        <v>1229</v>
      </c>
      <c r="E730" s="337">
        <v>42643</v>
      </c>
      <c r="F730" s="1046" t="s">
        <v>1242</v>
      </c>
      <c r="G730" s="1047"/>
      <c r="H730" s="1048"/>
      <c r="I730" s="1049"/>
      <c r="J730" s="1049"/>
      <c r="K730" s="1050"/>
      <c r="L730" s="1049"/>
      <c r="M730" s="1051">
        <v>86492</v>
      </c>
      <c r="N730" s="1051"/>
      <c r="O730" s="1052" t="s">
        <v>139</v>
      </c>
      <c r="P730" s="1052" t="s">
        <v>1031</v>
      </c>
      <c r="Q730" s="66" t="str">
        <f>IF(AND('331-CT'!$E$7=TH!H730,OR(O730="331",P730="331")),"x","")</f>
        <v/>
      </c>
      <c r="R730" s="66" t="str">
        <f>IF(AND($B730&gt;='111'!$N$11,$B730&lt;='111'!$O$11,OR($O730=$R$7,$P730=$R$7)),"x","")</f>
        <v/>
      </c>
      <c r="S730" s="66" t="str">
        <f>IF(AND($O730=$R$7,$B730&lt;'111'!$N$11),"x","")</f>
        <v/>
      </c>
      <c r="T730" s="66" t="str">
        <f>IF(AND($P730=$R$7,$B730&lt;'111'!$N$11),"x","")</f>
        <v/>
      </c>
      <c r="U730" s="66" t="str">
        <f>IF(AND($B730&gt;='112'!$M$9,$B730&lt;='112'!$N$9,OR($O730='112'!$I$6,$P730='112'!$I$6)),"x","")</f>
        <v/>
      </c>
      <c r="V730" s="66" t="str">
        <f>IF(AND($O730='112'!$I$6,$B730&lt;'112'!$M$9),"x","")</f>
        <v/>
      </c>
      <c r="W730" s="66" t="str">
        <f>IF(AND($P730='112'!$I$6,$B730&lt;'112'!$M$9),"x","")</f>
        <v/>
      </c>
      <c r="X730" s="66" t="str">
        <f>IF(AND('131-CT'!$H$9=TH!H730,OR(O730="131",P730="131")),"x","")</f>
        <v/>
      </c>
      <c r="Y730" s="80" t="str">
        <f>IF(AND($B730&gt;='1331'!$I$9,$B730&lt;='1331'!$J$9,OR($O730=$Y$7,$P730=$Y$7)),"x","")</f>
        <v/>
      </c>
      <c r="Z730" s="80" t="str">
        <f>IF(AND($O730=$Y$7,$B730&lt;'1331'!$I$9),"x","")</f>
        <v/>
      </c>
      <c r="AA730" s="80" t="str">
        <f>IF(AND($P730=$Y$7,$B730&lt;'1331'!$I$9),"x","")</f>
        <v/>
      </c>
      <c r="AB730" s="80" t="str">
        <f>IF(AND($B730&gt;='1332'!$I$9,$B730&lt;='1332'!$I$9,OR($O730=$AB$7,$P730=$AB$7)),"x","")</f>
        <v/>
      </c>
      <c r="AC730" s="80" t="str">
        <f>IF(AND($O730=$AB$7,$B730&lt;'1332'!$I$9),"x","")</f>
        <v/>
      </c>
      <c r="AD730" s="80" t="str">
        <f>IF(AND($P730=$AB$7,$B730&lt;'1332'!$I$9),"x","")</f>
        <v/>
      </c>
      <c r="AE730" s="80" t="str">
        <f>IF(AND('341-CT'!$H$9=H730,OR(LEFT(O730,3)=$AE$7,LEFT(P730,3)=$AE$7)),"x","")</f>
        <v/>
      </c>
      <c r="AF730" s="80" t="str">
        <f>IF(OR(TH!O730=TH!$AF$7,P730=TH!$AF$7),"x","")</f>
        <v/>
      </c>
      <c r="AG730" s="80"/>
      <c r="AH730" s="80" t="str">
        <f>IF(AND(B730&gt;='IN-NX'!$P$3,B730&lt;='IN-NX'!$Q$3,'IN-NX'!$D$7=D730,OR(LEFT(L730,2)="15",AND(LEFT(M730,2)&lt;&gt;"15",LEFT(M730,2)&lt;&gt;"33"))),"x","")</f>
        <v/>
      </c>
      <c r="AI730" s="80" t="str">
        <f>IF(AND(OR(LEFT(TH!O730,2)="15",LEFT(TH!P730,2)="15"),'152-CT'!$J$8=TH!F730),"x","")</f>
        <v/>
      </c>
      <c r="AJ730" s="80" t="str">
        <f>IF(AND(OR(LEFT(TH!O730,2)="15",LEFT(TH!P730,2)="15"),'THE KHO'!$E$7=TH!F730),"x","")</f>
        <v/>
      </c>
      <c r="AK730" s="80" t="str">
        <f>IF(AND(O730="1521",MONTH(C730)='BK NL'!$M$11),"x","")</f>
        <v/>
      </c>
    </row>
    <row r="731" spans="1:37" ht="15.75" customHeight="1">
      <c r="A731" s="362" t="str">
        <f>IF(B731&lt;&gt;"",IF(AND(B731&gt;=_TM1,B731&lt;=_TM2,OR(TH!O731="1111",TH!P731="1111")),TH!D731,""),"")</f>
        <v/>
      </c>
      <c r="B731" s="63" t="str">
        <f t="shared" ref="B731:B746" si="58">IF(C731&lt;&gt;"",MONTH(C731),"")</f>
        <v/>
      </c>
      <c r="C731" s="64"/>
      <c r="D731" s="64"/>
      <c r="E731" s="64"/>
      <c r="F731" s="67"/>
      <c r="G731" s="349"/>
      <c r="H731" s="71"/>
      <c r="I731" s="476"/>
      <c r="J731" s="476"/>
      <c r="K731" s="469"/>
      <c r="L731" s="476"/>
      <c r="M731" s="65"/>
      <c r="N731" s="65"/>
      <c r="O731" s="66"/>
      <c r="P731" s="66"/>
      <c r="Q731" s="66" t="str">
        <f>IF(AND('331-CT'!$E$7=TH!H731,OR(O731="331",P731="331")),"x","")</f>
        <v/>
      </c>
      <c r="R731" s="66" t="str">
        <f>IF(AND($B731&gt;='111'!$N$11,$B731&lt;='111'!$O$11,OR($O731=$R$7,$P731=$R$7)),"x","")</f>
        <v/>
      </c>
      <c r="S731" s="66" t="str">
        <f>IF(AND($O731=$R$7,$B731&lt;'111'!$N$11),"x","")</f>
        <v/>
      </c>
      <c r="T731" s="66" t="str">
        <f>IF(AND($P731=$R$7,$B731&lt;'111'!$N$11),"x","")</f>
        <v/>
      </c>
      <c r="U731" s="66" t="str">
        <f>IF(AND($B731&gt;='112'!$M$9,$B731&lt;='112'!$N$9,OR($O731='112'!$I$6,$P731='112'!$I$6)),"x","")</f>
        <v/>
      </c>
      <c r="V731" s="66" t="str">
        <f>IF(AND($O731='112'!$I$6,$B731&lt;'112'!$M$9),"x","")</f>
        <v/>
      </c>
      <c r="W731" s="66" t="str">
        <f>IF(AND($P731='112'!$I$6,$B731&lt;'112'!$M$9),"x","")</f>
        <v/>
      </c>
      <c r="X731" s="66" t="str">
        <f>IF(AND('131-CT'!$H$9=TH!H731,OR(O731="131",P731="131")),"x","")</f>
        <v/>
      </c>
      <c r="Y731" s="80" t="str">
        <f>IF(AND($B731&gt;='1331'!$I$9,$B731&lt;='1331'!$J$9,OR($O731=$Y$7,$P731=$Y$7)),"x","")</f>
        <v/>
      </c>
      <c r="Z731" s="80" t="str">
        <f>IF(AND($O731=$Y$7,$B731&lt;'1331'!$I$9),"x","")</f>
        <v/>
      </c>
      <c r="AA731" s="80" t="str">
        <f>IF(AND($P731=$Y$7,$B731&lt;'1331'!$I$9),"x","")</f>
        <v/>
      </c>
      <c r="AB731" s="80" t="str">
        <f>IF(AND($B731&gt;='1332'!$I$9,$B731&lt;='1332'!$I$9,OR($O731=$AB$7,$P731=$AB$7)),"x","")</f>
        <v/>
      </c>
      <c r="AC731" s="80" t="str">
        <f>IF(AND($O731=$AB$7,$B731&lt;'1332'!$I$9),"x","")</f>
        <v/>
      </c>
      <c r="AD731" s="80" t="str">
        <f>IF(AND($P731=$AB$7,$B731&lt;'1332'!$I$9),"x","")</f>
        <v/>
      </c>
      <c r="AE731" s="80" t="str">
        <f>IF(AND('341-CT'!$H$9=H731,OR(LEFT(O731,3)=$AE$7,LEFT(P731,3)=$AE$7)),"x","")</f>
        <v/>
      </c>
      <c r="AF731" s="80" t="str">
        <f>IF(OR(TH!O731=TH!$AF$7,P731=TH!$AF$7),"x","")</f>
        <v/>
      </c>
      <c r="AG731" s="80"/>
      <c r="AH731" s="80" t="str">
        <f>IF(AND(B731&gt;='IN-NX'!$P$3,B731&lt;='IN-NX'!$Q$3,'IN-NX'!$D$7=D731,OR(LEFT(L731,2)="15",AND(LEFT(M731,2)&lt;&gt;"15",LEFT(M731,2)&lt;&gt;"33"))),"x","")</f>
        <v/>
      </c>
      <c r="AI731" s="80" t="str">
        <f>IF(AND(OR(LEFT(TH!O731,2)="15",LEFT(TH!P731,2)="15"),'152-CT'!$J$8=TH!F731),"x","")</f>
        <v/>
      </c>
      <c r="AJ731" s="80" t="str">
        <f>IF(AND(OR(LEFT(TH!O731,2)="15",LEFT(TH!P731,2)="15"),'THE KHO'!$E$7=TH!F731),"x","")</f>
        <v/>
      </c>
      <c r="AK731" s="80" t="str">
        <f>IF(AND(O731="1521",MONTH(C731)='BK NL'!$M$11),"x","")</f>
        <v/>
      </c>
    </row>
    <row r="732" spans="1:37" ht="15.75" customHeight="1">
      <c r="A732" s="362" t="str">
        <f>IF(B732&lt;&gt;"",IF(AND(B732&gt;=_TM1,B732&lt;=_TM2,OR(TH!O732="1111",TH!P732="1111")),TH!D732,""),"")</f>
        <v/>
      </c>
      <c r="B732" s="63" t="str">
        <f t="shared" si="58"/>
        <v/>
      </c>
      <c r="C732" s="64"/>
      <c r="D732" s="64"/>
      <c r="E732" s="64"/>
      <c r="F732" s="67"/>
      <c r="G732" s="349"/>
      <c r="H732" s="71"/>
      <c r="I732" s="476"/>
      <c r="J732" s="476"/>
      <c r="K732" s="469"/>
      <c r="L732" s="476"/>
      <c r="M732" s="65"/>
      <c r="N732" s="65"/>
      <c r="O732" s="66"/>
      <c r="P732" s="66"/>
      <c r="Q732" s="66" t="str">
        <f>IF(AND('331-CT'!$E$7=TH!H732,OR(O732="331",P732="331")),"x","")</f>
        <v/>
      </c>
      <c r="R732" s="66" t="str">
        <f>IF(AND($B732&gt;='111'!$N$11,$B732&lt;='111'!$O$11,OR($O732=$R$7,$P732=$R$7)),"x","")</f>
        <v/>
      </c>
      <c r="S732" s="66" t="str">
        <f>IF(AND($O732=$R$7,$B732&lt;'111'!$N$11),"x","")</f>
        <v/>
      </c>
      <c r="T732" s="66" t="str">
        <f>IF(AND($P732=$R$7,$B732&lt;'111'!$N$11),"x","")</f>
        <v/>
      </c>
      <c r="U732" s="66" t="str">
        <f>IF(AND($B732&gt;='112'!$M$9,$B732&lt;='112'!$N$9,OR($O732='112'!$I$6,$P732='112'!$I$6)),"x","")</f>
        <v/>
      </c>
      <c r="V732" s="66" t="str">
        <f>IF(AND($O732='112'!$I$6,$B732&lt;'112'!$M$9),"x","")</f>
        <v/>
      </c>
      <c r="W732" s="66" t="str">
        <f>IF(AND($P732='112'!$I$6,$B732&lt;'112'!$M$9),"x","")</f>
        <v/>
      </c>
      <c r="X732" s="66" t="str">
        <f>IF(AND('131-CT'!$H$9=TH!H732,OR(O732="131",P732="131")),"x","")</f>
        <v/>
      </c>
      <c r="Y732" s="80" t="str">
        <f>IF(AND($B732&gt;='1331'!$I$9,$B732&lt;='1331'!$J$9,OR($O732=$Y$7,$P732=$Y$7)),"x","")</f>
        <v/>
      </c>
      <c r="Z732" s="80" t="str">
        <f>IF(AND($O732=$Y$7,$B732&lt;'1331'!$I$9),"x","")</f>
        <v/>
      </c>
      <c r="AA732" s="80" t="str">
        <f>IF(AND($P732=$Y$7,$B732&lt;'1331'!$I$9),"x","")</f>
        <v/>
      </c>
      <c r="AB732" s="80" t="str">
        <f>IF(AND($B732&gt;='1332'!$I$9,$B732&lt;='1332'!$I$9,OR($O732=$AB$7,$P732=$AB$7)),"x","")</f>
        <v/>
      </c>
      <c r="AC732" s="80" t="str">
        <f>IF(AND($O732=$AB$7,$B732&lt;'1332'!$I$9),"x","")</f>
        <v/>
      </c>
      <c r="AD732" s="80" t="str">
        <f>IF(AND($P732=$AB$7,$B732&lt;'1332'!$I$9),"x","")</f>
        <v/>
      </c>
      <c r="AE732" s="80" t="str">
        <f>IF(AND('341-CT'!$H$9=H732,OR(LEFT(O732,3)=$AE$7,LEFT(P732,3)=$AE$7)),"x","")</f>
        <v/>
      </c>
      <c r="AF732" s="80" t="str">
        <f>IF(OR(TH!O732=TH!$AF$7,P732=TH!$AF$7),"x","")</f>
        <v/>
      </c>
      <c r="AG732" s="80"/>
      <c r="AH732" s="80" t="str">
        <f>IF(AND(B732&gt;='IN-NX'!$P$3,B732&lt;='IN-NX'!$Q$3,'IN-NX'!$D$7=D732,OR(LEFT(L732,2)="15",AND(LEFT(M732,2)&lt;&gt;"15",LEFT(M732,2)&lt;&gt;"33"))),"x","")</f>
        <v/>
      </c>
      <c r="AI732" s="80" t="str">
        <f>IF(AND(OR(LEFT(TH!O732,2)="15",LEFT(TH!P732,2)="15"),'152-CT'!$J$8=TH!F732),"x","")</f>
        <v/>
      </c>
      <c r="AJ732" s="80" t="str">
        <f>IF(AND(OR(LEFT(TH!O732,2)="15",LEFT(TH!P732,2)="15"),'THE KHO'!$E$7=TH!F732),"x","")</f>
        <v/>
      </c>
      <c r="AK732" s="80" t="str">
        <f>IF(AND(O732="1521",MONTH(C732)='BK NL'!$M$11),"x","")</f>
        <v/>
      </c>
    </row>
    <row r="733" spans="1:37" ht="15.75" customHeight="1">
      <c r="A733" s="362" t="str">
        <f>IF(B733&lt;&gt;"",IF(AND(B733&gt;=_TM1,B733&lt;=_TM2,OR(TH!O733="1111",TH!P733="1111")),TH!D733,""),"")</f>
        <v/>
      </c>
      <c r="B733" s="63" t="str">
        <f t="shared" si="58"/>
        <v/>
      </c>
      <c r="C733" s="64"/>
      <c r="D733" s="64"/>
      <c r="E733" s="64"/>
      <c r="F733" s="67"/>
      <c r="G733" s="349"/>
      <c r="H733" s="71"/>
      <c r="I733" s="476"/>
      <c r="J733" s="476"/>
      <c r="K733" s="469"/>
      <c r="L733" s="476"/>
      <c r="M733" s="65"/>
      <c r="N733" s="65"/>
      <c r="O733" s="66"/>
      <c r="P733" s="66"/>
      <c r="Q733" s="66" t="str">
        <f>IF(AND('331-CT'!$E$7=TH!H733,OR(O733="331",P733="331")),"x","")</f>
        <v/>
      </c>
      <c r="R733" s="66" t="str">
        <f>IF(AND($B733&gt;='111'!$N$11,$B733&lt;='111'!$O$11,OR($O733=$R$7,$P733=$R$7)),"x","")</f>
        <v/>
      </c>
      <c r="S733" s="66" t="str">
        <f>IF(AND($O733=$R$7,$B733&lt;'111'!$N$11),"x","")</f>
        <v/>
      </c>
      <c r="T733" s="66" t="str">
        <f>IF(AND($P733=$R$7,$B733&lt;'111'!$N$11),"x","")</f>
        <v/>
      </c>
      <c r="U733" s="66" t="str">
        <f>IF(AND($B733&gt;='112'!$M$9,$B733&lt;='112'!$N$9,OR($O733='112'!$I$6,$P733='112'!$I$6)),"x","")</f>
        <v/>
      </c>
      <c r="V733" s="66" t="str">
        <f>IF(AND($O733='112'!$I$6,$B733&lt;'112'!$M$9),"x","")</f>
        <v/>
      </c>
      <c r="W733" s="66" t="str">
        <f>IF(AND($P733='112'!$I$6,$B733&lt;'112'!$M$9),"x","")</f>
        <v/>
      </c>
      <c r="X733" s="66" t="str">
        <f>IF(AND('131-CT'!$H$9=TH!H733,OR(O733="131",P733="131")),"x","")</f>
        <v/>
      </c>
      <c r="Y733" s="80" t="str">
        <f>IF(AND($B733&gt;='1331'!$I$9,$B733&lt;='1331'!$J$9,OR($O733=$Y$7,$P733=$Y$7)),"x","")</f>
        <v/>
      </c>
      <c r="Z733" s="80" t="str">
        <f>IF(AND($O733=$Y$7,$B733&lt;'1331'!$I$9),"x","")</f>
        <v/>
      </c>
      <c r="AA733" s="80" t="str">
        <f>IF(AND($P733=$Y$7,$B733&lt;'1331'!$I$9),"x","")</f>
        <v/>
      </c>
      <c r="AB733" s="80" t="str">
        <f>IF(AND($B733&gt;='1332'!$I$9,$B733&lt;='1332'!$I$9,OR($O733=$AB$7,$P733=$AB$7)),"x","")</f>
        <v/>
      </c>
      <c r="AC733" s="80" t="str">
        <f>IF(AND($O733=$AB$7,$B733&lt;'1332'!$I$9),"x","")</f>
        <v/>
      </c>
      <c r="AD733" s="80" t="str">
        <f>IF(AND($P733=$AB$7,$B733&lt;'1332'!$I$9),"x","")</f>
        <v/>
      </c>
      <c r="AE733" s="80" t="str">
        <f>IF(AND('341-CT'!$H$9=H733,OR(LEFT(O733,3)=$AE$7,LEFT(P733,3)=$AE$7)),"x","")</f>
        <v/>
      </c>
      <c r="AF733" s="80" t="str">
        <f>IF(OR(TH!O733=TH!$AF$7,P733=TH!$AF$7),"x","")</f>
        <v/>
      </c>
      <c r="AG733" s="80"/>
      <c r="AH733" s="80" t="str">
        <f>IF(AND(B733&gt;='IN-NX'!$P$3,B733&lt;='IN-NX'!$Q$3,'IN-NX'!$D$7=D733,OR(LEFT(L733,2)="15",AND(LEFT(M733,2)&lt;&gt;"15",LEFT(M733,2)&lt;&gt;"33"))),"x","")</f>
        <v/>
      </c>
      <c r="AI733" s="80" t="str">
        <f>IF(AND(OR(LEFT(TH!O733,2)="15",LEFT(TH!P733,2)="15"),'152-CT'!$J$8=TH!F733),"x","")</f>
        <v/>
      </c>
      <c r="AJ733" s="80" t="str">
        <f>IF(AND(OR(LEFT(TH!O733,2)="15",LEFT(TH!P733,2)="15"),'THE KHO'!$E$7=TH!F733),"x","")</f>
        <v/>
      </c>
      <c r="AK733" s="80" t="str">
        <f>IF(AND(O733="1521",MONTH(C733)='BK NL'!$M$11),"x","")</f>
        <v/>
      </c>
    </row>
    <row r="734" spans="1:37" ht="15.75" customHeight="1">
      <c r="A734" s="362" t="str">
        <f>IF(B734&lt;&gt;"",IF(AND(B734&gt;=_TM1,B734&lt;=_TM2,OR(TH!O734="1111",TH!P734="1111")),TH!D734,""),"")</f>
        <v/>
      </c>
      <c r="B734" s="63" t="str">
        <f t="shared" si="58"/>
        <v/>
      </c>
      <c r="C734" s="64"/>
      <c r="D734" s="64"/>
      <c r="E734" s="337"/>
      <c r="F734" s="338"/>
      <c r="G734" s="336"/>
      <c r="H734" s="71"/>
      <c r="I734" s="476"/>
      <c r="J734" s="476"/>
      <c r="K734" s="469"/>
      <c r="L734" s="476"/>
      <c r="M734" s="65"/>
      <c r="N734" s="65"/>
      <c r="O734" s="340"/>
      <c r="P734" s="340"/>
      <c r="Q734" s="66" t="str">
        <f>IF(AND('331-CT'!$E$7=TH!H734,OR(O734="331",P734="331")),"x","")</f>
        <v/>
      </c>
      <c r="R734" s="66" t="str">
        <f>IF(AND($B734&gt;='111'!$N$11,$B734&lt;='111'!$O$11,OR($O734=$R$7,$P734=$R$7)),"x","")</f>
        <v/>
      </c>
      <c r="S734" s="66" t="str">
        <f>IF(AND($O734=$R$7,$B734&lt;'111'!$N$11),"x","")</f>
        <v/>
      </c>
      <c r="T734" s="66" t="str">
        <f>IF(AND($P734=$R$7,$B734&lt;'111'!$N$11),"x","")</f>
        <v/>
      </c>
      <c r="U734" s="66" t="str">
        <f>IF(AND($B734&gt;='112'!$M$9,$B734&lt;='112'!$N$9,OR($O734='112'!$I$6,$P734='112'!$I$6)),"x","")</f>
        <v/>
      </c>
      <c r="V734" s="66" t="str">
        <f>IF(AND($O734='112'!$I$6,$B734&lt;'112'!$M$9),"x","")</f>
        <v/>
      </c>
      <c r="W734" s="66" t="str">
        <f>IF(AND($P734='112'!$I$6,$B734&lt;'112'!$M$9),"x","")</f>
        <v/>
      </c>
      <c r="X734" s="66" t="str">
        <f>IF(AND('131-CT'!$H$9=TH!H734,OR(O734="131",P734="131")),"x","")</f>
        <v/>
      </c>
      <c r="Y734" s="80" t="str">
        <f>IF(AND($B734&gt;='1331'!$I$9,$B734&lt;='1331'!$J$9,OR($O734=$Y$7,$P734=$Y$7)),"x","")</f>
        <v/>
      </c>
      <c r="Z734" s="80" t="str">
        <f>IF(AND($O734=$Y$7,$B734&lt;'1331'!$I$9),"x","")</f>
        <v/>
      </c>
      <c r="AA734" s="80" t="str">
        <f>IF(AND($P734=$Y$7,$B734&lt;'1331'!$I$9),"x","")</f>
        <v/>
      </c>
      <c r="AB734" s="80" t="str">
        <f>IF(AND($B734&gt;='1332'!$I$9,$B734&lt;='1332'!$I$9,OR($O734=$AB$7,$P734=$AB$7)),"x","")</f>
        <v/>
      </c>
      <c r="AC734" s="80" t="str">
        <f>IF(AND($O734=$AB$7,$B734&lt;'1332'!$I$9),"x","")</f>
        <v/>
      </c>
      <c r="AD734" s="80" t="str">
        <f>IF(AND($P734=$AB$7,$B734&lt;'1332'!$I$9),"x","")</f>
        <v/>
      </c>
      <c r="AE734" s="80" t="str">
        <f>IF(AND('341-CT'!$H$9=H734,OR(LEFT(O734,3)=$AE$7,LEFT(P734,3)=$AE$7)),"x","")</f>
        <v/>
      </c>
      <c r="AF734" s="80" t="str">
        <f>IF(OR(TH!O734=TH!$AF$7,P734=TH!$AF$7),"x","")</f>
        <v/>
      </c>
      <c r="AG734" s="80"/>
      <c r="AH734" s="80" t="str">
        <f>IF(AND(B734&gt;='IN-NX'!$P$3,B734&lt;='IN-NX'!$Q$3,'IN-NX'!$D$7=D734,OR(LEFT(L734,2)="15",AND(LEFT(M734,2)&lt;&gt;"15",LEFT(M734,2)&lt;&gt;"33"))),"x","")</f>
        <v/>
      </c>
      <c r="AI734" s="80" t="str">
        <f>IF(AND(OR(LEFT(TH!O734,2)="15",LEFT(TH!P734,2)="15"),'152-CT'!$J$8=TH!F734),"x","")</f>
        <v/>
      </c>
      <c r="AJ734" s="80" t="str">
        <f>IF(AND(OR(LEFT(TH!O734,2)="15",LEFT(TH!P734,2)="15"),'THE KHO'!$E$7=TH!F734),"x","")</f>
        <v/>
      </c>
      <c r="AK734" s="80" t="str">
        <f>IF(AND(O734="1521",MONTH(C734)='BK NL'!$M$11),"x","")</f>
        <v/>
      </c>
    </row>
    <row r="735" spans="1:37" ht="15.75" customHeight="1">
      <c r="A735" s="362" t="str">
        <f>IF(B735&lt;&gt;"",IF(AND(B735&gt;=_TM1,B735&lt;=_TM2,OR(TH!O735="1111",TH!P735="1111")),TH!D735,""),"")</f>
        <v/>
      </c>
      <c r="B735" s="63" t="str">
        <f t="shared" si="58"/>
        <v/>
      </c>
      <c r="C735" s="64"/>
      <c r="D735" s="337"/>
      <c r="E735" s="337"/>
      <c r="F735" s="338"/>
      <c r="G735" s="355"/>
      <c r="H735" s="339"/>
      <c r="I735" s="476"/>
      <c r="J735" s="476"/>
      <c r="K735" s="469"/>
      <c r="L735" s="476"/>
      <c r="M735" s="65"/>
      <c r="N735" s="65"/>
      <c r="O735" s="340"/>
      <c r="P735" s="340"/>
      <c r="Q735" s="66" t="str">
        <f>IF(AND('331-CT'!$E$7=TH!H735,OR(O735="331",P735="331")),"x","")</f>
        <v/>
      </c>
      <c r="R735" s="66" t="str">
        <f>IF(AND($B735&gt;='111'!$N$11,$B735&lt;='111'!$O$11,OR($O735=$R$7,$P735=$R$7)),"x","")</f>
        <v/>
      </c>
      <c r="S735" s="66" t="str">
        <f>IF(AND($O735=$R$7,$B735&lt;'111'!$N$11),"x","")</f>
        <v/>
      </c>
      <c r="T735" s="66" t="str">
        <f>IF(AND($P735=$R$7,$B735&lt;'111'!$N$11),"x","")</f>
        <v/>
      </c>
      <c r="U735" s="66" t="str">
        <f>IF(AND($B735&gt;='112'!$M$9,$B735&lt;='112'!$N$9,OR($O735='112'!$I$6,$P735='112'!$I$6)),"x","")</f>
        <v/>
      </c>
      <c r="V735" s="66" t="str">
        <f>IF(AND($O735='112'!$I$6,$B735&lt;'112'!$M$9),"x","")</f>
        <v/>
      </c>
      <c r="W735" s="66" t="str">
        <f>IF(AND($P735='112'!$I$6,$B735&lt;'112'!$M$9),"x","")</f>
        <v/>
      </c>
      <c r="X735" s="66" t="str">
        <f>IF(AND('131-CT'!$H$9=TH!H735,OR(O735="131",P735="131")),"x","")</f>
        <v/>
      </c>
      <c r="Y735" s="80" t="str">
        <f>IF(AND($B735&gt;='1331'!$I$9,$B735&lt;='1331'!$J$9,OR($O735=$Y$7,$P735=$Y$7)),"x","")</f>
        <v/>
      </c>
      <c r="Z735" s="80" t="str">
        <f>IF(AND($O735=$Y$7,$B735&lt;'1331'!$I$9),"x","")</f>
        <v/>
      </c>
      <c r="AA735" s="80" t="str">
        <f>IF(AND($P735=$Y$7,$B735&lt;'1331'!$I$9),"x","")</f>
        <v/>
      </c>
      <c r="AB735" s="80" t="str">
        <f>IF(AND($B735&gt;='1332'!$I$9,$B735&lt;='1332'!$I$9,OR($O735=$AB$7,$P735=$AB$7)),"x","")</f>
        <v/>
      </c>
      <c r="AC735" s="80" t="str">
        <f>IF(AND($O735=$AB$7,$B735&lt;'1332'!$I$9),"x","")</f>
        <v/>
      </c>
      <c r="AD735" s="80" t="str">
        <f>IF(AND($P735=$AB$7,$B735&lt;'1332'!$I$9),"x","")</f>
        <v/>
      </c>
      <c r="AE735" s="80" t="str">
        <f>IF(AND('341-CT'!$H$9=H735,OR(LEFT(O735,3)=$AE$7,LEFT(P735,3)=$AE$7)),"x","")</f>
        <v/>
      </c>
      <c r="AF735" s="80" t="str">
        <f>IF(OR(TH!O735=TH!$AF$7,P735=TH!$AF$7),"x","")</f>
        <v/>
      </c>
      <c r="AG735" s="80"/>
      <c r="AH735" s="80" t="str">
        <f>IF(AND(B735&gt;='IN-NX'!$P$3,B735&lt;='IN-NX'!$Q$3,'IN-NX'!$D$7=D735,OR(LEFT(L735,2)="15",AND(LEFT(M735,2)&lt;&gt;"15",LEFT(M735,2)&lt;&gt;"33"))),"x","")</f>
        <v/>
      </c>
      <c r="AI735" s="80" t="str">
        <f>IF(AND(OR(LEFT(TH!O735,2)="15",LEFT(TH!P735,2)="15"),'152-CT'!$J$8=TH!F735),"x","")</f>
        <v/>
      </c>
      <c r="AJ735" s="80" t="str">
        <f>IF(AND(OR(LEFT(TH!O735,2)="15",LEFT(TH!P735,2)="15"),'THE KHO'!$E$7=TH!F735),"x","")</f>
        <v/>
      </c>
      <c r="AK735" s="80" t="str">
        <f>IF(AND(O735="1521",MONTH(C735)='BK NL'!$M$11),"x","")</f>
        <v/>
      </c>
    </row>
    <row r="736" spans="1:37" ht="15.75" customHeight="1">
      <c r="A736" s="362" t="str">
        <f>IF(B736&lt;&gt;"",IF(AND(B736&gt;=_TM1,B736&lt;=_TM2,OR(TH!O736="1111",TH!P736="1111")),TH!D736,""),"")</f>
        <v/>
      </c>
      <c r="B736" s="63" t="str">
        <f t="shared" si="58"/>
        <v/>
      </c>
      <c r="C736" s="64"/>
      <c r="D736" s="337"/>
      <c r="E736" s="337"/>
      <c r="F736" s="338"/>
      <c r="G736" s="355"/>
      <c r="H736" s="339"/>
      <c r="I736" s="476"/>
      <c r="J736" s="476"/>
      <c r="K736" s="469"/>
      <c r="L736" s="476"/>
      <c r="M736" s="65"/>
      <c r="N736" s="65"/>
      <c r="O736" s="340"/>
      <c r="P736" s="340"/>
      <c r="Q736" s="66" t="str">
        <f>IF(AND('331-CT'!$E$7=TH!H736,OR(O736="331",P736="331")),"x","")</f>
        <v/>
      </c>
      <c r="R736" s="66" t="str">
        <f>IF(AND($B736&gt;='111'!$N$11,$B736&lt;='111'!$O$11,OR($O736=$R$7,$P736=$R$7)),"x","")</f>
        <v/>
      </c>
      <c r="S736" s="66" t="str">
        <f>IF(AND($O736=$R$7,$B736&lt;'111'!$N$11),"x","")</f>
        <v/>
      </c>
      <c r="T736" s="66" t="str">
        <f>IF(AND($P736=$R$7,$B736&lt;'111'!$N$11),"x","")</f>
        <v/>
      </c>
      <c r="U736" s="66" t="str">
        <f>IF(AND($B736&gt;='112'!$M$9,$B736&lt;='112'!$N$9,OR($O736='112'!$I$6,$P736='112'!$I$6)),"x","")</f>
        <v/>
      </c>
      <c r="V736" s="66" t="str">
        <f>IF(AND($O736='112'!$I$6,$B736&lt;'112'!$M$9),"x","")</f>
        <v/>
      </c>
      <c r="W736" s="66" t="str">
        <f>IF(AND($P736='112'!$I$6,$B736&lt;'112'!$M$9),"x","")</f>
        <v/>
      </c>
      <c r="X736" s="66" t="str">
        <f>IF(AND('131-CT'!$H$9=TH!H736,OR(O736="131",P736="131")),"x","")</f>
        <v/>
      </c>
      <c r="Y736" s="80" t="str">
        <f>IF(AND($B736&gt;='1331'!$I$9,$B736&lt;='1331'!$J$9,OR($O736=$Y$7,$P736=$Y$7)),"x","")</f>
        <v/>
      </c>
      <c r="Z736" s="80" t="str">
        <f>IF(AND($O736=$Y$7,$B736&lt;'1331'!$I$9),"x","")</f>
        <v/>
      </c>
      <c r="AA736" s="80" t="str">
        <f>IF(AND($P736=$Y$7,$B736&lt;'1331'!$I$9),"x","")</f>
        <v/>
      </c>
      <c r="AB736" s="80" t="str">
        <f>IF(AND($B736&gt;='1332'!$I$9,$B736&lt;='1332'!$I$9,OR($O736=$AB$7,$P736=$AB$7)),"x","")</f>
        <v/>
      </c>
      <c r="AC736" s="80" t="str">
        <f>IF(AND($O736=$AB$7,$B736&lt;'1332'!$I$9),"x","")</f>
        <v/>
      </c>
      <c r="AD736" s="80" t="str">
        <f>IF(AND($P736=$AB$7,$B736&lt;'1332'!$I$9),"x","")</f>
        <v/>
      </c>
      <c r="AE736" s="80" t="str">
        <f>IF(AND('341-CT'!$H$9=H736,OR(LEFT(O736,3)=$AE$7,LEFT(P736,3)=$AE$7)),"x","")</f>
        <v/>
      </c>
      <c r="AF736" s="80" t="str">
        <f>IF(OR(TH!O736=TH!$AF$7,P736=TH!$AF$7),"x","")</f>
        <v/>
      </c>
      <c r="AG736" s="80"/>
      <c r="AH736" s="80" t="str">
        <f>IF(AND(B736&gt;='IN-NX'!$P$3,B736&lt;='IN-NX'!$Q$3,'IN-NX'!$D$7=D736,OR(LEFT(L736,2)="15",AND(LEFT(M736,2)&lt;&gt;"15",LEFT(M736,2)&lt;&gt;"33"))),"x","")</f>
        <v/>
      </c>
      <c r="AI736" s="80" t="str">
        <f>IF(AND(OR(LEFT(TH!O736,2)="15",LEFT(TH!P736,2)="15"),'152-CT'!$J$8=TH!F736),"x","")</f>
        <v/>
      </c>
      <c r="AJ736" s="80" t="str">
        <f>IF(AND(OR(LEFT(TH!O736,2)="15",LEFT(TH!P736,2)="15"),'THE KHO'!$E$7=TH!F736),"x","")</f>
        <v/>
      </c>
      <c r="AK736" s="80" t="str">
        <f>IF(AND(O736="1521",MONTH(C736)='BK NL'!$M$11),"x","")</f>
        <v/>
      </c>
    </row>
    <row r="737" spans="1:37" ht="15.75" customHeight="1">
      <c r="A737" s="362" t="str">
        <f>IF(B737&lt;&gt;"",IF(AND(B737&gt;=_TM1,B737&lt;=_TM2,OR(TH!O737="1111",TH!P737="1111")),TH!D737,""),"")</f>
        <v/>
      </c>
      <c r="B737" s="63" t="str">
        <f t="shared" si="58"/>
        <v/>
      </c>
      <c r="C737" s="64"/>
      <c r="D737" s="337"/>
      <c r="E737" s="337"/>
      <c r="F737" s="338"/>
      <c r="G737" s="355"/>
      <c r="H737" s="339"/>
      <c r="I737" s="476"/>
      <c r="J737" s="476"/>
      <c r="K737" s="469"/>
      <c r="L737" s="476"/>
      <c r="M737" s="65"/>
      <c r="N737" s="65"/>
      <c r="O737" s="340"/>
      <c r="P737" s="340"/>
      <c r="Q737" s="66" t="str">
        <f>IF(AND('331-CT'!$E$7=TH!H737,OR(O737="331",P737="331")),"x","")</f>
        <v/>
      </c>
      <c r="R737" s="66" t="str">
        <f>IF(AND($B737&gt;='111'!$N$11,$B737&lt;='111'!$O$11,OR($O737=$R$7,$P737=$R$7)),"x","")</f>
        <v/>
      </c>
      <c r="S737" s="66" t="str">
        <f>IF(AND($O737=$R$7,$B737&lt;'111'!$N$11),"x","")</f>
        <v/>
      </c>
      <c r="T737" s="66" t="str">
        <f>IF(AND($P737=$R$7,$B737&lt;'111'!$N$11),"x","")</f>
        <v/>
      </c>
      <c r="U737" s="66" t="str">
        <f>IF(AND($B737&gt;='112'!$M$9,$B737&lt;='112'!$N$9,OR($O737='112'!$I$6,$P737='112'!$I$6)),"x","")</f>
        <v/>
      </c>
      <c r="V737" s="66" t="str">
        <f>IF(AND($O737='112'!$I$6,$B737&lt;'112'!$M$9),"x","")</f>
        <v/>
      </c>
      <c r="W737" s="66" t="str">
        <f>IF(AND($P737='112'!$I$6,$B737&lt;'112'!$M$9),"x","")</f>
        <v/>
      </c>
      <c r="X737" s="66" t="str">
        <f>IF(AND('131-CT'!$H$9=TH!H737,OR(O737="131",P737="131")),"x","")</f>
        <v/>
      </c>
      <c r="Y737" s="80" t="str">
        <f>IF(AND($B737&gt;='1331'!$I$9,$B737&lt;='1331'!$J$9,OR($O737=$Y$7,$P737=$Y$7)),"x","")</f>
        <v/>
      </c>
      <c r="Z737" s="80" t="str">
        <f>IF(AND($O737=$Y$7,$B737&lt;'1331'!$I$9),"x","")</f>
        <v/>
      </c>
      <c r="AA737" s="80" t="str">
        <f>IF(AND($P737=$Y$7,$B737&lt;'1331'!$I$9),"x","")</f>
        <v/>
      </c>
      <c r="AB737" s="80" t="str">
        <f>IF(AND($B737&gt;='1332'!$I$9,$B737&lt;='1332'!$I$9,OR($O737=$AB$7,$P737=$AB$7)),"x","")</f>
        <v/>
      </c>
      <c r="AC737" s="80" t="str">
        <f>IF(AND($O737=$AB$7,$B737&lt;'1332'!$I$9),"x","")</f>
        <v/>
      </c>
      <c r="AD737" s="80" t="str">
        <f>IF(AND($P737=$AB$7,$B737&lt;'1332'!$I$9),"x","")</f>
        <v/>
      </c>
      <c r="AE737" s="80" t="str">
        <f>IF(AND('341-CT'!$H$9=H737,OR(LEFT(O737,3)=$AE$7,LEFT(P737,3)=$AE$7)),"x","")</f>
        <v/>
      </c>
      <c r="AF737" s="80" t="str">
        <f>IF(OR(TH!O737=TH!$AF$7,P737=TH!$AF$7),"x","")</f>
        <v/>
      </c>
      <c r="AG737" s="80"/>
      <c r="AH737" s="80" t="str">
        <f>IF(AND(B737&gt;='IN-NX'!$P$3,B737&lt;='IN-NX'!$Q$3,'IN-NX'!$D$7=D737,OR(LEFT(L737,2)="15",AND(LEFT(M737,2)&lt;&gt;"15",LEFT(M737,2)&lt;&gt;"33"))),"x","")</f>
        <v/>
      </c>
      <c r="AI737" s="80" t="str">
        <f>IF(AND(OR(LEFT(TH!O737,2)="15",LEFT(TH!P737,2)="15"),'152-CT'!$J$8=TH!F737),"x","")</f>
        <v/>
      </c>
      <c r="AJ737" s="80" t="str">
        <f>IF(AND(OR(LEFT(TH!O737,2)="15",LEFT(TH!P737,2)="15"),'THE KHO'!$E$7=TH!F737),"x","")</f>
        <v/>
      </c>
      <c r="AK737" s="80" t="str">
        <f>IF(AND(O737="1521",MONTH(C737)='BK NL'!$M$11),"x","")</f>
        <v/>
      </c>
    </row>
    <row r="738" spans="1:37" ht="15.75" customHeight="1">
      <c r="A738" s="362" t="str">
        <f>IF(B738&lt;&gt;"",IF(AND(B738&gt;=_TM1,B738&lt;=_TM2,OR(TH!O738="1111",TH!P738="1111")),TH!D738,""),"")</f>
        <v/>
      </c>
      <c r="B738" s="63" t="str">
        <f t="shared" si="58"/>
        <v/>
      </c>
      <c r="C738" s="64"/>
      <c r="D738" s="337"/>
      <c r="E738" s="337"/>
      <c r="F738" s="338"/>
      <c r="G738" s="355"/>
      <c r="H738" s="339"/>
      <c r="I738" s="476"/>
      <c r="J738" s="476"/>
      <c r="K738" s="469"/>
      <c r="L738" s="476"/>
      <c r="M738" s="65"/>
      <c r="N738" s="65"/>
      <c r="O738" s="340"/>
      <c r="P738" s="340"/>
      <c r="Q738" s="66" t="str">
        <f>IF(AND('331-CT'!$E$7=TH!H738,OR(O738="331",P738="331")),"x","")</f>
        <v/>
      </c>
      <c r="R738" s="66" t="str">
        <f>IF(AND($B738&gt;='111'!$N$11,$B738&lt;='111'!$O$11,OR($O738=$R$7,$P738=$R$7)),"x","")</f>
        <v/>
      </c>
      <c r="S738" s="66" t="str">
        <f>IF(AND($O738=$R$7,$B738&lt;'111'!$N$11),"x","")</f>
        <v/>
      </c>
      <c r="T738" s="66" t="str">
        <f>IF(AND($P738=$R$7,$B738&lt;'111'!$N$11),"x","")</f>
        <v/>
      </c>
      <c r="U738" s="66" t="str">
        <f>IF(AND($B738&gt;='112'!$M$9,$B738&lt;='112'!$N$9,OR($O738='112'!$I$6,$P738='112'!$I$6)),"x","")</f>
        <v/>
      </c>
      <c r="V738" s="66" t="str">
        <f>IF(AND($O738='112'!$I$6,$B738&lt;'112'!$M$9),"x","")</f>
        <v/>
      </c>
      <c r="W738" s="66" t="str">
        <f>IF(AND($P738='112'!$I$6,$B738&lt;'112'!$M$9),"x","")</f>
        <v/>
      </c>
      <c r="X738" s="66" t="str">
        <f>IF(AND('131-CT'!$H$9=TH!H738,OR(O738="131",P738="131")),"x","")</f>
        <v/>
      </c>
      <c r="Y738" s="80" t="str">
        <f>IF(AND($B738&gt;='1331'!$I$9,$B738&lt;='1331'!$J$9,OR($O738=$Y$7,$P738=$Y$7)),"x","")</f>
        <v/>
      </c>
      <c r="Z738" s="80" t="str">
        <f>IF(AND($O738=$Y$7,$B738&lt;'1331'!$I$9),"x","")</f>
        <v/>
      </c>
      <c r="AA738" s="80" t="str">
        <f>IF(AND($P738=$Y$7,$B738&lt;'1331'!$I$9),"x","")</f>
        <v/>
      </c>
      <c r="AB738" s="80" t="str">
        <f>IF(AND($B738&gt;='1332'!$I$9,$B738&lt;='1332'!$I$9,OR($O738=$AB$7,$P738=$AB$7)),"x","")</f>
        <v/>
      </c>
      <c r="AC738" s="80" t="str">
        <f>IF(AND($O738=$AB$7,$B738&lt;'1332'!$I$9),"x","")</f>
        <v/>
      </c>
      <c r="AD738" s="80" t="str">
        <f>IF(AND($P738=$AB$7,$B738&lt;'1332'!$I$9),"x","")</f>
        <v/>
      </c>
      <c r="AE738" s="80" t="str">
        <f>IF(AND('341-CT'!$H$9=H738,OR(LEFT(O738,3)=$AE$7,LEFT(P738,3)=$AE$7)),"x","")</f>
        <v/>
      </c>
      <c r="AF738" s="80" t="str">
        <f>IF(OR(TH!O738=TH!$AF$7,P738=TH!$AF$7),"x","")</f>
        <v/>
      </c>
      <c r="AG738" s="80"/>
      <c r="AH738" s="80" t="str">
        <f>IF(AND(B738&gt;='IN-NX'!$P$3,B738&lt;='IN-NX'!$Q$3,'IN-NX'!$D$7=D738,OR(LEFT(L738,2)="15",AND(LEFT(M738,2)&lt;&gt;"15",LEFT(M738,2)&lt;&gt;"33"))),"x","")</f>
        <v/>
      </c>
      <c r="AI738" s="80" t="str">
        <f>IF(AND(OR(LEFT(TH!O738,2)="15",LEFT(TH!P738,2)="15"),'152-CT'!$J$8=TH!F738),"x","")</f>
        <v/>
      </c>
      <c r="AJ738" s="80" t="str">
        <f>IF(AND(OR(LEFT(TH!O738,2)="15",LEFT(TH!P738,2)="15"),'THE KHO'!$E$7=TH!F738),"x","")</f>
        <v/>
      </c>
      <c r="AK738" s="80" t="str">
        <f>IF(AND(O738="1521",MONTH(C738)='BK NL'!$M$11),"x","")</f>
        <v/>
      </c>
    </row>
    <row r="739" spans="1:37" ht="15.75" customHeight="1">
      <c r="A739" s="362" t="str">
        <f>IF(B739&lt;&gt;"",IF(AND(B739&gt;=_TM1,B739&lt;=_TM2,OR(TH!O739="1111",TH!P739="1111")),TH!D739,""),"")</f>
        <v/>
      </c>
      <c r="B739" s="63" t="str">
        <f t="shared" si="58"/>
        <v/>
      </c>
      <c r="C739" s="64"/>
      <c r="D739" s="337"/>
      <c r="E739" s="337"/>
      <c r="F739" s="338"/>
      <c r="G739" s="355"/>
      <c r="H739" s="339"/>
      <c r="I739" s="476"/>
      <c r="J739" s="476"/>
      <c r="K739" s="469"/>
      <c r="L739" s="476"/>
      <c r="M739" s="65"/>
      <c r="N739" s="65"/>
      <c r="O739" s="340"/>
      <c r="P739" s="340"/>
      <c r="Q739" s="66" t="str">
        <f>IF(AND('331-CT'!$E$7=TH!H739,OR(O739="331",P739="331")),"x","")</f>
        <v/>
      </c>
      <c r="R739" s="66" t="str">
        <f>IF(AND($B739&gt;='111'!$N$11,$B739&lt;='111'!$O$11,OR($O739=$R$7,$P739=$R$7)),"x","")</f>
        <v/>
      </c>
      <c r="S739" s="66" t="str">
        <f>IF(AND($O739=$R$7,$B739&lt;'111'!$N$11),"x","")</f>
        <v/>
      </c>
      <c r="T739" s="66" t="str">
        <f>IF(AND($P739=$R$7,$B739&lt;'111'!$N$11),"x","")</f>
        <v/>
      </c>
      <c r="U739" s="66" t="str">
        <f>IF(AND($B739&gt;='112'!$M$9,$B739&lt;='112'!$N$9,OR($O739='112'!$I$6,$P739='112'!$I$6)),"x","")</f>
        <v/>
      </c>
      <c r="V739" s="66" t="str">
        <f>IF(AND($O739='112'!$I$6,$B739&lt;'112'!$M$9),"x","")</f>
        <v/>
      </c>
      <c r="W739" s="66" t="str">
        <f>IF(AND($P739='112'!$I$6,$B739&lt;'112'!$M$9),"x","")</f>
        <v/>
      </c>
      <c r="X739" s="66" t="str">
        <f>IF(AND('131-CT'!$H$9=TH!H739,OR(O739="131",P739="131")),"x","")</f>
        <v/>
      </c>
      <c r="Y739" s="80" t="str">
        <f>IF(AND($B739&gt;='1331'!$I$9,$B739&lt;='1331'!$J$9,OR($O739=$Y$7,$P739=$Y$7)),"x","")</f>
        <v/>
      </c>
      <c r="Z739" s="80" t="str">
        <f>IF(AND($O739=$Y$7,$B739&lt;'1331'!$I$9),"x","")</f>
        <v/>
      </c>
      <c r="AA739" s="80" t="str">
        <f>IF(AND($P739=$Y$7,$B739&lt;'1331'!$I$9),"x","")</f>
        <v/>
      </c>
      <c r="AB739" s="80" t="str">
        <f>IF(AND($B739&gt;='1332'!$I$9,$B739&lt;='1332'!$I$9,OR($O739=$AB$7,$P739=$AB$7)),"x","")</f>
        <v/>
      </c>
      <c r="AC739" s="80" t="str">
        <f>IF(AND($O739=$AB$7,$B739&lt;'1332'!$I$9),"x","")</f>
        <v/>
      </c>
      <c r="AD739" s="80" t="str">
        <f>IF(AND($P739=$AB$7,$B739&lt;'1332'!$I$9),"x","")</f>
        <v/>
      </c>
      <c r="AE739" s="80" t="str">
        <f>IF(AND('341-CT'!$H$9=H739,OR(LEFT(O739,3)=$AE$7,LEFT(P739,3)=$AE$7)),"x","")</f>
        <v/>
      </c>
      <c r="AF739" s="80" t="str">
        <f>IF(OR(TH!O739=TH!$AF$7,P739=TH!$AF$7),"x","")</f>
        <v/>
      </c>
      <c r="AG739" s="80"/>
      <c r="AH739" s="80" t="str">
        <f>IF(AND(B739&gt;='IN-NX'!$P$3,B739&lt;='IN-NX'!$Q$3,'IN-NX'!$D$7=D739,OR(LEFT(L739,2)="15",AND(LEFT(M739,2)&lt;&gt;"15",LEFT(M739,2)&lt;&gt;"33"))),"x","")</f>
        <v/>
      </c>
      <c r="AI739" s="80" t="str">
        <f>IF(AND(OR(LEFT(TH!O739,2)="15",LEFT(TH!P739,2)="15"),'152-CT'!$J$8=TH!F739),"x","")</f>
        <v/>
      </c>
      <c r="AJ739" s="80" t="str">
        <f>IF(AND(OR(LEFT(TH!O739,2)="15",LEFT(TH!P739,2)="15"),'THE KHO'!$E$7=TH!F739),"x","")</f>
        <v/>
      </c>
      <c r="AK739" s="80" t="str">
        <f>IF(AND(O739="1521",MONTH(C739)='BK NL'!$M$11),"x","")</f>
        <v/>
      </c>
    </row>
    <row r="740" spans="1:37" ht="15.75" customHeight="1">
      <c r="A740" s="362" t="str">
        <f>IF(B740&lt;&gt;"",IF(AND(B740&gt;=_TM1,B740&lt;=_TM2,OR(TH!O740="1111",TH!P740="1111")),TH!D740,""),"")</f>
        <v/>
      </c>
      <c r="B740" s="63" t="str">
        <f t="shared" si="58"/>
        <v/>
      </c>
      <c r="C740" s="64"/>
      <c r="D740" s="337"/>
      <c r="E740" s="337"/>
      <c r="F740" s="338"/>
      <c r="G740" s="355"/>
      <c r="H740" s="339"/>
      <c r="I740" s="476"/>
      <c r="J740" s="476"/>
      <c r="K740" s="469"/>
      <c r="L740" s="476"/>
      <c r="M740" s="65"/>
      <c r="N740" s="65"/>
      <c r="O740" s="340"/>
      <c r="P740" s="340"/>
      <c r="Q740" s="66" t="str">
        <f>IF(AND('331-CT'!$E$7=TH!H740,OR(O740="331",P740="331")),"x","")</f>
        <v/>
      </c>
      <c r="R740" s="66" t="str">
        <f>IF(AND($B740&gt;='111'!$N$11,$B740&lt;='111'!$O$11,OR($O740=$R$7,$P740=$R$7)),"x","")</f>
        <v/>
      </c>
      <c r="S740" s="66" t="str">
        <f>IF(AND($O740=$R$7,$B740&lt;'111'!$N$11),"x","")</f>
        <v/>
      </c>
      <c r="T740" s="66" t="str">
        <f>IF(AND($P740=$R$7,$B740&lt;'111'!$N$11),"x","")</f>
        <v/>
      </c>
      <c r="U740" s="66" t="str">
        <f>IF(AND($B740&gt;='112'!$M$9,$B740&lt;='112'!$N$9,OR($O740='112'!$I$6,$P740='112'!$I$6)),"x","")</f>
        <v/>
      </c>
      <c r="V740" s="66" t="str">
        <f>IF(AND($O740='112'!$I$6,$B740&lt;'112'!$M$9),"x","")</f>
        <v/>
      </c>
      <c r="W740" s="66" t="str">
        <f>IF(AND($P740='112'!$I$6,$B740&lt;'112'!$M$9),"x","")</f>
        <v/>
      </c>
      <c r="X740" s="66" t="str">
        <f>IF(AND('131-CT'!$H$9=TH!H740,OR(O740="131",P740="131")),"x","")</f>
        <v/>
      </c>
      <c r="Y740" s="80" t="str">
        <f>IF(AND($B740&gt;='1331'!$I$9,$B740&lt;='1331'!$J$9,OR($O740=$Y$7,$P740=$Y$7)),"x","")</f>
        <v/>
      </c>
      <c r="Z740" s="80" t="str">
        <f>IF(AND($O740=$Y$7,$B740&lt;'1331'!$I$9),"x","")</f>
        <v/>
      </c>
      <c r="AA740" s="80" t="str">
        <f>IF(AND($P740=$Y$7,$B740&lt;'1331'!$I$9),"x","")</f>
        <v/>
      </c>
      <c r="AB740" s="80" t="str">
        <f>IF(AND($B740&gt;='1332'!$I$9,$B740&lt;='1332'!$I$9,OR($O740=$AB$7,$P740=$AB$7)),"x","")</f>
        <v/>
      </c>
      <c r="AC740" s="80" t="str">
        <f>IF(AND($O740=$AB$7,$B740&lt;'1332'!$I$9),"x","")</f>
        <v/>
      </c>
      <c r="AD740" s="80" t="str">
        <f>IF(AND($P740=$AB$7,$B740&lt;'1332'!$I$9),"x","")</f>
        <v/>
      </c>
      <c r="AE740" s="80" t="str">
        <f>IF(AND('341-CT'!$H$9=H740,OR(LEFT(O740,3)=$AE$7,LEFT(P740,3)=$AE$7)),"x","")</f>
        <v/>
      </c>
      <c r="AF740" s="80" t="str">
        <f>IF(OR(TH!O740=TH!$AF$7,P740=TH!$AF$7),"x","")</f>
        <v/>
      </c>
      <c r="AG740" s="80"/>
      <c r="AH740" s="80" t="str">
        <f>IF(AND(B740&gt;='IN-NX'!$P$3,B740&lt;='IN-NX'!$Q$3,'IN-NX'!$D$7=D740,OR(LEFT(L740,2)="15",AND(LEFT(M740,2)&lt;&gt;"15",LEFT(M740,2)&lt;&gt;"33"))),"x","")</f>
        <v/>
      </c>
      <c r="AI740" s="80" t="str">
        <f>IF(AND(OR(LEFT(TH!O740,2)="15",LEFT(TH!P740,2)="15"),'152-CT'!$J$8=TH!F740),"x","")</f>
        <v/>
      </c>
      <c r="AJ740" s="80" t="str">
        <f>IF(AND(OR(LEFT(TH!O740,2)="15",LEFT(TH!P740,2)="15"),'THE KHO'!$E$7=TH!F740),"x","")</f>
        <v/>
      </c>
      <c r="AK740" s="80" t="str">
        <f>IF(AND(O740="1521",MONTH(C740)='BK NL'!$M$11),"x","")</f>
        <v/>
      </c>
    </row>
    <row r="741" spans="1:37" ht="15.75" customHeight="1">
      <c r="A741" s="362" t="str">
        <f>IF(B741&lt;&gt;"",IF(AND(B741&gt;=_TM1,B741&lt;=_TM2,OR(TH!O741="1111",TH!P741="1111")),TH!D741,""),"")</f>
        <v/>
      </c>
      <c r="B741" s="63" t="str">
        <f t="shared" si="58"/>
        <v/>
      </c>
      <c r="C741" s="64"/>
      <c r="D741" s="337"/>
      <c r="E741" s="337"/>
      <c r="F741" s="338"/>
      <c r="G741" s="355"/>
      <c r="H741" s="339"/>
      <c r="I741" s="476"/>
      <c r="J741" s="476"/>
      <c r="K741" s="469"/>
      <c r="L741" s="476"/>
      <c r="M741" s="65"/>
      <c r="N741" s="65"/>
      <c r="O741" s="340"/>
      <c r="P741" s="340"/>
      <c r="Q741" s="66" t="str">
        <f>IF(AND('331-CT'!$E$7=TH!H741,OR(O741="331",P741="331")),"x","")</f>
        <v/>
      </c>
      <c r="R741" s="66" t="str">
        <f>IF(AND($B741&gt;='111'!$N$11,$B741&lt;='111'!$O$11,OR($O741=$R$7,$P741=$R$7)),"x","")</f>
        <v/>
      </c>
      <c r="S741" s="66" t="str">
        <f>IF(AND($O741=$R$7,$B741&lt;'111'!$N$11),"x","")</f>
        <v/>
      </c>
      <c r="T741" s="66" t="str">
        <f>IF(AND($P741=$R$7,$B741&lt;'111'!$N$11),"x","")</f>
        <v/>
      </c>
      <c r="U741" s="66" t="str">
        <f>IF(AND($B741&gt;='112'!$M$9,$B741&lt;='112'!$N$9,OR($O741='112'!$I$6,$P741='112'!$I$6)),"x","")</f>
        <v/>
      </c>
      <c r="V741" s="66" t="str">
        <f>IF(AND($O741='112'!$I$6,$B741&lt;'112'!$M$9),"x","")</f>
        <v/>
      </c>
      <c r="W741" s="66" t="str">
        <f>IF(AND($P741='112'!$I$6,$B741&lt;'112'!$M$9),"x","")</f>
        <v/>
      </c>
      <c r="X741" s="66" t="str">
        <f>IF(AND('131-CT'!$H$9=TH!H741,OR(O741="131",P741="131")),"x","")</f>
        <v/>
      </c>
      <c r="Y741" s="80" t="str">
        <f>IF(AND($B741&gt;='1331'!$I$9,$B741&lt;='1331'!$J$9,OR($O741=$Y$7,$P741=$Y$7)),"x","")</f>
        <v/>
      </c>
      <c r="Z741" s="80" t="str">
        <f>IF(AND($O741=$Y$7,$B741&lt;'1331'!$I$9),"x","")</f>
        <v/>
      </c>
      <c r="AA741" s="80" t="str">
        <f>IF(AND($P741=$Y$7,$B741&lt;'1331'!$I$9),"x","")</f>
        <v/>
      </c>
      <c r="AB741" s="80" t="str">
        <f>IF(AND($B741&gt;='1332'!$I$9,$B741&lt;='1332'!$I$9,OR($O741=$AB$7,$P741=$AB$7)),"x","")</f>
        <v/>
      </c>
      <c r="AC741" s="80" t="str">
        <f>IF(AND($O741=$AB$7,$B741&lt;'1332'!$I$9),"x","")</f>
        <v/>
      </c>
      <c r="AD741" s="80" t="str">
        <f>IF(AND($P741=$AB$7,$B741&lt;'1332'!$I$9),"x","")</f>
        <v/>
      </c>
      <c r="AE741" s="80" t="str">
        <f>IF(AND('341-CT'!$H$9=H741,OR(LEFT(O741,3)=$AE$7,LEFT(P741,3)=$AE$7)),"x","")</f>
        <v/>
      </c>
      <c r="AF741" s="80" t="str">
        <f>IF(OR(TH!O741=TH!$AF$7,P741=TH!$AF$7),"x","")</f>
        <v/>
      </c>
      <c r="AG741" s="80"/>
      <c r="AH741" s="80" t="str">
        <f>IF(AND(B741&gt;='IN-NX'!$P$3,B741&lt;='IN-NX'!$Q$3,'IN-NX'!$D$7=D741,OR(LEFT(L741,2)="15",AND(LEFT(M741,2)&lt;&gt;"15",LEFT(M741,2)&lt;&gt;"33"))),"x","")</f>
        <v/>
      </c>
      <c r="AI741" s="80" t="str">
        <f>IF(AND(OR(LEFT(TH!O741,2)="15",LEFT(TH!P741,2)="15"),'152-CT'!$J$8=TH!F741),"x","")</f>
        <v/>
      </c>
      <c r="AJ741" s="80" t="str">
        <f>IF(AND(OR(LEFT(TH!O741,2)="15",LEFT(TH!P741,2)="15"),'THE KHO'!$E$7=TH!F741),"x","")</f>
        <v/>
      </c>
      <c r="AK741" s="80" t="str">
        <f>IF(AND(O741="1521",MONTH(C741)='BK NL'!$M$11),"x","")</f>
        <v/>
      </c>
    </row>
    <row r="742" spans="1:37" ht="15.75" customHeight="1">
      <c r="A742" s="362" t="str">
        <f>IF(B742&lt;&gt;"",IF(AND(B742&gt;=_TM1,B742&lt;=_TM2,OR(TH!O742="1111",TH!P742="1111")),TH!D742,""),"")</f>
        <v/>
      </c>
      <c r="B742" s="63" t="str">
        <f>IF(C742&lt;&gt;"",MONTH(C742),"")</f>
        <v/>
      </c>
      <c r="C742" s="64"/>
      <c r="D742" s="64"/>
      <c r="E742" s="64"/>
      <c r="F742" s="67"/>
      <c r="G742" s="349"/>
      <c r="H742" s="71"/>
      <c r="I742" s="476"/>
      <c r="J742" s="476"/>
      <c r="K742" s="469"/>
      <c r="L742" s="476"/>
      <c r="M742" s="65"/>
      <c r="N742" s="65"/>
      <c r="O742" s="340"/>
      <c r="P742" s="66"/>
      <c r="Q742" s="66" t="str">
        <f>IF(AND('331-CT'!$E$7=TH!H742,OR(O742="331",P742="331")),"x","")</f>
        <v/>
      </c>
      <c r="R742" s="66" t="str">
        <f>IF(AND($B742&gt;='111'!$N$11,$B742&lt;='111'!$O$11,OR($O742=$R$7,$P742=$R$7)),"x","")</f>
        <v/>
      </c>
      <c r="S742" s="66" t="str">
        <f>IF(AND($O742=$R$7,$B742&lt;'111'!$N$11),"x","")</f>
        <v/>
      </c>
      <c r="T742" s="66" t="str">
        <f>IF(AND($P742=$R$7,$B742&lt;'111'!$N$11),"x","")</f>
        <v/>
      </c>
      <c r="U742" s="66" t="str">
        <f>IF(AND($B742&gt;='112'!$M$9,$B742&lt;='112'!$N$9,OR($O742='112'!$I$6,$P742='112'!$I$6)),"x","")</f>
        <v/>
      </c>
      <c r="V742" s="66" t="str">
        <f>IF(AND($O742='112'!$I$6,$B742&lt;'112'!$M$9),"x","")</f>
        <v/>
      </c>
      <c r="W742" s="66" t="str">
        <f>IF(AND($P742='112'!$I$6,$B742&lt;'112'!$M$9),"x","")</f>
        <v/>
      </c>
      <c r="X742" s="66" t="str">
        <f>IF(AND('131-CT'!$H$9=TH!H742,OR(O742="131",P742="131")),"x","")</f>
        <v/>
      </c>
      <c r="Y742" s="80" t="str">
        <f>IF(AND($B742&gt;='1331'!$I$9,$B742&lt;='1331'!$J$9,OR($O742=$Y$7,$P742=$Y$7)),"x","")</f>
        <v/>
      </c>
      <c r="Z742" s="80" t="str">
        <f>IF(AND($O742=$Y$7,$B742&lt;'1331'!$I$9),"x","")</f>
        <v/>
      </c>
      <c r="AA742" s="80" t="str">
        <f>IF(AND($P742=$Y$7,$B742&lt;'1331'!$I$9),"x","")</f>
        <v/>
      </c>
      <c r="AB742" s="80" t="str">
        <f>IF(AND($B742&gt;='1332'!$I$9,$B742&lt;='1332'!$I$9,OR($O742=$AB$7,$P742=$AB$7)),"x","")</f>
        <v/>
      </c>
      <c r="AC742" s="80" t="str">
        <f>IF(AND($O742=$AB$7,$B742&lt;'1332'!$I$9),"x","")</f>
        <v/>
      </c>
      <c r="AD742" s="80" t="str">
        <f>IF(AND($P742=$AB$7,$B742&lt;'1332'!$I$9),"x","")</f>
        <v/>
      </c>
      <c r="AE742" s="80" t="str">
        <f>IF(AND('341-CT'!$H$9=H742,OR(LEFT(O742,3)=$AE$7,LEFT(P742,3)=$AE$7)),"x","")</f>
        <v/>
      </c>
      <c r="AF742" s="80" t="str">
        <f>IF(OR(TH!O742=TH!$AF$7,P742=TH!$AF$7),"x","")</f>
        <v/>
      </c>
      <c r="AG742" s="80"/>
      <c r="AH742" s="80" t="str">
        <f>IF(AND(B742&gt;='IN-NX'!$P$3,B742&lt;='IN-NX'!$Q$3,'IN-NX'!$D$7=D742,OR(LEFT(L742,2)="15",AND(LEFT(M742,2)&lt;&gt;"15",LEFT(M742,2)&lt;&gt;"33"))),"x","")</f>
        <v/>
      </c>
      <c r="AI742" s="80" t="str">
        <f>IF(AND(OR(LEFT(TH!O742,2)="15",LEFT(TH!P742,2)="15"),'152-CT'!$J$8=TH!F742),"x","")</f>
        <v/>
      </c>
      <c r="AJ742" s="80" t="str">
        <f>IF(AND(OR(LEFT(TH!O742,2)="15",LEFT(TH!P742,2)="15"),'THE KHO'!$E$7=TH!F742),"x","")</f>
        <v/>
      </c>
      <c r="AK742" s="80" t="str">
        <f>IF(AND(O742="1521",MONTH(C742)='BK NL'!$M$11),"x","")</f>
        <v/>
      </c>
    </row>
    <row r="743" spans="1:37" ht="15.75" customHeight="1">
      <c r="A743" s="362" t="str">
        <f>IF(B743&lt;&gt;"",IF(AND(B743&gt;=_TM1,B743&lt;=_TM2,OR(TH!O743="1111",TH!P743="1111")),TH!D743,""),"")</f>
        <v/>
      </c>
      <c r="B743" s="63" t="str">
        <f>IF(C743&lt;&gt;"",MONTH(C743),"")</f>
        <v/>
      </c>
      <c r="C743" s="64"/>
      <c r="D743" s="64"/>
      <c r="E743" s="64"/>
      <c r="F743" s="67"/>
      <c r="G743" s="349"/>
      <c r="H743" s="71"/>
      <c r="I743" s="476"/>
      <c r="J743" s="476"/>
      <c r="K743" s="469"/>
      <c r="L743" s="476"/>
      <c r="M743" s="65"/>
      <c r="N743" s="65"/>
      <c r="O743" s="340"/>
      <c r="P743" s="66"/>
      <c r="Q743" s="66" t="str">
        <f>IF(AND('331-CT'!$E$7=TH!H743,OR(O743="331",P743="331")),"x","")</f>
        <v/>
      </c>
      <c r="R743" s="66" t="str">
        <f>IF(AND($B743&gt;='111'!$N$11,$B743&lt;='111'!$O$11,OR($O743=$R$7,$P743=$R$7)),"x","")</f>
        <v/>
      </c>
      <c r="S743" s="66" t="str">
        <f>IF(AND($O743=$R$7,$B743&lt;'111'!$N$11),"x","")</f>
        <v/>
      </c>
      <c r="T743" s="66" t="str">
        <f>IF(AND($P743=$R$7,$B743&lt;'111'!$N$11),"x","")</f>
        <v/>
      </c>
      <c r="U743" s="66" t="str">
        <f>IF(AND($B743&gt;='112'!$M$9,$B743&lt;='112'!$N$9,OR($O743='112'!$I$6,$P743='112'!$I$6)),"x","")</f>
        <v/>
      </c>
      <c r="V743" s="66" t="str">
        <f>IF(AND($O743='112'!$I$6,$B743&lt;'112'!$M$9),"x","")</f>
        <v/>
      </c>
      <c r="W743" s="66" t="str">
        <f>IF(AND($P743='112'!$I$6,$B743&lt;'112'!$M$9),"x","")</f>
        <v/>
      </c>
      <c r="X743" s="66" t="str">
        <f>IF(AND('131-CT'!$H$9=TH!H743,OR(O743="131",P743="131")),"x","")</f>
        <v/>
      </c>
      <c r="Y743" s="80" t="str">
        <f>IF(AND($B743&gt;='1331'!$I$9,$B743&lt;='1331'!$J$9,OR($O743=$Y$7,$P743=$Y$7)),"x","")</f>
        <v/>
      </c>
      <c r="Z743" s="80" t="str">
        <f>IF(AND($O743=$Y$7,$B743&lt;'1331'!$I$9),"x","")</f>
        <v/>
      </c>
      <c r="AA743" s="80" t="str">
        <f>IF(AND($P743=$Y$7,$B743&lt;'1331'!$I$9),"x","")</f>
        <v/>
      </c>
      <c r="AB743" s="80" t="str">
        <f>IF(AND($B743&gt;='1332'!$I$9,$B743&lt;='1332'!$I$9,OR($O743=$AB$7,$P743=$AB$7)),"x","")</f>
        <v/>
      </c>
      <c r="AC743" s="80" t="str">
        <f>IF(AND($O743=$AB$7,$B743&lt;'1332'!$I$9),"x","")</f>
        <v/>
      </c>
      <c r="AD743" s="80" t="str">
        <f>IF(AND($P743=$AB$7,$B743&lt;'1332'!$I$9),"x","")</f>
        <v/>
      </c>
      <c r="AE743" s="80" t="str">
        <f>IF(AND('341-CT'!$H$9=H743,OR(LEFT(O743,3)=$AE$7,LEFT(P743,3)=$AE$7)),"x","")</f>
        <v/>
      </c>
      <c r="AF743" s="80" t="str">
        <f>IF(OR(TH!O743=TH!$AF$7,P743=TH!$AF$7),"x","")</f>
        <v/>
      </c>
      <c r="AG743" s="80"/>
      <c r="AH743" s="80" t="str">
        <f>IF(AND(B743&gt;='IN-NX'!$P$3,B743&lt;='IN-NX'!$Q$3,'IN-NX'!$D$7=D743,OR(LEFT(L743,2)="15",AND(LEFT(M743,2)&lt;&gt;"15",LEFT(M743,2)&lt;&gt;"33"))),"x","")</f>
        <v/>
      </c>
      <c r="AI743" s="80" t="str">
        <f>IF(AND(OR(LEFT(TH!O743,2)="15",LEFT(TH!P743,2)="15"),'152-CT'!$J$8=TH!F743),"x","")</f>
        <v/>
      </c>
      <c r="AJ743" s="80" t="str">
        <f>IF(AND(OR(LEFT(TH!O743,2)="15",LEFT(TH!P743,2)="15"),'THE KHO'!$E$7=TH!F743),"x","")</f>
        <v/>
      </c>
      <c r="AK743" s="80" t="str">
        <f>IF(AND(O743="1521",MONTH(C743)='BK NL'!$M$11),"x","")</f>
        <v/>
      </c>
    </row>
    <row r="744" spans="1:37" ht="15.75" customHeight="1">
      <c r="A744" s="362" t="str">
        <f>IF(B744&lt;&gt;"",IF(AND(B744&gt;=_TM1,B744&lt;=_TM2,OR(TH!O744="1111",TH!P744="1111")),TH!D744,""),"")</f>
        <v/>
      </c>
      <c r="B744" s="63" t="str">
        <f t="shared" si="58"/>
        <v/>
      </c>
      <c r="C744" s="64"/>
      <c r="D744" s="337"/>
      <c r="E744" s="337"/>
      <c r="F744" s="67"/>
      <c r="G744" s="336"/>
      <c r="H744" s="71"/>
      <c r="I744" s="476"/>
      <c r="J744" s="476"/>
      <c r="K744" s="469"/>
      <c r="L744" s="476"/>
      <c r="M744" s="65"/>
      <c r="N744" s="65"/>
      <c r="O744" s="66"/>
      <c r="P744" s="66"/>
      <c r="Q744" s="66" t="str">
        <f>IF(AND('331-CT'!$E$7=TH!H744,OR(O744="331",P744="331")),"x","")</f>
        <v/>
      </c>
      <c r="R744" s="66" t="str">
        <f>IF(AND($B744&gt;='111'!$N$11,$B744&lt;='111'!$O$11,OR($O744=$R$7,$P744=$R$7)),"x","")</f>
        <v/>
      </c>
      <c r="S744" s="66" t="str">
        <f>IF(AND($O744=$R$7,$B744&lt;'111'!$N$11),"x","")</f>
        <v/>
      </c>
      <c r="T744" s="66" t="str">
        <f>IF(AND($P744=$R$7,$B744&lt;'111'!$N$11),"x","")</f>
        <v/>
      </c>
      <c r="U744" s="66" t="str">
        <f>IF(AND($B744&gt;='112'!$M$9,$B744&lt;='112'!$N$9,OR($O744='112'!$I$6,$P744='112'!$I$6)),"x","")</f>
        <v/>
      </c>
      <c r="V744" s="66" t="str">
        <f>IF(AND($O744='112'!$I$6,$B744&lt;'112'!$M$9),"x","")</f>
        <v/>
      </c>
      <c r="W744" s="66" t="str">
        <f>IF(AND($P744='112'!$I$6,$B744&lt;'112'!$M$9),"x","")</f>
        <v/>
      </c>
      <c r="X744" s="66" t="str">
        <f>IF(AND('131-CT'!$H$9=TH!H744,OR(O744="131",P744="131")),"x","")</f>
        <v/>
      </c>
      <c r="Y744" s="80" t="str">
        <f>IF(AND($B744&gt;='1331'!$I$9,$B744&lt;='1331'!$J$9,OR($O744=$Y$7,$P744=$Y$7)),"x","")</f>
        <v/>
      </c>
      <c r="Z744" s="80" t="str">
        <f>IF(AND($O744=$Y$7,$B744&lt;'1331'!$I$9),"x","")</f>
        <v/>
      </c>
      <c r="AA744" s="80" t="str">
        <f>IF(AND($P744=$Y$7,$B744&lt;'1331'!$I$9),"x","")</f>
        <v/>
      </c>
      <c r="AB744" s="80" t="str">
        <f>IF(AND($B744&gt;='1332'!$I$9,$B744&lt;='1332'!$I$9,OR($O744=$AB$7,$P744=$AB$7)),"x","")</f>
        <v/>
      </c>
      <c r="AC744" s="80" t="str">
        <f>IF(AND($O744=$AB$7,$B744&lt;'1332'!$I$9),"x","")</f>
        <v/>
      </c>
      <c r="AD744" s="80" t="str">
        <f>IF(AND($P744=$AB$7,$B744&lt;'1332'!$I$9),"x","")</f>
        <v/>
      </c>
      <c r="AE744" s="80" t="str">
        <f>IF(AND('341-CT'!$H$9=H744,OR(LEFT(O744,3)=$AE$7,LEFT(P744,3)=$AE$7)),"x","")</f>
        <v/>
      </c>
      <c r="AF744" s="80" t="str">
        <f>IF(OR(TH!O744=TH!$AF$7,P744=TH!$AF$7),"x","")</f>
        <v/>
      </c>
      <c r="AG744" s="80"/>
      <c r="AH744" s="80" t="str">
        <f>IF(AND(B744&gt;='IN-NX'!$P$3,B744&lt;='IN-NX'!$Q$3,'IN-NX'!$D$7=D744,OR(LEFT(L744,2)="15",AND(LEFT(M744,2)&lt;&gt;"15",LEFT(M744,2)&lt;&gt;"33"))),"x","")</f>
        <v/>
      </c>
      <c r="AI744" s="80" t="str">
        <f>IF(AND(OR(LEFT(TH!O744,2)="15",LEFT(TH!P744,2)="15"),'152-CT'!$J$8=TH!F744),"x","")</f>
        <v/>
      </c>
      <c r="AJ744" s="80" t="str">
        <f>IF(AND(OR(LEFT(TH!O744,2)="15",LEFT(TH!P744,2)="15"),'THE KHO'!$E$7=TH!F744),"x","")</f>
        <v/>
      </c>
      <c r="AK744" s="80" t="str">
        <f>IF(AND(O744="1521",MONTH(C744)='BK NL'!$M$11),"x","")</f>
        <v/>
      </c>
    </row>
    <row r="745" spans="1:37" ht="15.75" customHeight="1">
      <c r="A745" s="362" t="str">
        <f>IF(B745&lt;&gt;"",IF(AND(B745&gt;=_TM1,B745&lt;=_TM2,OR(TH!O745="1111",TH!P745="1111")),TH!D745,""),"")</f>
        <v/>
      </c>
      <c r="B745" s="63" t="str">
        <f t="shared" si="58"/>
        <v/>
      </c>
      <c r="C745" s="64"/>
      <c r="D745" s="64"/>
      <c r="E745" s="64"/>
      <c r="F745" s="67"/>
      <c r="G745" s="349"/>
      <c r="H745" s="71"/>
      <c r="I745" s="476"/>
      <c r="J745" s="476"/>
      <c r="K745" s="469"/>
      <c r="L745" s="476"/>
      <c r="M745" s="65"/>
      <c r="N745" s="65"/>
      <c r="O745" s="66"/>
      <c r="P745" s="66"/>
      <c r="Q745" s="66" t="str">
        <f>IF(AND('331-CT'!$E$7=TH!H745,OR(O745="331",P745="331")),"x","")</f>
        <v/>
      </c>
      <c r="R745" s="66" t="str">
        <f>IF(AND($B745&gt;='111'!$N$11,$B745&lt;='111'!$O$11,OR($O745=$R$7,$P745=$R$7)),"x","")</f>
        <v/>
      </c>
      <c r="S745" s="66" t="str">
        <f>IF(AND($O745=$R$7,$B745&lt;'111'!$N$11),"x","")</f>
        <v/>
      </c>
      <c r="T745" s="66" t="str">
        <f>IF(AND($P745=$R$7,$B745&lt;'111'!$N$11),"x","")</f>
        <v/>
      </c>
      <c r="U745" s="66" t="str">
        <f>IF(AND($B745&gt;='112'!$M$9,$B745&lt;='112'!$N$9,OR($O745='112'!$I$6,$P745='112'!$I$6)),"x","")</f>
        <v/>
      </c>
      <c r="V745" s="66" t="str">
        <f>IF(AND($O745='112'!$I$6,$B745&lt;'112'!$M$9),"x","")</f>
        <v/>
      </c>
      <c r="W745" s="66" t="str">
        <f>IF(AND($P745='112'!$I$6,$B745&lt;'112'!$M$9),"x","")</f>
        <v/>
      </c>
      <c r="X745" s="66" t="str">
        <f>IF(AND('131-CT'!$H$9=TH!H745,OR(O745="131",P745="131")),"x","")</f>
        <v/>
      </c>
      <c r="Y745" s="80" t="str">
        <f>IF(AND($B745&gt;='1331'!$I$9,$B745&lt;='1331'!$J$9,OR($O745=$Y$7,$P745=$Y$7)),"x","")</f>
        <v/>
      </c>
      <c r="Z745" s="80" t="str">
        <f>IF(AND($O745=$Y$7,$B745&lt;'1331'!$I$9),"x","")</f>
        <v/>
      </c>
      <c r="AA745" s="80" t="str">
        <f>IF(AND($P745=$Y$7,$B745&lt;'1331'!$I$9),"x","")</f>
        <v/>
      </c>
      <c r="AB745" s="80" t="str">
        <f>IF(AND($B745&gt;='1332'!$I$9,$B745&lt;='1332'!$I$9,OR($O745=$AB$7,$P745=$AB$7)),"x","")</f>
        <v/>
      </c>
      <c r="AC745" s="80" t="str">
        <f>IF(AND($O745=$AB$7,$B745&lt;'1332'!$I$9),"x","")</f>
        <v/>
      </c>
      <c r="AD745" s="80" t="str">
        <f>IF(AND($P745=$AB$7,$B745&lt;'1332'!$I$9),"x","")</f>
        <v/>
      </c>
      <c r="AE745" s="80" t="str">
        <f>IF(AND('341-CT'!$H$9=H745,OR(LEFT(O745,3)=$AE$7,LEFT(P745,3)=$AE$7)),"x","")</f>
        <v/>
      </c>
      <c r="AF745" s="80" t="str">
        <f>IF(OR(TH!O745=TH!$AF$7,P745=TH!$AF$7),"x","")</f>
        <v/>
      </c>
      <c r="AG745" s="80"/>
      <c r="AH745" s="80" t="str">
        <f>IF(AND(B745&gt;='IN-NX'!$P$3,B745&lt;='IN-NX'!$Q$3,'IN-NX'!$D$7=D745,OR(LEFT(L745,2)="15",AND(LEFT(M745,2)&lt;&gt;"15",LEFT(M745,2)&lt;&gt;"33"))),"x","")</f>
        <v/>
      </c>
      <c r="AI745" s="80" t="str">
        <f>IF(AND(OR(LEFT(TH!O745,2)="15",LEFT(TH!P745,2)="15"),'152-CT'!$J$8=TH!F745),"x","")</f>
        <v/>
      </c>
      <c r="AJ745" s="80" t="str">
        <f>IF(AND(OR(LEFT(TH!O745,2)="15",LEFT(TH!P745,2)="15"),'THE KHO'!$E$7=TH!F745),"x","")</f>
        <v/>
      </c>
      <c r="AK745" s="80" t="str">
        <f>IF(AND(O745="1521",MONTH(C745)='BK NL'!$M$11),"x","")</f>
        <v/>
      </c>
    </row>
    <row r="746" spans="1:37" ht="15.75" customHeight="1">
      <c r="A746" s="362" t="str">
        <f>IF(B746&lt;&gt;"",IF(AND(B746&gt;=_TM1,B746&lt;=_TM2,OR(TH!O746="1111",TH!P746="1111")),TH!D746,""),"")</f>
        <v/>
      </c>
      <c r="B746" s="63" t="str">
        <f t="shared" si="58"/>
        <v/>
      </c>
      <c r="C746" s="64"/>
      <c r="D746" s="64"/>
      <c r="E746" s="64"/>
      <c r="F746" s="67"/>
      <c r="G746" s="349"/>
      <c r="H746" s="71"/>
      <c r="I746" s="476"/>
      <c r="J746" s="476"/>
      <c r="K746" s="469"/>
      <c r="L746" s="476"/>
      <c r="M746" s="65"/>
      <c r="N746" s="65"/>
      <c r="O746" s="66"/>
      <c r="P746" s="66"/>
      <c r="Q746" s="66" t="str">
        <f>IF(AND('331-CT'!$E$7=TH!H746,OR(O746="331",P746="331")),"x","")</f>
        <v/>
      </c>
      <c r="R746" s="66" t="str">
        <f>IF(AND($B746&gt;='111'!$N$11,$B746&lt;='111'!$O$11,OR($O746=$R$7,$P746=$R$7)),"x","")</f>
        <v/>
      </c>
      <c r="S746" s="66" t="str">
        <f>IF(AND($O746=$R$7,$B746&lt;'111'!$N$11),"x","")</f>
        <v/>
      </c>
      <c r="T746" s="66" t="str">
        <f>IF(AND($P746=$R$7,$B746&lt;'111'!$N$11),"x","")</f>
        <v/>
      </c>
      <c r="U746" s="66" t="str">
        <f>IF(AND($B746&gt;='112'!$M$9,$B746&lt;='112'!$N$9,OR($O746='112'!$I$6,$P746='112'!$I$6)),"x","")</f>
        <v/>
      </c>
      <c r="V746" s="66" t="str">
        <f>IF(AND($O746='112'!$I$6,$B746&lt;'112'!$M$9),"x","")</f>
        <v/>
      </c>
      <c r="W746" s="66" t="str">
        <f>IF(AND($P746='112'!$I$6,$B746&lt;'112'!$M$9),"x","")</f>
        <v/>
      </c>
      <c r="X746" s="66" t="str">
        <f>IF(AND('131-CT'!$H$9=TH!H746,OR(O746="131",P746="131")),"x","")</f>
        <v/>
      </c>
      <c r="Y746" s="80" t="str">
        <f>IF(AND($B746&gt;='1331'!$I$9,$B746&lt;='1331'!$J$9,OR($O746=$Y$7,$P746=$Y$7)),"x","")</f>
        <v/>
      </c>
      <c r="Z746" s="80" t="str">
        <f>IF(AND($O746=$Y$7,$B746&lt;'1331'!$I$9),"x","")</f>
        <v/>
      </c>
      <c r="AA746" s="80" t="str">
        <f>IF(AND($P746=$Y$7,$B746&lt;'1331'!$I$9),"x","")</f>
        <v/>
      </c>
      <c r="AB746" s="80" t="str">
        <f>IF(AND($B746&gt;='1332'!$I$9,$B746&lt;='1332'!$I$9,OR($O746=$AB$7,$P746=$AB$7)),"x","")</f>
        <v/>
      </c>
      <c r="AC746" s="80" t="str">
        <f>IF(AND($O746=$AB$7,$B746&lt;'1332'!$I$9),"x","")</f>
        <v/>
      </c>
      <c r="AD746" s="80" t="str">
        <f>IF(AND($P746=$AB$7,$B746&lt;'1332'!$I$9),"x","")</f>
        <v/>
      </c>
      <c r="AE746" s="80" t="str">
        <f>IF(AND('341-CT'!$H$9=H746,OR(LEFT(O746,3)=$AE$7,LEFT(P746,3)=$AE$7)),"x","")</f>
        <v/>
      </c>
      <c r="AF746" s="80" t="str">
        <f>IF(OR(TH!O746=TH!$AF$7,P746=TH!$AF$7),"x","")</f>
        <v/>
      </c>
      <c r="AG746" s="80"/>
      <c r="AH746" s="80" t="str">
        <f>IF(AND(B746&gt;='IN-NX'!$P$3,B746&lt;='IN-NX'!$Q$3,'IN-NX'!$D$7=D746,OR(LEFT(L746,2)="15",AND(LEFT(M746,2)&lt;&gt;"15",LEFT(M746,2)&lt;&gt;"33"))),"x","")</f>
        <v/>
      </c>
      <c r="AI746" s="80" t="str">
        <f>IF(AND(OR(LEFT(TH!O746,2)="15",LEFT(TH!P746,2)="15"),'152-CT'!$J$8=TH!F746),"x","")</f>
        <v/>
      </c>
      <c r="AJ746" s="80" t="str">
        <f>IF(AND(OR(LEFT(TH!O746,2)="15",LEFT(TH!P746,2)="15"),'THE KHO'!$E$7=TH!F746),"x","")</f>
        <v/>
      </c>
      <c r="AK746" s="80" t="str">
        <f>IF(AND(O746="1521",MONTH(C746)='BK NL'!$M$11),"x","")</f>
        <v/>
      </c>
    </row>
    <row r="747" spans="1:37" ht="15.75" customHeight="1">
      <c r="A747" s="362" t="str">
        <f>IF(B747&lt;&gt;"",IF(AND(B747&gt;=_TM1,B747&lt;=_TM2,OR(TH!O747="1111",TH!P747="1111")),TH!D747,""),"")</f>
        <v/>
      </c>
      <c r="B747" s="63" t="str">
        <f t="shared" ref="B747:B757" si="59">IF(C747&lt;&gt;"",MONTH(C747),"")</f>
        <v/>
      </c>
      <c r="C747" s="64"/>
      <c r="D747" s="64"/>
      <c r="E747" s="64"/>
      <c r="F747" s="67"/>
      <c r="G747" s="336"/>
      <c r="H747" s="71"/>
      <c r="I747" s="476"/>
      <c r="J747" s="476"/>
      <c r="K747" s="469"/>
      <c r="L747" s="476"/>
      <c r="M747" s="65"/>
      <c r="N747" s="65"/>
      <c r="O747" s="66"/>
      <c r="P747" s="66"/>
      <c r="Q747" s="66" t="str">
        <f>IF(AND('331-CT'!$E$7=TH!H747,OR(O747="331",P747="331")),"x","")</f>
        <v/>
      </c>
      <c r="R747" s="66" t="str">
        <f>IF(AND($B747&gt;='111'!$N$11,$B747&lt;='111'!$O$11,OR($O747=$R$7,$P747=$R$7)),"x","")</f>
        <v/>
      </c>
      <c r="S747" s="66" t="str">
        <f>IF(AND($O747=$R$7,$B747&lt;'111'!$N$11),"x","")</f>
        <v/>
      </c>
      <c r="T747" s="66" t="str">
        <f>IF(AND($P747=$R$7,$B747&lt;'111'!$N$11),"x","")</f>
        <v/>
      </c>
      <c r="U747" s="66" t="str">
        <f>IF(AND($B747&gt;='112'!$M$9,$B747&lt;='112'!$N$9,OR($O747='112'!$I$6,$P747='112'!$I$6)),"x","")</f>
        <v/>
      </c>
      <c r="V747" s="66" t="str">
        <f>IF(AND($O747='112'!$I$6,$B747&lt;'112'!$M$9),"x","")</f>
        <v/>
      </c>
      <c r="W747" s="66" t="str">
        <f>IF(AND($P747='112'!$I$6,$B747&lt;'112'!$M$9),"x","")</f>
        <v/>
      </c>
      <c r="X747" s="66" t="str">
        <f>IF(AND('131-CT'!$H$9=TH!H747,OR(O747="131",P747="131")),"x","")</f>
        <v/>
      </c>
      <c r="Y747" s="80" t="str">
        <f>IF(AND($B747&gt;='1331'!$I$9,$B747&lt;='1331'!$J$9,OR($O747=$Y$7,$P747=$Y$7)),"x","")</f>
        <v/>
      </c>
      <c r="Z747" s="80" t="str">
        <f>IF(AND($O747=$Y$7,$B747&lt;'1331'!$I$9),"x","")</f>
        <v/>
      </c>
      <c r="AA747" s="80" t="str">
        <f>IF(AND($P747=$Y$7,$B747&lt;'1331'!$I$9),"x","")</f>
        <v/>
      </c>
      <c r="AB747" s="80" t="str">
        <f>IF(AND($B747&gt;='1332'!$I$9,$B747&lt;='1332'!$I$9,OR($O747=$AB$7,$P747=$AB$7)),"x","")</f>
        <v/>
      </c>
      <c r="AC747" s="80" t="str">
        <f>IF(AND($O747=$AB$7,$B747&lt;'1332'!$I$9),"x","")</f>
        <v/>
      </c>
      <c r="AD747" s="80" t="str">
        <f>IF(AND($P747=$AB$7,$B747&lt;'1332'!$I$9),"x","")</f>
        <v/>
      </c>
      <c r="AE747" s="80" t="str">
        <f>IF(AND('341-CT'!$H$9=H747,OR(LEFT(O747,3)=$AE$7,LEFT(P747,3)=$AE$7)),"x","")</f>
        <v/>
      </c>
      <c r="AF747" s="80" t="str">
        <f>IF(OR(TH!O747=TH!$AF$7,P747=TH!$AF$7),"x","")</f>
        <v/>
      </c>
      <c r="AG747" s="80"/>
      <c r="AH747" s="80" t="str">
        <f>IF(AND(B747&gt;='IN-NX'!$P$3,B747&lt;='IN-NX'!$Q$3,'IN-NX'!$D$7=D747,OR(LEFT(L747,2)="15",AND(LEFT(M747,2)&lt;&gt;"15",LEFT(M747,2)&lt;&gt;"33"))),"x","")</f>
        <v/>
      </c>
      <c r="AI747" s="80" t="str">
        <f>IF(AND(OR(LEFT(TH!O747,2)="15",LEFT(TH!P747,2)="15"),'152-CT'!$J$8=TH!F747),"x","")</f>
        <v/>
      </c>
      <c r="AJ747" s="80" t="str">
        <f>IF(AND(OR(LEFT(TH!O747,2)="15",LEFT(TH!P747,2)="15"),'THE KHO'!$E$7=TH!F747),"x","")</f>
        <v/>
      </c>
      <c r="AK747" s="80" t="str">
        <f>IF(AND(O747="1521",MONTH(C747)='BK NL'!$M$11),"x","")</f>
        <v/>
      </c>
    </row>
    <row r="748" spans="1:37" ht="15.75" customHeight="1">
      <c r="A748" s="362" t="str">
        <f>IF(B748&lt;&gt;"",IF(AND(B748&gt;=_TM1,B748&lt;=_TM2,OR(TH!O748="1111",TH!P748="1111")),TH!D748,""),"")</f>
        <v/>
      </c>
      <c r="B748" s="63" t="str">
        <f t="shared" si="59"/>
        <v/>
      </c>
      <c r="C748" s="64"/>
      <c r="D748" s="64"/>
      <c r="E748" s="64"/>
      <c r="F748" s="67"/>
      <c r="G748" s="336"/>
      <c r="H748" s="71"/>
      <c r="I748" s="476"/>
      <c r="J748" s="476"/>
      <c r="K748" s="469"/>
      <c r="L748" s="476"/>
      <c r="M748" s="65"/>
      <c r="N748" s="65"/>
      <c r="O748" s="66"/>
      <c r="P748" s="66"/>
      <c r="Q748" s="66" t="str">
        <f>IF(AND('331-CT'!$E$7=TH!H748,OR(O748="331",P748="331")),"x","")</f>
        <v/>
      </c>
      <c r="R748" s="66" t="str">
        <f>IF(AND($B748&gt;='111'!$N$11,$B748&lt;='111'!$O$11,OR($O748=$R$7,$P748=$R$7)),"x","")</f>
        <v/>
      </c>
      <c r="S748" s="66" t="str">
        <f>IF(AND($O748=$R$7,$B748&lt;'111'!$N$11),"x","")</f>
        <v/>
      </c>
      <c r="T748" s="66" t="str">
        <f>IF(AND($P748=$R$7,$B748&lt;'111'!$N$11),"x","")</f>
        <v/>
      </c>
      <c r="U748" s="66" t="str">
        <f>IF(AND($B748&gt;='112'!$M$9,$B748&lt;='112'!$N$9,OR($O748='112'!$I$6,$P748='112'!$I$6)),"x","")</f>
        <v/>
      </c>
      <c r="V748" s="66" t="str">
        <f>IF(AND($O748='112'!$I$6,$B748&lt;'112'!$M$9),"x","")</f>
        <v/>
      </c>
      <c r="W748" s="66" t="str">
        <f>IF(AND($P748='112'!$I$6,$B748&lt;'112'!$M$9),"x","")</f>
        <v/>
      </c>
      <c r="X748" s="66" t="str">
        <f>IF(AND('131-CT'!$H$9=TH!H748,OR(O748="131",P748="131")),"x","")</f>
        <v/>
      </c>
      <c r="Y748" s="80" t="str">
        <f>IF(AND($B748&gt;='1331'!$I$9,$B748&lt;='1331'!$J$9,OR($O748=$Y$7,$P748=$Y$7)),"x","")</f>
        <v/>
      </c>
      <c r="Z748" s="80" t="str">
        <f>IF(AND($O748=$Y$7,$B748&lt;'1331'!$I$9),"x","")</f>
        <v/>
      </c>
      <c r="AA748" s="80" t="str">
        <f>IF(AND($P748=$Y$7,$B748&lt;'1331'!$I$9),"x","")</f>
        <v/>
      </c>
      <c r="AB748" s="80" t="str">
        <f>IF(AND($B748&gt;='1332'!$I$9,$B748&lt;='1332'!$I$9,OR($O748=$AB$7,$P748=$AB$7)),"x","")</f>
        <v/>
      </c>
      <c r="AC748" s="80" t="str">
        <f>IF(AND($O748=$AB$7,$B748&lt;'1332'!$I$9),"x","")</f>
        <v/>
      </c>
      <c r="AD748" s="80" t="str">
        <f>IF(AND($P748=$AB$7,$B748&lt;'1332'!$I$9),"x","")</f>
        <v/>
      </c>
      <c r="AE748" s="80" t="str">
        <f>IF(AND('341-CT'!$H$9=H748,OR(LEFT(O748,3)=$AE$7,LEFT(P748,3)=$AE$7)),"x","")</f>
        <v/>
      </c>
      <c r="AF748" s="80" t="str">
        <f>IF(OR(TH!O748=TH!$AF$7,P748=TH!$AF$7),"x","")</f>
        <v/>
      </c>
      <c r="AG748" s="80"/>
      <c r="AH748" s="80" t="str">
        <f>IF(AND(B748&gt;='IN-NX'!$P$3,B748&lt;='IN-NX'!$Q$3,'IN-NX'!$D$7=D748,OR(LEFT(L748,2)="15",AND(LEFT(M748,2)&lt;&gt;"15",LEFT(M748,2)&lt;&gt;"33"))),"x","")</f>
        <v/>
      </c>
      <c r="AI748" s="80" t="str">
        <f>IF(AND(OR(LEFT(TH!O748,2)="15",LEFT(TH!P748,2)="15"),'152-CT'!$J$8=TH!F748),"x","")</f>
        <v/>
      </c>
      <c r="AJ748" s="80" t="str">
        <f>IF(AND(OR(LEFT(TH!O748,2)="15",LEFT(TH!P748,2)="15"),'THE KHO'!$E$7=TH!F748),"x","")</f>
        <v/>
      </c>
      <c r="AK748" s="80" t="str">
        <f>IF(AND(O748="1521",MONTH(C748)='BK NL'!$M$11),"x","")</f>
        <v/>
      </c>
    </row>
    <row r="749" spans="1:37" ht="15.75" customHeight="1">
      <c r="A749" s="362" t="str">
        <f>IF(B749&lt;&gt;"",IF(AND(B749&gt;=_TM1,B749&lt;=_TM2,OR(TH!O749="1111",TH!P749="1111")),TH!D749,""),"")</f>
        <v/>
      </c>
      <c r="B749" s="63" t="str">
        <f t="shared" si="59"/>
        <v/>
      </c>
      <c r="C749" s="64"/>
      <c r="D749" s="64"/>
      <c r="E749" s="64"/>
      <c r="F749" s="67"/>
      <c r="G749" s="336"/>
      <c r="H749" s="71"/>
      <c r="I749" s="476"/>
      <c r="J749" s="476"/>
      <c r="K749" s="469"/>
      <c r="L749" s="476"/>
      <c r="M749" s="65"/>
      <c r="N749" s="65"/>
      <c r="O749" s="66"/>
      <c r="P749" s="66"/>
      <c r="Q749" s="66" t="str">
        <f>IF(AND('331-CT'!$E$7=TH!H749,OR(O749="331",P749="331")),"x","")</f>
        <v/>
      </c>
      <c r="R749" s="66" t="str">
        <f>IF(AND($B749&gt;='111'!$N$11,$B749&lt;='111'!$O$11,OR($O749=$R$7,$P749=$R$7)),"x","")</f>
        <v/>
      </c>
      <c r="S749" s="66" t="str">
        <f>IF(AND($O749=$R$7,$B749&lt;'111'!$N$11),"x","")</f>
        <v/>
      </c>
      <c r="T749" s="66" t="str">
        <f>IF(AND($P749=$R$7,$B749&lt;'111'!$N$11),"x","")</f>
        <v/>
      </c>
      <c r="U749" s="66" t="str">
        <f>IF(AND($B749&gt;='112'!$M$9,$B749&lt;='112'!$N$9,OR($O749='112'!$I$6,$P749='112'!$I$6)),"x","")</f>
        <v/>
      </c>
      <c r="V749" s="66" t="str">
        <f>IF(AND($O749='112'!$I$6,$B749&lt;'112'!$M$9),"x","")</f>
        <v/>
      </c>
      <c r="W749" s="66" t="str">
        <f>IF(AND($P749='112'!$I$6,$B749&lt;'112'!$M$9),"x","")</f>
        <v/>
      </c>
      <c r="X749" s="66" t="str">
        <f>IF(AND('131-CT'!$H$9=TH!H749,OR(O749="131",P749="131")),"x","")</f>
        <v/>
      </c>
      <c r="Y749" s="80" t="str">
        <f>IF(AND($B749&gt;='1331'!$I$9,$B749&lt;='1331'!$J$9,OR($O749=$Y$7,$P749=$Y$7)),"x","")</f>
        <v/>
      </c>
      <c r="Z749" s="80" t="str">
        <f>IF(AND($O749=$Y$7,$B749&lt;'1331'!$I$9),"x","")</f>
        <v/>
      </c>
      <c r="AA749" s="80" t="str">
        <f>IF(AND($P749=$Y$7,$B749&lt;'1331'!$I$9),"x","")</f>
        <v/>
      </c>
      <c r="AB749" s="80" t="str">
        <f>IF(AND($B749&gt;='1332'!$I$9,$B749&lt;='1332'!$I$9,OR($O749=$AB$7,$P749=$AB$7)),"x","")</f>
        <v/>
      </c>
      <c r="AC749" s="80" t="str">
        <f>IF(AND($O749=$AB$7,$B749&lt;'1332'!$I$9),"x","")</f>
        <v/>
      </c>
      <c r="AD749" s="80" t="str">
        <f>IF(AND($P749=$AB$7,$B749&lt;'1332'!$I$9),"x","")</f>
        <v/>
      </c>
      <c r="AE749" s="80" t="str">
        <f>IF(AND('341-CT'!$H$9=H749,OR(LEFT(O749,3)=$AE$7,LEFT(P749,3)=$AE$7)),"x","")</f>
        <v/>
      </c>
      <c r="AF749" s="80" t="str">
        <f>IF(OR(TH!O749=TH!$AF$7,P749=TH!$AF$7),"x","")</f>
        <v/>
      </c>
      <c r="AG749" s="80"/>
      <c r="AH749" s="80" t="str">
        <f>IF(AND(B749&gt;='IN-NX'!$P$3,B749&lt;='IN-NX'!$Q$3,'IN-NX'!$D$7=D749,OR(LEFT(L749,2)="15",AND(LEFT(M749,2)&lt;&gt;"15",LEFT(M749,2)&lt;&gt;"33"))),"x","")</f>
        <v/>
      </c>
      <c r="AI749" s="80" t="str">
        <f>IF(AND(OR(LEFT(TH!O749,2)="15",LEFT(TH!P749,2)="15"),'152-CT'!$J$8=TH!F749),"x","")</f>
        <v/>
      </c>
      <c r="AJ749" s="80" t="str">
        <f>IF(AND(OR(LEFT(TH!O749,2)="15",LEFT(TH!P749,2)="15"),'THE KHO'!$E$7=TH!F749),"x","")</f>
        <v/>
      </c>
      <c r="AK749" s="80" t="str">
        <f>IF(AND(O749="1521",MONTH(C749)='BK NL'!$M$11),"x","")</f>
        <v/>
      </c>
    </row>
    <row r="750" spans="1:37" ht="15.75" customHeight="1">
      <c r="A750" s="362" t="str">
        <f>IF(B750&lt;&gt;"",IF(AND(B750&gt;=_TM1,B750&lt;=_TM2,OR(TH!O750="1111",TH!P750="1111")),TH!D750,""),"")</f>
        <v/>
      </c>
      <c r="B750" s="63" t="str">
        <f t="shared" si="59"/>
        <v/>
      </c>
      <c r="C750" s="64"/>
      <c r="D750" s="64"/>
      <c r="E750" s="64"/>
      <c r="F750" s="67"/>
      <c r="G750" s="336"/>
      <c r="H750" s="71"/>
      <c r="I750" s="476"/>
      <c r="J750" s="476"/>
      <c r="K750" s="469"/>
      <c r="L750" s="476"/>
      <c r="M750" s="65"/>
      <c r="N750" s="65"/>
      <c r="O750" s="66"/>
      <c r="P750" s="66"/>
      <c r="Q750" s="66" t="str">
        <f>IF(AND('331-CT'!$E$7=TH!H750,OR(O750="331",P750="331")),"x","")</f>
        <v/>
      </c>
      <c r="R750" s="66" t="str">
        <f>IF(AND($B750&gt;='111'!$N$11,$B750&lt;='111'!$O$11,OR($O750=$R$7,$P750=$R$7)),"x","")</f>
        <v/>
      </c>
      <c r="S750" s="66" t="str">
        <f>IF(AND($O750=$R$7,$B750&lt;'111'!$N$11),"x","")</f>
        <v/>
      </c>
      <c r="T750" s="66" t="str">
        <f>IF(AND($P750=$R$7,$B750&lt;'111'!$N$11),"x","")</f>
        <v/>
      </c>
      <c r="U750" s="66" t="str">
        <f>IF(AND($B750&gt;='112'!$M$9,$B750&lt;='112'!$N$9,OR($O750='112'!$I$6,$P750='112'!$I$6)),"x","")</f>
        <v/>
      </c>
      <c r="V750" s="66" t="str">
        <f>IF(AND($O750='112'!$I$6,$B750&lt;'112'!$M$9),"x","")</f>
        <v/>
      </c>
      <c r="W750" s="66" t="str">
        <f>IF(AND($P750='112'!$I$6,$B750&lt;'112'!$M$9),"x","")</f>
        <v/>
      </c>
      <c r="X750" s="66" t="str">
        <f>IF(AND('131-CT'!$H$9=TH!H750,OR(O750="131",P750="131")),"x","")</f>
        <v/>
      </c>
      <c r="Y750" s="80" t="str">
        <f>IF(AND($B750&gt;='1331'!$I$9,$B750&lt;='1331'!$J$9,OR($O750=$Y$7,$P750=$Y$7)),"x","")</f>
        <v/>
      </c>
      <c r="Z750" s="80" t="str">
        <f>IF(AND($O750=$Y$7,$B750&lt;'1331'!$I$9),"x","")</f>
        <v/>
      </c>
      <c r="AA750" s="80" t="str">
        <f>IF(AND($P750=$Y$7,$B750&lt;'1331'!$I$9),"x","")</f>
        <v/>
      </c>
      <c r="AB750" s="80" t="str">
        <f>IF(AND($B750&gt;='1332'!$I$9,$B750&lt;='1332'!$I$9,OR($O750=$AB$7,$P750=$AB$7)),"x","")</f>
        <v/>
      </c>
      <c r="AC750" s="80" t="str">
        <f>IF(AND($O750=$AB$7,$B750&lt;'1332'!$I$9),"x","")</f>
        <v/>
      </c>
      <c r="AD750" s="80" t="str">
        <f>IF(AND($P750=$AB$7,$B750&lt;'1332'!$I$9),"x","")</f>
        <v/>
      </c>
      <c r="AE750" s="80" t="str">
        <f>IF(AND('341-CT'!$H$9=H750,OR(LEFT(O750,3)=$AE$7,LEFT(P750,3)=$AE$7)),"x","")</f>
        <v/>
      </c>
      <c r="AF750" s="80" t="str">
        <f>IF(OR(TH!O750=TH!$AF$7,P750=TH!$AF$7),"x","")</f>
        <v/>
      </c>
      <c r="AG750" s="80"/>
      <c r="AH750" s="80" t="str">
        <f>IF(AND(B750&gt;='IN-NX'!$P$3,B750&lt;='IN-NX'!$Q$3,'IN-NX'!$D$7=D750,OR(LEFT(L750,2)="15",AND(LEFT(M750,2)&lt;&gt;"15",LEFT(M750,2)&lt;&gt;"33"))),"x","")</f>
        <v/>
      </c>
      <c r="AI750" s="80" t="str">
        <f>IF(AND(OR(LEFT(TH!O750,2)="15",LEFT(TH!P750,2)="15"),'152-CT'!$J$8=TH!F750),"x","")</f>
        <v/>
      </c>
      <c r="AJ750" s="80" t="str">
        <f>IF(AND(OR(LEFT(TH!O750,2)="15",LEFT(TH!P750,2)="15"),'THE KHO'!$E$7=TH!F750),"x","")</f>
        <v/>
      </c>
      <c r="AK750" s="80" t="str">
        <f>IF(AND(O750="1521",MONTH(C750)='BK NL'!$M$11),"x","")</f>
        <v/>
      </c>
    </row>
    <row r="751" spans="1:37" ht="15.75" customHeight="1">
      <c r="A751" s="362" t="str">
        <f>IF(B751&lt;&gt;"",IF(AND(B751&gt;=_TM1,B751&lt;=_TM2,OR(TH!O751="1111",TH!P751="1111")),TH!D751,""),"")</f>
        <v/>
      </c>
      <c r="B751" s="63" t="str">
        <f t="shared" si="59"/>
        <v/>
      </c>
      <c r="C751" s="64"/>
      <c r="D751" s="64"/>
      <c r="E751" s="64"/>
      <c r="F751" s="67"/>
      <c r="G751" s="336"/>
      <c r="H751" s="71"/>
      <c r="I751" s="476"/>
      <c r="J751" s="476"/>
      <c r="K751" s="469"/>
      <c r="L751" s="476"/>
      <c r="M751" s="65"/>
      <c r="N751" s="65"/>
      <c r="O751" s="66"/>
      <c r="P751" s="66"/>
      <c r="Q751" s="66" t="str">
        <f>IF(AND('331-CT'!$E$7=TH!H751,OR(O751="331",P751="331")),"x","")</f>
        <v/>
      </c>
      <c r="R751" s="66" t="str">
        <f>IF(AND($B751&gt;='111'!$N$11,$B751&lt;='111'!$O$11,OR($O751=$R$7,$P751=$R$7)),"x","")</f>
        <v/>
      </c>
      <c r="S751" s="66" t="str">
        <f>IF(AND($O751=$R$7,$B751&lt;'111'!$N$11),"x","")</f>
        <v/>
      </c>
      <c r="T751" s="66" t="str">
        <f>IF(AND($P751=$R$7,$B751&lt;'111'!$N$11),"x","")</f>
        <v/>
      </c>
      <c r="U751" s="66" t="str">
        <f>IF(AND($B751&gt;='112'!$M$9,$B751&lt;='112'!$N$9,OR($O751='112'!$I$6,$P751='112'!$I$6)),"x","")</f>
        <v/>
      </c>
      <c r="V751" s="66" t="str">
        <f>IF(AND($O751='112'!$I$6,$B751&lt;'112'!$M$9),"x","")</f>
        <v/>
      </c>
      <c r="W751" s="66" t="str">
        <f>IF(AND($P751='112'!$I$6,$B751&lt;'112'!$M$9),"x","")</f>
        <v/>
      </c>
      <c r="X751" s="66" t="str">
        <f>IF(AND('131-CT'!$H$9=TH!H751,OR(O751="131",P751="131")),"x","")</f>
        <v/>
      </c>
      <c r="Y751" s="80" t="str">
        <f>IF(AND($B751&gt;='1331'!$I$9,$B751&lt;='1331'!$J$9,OR($O751=$Y$7,$P751=$Y$7)),"x","")</f>
        <v/>
      </c>
      <c r="Z751" s="80" t="str">
        <f>IF(AND($O751=$Y$7,$B751&lt;'1331'!$I$9),"x","")</f>
        <v/>
      </c>
      <c r="AA751" s="80" t="str">
        <f>IF(AND($P751=$Y$7,$B751&lt;'1331'!$I$9),"x","")</f>
        <v/>
      </c>
      <c r="AB751" s="80" t="str">
        <f>IF(AND($B751&gt;='1332'!$I$9,$B751&lt;='1332'!$I$9,OR($O751=$AB$7,$P751=$AB$7)),"x","")</f>
        <v/>
      </c>
      <c r="AC751" s="80" t="str">
        <f>IF(AND($O751=$AB$7,$B751&lt;'1332'!$I$9),"x","")</f>
        <v/>
      </c>
      <c r="AD751" s="80" t="str">
        <f>IF(AND($P751=$AB$7,$B751&lt;'1332'!$I$9),"x","")</f>
        <v/>
      </c>
      <c r="AE751" s="80" t="str">
        <f>IF(AND('341-CT'!$H$9=H751,OR(LEFT(O751,3)=$AE$7,LEFT(P751,3)=$AE$7)),"x","")</f>
        <v/>
      </c>
      <c r="AF751" s="80" t="str">
        <f>IF(OR(TH!O751=TH!$AF$7,P751=TH!$AF$7),"x","")</f>
        <v/>
      </c>
      <c r="AG751" s="80"/>
      <c r="AH751" s="80" t="str">
        <f>IF(AND(B751&gt;='IN-NX'!$P$3,B751&lt;='IN-NX'!$Q$3,'IN-NX'!$D$7=D751,OR(LEFT(L751,2)="15",AND(LEFT(M751,2)&lt;&gt;"15",LEFT(M751,2)&lt;&gt;"33"))),"x","")</f>
        <v/>
      </c>
      <c r="AI751" s="80" t="str">
        <f>IF(AND(OR(LEFT(TH!O751,2)="15",LEFT(TH!P751,2)="15"),'152-CT'!$J$8=TH!F751),"x","")</f>
        <v/>
      </c>
      <c r="AJ751" s="80" t="str">
        <f>IF(AND(OR(LEFT(TH!O751,2)="15",LEFT(TH!P751,2)="15"),'THE KHO'!$E$7=TH!F751),"x","")</f>
        <v/>
      </c>
      <c r="AK751" s="80" t="str">
        <f>IF(AND(O751="1521",MONTH(C751)='BK NL'!$M$11),"x","")</f>
        <v/>
      </c>
    </row>
    <row r="752" spans="1:37" ht="15.75" customHeight="1">
      <c r="A752" s="362" t="str">
        <f>IF(B752&lt;&gt;"",IF(AND(B752&gt;=_TM1,B752&lt;=_TM2,OR(TH!O752="1111",TH!P752="1111")),TH!D752,""),"")</f>
        <v/>
      </c>
      <c r="B752" s="63" t="str">
        <f t="shared" si="59"/>
        <v/>
      </c>
      <c r="C752" s="64"/>
      <c r="D752" s="64"/>
      <c r="E752" s="64"/>
      <c r="F752" s="67"/>
      <c r="G752" s="336"/>
      <c r="H752" s="71"/>
      <c r="I752" s="476"/>
      <c r="J752" s="476"/>
      <c r="K752" s="469"/>
      <c r="L752" s="476"/>
      <c r="M752" s="65"/>
      <c r="N752" s="65"/>
      <c r="O752" s="66"/>
      <c r="P752" s="66"/>
      <c r="Q752" s="66" t="str">
        <f>IF(AND('331-CT'!$E$7=TH!H752,OR(O752="331",P752="331")),"x","")</f>
        <v/>
      </c>
      <c r="R752" s="66" t="str">
        <f>IF(AND($B752&gt;='111'!$N$11,$B752&lt;='111'!$O$11,OR($O752=$R$7,$P752=$R$7)),"x","")</f>
        <v/>
      </c>
      <c r="S752" s="66" t="str">
        <f>IF(AND($O752=$R$7,$B752&lt;'111'!$N$11),"x","")</f>
        <v/>
      </c>
      <c r="T752" s="66" t="str">
        <f>IF(AND($P752=$R$7,$B752&lt;'111'!$N$11),"x","")</f>
        <v/>
      </c>
      <c r="U752" s="66" t="str">
        <f>IF(AND($B752&gt;='112'!$M$9,$B752&lt;='112'!$N$9,OR($O752='112'!$I$6,$P752='112'!$I$6)),"x","")</f>
        <v/>
      </c>
      <c r="V752" s="66" t="str">
        <f>IF(AND($O752='112'!$I$6,$B752&lt;'112'!$M$9),"x","")</f>
        <v/>
      </c>
      <c r="W752" s="66" t="str">
        <f>IF(AND($P752='112'!$I$6,$B752&lt;'112'!$M$9),"x","")</f>
        <v/>
      </c>
      <c r="X752" s="66" t="str">
        <f>IF(AND('131-CT'!$H$9=TH!H752,OR(O752="131",P752="131")),"x","")</f>
        <v/>
      </c>
      <c r="Y752" s="80" t="str">
        <f>IF(AND($B752&gt;='1331'!$I$9,$B752&lt;='1331'!$J$9,OR($O752=$Y$7,$P752=$Y$7)),"x","")</f>
        <v/>
      </c>
      <c r="Z752" s="80" t="str">
        <f>IF(AND($O752=$Y$7,$B752&lt;'1331'!$I$9),"x","")</f>
        <v/>
      </c>
      <c r="AA752" s="80" t="str">
        <f>IF(AND($P752=$Y$7,$B752&lt;'1331'!$I$9),"x","")</f>
        <v/>
      </c>
      <c r="AB752" s="80" t="str">
        <f>IF(AND($B752&gt;='1332'!$I$9,$B752&lt;='1332'!$I$9,OR($O752=$AB$7,$P752=$AB$7)),"x","")</f>
        <v/>
      </c>
      <c r="AC752" s="80" t="str">
        <f>IF(AND($O752=$AB$7,$B752&lt;'1332'!$I$9),"x","")</f>
        <v/>
      </c>
      <c r="AD752" s="80" t="str">
        <f>IF(AND($P752=$AB$7,$B752&lt;'1332'!$I$9),"x","")</f>
        <v/>
      </c>
      <c r="AE752" s="80" t="str">
        <f>IF(AND('341-CT'!$H$9=H752,OR(LEFT(O752,3)=$AE$7,LEFT(P752,3)=$AE$7)),"x","")</f>
        <v/>
      </c>
      <c r="AF752" s="80" t="str">
        <f>IF(OR(TH!O752=TH!$AF$7,P752=TH!$AF$7),"x","")</f>
        <v/>
      </c>
      <c r="AG752" s="80"/>
      <c r="AH752" s="80" t="str">
        <f>IF(AND(B752&gt;='IN-NX'!$P$3,B752&lt;='IN-NX'!$Q$3,'IN-NX'!$D$7=D752,OR(LEFT(L752,2)="15",AND(LEFT(M752,2)&lt;&gt;"15",LEFT(M752,2)&lt;&gt;"33"))),"x","")</f>
        <v/>
      </c>
      <c r="AI752" s="80" t="str">
        <f>IF(AND(OR(LEFT(TH!O752,2)="15",LEFT(TH!P752,2)="15"),'152-CT'!$J$8=TH!F752),"x","")</f>
        <v/>
      </c>
      <c r="AJ752" s="80" t="str">
        <f>IF(AND(OR(LEFT(TH!O752,2)="15",LEFT(TH!P752,2)="15"),'THE KHO'!$E$7=TH!F752),"x","")</f>
        <v/>
      </c>
      <c r="AK752" s="80" t="str">
        <f>IF(AND(O752="1521",MONTH(C752)='BK NL'!$M$11),"x","")</f>
        <v/>
      </c>
    </row>
    <row r="753" spans="1:37" ht="15.75" customHeight="1">
      <c r="A753" s="362" t="str">
        <f>IF(B753&lt;&gt;"",IF(AND(B753&gt;=_TM1,B753&lt;=_TM2,OR(TH!O753="1111",TH!P753="1111")),TH!D753,""),"")</f>
        <v/>
      </c>
      <c r="B753" s="63" t="str">
        <f t="shared" si="59"/>
        <v/>
      </c>
      <c r="C753" s="64"/>
      <c r="D753" s="64"/>
      <c r="E753" s="64"/>
      <c r="F753" s="67"/>
      <c r="G753" s="336"/>
      <c r="H753" s="71"/>
      <c r="I753" s="476"/>
      <c r="J753" s="476"/>
      <c r="K753" s="469"/>
      <c r="L753" s="476"/>
      <c r="M753" s="65"/>
      <c r="N753" s="65"/>
      <c r="O753" s="66"/>
      <c r="P753" s="66"/>
      <c r="Q753" s="66" t="str">
        <f>IF(AND('331-CT'!$E$7=TH!H753,OR(O753="331",P753="331")),"x","")</f>
        <v/>
      </c>
      <c r="R753" s="66" t="str">
        <f>IF(AND($B753&gt;='111'!$N$11,$B753&lt;='111'!$O$11,OR($O753=$R$7,$P753=$R$7)),"x","")</f>
        <v/>
      </c>
      <c r="S753" s="66" t="str">
        <f>IF(AND($O753=$R$7,$B753&lt;'111'!$N$11),"x","")</f>
        <v/>
      </c>
      <c r="T753" s="66" t="str">
        <f>IF(AND($P753=$R$7,$B753&lt;'111'!$N$11),"x","")</f>
        <v/>
      </c>
      <c r="U753" s="66" t="str">
        <f>IF(AND($B753&gt;='112'!$M$9,$B753&lt;='112'!$N$9,OR($O753='112'!$I$6,$P753='112'!$I$6)),"x","")</f>
        <v/>
      </c>
      <c r="V753" s="66" t="str">
        <f>IF(AND($O753='112'!$I$6,$B753&lt;'112'!$M$9),"x","")</f>
        <v/>
      </c>
      <c r="W753" s="66" t="str">
        <f>IF(AND($P753='112'!$I$6,$B753&lt;'112'!$M$9),"x","")</f>
        <v/>
      </c>
      <c r="X753" s="66" t="str">
        <f>IF(AND('131-CT'!$H$9=TH!H753,OR(O753="131",P753="131")),"x","")</f>
        <v/>
      </c>
      <c r="Y753" s="80" t="str">
        <f>IF(AND($B753&gt;='1331'!$I$9,$B753&lt;='1331'!$J$9,OR($O753=$Y$7,$P753=$Y$7)),"x","")</f>
        <v/>
      </c>
      <c r="Z753" s="80" t="str">
        <f>IF(AND($O753=$Y$7,$B753&lt;'1331'!$I$9),"x","")</f>
        <v/>
      </c>
      <c r="AA753" s="80" t="str">
        <f>IF(AND($P753=$Y$7,$B753&lt;'1331'!$I$9),"x","")</f>
        <v/>
      </c>
      <c r="AB753" s="80" t="str">
        <f>IF(AND($B753&gt;='1332'!$I$9,$B753&lt;='1332'!$I$9,OR($O753=$AB$7,$P753=$AB$7)),"x","")</f>
        <v/>
      </c>
      <c r="AC753" s="80" t="str">
        <f>IF(AND($O753=$AB$7,$B753&lt;'1332'!$I$9),"x","")</f>
        <v/>
      </c>
      <c r="AD753" s="80" t="str">
        <f>IF(AND($P753=$AB$7,$B753&lt;'1332'!$I$9),"x","")</f>
        <v/>
      </c>
      <c r="AE753" s="80" t="str">
        <f>IF(AND('341-CT'!$H$9=H753,OR(LEFT(O753,3)=$AE$7,LEFT(P753,3)=$AE$7)),"x","")</f>
        <v/>
      </c>
      <c r="AF753" s="80" t="str">
        <f>IF(OR(TH!O753=TH!$AF$7,P753=TH!$AF$7),"x","")</f>
        <v/>
      </c>
      <c r="AG753" s="80"/>
      <c r="AH753" s="80" t="str">
        <f>IF(AND(B753&gt;='IN-NX'!$P$3,B753&lt;='IN-NX'!$Q$3,'IN-NX'!$D$7=D753,OR(LEFT(L753,2)="15",AND(LEFT(M753,2)&lt;&gt;"15",LEFT(M753,2)&lt;&gt;"33"))),"x","")</f>
        <v/>
      </c>
      <c r="AI753" s="80" t="str">
        <f>IF(AND(OR(LEFT(TH!O753,2)="15",LEFT(TH!P753,2)="15"),'152-CT'!$J$8=TH!F753),"x","")</f>
        <v/>
      </c>
      <c r="AJ753" s="80" t="str">
        <f>IF(AND(OR(LEFT(TH!O753,2)="15",LEFT(TH!P753,2)="15"),'THE KHO'!$E$7=TH!F753),"x","")</f>
        <v/>
      </c>
      <c r="AK753" s="80" t="str">
        <f>IF(AND(O753="1521",MONTH(C753)='BK NL'!$M$11),"x","")</f>
        <v/>
      </c>
    </row>
    <row r="754" spans="1:37" ht="15.75" customHeight="1">
      <c r="A754" s="362" t="str">
        <f>IF(B754&lt;&gt;"",IF(AND(B754&gt;=_TM1,B754&lt;=_TM2,OR(TH!O754="1111",TH!P754="1111")),TH!D754,""),"")</f>
        <v/>
      </c>
      <c r="B754" s="63" t="str">
        <f t="shared" si="59"/>
        <v/>
      </c>
      <c r="C754" s="64"/>
      <c r="D754" s="64"/>
      <c r="E754" s="64"/>
      <c r="F754" s="67"/>
      <c r="G754" s="336"/>
      <c r="H754" s="71"/>
      <c r="I754" s="476"/>
      <c r="J754" s="476"/>
      <c r="K754" s="469"/>
      <c r="L754" s="476"/>
      <c r="M754" s="65"/>
      <c r="N754" s="65"/>
      <c r="O754" s="66"/>
      <c r="P754" s="66"/>
      <c r="Q754" s="66" t="str">
        <f>IF(AND('331-CT'!$E$7=TH!H754,OR(O754="331",P754="331")),"x","")</f>
        <v/>
      </c>
      <c r="R754" s="66" t="str">
        <f>IF(AND($B754&gt;='111'!$N$11,$B754&lt;='111'!$O$11,OR($O754=$R$7,$P754=$R$7)),"x","")</f>
        <v/>
      </c>
      <c r="S754" s="66" t="str">
        <f>IF(AND($O754=$R$7,$B754&lt;'111'!$N$11),"x","")</f>
        <v/>
      </c>
      <c r="T754" s="66" t="str">
        <f>IF(AND($P754=$R$7,$B754&lt;'111'!$N$11),"x","")</f>
        <v/>
      </c>
      <c r="U754" s="66" t="str">
        <f>IF(AND($B754&gt;='112'!$M$9,$B754&lt;='112'!$N$9,OR($O754='112'!$I$6,$P754='112'!$I$6)),"x","")</f>
        <v/>
      </c>
      <c r="V754" s="66" t="str">
        <f>IF(AND($O754='112'!$I$6,$B754&lt;'112'!$M$9),"x","")</f>
        <v/>
      </c>
      <c r="W754" s="66" t="str">
        <f>IF(AND($P754='112'!$I$6,$B754&lt;'112'!$M$9),"x","")</f>
        <v/>
      </c>
      <c r="X754" s="66" t="str">
        <f>IF(AND('131-CT'!$H$9=TH!H754,OR(O754="131",P754="131")),"x","")</f>
        <v/>
      </c>
      <c r="Y754" s="80" t="str">
        <f>IF(AND($B754&gt;='1331'!$I$9,$B754&lt;='1331'!$J$9,OR($O754=$Y$7,$P754=$Y$7)),"x","")</f>
        <v/>
      </c>
      <c r="Z754" s="80" t="str">
        <f>IF(AND($O754=$Y$7,$B754&lt;'1331'!$I$9),"x","")</f>
        <v/>
      </c>
      <c r="AA754" s="80" t="str">
        <f>IF(AND($P754=$Y$7,$B754&lt;'1331'!$I$9),"x","")</f>
        <v/>
      </c>
      <c r="AB754" s="80" t="str">
        <f>IF(AND($B754&gt;='1332'!$I$9,$B754&lt;='1332'!$I$9,OR($O754=$AB$7,$P754=$AB$7)),"x","")</f>
        <v/>
      </c>
      <c r="AC754" s="80" t="str">
        <f>IF(AND($O754=$AB$7,$B754&lt;'1332'!$I$9),"x","")</f>
        <v/>
      </c>
      <c r="AD754" s="80" t="str">
        <f>IF(AND($P754=$AB$7,$B754&lt;'1332'!$I$9),"x","")</f>
        <v/>
      </c>
      <c r="AE754" s="80" t="str">
        <f>IF(AND('341-CT'!$H$9=H754,OR(LEFT(O754,3)=$AE$7,LEFT(P754,3)=$AE$7)),"x","")</f>
        <v/>
      </c>
      <c r="AF754" s="80" t="str">
        <f>IF(OR(TH!O754=TH!$AF$7,P754=TH!$AF$7),"x","")</f>
        <v/>
      </c>
      <c r="AG754" s="80"/>
      <c r="AH754" s="80" t="str">
        <f>IF(AND(B754&gt;='IN-NX'!$P$3,B754&lt;='IN-NX'!$Q$3,'IN-NX'!$D$7=D754,OR(LEFT(L754,2)="15",AND(LEFT(M754,2)&lt;&gt;"15",LEFT(M754,2)&lt;&gt;"33"))),"x","")</f>
        <v/>
      </c>
      <c r="AI754" s="80" t="str">
        <f>IF(AND(OR(LEFT(TH!O754,2)="15",LEFT(TH!P754,2)="15"),'152-CT'!$J$8=TH!F754),"x","")</f>
        <v/>
      </c>
      <c r="AJ754" s="80" t="str">
        <f>IF(AND(OR(LEFT(TH!O754,2)="15",LEFT(TH!P754,2)="15"),'THE KHO'!$E$7=TH!F754),"x","")</f>
        <v/>
      </c>
      <c r="AK754" s="80" t="str">
        <f>IF(AND(O754="1521",MONTH(C754)='BK NL'!$M$11),"x","")</f>
        <v/>
      </c>
    </row>
    <row r="755" spans="1:37" ht="15.75" customHeight="1">
      <c r="A755" s="362" t="str">
        <f>IF(B755&lt;&gt;"",IF(AND(B755&gt;=_TM1,B755&lt;=_TM2,OR(TH!O755="1111",TH!P755="1111")),TH!D755,""),"")</f>
        <v/>
      </c>
      <c r="B755" s="63" t="str">
        <f t="shared" si="59"/>
        <v/>
      </c>
      <c r="C755" s="64"/>
      <c r="D755" s="64"/>
      <c r="E755" s="64"/>
      <c r="F755" s="67"/>
      <c r="G755" s="336"/>
      <c r="H755" s="71"/>
      <c r="I755" s="476"/>
      <c r="J755" s="476"/>
      <c r="K755" s="469"/>
      <c r="L755" s="476"/>
      <c r="M755" s="65"/>
      <c r="N755" s="65"/>
      <c r="O755" s="66"/>
      <c r="P755" s="66"/>
      <c r="Q755" s="66" t="str">
        <f>IF(AND('331-CT'!$E$7=TH!H755,OR(O755="331",P755="331")),"x","")</f>
        <v/>
      </c>
      <c r="R755" s="66" t="str">
        <f>IF(AND($B755&gt;='111'!$N$11,$B755&lt;='111'!$O$11,OR($O755=$R$7,$P755=$R$7)),"x","")</f>
        <v/>
      </c>
      <c r="S755" s="66" t="str">
        <f>IF(AND($O755=$R$7,$B755&lt;'111'!$N$11),"x","")</f>
        <v/>
      </c>
      <c r="T755" s="66" t="str">
        <f>IF(AND($P755=$R$7,$B755&lt;'111'!$N$11),"x","")</f>
        <v/>
      </c>
      <c r="U755" s="66" t="str">
        <f>IF(AND($B755&gt;='112'!$M$9,$B755&lt;='112'!$N$9,OR($O755='112'!$I$6,$P755='112'!$I$6)),"x","")</f>
        <v/>
      </c>
      <c r="V755" s="66" t="str">
        <f>IF(AND($O755='112'!$I$6,$B755&lt;'112'!$M$9),"x","")</f>
        <v/>
      </c>
      <c r="W755" s="66" t="str">
        <f>IF(AND($P755='112'!$I$6,$B755&lt;'112'!$M$9),"x","")</f>
        <v/>
      </c>
      <c r="X755" s="66" t="str">
        <f>IF(AND('131-CT'!$H$9=TH!H755,OR(O755="131",P755="131")),"x","")</f>
        <v/>
      </c>
      <c r="Y755" s="80" t="str">
        <f>IF(AND($B755&gt;='1331'!$I$9,$B755&lt;='1331'!$J$9,OR($O755=$Y$7,$P755=$Y$7)),"x","")</f>
        <v/>
      </c>
      <c r="Z755" s="80" t="str">
        <f>IF(AND($O755=$Y$7,$B755&lt;'1331'!$I$9),"x","")</f>
        <v/>
      </c>
      <c r="AA755" s="80" t="str">
        <f>IF(AND($P755=$Y$7,$B755&lt;'1331'!$I$9),"x","")</f>
        <v/>
      </c>
      <c r="AB755" s="80" t="str">
        <f>IF(AND($B755&gt;='1332'!$I$9,$B755&lt;='1332'!$I$9,OR($O755=$AB$7,$P755=$AB$7)),"x","")</f>
        <v/>
      </c>
      <c r="AC755" s="80" t="str">
        <f>IF(AND($O755=$AB$7,$B755&lt;'1332'!$I$9),"x","")</f>
        <v/>
      </c>
      <c r="AD755" s="80" t="str">
        <f>IF(AND($P755=$AB$7,$B755&lt;'1332'!$I$9),"x","")</f>
        <v/>
      </c>
      <c r="AE755" s="80" t="str">
        <f>IF(AND('341-CT'!$H$9=H755,OR(LEFT(O755,3)=$AE$7,LEFT(P755,3)=$AE$7)),"x","")</f>
        <v/>
      </c>
      <c r="AF755" s="80" t="str">
        <f>IF(OR(TH!O755=TH!$AF$7,P755=TH!$AF$7),"x","")</f>
        <v/>
      </c>
      <c r="AG755" s="80"/>
      <c r="AH755" s="80" t="str">
        <f>IF(AND(B755&gt;='IN-NX'!$P$3,B755&lt;='IN-NX'!$Q$3,'IN-NX'!$D$7=D755,OR(LEFT(L755,2)="15",AND(LEFT(M755,2)&lt;&gt;"15",LEFT(M755,2)&lt;&gt;"33"))),"x","")</f>
        <v/>
      </c>
      <c r="AI755" s="80" t="str">
        <f>IF(AND(OR(LEFT(TH!O755,2)="15",LEFT(TH!P755,2)="15"),'152-CT'!$J$8=TH!F755),"x","")</f>
        <v/>
      </c>
      <c r="AJ755" s="80" t="str">
        <f>IF(AND(OR(LEFT(TH!O755,2)="15",LEFT(TH!P755,2)="15"),'THE KHO'!$E$7=TH!F755),"x","")</f>
        <v/>
      </c>
      <c r="AK755" s="80" t="str">
        <f>IF(AND(O755="1521",MONTH(C755)='BK NL'!$M$11),"x","")</f>
        <v/>
      </c>
    </row>
    <row r="756" spans="1:37" ht="15.75" customHeight="1">
      <c r="A756" s="362" t="str">
        <f>IF(B756&lt;&gt;"",IF(AND(B756&gt;=_TM1,B756&lt;=_TM2,OR(TH!O756="1111",TH!P756="1111")),TH!D756,""),"")</f>
        <v/>
      </c>
      <c r="B756" s="63" t="str">
        <f t="shared" si="59"/>
        <v/>
      </c>
      <c r="C756" s="64"/>
      <c r="D756" s="64"/>
      <c r="E756" s="64"/>
      <c r="F756" s="67"/>
      <c r="G756" s="336"/>
      <c r="H756" s="71"/>
      <c r="I756" s="476"/>
      <c r="J756" s="476"/>
      <c r="K756" s="469"/>
      <c r="L756" s="476"/>
      <c r="M756" s="65"/>
      <c r="N756" s="65"/>
      <c r="O756" s="66"/>
      <c r="P756" s="66"/>
      <c r="Q756" s="66" t="str">
        <f>IF(AND('331-CT'!$E$7=TH!H756,OR(O756="331",P756="331")),"x","")</f>
        <v/>
      </c>
      <c r="R756" s="66" t="str">
        <f>IF(AND($B756&gt;='111'!$N$11,$B756&lt;='111'!$O$11,OR($O756=$R$7,$P756=$R$7)),"x","")</f>
        <v/>
      </c>
      <c r="S756" s="66" t="str">
        <f>IF(AND($O756=$R$7,$B756&lt;'111'!$N$11),"x","")</f>
        <v/>
      </c>
      <c r="T756" s="66" t="str">
        <f>IF(AND($P756=$R$7,$B756&lt;'111'!$N$11),"x","")</f>
        <v/>
      </c>
      <c r="U756" s="66" t="str">
        <f>IF(AND($B756&gt;='112'!$M$9,$B756&lt;='112'!$N$9,OR($O756='112'!$I$6,$P756='112'!$I$6)),"x","")</f>
        <v/>
      </c>
      <c r="V756" s="66" t="str">
        <f>IF(AND($O756='112'!$I$6,$B756&lt;'112'!$M$9),"x","")</f>
        <v/>
      </c>
      <c r="W756" s="66" t="str">
        <f>IF(AND($P756='112'!$I$6,$B756&lt;'112'!$M$9),"x","")</f>
        <v/>
      </c>
      <c r="X756" s="66" t="str">
        <f>IF(AND('131-CT'!$H$9=TH!H756,OR(O756="131",P756="131")),"x","")</f>
        <v/>
      </c>
      <c r="Y756" s="80" t="str">
        <f>IF(AND($B756&gt;='1331'!$I$9,$B756&lt;='1331'!$J$9,OR($O756=$Y$7,$P756=$Y$7)),"x","")</f>
        <v/>
      </c>
      <c r="Z756" s="80" t="str">
        <f>IF(AND($O756=$Y$7,$B756&lt;'1331'!$I$9),"x","")</f>
        <v/>
      </c>
      <c r="AA756" s="80" t="str">
        <f>IF(AND($P756=$Y$7,$B756&lt;'1331'!$I$9),"x","")</f>
        <v/>
      </c>
      <c r="AB756" s="80" t="str">
        <f>IF(AND($B756&gt;='1332'!$I$9,$B756&lt;='1332'!$I$9,OR($O756=$AB$7,$P756=$AB$7)),"x","")</f>
        <v/>
      </c>
      <c r="AC756" s="80" t="str">
        <f>IF(AND($O756=$AB$7,$B756&lt;'1332'!$I$9),"x","")</f>
        <v/>
      </c>
      <c r="AD756" s="80" t="str">
        <f>IF(AND($P756=$AB$7,$B756&lt;'1332'!$I$9),"x","")</f>
        <v/>
      </c>
      <c r="AE756" s="80" t="str">
        <f>IF(AND('341-CT'!$H$9=H756,OR(LEFT(O756,3)=$AE$7,LEFT(P756,3)=$AE$7)),"x","")</f>
        <v/>
      </c>
      <c r="AF756" s="80" t="str">
        <f>IF(OR(TH!O756=TH!$AF$7,P756=TH!$AF$7),"x","")</f>
        <v/>
      </c>
      <c r="AG756" s="80"/>
      <c r="AH756" s="80" t="str">
        <f>IF(AND(B756&gt;='IN-NX'!$P$3,B756&lt;='IN-NX'!$Q$3,'IN-NX'!$D$7=D756,OR(LEFT(L756,2)="15",AND(LEFT(M756,2)&lt;&gt;"15",LEFT(M756,2)&lt;&gt;"33"))),"x","")</f>
        <v/>
      </c>
      <c r="AI756" s="80" t="str">
        <f>IF(AND(OR(LEFT(TH!O756,2)="15",LEFT(TH!P756,2)="15"),'152-CT'!$J$8=TH!F756),"x","")</f>
        <v/>
      </c>
      <c r="AJ756" s="80" t="str">
        <f>IF(AND(OR(LEFT(TH!O756,2)="15",LEFT(TH!P756,2)="15"),'THE KHO'!$E$7=TH!F756),"x","")</f>
        <v/>
      </c>
      <c r="AK756" s="80" t="str">
        <f>IF(AND(O756="1521",MONTH(C756)='BK NL'!$M$11),"x","")</f>
        <v/>
      </c>
    </row>
    <row r="757" spans="1:37" ht="15.75" customHeight="1">
      <c r="A757" s="362" t="str">
        <f>IF(B757&lt;&gt;"",IF(AND(B757&gt;=_TM1,B757&lt;=_TM2,OR(TH!O757="1111",TH!P757="1111")),TH!D757,""),"")</f>
        <v/>
      </c>
      <c r="B757" s="63" t="str">
        <f t="shared" si="59"/>
        <v/>
      </c>
      <c r="C757" s="64"/>
      <c r="D757" s="64"/>
      <c r="E757" s="64"/>
      <c r="F757" s="67"/>
      <c r="G757" s="336"/>
      <c r="H757" s="71"/>
      <c r="I757" s="476"/>
      <c r="J757" s="476"/>
      <c r="K757" s="469"/>
      <c r="L757" s="476"/>
      <c r="M757" s="65"/>
      <c r="N757" s="65"/>
      <c r="O757" s="66"/>
      <c r="P757" s="66"/>
      <c r="Q757" s="66" t="str">
        <f>IF(AND('331-CT'!$E$7=TH!H757,OR(O757="331",P757="331")),"x","")</f>
        <v/>
      </c>
      <c r="R757" s="66" t="str">
        <f>IF(AND($B757&gt;='111'!$N$11,$B757&lt;='111'!$O$11,OR($O757=$R$7,$P757=$R$7)),"x","")</f>
        <v/>
      </c>
      <c r="S757" s="66" t="str">
        <f>IF(AND($O757=$R$7,$B757&lt;'111'!$N$11),"x","")</f>
        <v/>
      </c>
      <c r="T757" s="66" t="str">
        <f>IF(AND($P757=$R$7,$B757&lt;'111'!$N$11),"x","")</f>
        <v/>
      </c>
      <c r="U757" s="66" t="str">
        <f>IF(AND($B757&gt;='112'!$M$9,$B757&lt;='112'!$N$9,OR($O757='112'!$I$6,$P757='112'!$I$6)),"x","")</f>
        <v/>
      </c>
      <c r="V757" s="66" t="str">
        <f>IF(AND($O757='112'!$I$6,$B757&lt;'112'!$M$9),"x","")</f>
        <v/>
      </c>
      <c r="W757" s="66" t="str">
        <f>IF(AND($P757='112'!$I$6,$B757&lt;'112'!$M$9),"x","")</f>
        <v/>
      </c>
      <c r="X757" s="66" t="str">
        <f>IF(AND('131-CT'!$H$9=TH!H757,OR(O757="131",P757="131")),"x","")</f>
        <v/>
      </c>
      <c r="Y757" s="80" t="str">
        <f>IF(AND($B757&gt;='1331'!$I$9,$B757&lt;='1331'!$J$9,OR($O757=$Y$7,$P757=$Y$7)),"x","")</f>
        <v/>
      </c>
      <c r="Z757" s="80" t="str">
        <f>IF(AND($O757=$Y$7,$B757&lt;'1331'!$I$9),"x","")</f>
        <v/>
      </c>
      <c r="AA757" s="80" t="str">
        <f>IF(AND($P757=$Y$7,$B757&lt;'1331'!$I$9),"x","")</f>
        <v/>
      </c>
      <c r="AB757" s="80" t="str">
        <f>IF(AND($B757&gt;='1332'!$I$9,$B757&lt;='1332'!$I$9,OR($O757=$AB$7,$P757=$AB$7)),"x","")</f>
        <v/>
      </c>
      <c r="AC757" s="80" t="str">
        <f>IF(AND($O757=$AB$7,$B757&lt;'1332'!$I$9),"x","")</f>
        <v/>
      </c>
      <c r="AD757" s="80" t="str">
        <f>IF(AND($P757=$AB$7,$B757&lt;'1332'!$I$9),"x","")</f>
        <v/>
      </c>
      <c r="AE757" s="80" t="str">
        <f>IF(AND('341-CT'!$H$9=H757,OR(LEFT(O757,3)=$AE$7,LEFT(P757,3)=$AE$7)),"x","")</f>
        <v/>
      </c>
      <c r="AF757" s="80" t="str">
        <f>IF(OR(TH!O757=TH!$AF$7,P757=TH!$AF$7),"x","")</f>
        <v/>
      </c>
      <c r="AG757" s="80"/>
      <c r="AH757" s="80" t="str">
        <f>IF(AND(B757&gt;='IN-NX'!$P$3,B757&lt;='IN-NX'!$Q$3,'IN-NX'!$D$7=D757,OR(LEFT(L757,2)="15",AND(LEFT(M757,2)&lt;&gt;"15",LEFT(M757,2)&lt;&gt;"33"))),"x","")</f>
        <v/>
      </c>
      <c r="AI757" s="80" t="str">
        <f>IF(AND(OR(LEFT(TH!O757,2)="15",LEFT(TH!P757,2)="15"),'152-CT'!$J$8=TH!F757),"x","")</f>
        <v/>
      </c>
      <c r="AJ757" s="80" t="str">
        <f>IF(AND(OR(LEFT(TH!O757,2)="15",LEFT(TH!P757,2)="15"),'THE KHO'!$E$7=TH!F757),"x","")</f>
        <v/>
      </c>
      <c r="AK757" s="80" t="str">
        <f>IF(AND(O757="1521",MONTH(C757)='BK NL'!$M$11),"x","")</f>
        <v/>
      </c>
    </row>
    <row r="758" spans="1:37" ht="15.75" customHeight="1">
      <c r="A758" s="362" t="str">
        <f>IF(B758&lt;&gt;"",IF(AND(B758&gt;=_TM1,B758&lt;=_TM2,OR(TH!O758="1111",TH!P758="1111")),TH!D758,""),"")</f>
        <v/>
      </c>
      <c r="B758" s="63" t="str">
        <f>IF(C758&lt;&gt;"",MONTH(C758),"")</f>
        <v/>
      </c>
      <c r="C758" s="64"/>
      <c r="D758" s="64"/>
      <c r="E758" s="64"/>
      <c r="F758" s="67"/>
      <c r="G758" s="336"/>
      <c r="H758" s="71"/>
      <c r="I758" s="476"/>
      <c r="J758" s="476"/>
      <c r="K758" s="469"/>
      <c r="L758" s="476"/>
      <c r="M758" s="65"/>
      <c r="N758" s="65"/>
      <c r="O758" s="66"/>
      <c r="P758" s="66"/>
      <c r="Q758" s="66" t="str">
        <f>IF(AND('331-CT'!$E$7=TH!H758,OR(O758="331",P758="331")),"x","")</f>
        <v/>
      </c>
      <c r="R758" s="66" t="str">
        <f>IF(AND($B758&gt;='111'!$N$11,$B758&lt;='111'!$O$11,OR($O758=$R$7,$P758=$R$7)),"x","")</f>
        <v/>
      </c>
      <c r="S758" s="66" t="str">
        <f>IF(AND($O758=$R$7,$B758&lt;'111'!$N$11),"x","")</f>
        <v/>
      </c>
      <c r="T758" s="66" t="str">
        <f>IF(AND($P758=$R$7,$B758&lt;'111'!$N$11),"x","")</f>
        <v/>
      </c>
      <c r="U758" s="66" t="str">
        <f>IF(AND($B758&gt;='112'!$M$9,$B758&lt;='112'!$N$9,OR($O758='112'!$I$6,$P758='112'!$I$6)),"x","")</f>
        <v/>
      </c>
      <c r="V758" s="66" t="str">
        <f>IF(AND($O758='112'!$I$6,$B758&lt;'112'!$M$9),"x","")</f>
        <v/>
      </c>
      <c r="W758" s="66" t="str">
        <f>IF(AND($P758='112'!$I$6,$B758&lt;'112'!$M$9),"x","")</f>
        <v/>
      </c>
      <c r="X758" s="66" t="str">
        <f>IF(AND('131-CT'!$H$9=TH!H758,OR(O758="131",P758="131")),"x","")</f>
        <v/>
      </c>
      <c r="Y758" s="80" t="str">
        <f>IF(AND($B758&gt;='1331'!$I$9,$B758&lt;='1331'!$J$9,OR($O758=$Y$7,$P758=$Y$7)),"x","")</f>
        <v/>
      </c>
      <c r="Z758" s="80" t="str">
        <f>IF(AND($O758=$Y$7,$B758&lt;'1331'!$I$9),"x","")</f>
        <v/>
      </c>
      <c r="AA758" s="80" t="str">
        <f>IF(AND($P758=$Y$7,$B758&lt;'1331'!$I$9),"x","")</f>
        <v/>
      </c>
      <c r="AB758" s="80" t="str">
        <f>IF(AND($B758&gt;='1332'!$I$9,$B758&lt;='1332'!$I$9,OR($O758=$AB$7,$P758=$AB$7)),"x","")</f>
        <v/>
      </c>
      <c r="AC758" s="80" t="str">
        <f>IF(AND($O758=$AB$7,$B758&lt;'1332'!$I$9),"x","")</f>
        <v/>
      </c>
      <c r="AD758" s="80" t="str">
        <f>IF(AND($P758=$AB$7,$B758&lt;'1332'!$I$9),"x","")</f>
        <v/>
      </c>
      <c r="AE758" s="80" t="str">
        <f>IF(AND('341-CT'!$H$9=H758,OR(LEFT(O758,3)=$AE$7,LEFT(P758,3)=$AE$7)),"x","")</f>
        <v/>
      </c>
      <c r="AF758" s="80" t="str">
        <f>IF(OR(TH!O758=TH!$AF$7,P758=TH!$AF$7),"x","")</f>
        <v/>
      </c>
      <c r="AG758" s="80"/>
      <c r="AH758" s="80" t="str">
        <f>IF(AND(B758&gt;='IN-NX'!$P$3,B758&lt;='IN-NX'!$Q$3,'IN-NX'!$D$7=D758,OR(LEFT(L758,2)="15",AND(LEFT(M758,2)&lt;&gt;"15",LEFT(M758,2)&lt;&gt;"33"))),"x","")</f>
        <v/>
      </c>
      <c r="AI758" s="80" t="str">
        <f>IF(AND(OR(LEFT(TH!O758,2)="15",LEFT(TH!P758,2)="15"),'152-CT'!$J$8=TH!F758),"x","")</f>
        <v/>
      </c>
      <c r="AJ758" s="80" t="str">
        <f>IF(AND(OR(LEFT(TH!O758,2)="15",LEFT(TH!P758,2)="15"),'THE KHO'!$E$7=TH!F758),"x","")</f>
        <v/>
      </c>
      <c r="AK758" s="80" t="str">
        <f>IF(AND(O758="1521",MONTH(C758)='BK NL'!$M$11),"x","")</f>
        <v/>
      </c>
    </row>
    <row r="759" spans="1:37" ht="15.75" customHeight="1">
      <c r="A759" s="362" t="str">
        <f>IF(B759&lt;&gt;"",IF(AND(B759&gt;=_TM1,B759&lt;=_TM2,OR(TH!O759="1111",TH!P759="1111")),TH!D759,""),"")</f>
        <v/>
      </c>
      <c r="B759" s="63" t="str">
        <f>IF(C759&lt;&gt;"",MONTH(C759),"")</f>
        <v/>
      </c>
      <c r="C759" s="64"/>
      <c r="D759" s="64"/>
      <c r="E759" s="64"/>
      <c r="F759" s="67"/>
      <c r="G759" s="336"/>
      <c r="H759" s="71"/>
      <c r="I759" s="476"/>
      <c r="J759" s="476"/>
      <c r="K759" s="469"/>
      <c r="L759" s="476"/>
      <c r="M759" s="65"/>
      <c r="N759" s="65"/>
      <c r="O759" s="66"/>
      <c r="P759" s="66"/>
      <c r="Q759" s="66" t="str">
        <f>IF(AND('331-CT'!$E$7=TH!H759,OR(O759="331",P759="331")),"x","")</f>
        <v/>
      </c>
      <c r="R759" s="66" t="str">
        <f>IF(AND($B759&gt;='111'!$N$11,$B759&lt;='111'!$O$11,OR($O759=$R$7,$P759=$R$7)),"x","")</f>
        <v/>
      </c>
      <c r="S759" s="66" t="str">
        <f>IF(AND($O759=$R$7,$B759&lt;'111'!$N$11),"x","")</f>
        <v/>
      </c>
      <c r="T759" s="66" t="str">
        <f>IF(AND($P759=$R$7,$B759&lt;'111'!$N$11),"x","")</f>
        <v/>
      </c>
      <c r="U759" s="66" t="str">
        <f>IF(AND($B759&gt;='112'!$M$9,$B759&lt;='112'!$N$9,OR($O759='112'!$I$6,$P759='112'!$I$6)),"x","")</f>
        <v/>
      </c>
      <c r="V759" s="66" t="str">
        <f>IF(AND($O759='112'!$I$6,$B759&lt;'112'!$M$9),"x","")</f>
        <v/>
      </c>
      <c r="W759" s="66" t="str">
        <f>IF(AND($P759='112'!$I$6,$B759&lt;'112'!$M$9),"x","")</f>
        <v/>
      </c>
      <c r="X759" s="66" t="str">
        <f>IF(AND('131-CT'!$H$9=TH!H759,OR(O759="131",P759="131")),"x","")</f>
        <v/>
      </c>
      <c r="Y759" s="80" t="str">
        <f>IF(AND($B759&gt;='1331'!$I$9,$B759&lt;='1331'!$J$9,OR($O759=$Y$7,$P759=$Y$7)),"x","")</f>
        <v/>
      </c>
      <c r="Z759" s="80" t="str">
        <f>IF(AND($O759=$Y$7,$B759&lt;'1331'!$I$9),"x","")</f>
        <v/>
      </c>
      <c r="AA759" s="80" t="str">
        <f>IF(AND($P759=$Y$7,$B759&lt;'1331'!$I$9),"x","")</f>
        <v/>
      </c>
      <c r="AB759" s="80" t="str">
        <f>IF(AND($B759&gt;='1332'!$I$9,$B759&lt;='1332'!$I$9,OR($O759=$AB$7,$P759=$AB$7)),"x","")</f>
        <v/>
      </c>
      <c r="AC759" s="80" t="str">
        <f>IF(AND($O759=$AB$7,$B759&lt;'1332'!$I$9),"x","")</f>
        <v/>
      </c>
      <c r="AD759" s="80" t="str">
        <f>IF(AND($P759=$AB$7,$B759&lt;'1332'!$I$9),"x","")</f>
        <v/>
      </c>
      <c r="AE759" s="80" t="str">
        <f>IF(AND('341-CT'!$H$9=H759,OR(LEFT(O759,3)=$AE$7,LEFT(P759,3)=$AE$7)),"x","")</f>
        <v/>
      </c>
      <c r="AF759" s="80" t="str">
        <f>IF(OR(TH!O759=TH!$AF$7,P759=TH!$AF$7),"x","")</f>
        <v/>
      </c>
      <c r="AG759" s="80"/>
      <c r="AH759" s="80" t="str">
        <f>IF(AND(B759&gt;='IN-NX'!$P$3,B759&lt;='IN-NX'!$Q$3,'IN-NX'!$D$7=D759,OR(LEFT(L759,2)="15",AND(LEFT(M759,2)&lt;&gt;"15",LEFT(M759,2)&lt;&gt;"33"))),"x","")</f>
        <v/>
      </c>
      <c r="AI759" s="80" t="str">
        <f>IF(AND(OR(LEFT(TH!O759,2)="15",LEFT(TH!P759,2)="15"),'152-CT'!$J$8=TH!F759),"x","")</f>
        <v/>
      </c>
      <c r="AJ759" s="80" t="str">
        <f>IF(AND(OR(LEFT(TH!O759,2)="15",LEFT(TH!P759,2)="15"),'THE KHO'!$E$7=TH!F759),"x","")</f>
        <v/>
      </c>
      <c r="AK759" s="80" t="str">
        <f>IF(AND(O759="1521",MONTH(C759)='BK NL'!$M$11),"x","")</f>
        <v/>
      </c>
    </row>
    <row r="760" spans="1:37" ht="15.75" customHeight="1">
      <c r="A760" s="362" t="str">
        <f>IF(B760&lt;&gt;"",IF(AND(B760&gt;=_TM1,B760&lt;=_TM2,OR(TH!O760="1111",TH!P760="1111")),TH!D760,""),"")</f>
        <v/>
      </c>
      <c r="B760" s="63" t="str">
        <f>IF(C760&lt;&gt;"",MONTH(C760),"")</f>
        <v/>
      </c>
      <c r="C760" s="64"/>
      <c r="D760" s="64"/>
      <c r="E760" s="64"/>
      <c r="F760" s="67"/>
      <c r="G760" s="336"/>
      <c r="H760" s="71"/>
      <c r="I760" s="476"/>
      <c r="J760" s="476"/>
      <c r="K760" s="469"/>
      <c r="L760" s="476"/>
      <c r="M760" s="65"/>
      <c r="N760" s="65"/>
      <c r="O760" s="66"/>
      <c r="P760" s="66"/>
      <c r="Q760" s="66" t="str">
        <f>IF(AND('331-CT'!$E$7=TH!H760,OR(O760="331",P760="331")),"x","")</f>
        <v/>
      </c>
      <c r="R760" s="66" t="str">
        <f>IF(AND($B760&gt;='111'!$N$11,$B760&lt;='111'!$O$11,OR($O760=$R$7,$P760=$R$7)),"x","")</f>
        <v/>
      </c>
      <c r="S760" s="66" t="str">
        <f>IF(AND($O760=$R$7,$B760&lt;'111'!$N$11),"x","")</f>
        <v/>
      </c>
      <c r="T760" s="66" t="str">
        <f>IF(AND($P760=$R$7,$B760&lt;'111'!$N$11),"x","")</f>
        <v/>
      </c>
      <c r="U760" s="66" t="str">
        <f>IF(AND($B760&gt;='112'!$M$9,$B760&lt;='112'!$N$9,OR($O760='112'!$I$6,$P760='112'!$I$6)),"x","")</f>
        <v/>
      </c>
      <c r="V760" s="66" t="str">
        <f>IF(AND($O760='112'!$I$6,$B760&lt;'112'!$M$9),"x","")</f>
        <v/>
      </c>
      <c r="W760" s="66" t="str">
        <f>IF(AND($P760='112'!$I$6,$B760&lt;'112'!$M$9),"x","")</f>
        <v/>
      </c>
      <c r="X760" s="66" t="str">
        <f>IF(AND('131-CT'!$H$9=TH!H760,OR(O760="131",P760="131")),"x","")</f>
        <v/>
      </c>
      <c r="Y760" s="80" t="str">
        <f>IF(AND($B760&gt;='1331'!$I$9,$B760&lt;='1331'!$J$9,OR($O760=$Y$7,$P760=$Y$7)),"x","")</f>
        <v/>
      </c>
      <c r="Z760" s="80" t="str">
        <f>IF(AND($O760=$Y$7,$B760&lt;'1331'!$I$9),"x","")</f>
        <v/>
      </c>
      <c r="AA760" s="80" t="str">
        <f>IF(AND($P760=$Y$7,$B760&lt;'1331'!$I$9),"x","")</f>
        <v/>
      </c>
      <c r="AB760" s="80" t="str">
        <f>IF(AND($B760&gt;='1332'!$I$9,$B760&lt;='1332'!$I$9,OR($O760=$AB$7,$P760=$AB$7)),"x","")</f>
        <v/>
      </c>
      <c r="AC760" s="80" t="str">
        <f>IF(AND($O760=$AB$7,$B760&lt;'1332'!$I$9),"x","")</f>
        <v/>
      </c>
      <c r="AD760" s="80" t="str">
        <f>IF(AND($P760=$AB$7,$B760&lt;'1332'!$I$9),"x","")</f>
        <v/>
      </c>
      <c r="AE760" s="80" t="str">
        <f>IF(AND('341-CT'!$H$9=H760,OR(LEFT(O760,3)=$AE$7,LEFT(P760,3)=$AE$7)),"x","")</f>
        <v/>
      </c>
      <c r="AF760" s="80" t="str">
        <f>IF(OR(TH!O760=TH!$AF$7,P760=TH!$AF$7),"x","")</f>
        <v/>
      </c>
      <c r="AG760" s="80"/>
      <c r="AH760" s="80" t="str">
        <f>IF(AND(B760&gt;='IN-NX'!$P$3,B760&lt;='IN-NX'!$Q$3,'IN-NX'!$D$7=D760,OR(LEFT(L760,2)="15",AND(LEFT(M760,2)&lt;&gt;"15",LEFT(M760,2)&lt;&gt;"33"))),"x","")</f>
        <v/>
      </c>
      <c r="AI760" s="80" t="str">
        <f>IF(AND(OR(LEFT(TH!O760,2)="15",LEFT(TH!P760,2)="15"),'152-CT'!$J$8=TH!F760),"x","")</f>
        <v/>
      </c>
      <c r="AJ760" s="80" t="str">
        <f>IF(AND(OR(LEFT(TH!O760,2)="15",LEFT(TH!P760,2)="15"),'THE KHO'!$E$7=TH!F760),"x","")</f>
        <v/>
      </c>
      <c r="AK760" s="80" t="str">
        <f>IF(AND(O760="1521",MONTH(C760)='BK NL'!$M$11),"x","")</f>
        <v/>
      </c>
    </row>
    <row r="764" spans="1:37">
      <c r="N764" s="1012"/>
    </row>
  </sheetData>
  <autoFilter ref="A9:AM760">
    <filterColumn colId="1"/>
    <filterColumn colId="5"/>
    <filterColumn colId="13"/>
    <filterColumn colId="14"/>
    <filterColumn colId="15"/>
    <filterColumn colId="27"/>
    <filterColumn colId="28"/>
    <filterColumn colId="29"/>
    <filterColumn colId="37"/>
  </autoFilter>
  <sortState ref="A533:AJ644">
    <sortCondition ref="C533:C644"/>
  </sortState>
  <mergeCells count="23">
    <mergeCell ref="A7:A8"/>
    <mergeCell ref="B7:B8"/>
    <mergeCell ref="H7:H8"/>
    <mergeCell ref="K7:L7"/>
    <mergeCell ref="AG7:AG8"/>
    <mergeCell ref="AF7:AF8"/>
    <mergeCell ref="AE7:AE8"/>
    <mergeCell ref="Y7:AA8"/>
    <mergeCell ref="U7:W8"/>
    <mergeCell ref="R7:T8"/>
    <mergeCell ref="Q7:Q8"/>
    <mergeCell ref="I7:J7"/>
    <mergeCell ref="X7:X8"/>
    <mergeCell ref="AH7:AK8"/>
    <mergeCell ref="C4:P4"/>
    <mergeCell ref="C5:P5"/>
    <mergeCell ref="C7:C8"/>
    <mergeCell ref="D7:E7"/>
    <mergeCell ref="F7:F8"/>
    <mergeCell ref="M7:M8"/>
    <mergeCell ref="O7:P7"/>
    <mergeCell ref="G7:G8"/>
    <mergeCell ref="AB7:AD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dimension ref="A1:F29"/>
  <sheetViews>
    <sheetView workbookViewId="0">
      <selection activeCell="A18" sqref="A18"/>
    </sheetView>
  </sheetViews>
  <sheetFormatPr defaultRowHeight="15.75"/>
  <cols>
    <col min="1" max="1" width="23.28515625" style="1058" customWidth="1"/>
    <col min="2" max="2" width="10" style="1058" customWidth="1"/>
    <col min="3" max="3" width="13.28515625" style="1058" customWidth="1"/>
    <col min="4" max="4" width="22" style="1058" customWidth="1"/>
    <col min="5" max="5" width="12.85546875" style="1058" customWidth="1"/>
    <col min="6" max="16384" width="9.140625" style="1058"/>
  </cols>
  <sheetData>
    <row r="1" spans="1:6">
      <c r="A1" s="1057" t="s">
        <v>212</v>
      </c>
    </row>
    <row r="2" spans="1:6">
      <c r="A2" s="1059" t="s">
        <v>213</v>
      </c>
    </row>
    <row r="4" spans="1:6" ht="19.5">
      <c r="A4" s="1196" t="s">
        <v>1034</v>
      </c>
      <c r="B4" s="1196"/>
      <c r="C4" s="1196"/>
      <c r="D4" s="1196"/>
      <c r="E4" s="1196"/>
      <c r="F4" s="1196"/>
    </row>
    <row r="5" spans="1:6">
      <c r="D5" s="1058" t="s">
        <v>1035</v>
      </c>
    </row>
    <row r="6" spans="1:6">
      <c r="D6" s="1058" t="s">
        <v>1036</v>
      </c>
    </row>
    <row r="8" spans="1:6" s="1062" customFormat="1">
      <c r="A8" s="1061" t="s">
        <v>1037</v>
      </c>
      <c r="B8" s="1061" t="s">
        <v>60</v>
      </c>
      <c r="C8" s="1061" t="s">
        <v>1038</v>
      </c>
      <c r="D8" s="1061" t="s">
        <v>1039</v>
      </c>
      <c r="E8" s="1061" t="s">
        <v>1040</v>
      </c>
    </row>
    <row r="9" spans="1:6">
      <c r="A9" s="1060"/>
      <c r="B9" s="1060"/>
      <c r="C9" s="1060"/>
      <c r="D9" s="1060"/>
      <c r="E9" s="1060"/>
    </row>
    <row r="10" spans="1:6">
      <c r="A10" s="1060"/>
      <c r="B10" s="1060"/>
      <c r="C10" s="1060"/>
      <c r="D10" s="1060"/>
      <c r="E10" s="1060"/>
    </row>
    <row r="11" spans="1:6">
      <c r="A11" s="1060"/>
      <c r="B11" s="1060"/>
      <c r="C11" s="1060"/>
      <c r="D11" s="1060"/>
      <c r="E11" s="1060"/>
    </row>
    <row r="12" spans="1:6">
      <c r="A12" s="1060"/>
      <c r="B12" s="1060"/>
      <c r="C12" s="1060"/>
      <c r="D12" s="1060"/>
      <c r="E12" s="1060"/>
    </row>
    <row r="13" spans="1:6">
      <c r="A13" s="1060"/>
      <c r="B13" s="1060"/>
      <c r="C13" s="1060"/>
      <c r="D13" s="1060"/>
      <c r="E13" s="1060"/>
    </row>
    <row r="14" spans="1:6">
      <c r="A14" s="1060"/>
      <c r="B14" s="1060"/>
      <c r="C14" s="1060"/>
      <c r="D14" s="1060"/>
      <c r="E14" s="1060"/>
    </row>
    <row r="15" spans="1:6">
      <c r="A15" s="1060"/>
      <c r="B15" s="1060"/>
      <c r="C15" s="1060"/>
      <c r="D15" s="1060"/>
      <c r="E15" s="1060"/>
    </row>
    <row r="16" spans="1:6">
      <c r="A16" s="1060"/>
      <c r="B16" s="1060"/>
      <c r="C16" s="1060"/>
      <c r="D16" s="1060"/>
      <c r="E16" s="1060"/>
    </row>
    <row r="17" spans="1:5">
      <c r="A17" s="1060"/>
      <c r="B17" s="1060"/>
      <c r="C17" s="1060"/>
      <c r="D17" s="1060"/>
      <c r="E17" s="1060"/>
    </row>
    <row r="18" spans="1:5">
      <c r="A18" s="1060"/>
      <c r="B18" s="1060"/>
      <c r="C18" s="1060"/>
      <c r="D18" s="1060"/>
      <c r="E18" s="1060"/>
    </row>
    <row r="19" spans="1:5">
      <c r="A19" s="1060"/>
      <c r="B19" s="1060"/>
      <c r="C19" s="1060"/>
      <c r="D19" s="1060"/>
      <c r="E19" s="1060"/>
    </row>
    <row r="20" spans="1:5">
      <c r="A20" s="1060"/>
      <c r="B20" s="1060"/>
      <c r="C20" s="1060"/>
      <c r="D20" s="1060"/>
      <c r="E20" s="1060"/>
    </row>
    <row r="21" spans="1:5">
      <c r="A21" s="1060"/>
      <c r="B21" s="1060"/>
      <c r="C21" s="1060"/>
      <c r="D21" s="1060"/>
      <c r="E21" s="1060"/>
    </row>
    <row r="22" spans="1:5">
      <c r="A22" s="1060"/>
      <c r="B22" s="1060"/>
      <c r="C22" s="1060"/>
      <c r="D22" s="1060"/>
      <c r="E22" s="1060"/>
    </row>
    <row r="23" spans="1:5">
      <c r="A23" s="1060"/>
      <c r="B23" s="1060"/>
      <c r="C23" s="1060"/>
      <c r="D23" s="1060"/>
      <c r="E23" s="1060"/>
    </row>
    <row r="24" spans="1:5">
      <c r="A24" s="1060"/>
      <c r="B24" s="1060"/>
      <c r="C24" s="1060"/>
      <c r="D24" s="1060"/>
      <c r="E24" s="1060"/>
    </row>
    <row r="25" spans="1:5">
      <c r="A25" s="1060"/>
      <c r="B25" s="1060"/>
      <c r="C25" s="1060"/>
      <c r="D25" s="1060"/>
      <c r="E25" s="1060"/>
    </row>
    <row r="26" spans="1:5">
      <c r="A26" s="1060"/>
      <c r="B26" s="1060"/>
      <c r="C26" s="1060"/>
      <c r="D26" s="1060"/>
      <c r="E26" s="1060"/>
    </row>
    <row r="27" spans="1:5">
      <c r="A27" s="1060"/>
      <c r="B27" s="1060"/>
      <c r="C27" s="1060"/>
      <c r="D27" s="1060"/>
      <c r="E27" s="1060"/>
    </row>
    <row r="28" spans="1:5">
      <c r="A28" s="1060"/>
      <c r="B28" s="1060"/>
      <c r="C28" s="1060"/>
      <c r="D28" s="1060"/>
      <c r="E28" s="1060"/>
    </row>
    <row r="29" spans="1:5">
      <c r="A29" s="1060"/>
      <c r="B29" s="1060"/>
      <c r="C29" s="1060"/>
      <c r="D29" s="1060"/>
      <c r="E29" s="1060"/>
    </row>
  </sheetData>
  <mergeCells count="1">
    <mergeCell ref="A4:F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sheetPr>
    <tabColor rgb="FF7030A0"/>
  </sheetPr>
  <dimension ref="A1:BH511"/>
  <sheetViews>
    <sheetView topLeftCell="AN436" workbookViewId="0">
      <selection activeCell="AT459" sqref="AT459"/>
    </sheetView>
  </sheetViews>
  <sheetFormatPr defaultRowHeight="12.75"/>
  <cols>
    <col min="1" max="1" width="4.85546875" style="267" customWidth="1"/>
    <col min="2" max="2" width="10.28515625" style="1097" customWidth="1"/>
    <col min="3" max="3" width="7.42578125" style="267" customWidth="1"/>
    <col min="4" max="4" width="9" style="1097" customWidth="1"/>
    <col min="5" max="5" width="48.28515625" style="267" customWidth="1"/>
    <col min="6" max="6" width="14.140625" style="267" customWidth="1"/>
    <col min="7" max="8" width="5.85546875" style="268" customWidth="1"/>
    <col min="9" max="9" width="4.85546875" style="267" customWidth="1"/>
    <col min="10" max="10" width="13.28515625" style="267" customWidth="1"/>
    <col min="11" max="11" width="14" style="267" customWidth="1"/>
    <col min="12" max="12" width="13.5703125" style="267" customWidth="1"/>
    <col min="13" max="13" width="13.7109375" style="267" customWidth="1"/>
    <col min="14" max="14" width="13.140625" style="267" customWidth="1"/>
    <col min="15" max="15" width="14.5703125" style="267" customWidth="1"/>
    <col min="16" max="16" width="15.28515625" style="267" customWidth="1"/>
    <col min="17" max="17" width="8.42578125" style="267" bestFit="1" customWidth="1"/>
    <col min="18" max="18" width="15.5703125" style="267" customWidth="1"/>
    <col min="19" max="19" width="13" style="267" customWidth="1"/>
    <col min="20" max="20" width="13.140625" style="267" customWidth="1"/>
    <col min="21" max="21" width="8.42578125" style="267" bestFit="1" customWidth="1"/>
    <col min="22" max="22" width="11" style="267" customWidth="1"/>
    <col min="23" max="23" width="8.42578125" style="267" bestFit="1" customWidth="1"/>
    <col min="24" max="24" width="12.28515625" style="267" customWidth="1"/>
    <col min="25" max="25" width="8.42578125" style="267" bestFit="1" customWidth="1"/>
    <col min="26" max="26" width="14.42578125" style="267" customWidth="1"/>
    <col min="27" max="27" width="8.42578125" style="267" bestFit="1" customWidth="1"/>
    <col min="28" max="28" width="14" style="267" customWidth="1"/>
    <col min="29" max="29" width="13.140625" style="267" customWidth="1"/>
    <col min="30" max="30" width="10.28515625" style="267" customWidth="1"/>
    <col min="31" max="31" width="11" style="267" customWidth="1"/>
    <col min="32" max="32" width="10.28515625" style="267" customWidth="1"/>
    <col min="33" max="33" width="9.5703125" style="267" customWidth="1"/>
    <col min="34" max="34" width="13.5703125" style="267" customWidth="1"/>
    <col min="35" max="35" width="13.42578125" style="267" customWidth="1"/>
    <col min="36" max="36" width="8.42578125" style="267" bestFit="1" customWidth="1"/>
    <col min="37" max="37" width="14.28515625" style="267" customWidth="1"/>
    <col min="38" max="38" width="12.85546875" style="267" customWidth="1"/>
    <col min="39" max="39" width="13.5703125" style="267" customWidth="1"/>
    <col min="40" max="40" width="8.42578125" style="267" bestFit="1" customWidth="1"/>
    <col min="41" max="41" width="14.42578125" style="267" customWidth="1"/>
    <col min="42" max="42" width="12.140625" style="267" customWidth="1"/>
    <col min="43" max="43" width="8.42578125" style="267" bestFit="1" customWidth="1"/>
    <col min="44" max="44" width="11.85546875" style="267" customWidth="1"/>
    <col min="45" max="45" width="11.5703125" style="267" customWidth="1"/>
    <col min="46" max="46" width="11.42578125" style="267" customWidth="1"/>
    <col min="47" max="47" width="11.140625" style="267" bestFit="1" customWidth="1"/>
    <col min="48" max="49" width="12.5703125" style="267" customWidth="1"/>
    <col min="50" max="50" width="11.85546875" style="267" customWidth="1"/>
    <col min="51" max="51" width="12.85546875" style="267" bestFit="1" customWidth="1"/>
    <col min="52" max="52" width="10.140625" style="267" hidden="1" customWidth="1"/>
    <col min="53" max="53" width="11.85546875" style="267" hidden="1" customWidth="1"/>
    <col min="54" max="54" width="9.140625" style="267" hidden="1" customWidth="1"/>
    <col min="55" max="57" width="10.7109375" style="267" hidden="1" customWidth="1"/>
    <col min="58" max="58" width="12.85546875" style="267" customWidth="1"/>
    <col min="59" max="59" width="12.42578125" style="267" customWidth="1"/>
    <col min="60" max="16384" width="9.140625" style="267"/>
  </cols>
  <sheetData>
    <row r="1" spans="1:59" ht="12.75" customHeight="1">
      <c r="A1" s="263"/>
      <c r="B1" s="1095" t="s">
        <v>156</v>
      </c>
      <c r="C1" s="265"/>
      <c r="D1" s="1096"/>
      <c r="E1" s="266"/>
      <c r="G1" s="1198" t="s">
        <v>277</v>
      </c>
      <c r="H1" s="1198"/>
      <c r="I1" s="1198"/>
      <c r="J1" s="1198"/>
      <c r="K1" s="1198"/>
      <c r="N1" s="266"/>
      <c r="O1" s="266"/>
      <c r="P1" s="266"/>
      <c r="Q1" s="266"/>
      <c r="R1" s="266"/>
      <c r="S1" s="266"/>
      <c r="T1" s="266"/>
      <c r="U1" s="266"/>
      <c r="V1" s="1019"/>
      <c r="W1" s="1019"/>
      <c r="X1" s="1019"/>
      <c r="Y1" s="1019"/>
      <c r="AD1" s="265"/>
      <c r="AE1" s="265"/>
      <c r="AF1" s="266"/>
      <c r="AG1" s="266"/>
      <c r="AH1" s="266"/>
      <c r="AI1" s="266"/>
      <c r="AJ1" s="266"/>
      <c r="AK1" s="266"/>
      <c r="AL1" s="266"/>
      <c r="AM1" s="266"/>
      <c r="AN1" s="266"/>
      <c r="AO1" s="266"/>
      <c r="AP1" s="266"/>
      <c r="AQ1" s="266"/>
      <c r="AR1" s="266"/>
      <c r="AS1" s="266"/>
      <c r="AT1" s="266"/>
      <c r="AU1" s="266"/>
      <c r="AV1" s="266"/>
      <c r="AW1" s="266"/>
      <c r="AX1" s="266"/>
      <c r="AY1" s="266"/>
      <c r="AZ1" s="265"/>
      <c r="BA1" s="265"/>
      <c r="BB1" s="265"/>
      <c r="BC1" s="265"/>
      <c r="BD1" s="265"/>
      <c r="BE1" s="265"/>
      <c r="BF1" s="265"/>
      <c r="BG1" s="265"/>
    </row>
    <row r="2" spans="1:59" ht="12.75" customHeight="1">
      <c r="A2" s="263"/>
      <c r="B2" s="1095" t="s">
        <v>266</v>
      </c>
      <c r="C2" s="265"/>
      <c r="D2" s="1096"/>
      <c r="E2" s="265"/>
      <c r="G2" s="1199" t="s">
        <v>223</v>
      </c>
      <c r="H2" s="1199"/>
      <c r="I2" s="1199"/>
      <c r="J2" s="1199"/>
      <c r="K2" s="1199"/>
      <c r="N2" s="270"/>
      <c r="O2" s="270"/>
      <c r="P2" s="270"/>
      <c r="Q2" s="270"/>
      <c r="R2" s="270"/>
      <c r="S2" s="270"/>
      <c r="T2" s="270"/>
      <c r="U2" s="270"/>
      <c r="V2" s="1020"/>
      <c r="W2" s="1020"/>
      <c r="X2" s="1020"/>
      <c r="Y2" s="1020"/>
      <c r="AD2" s="269"/>
      <c r="AE2" s="269"/>
      <c r="AF2" s="270"/>
      <c r="AG2" s="270"/>
      <c r="AH2" s="270"/>
      <c r="AI2" s="270"/>
      <c r="AJ2" s="270"/>
      <c r="AK2" s="270"/>
      <c r="AL2" s="270"/>
      <c r="AM2" s="270"/>
      <c r="AN2" s="270"/>
      <c r="AO2" s="270"/>
      <c r="AP2" s="270"/>
      <c r="AQ2" s="270"/>
      <c r="AR2" s="270"/>
      <c r="AS2" s="270"/>
      <c r="AT2" s="270"/>
      <c r="AU2" s="270"/>
      <c r="AV2" s="270"/>
      <c r="AW2" s="270"/>
      <c r="AX2" s="270"/>
      <c r="AY2" s="270"/>
      <c r="AZ2" s="269"/>
      <c r="BA2" s="269"/>
      <c r="BB2" s="269"/>
      <c r="BC2" s="269"/>
      <c r="BD2" s="269"/>
      <c r="BE2" s="269"/>
      <c r="BF2" s="269"/>
      <c r="BG2" s="269"/>
    </row>
    <row r="3" spans="1:59" ht="10.5" customHeight="1">
      <c r="A3" s="265"/>
      <c r="B3" s="1096"/>
      <c r="C3" s="265"/>
      <c r="D3" s="1096"/>
      <c r="E3" s="265"/>
      <c r="F3" s="269"/>
      <c r="G3" s="1020"/>
      <c r="H3" s="271"/>
      <c r="I3" s="269"/>
      <c r="N3" s="270"/>
      <c r="O3" s="270"/>
      <c r="P3" s="270"/>
      <c r="Q3" s="270"/>
      <c r="R3" s="270"/>
      <c r="S3" s="270"/>
      <c r="T3" s="270"/>
      <c r="U3" s="270"/>
      <c r="V3" s="1020"/>
      <c r="W3" s="1020"/>
      <c r="X3" s="1020"/>
      <c r="Y3" s="1020"/>
      <c r="AD3" s="269"/>
      <c r="AE3" s="269"/>
      <c r="AF3" s="270"/>
      <c r="AG3" s="270"/>
      <c r="AH3" s="270"/>
      <c r="AI3" s="270"/>
      <c r="AJ3" s="270"/>
      <c r="AK3" s="270"/>
      <c r="AL3" s="270"/>
      <c r="AM3" s="270"/>
      <c r="AN3" s="270"/>
      <c r="AO3" s="270"/>
      <c r="AP3" s="270"/>
      <c r="AQ3" s="270"/>
      <c r="AR3" s="270"/>
      <c r="AS3" s="270"/>
      <c r="AT3" s="270"/>
      <c r="AU3" s="270"/>
      <c r="AV3" s="270"/>
      <c r="AW3" s="270"/>
      <c r="AX3" s="270"/>
      <c r="AY3" s="270"/>
      <c r="AZ3" s="269"/>
      <c r="BA3" s="269"/>
      <c r="BB3" s="269"/>
      <c r="BC3" s="269"/>
      <c r="BD3" s="269"/>
      <c r="BE3" s="269"/>
      <c r="BF3" s="269"/>
      <c r="BG3" s="269"/>
    </row>
    <row r="4" spans="1:59" ht="19.5" customHeight="1">
      <c r="B4" s="1201" t="s">
        <v>146</v>
      </c>
      <c r="C4" s="1201"/>
      <c r="D4" s="1201"/>
      <c r="E4" s="1201"/>
      <c r="F4" s="1201"/>
      <c r="G4" s="1201"/>
      <c r="H4" s="1201"/>
      <c r="I4" s="1201"/>
      <c r="J4" s="1201"/>
      <c r="K4" s="1201"/>
      <c r="L4" s="1201"/>
      <c r="M4" s="1201"/>
      <c r="N4" s="1201"/>
      <c r="O4" s="1201"/>
      <c r="P4" s="1201"/>
      <c r="Q4" s="1201"/>
      <c r="R4" s="1201"/>
      <c r="S4" s="1201"/>
      <c r="T4" s="1201"/>
      <c r="U4" s="272"/>
      <c r="V4" s="272"/>
      <c r="W4" s="272"/>
      <c r="X4" s="272"/>
      <c r="Y4" s="272"/>
      <c r="Z4" s="272"/>
      <c r="AA4" s="272"/>
      <c r="AB4" s="272"/>
      <c r="AC4" s="272"/>
      <c r="AD4" s="273"/>
      <c r="AE4" s="273"/>
      <c r="AF4" s="272"/>
      <c r="AG4" s="272"/>
      <c r="AH4" s="272"/>
      <c r="AI4" s="272"/>
      <c r="AJ4" s="272"/>
      <c r="AK4" s="272"/>
      <c r="AL4" s="272"/>
      <c r="AM4" s="272"/>
      <c r="AN4" s="272"/>
      <c r="AO4" s="272"/>
      <c r="AP4" s="272"/>
      <c r="AQ4" s="272"/>
      <c r="AR4" s="272"/>
      <c r="AS4" s="272"/>
      <c r="AT4" s="272"/>
      <c r="AU4" s="272"/>
      <c r="AV4" s="272"/>
      <c r="AW4" s="272"/>
      <c r="AX4" s="272"/>
      <c r="AY4" s="272"/>
      <c r="AZ4" s="274"/>
      <c r="BA4" s="274"/>
      <c r="BB4" s="274"/>
      <c r="BC4" s="274"/>
      <c r="BD4" s="274"/>
      <c r="BE4" s="274"/>
      <c r="BF4" s="274"/>
      <c r="BG4" s="274"/>
    </row>
    <row r="5" spans="1:59" ht="15">
      <c r="B5" s="1202" t="s">
        <v>1045</v>
      </c>
      <c r="C5" s="1202"/>
      <c r="D5" s="1202"/>
      <c r="E5" s="1202"/>
      <c r="F5" s="1202"/>
      <c r="G5" s="1202"/>
      <c r="H5" s="1202"/>
      <c r="I5" s="1202"/>
      <c r="J5" s="1202"/>
      <c r="K5" s="1202"/>
      <c r="L5" s="1202"/>
      <c r="M5" s="1202"/>
      <c r="N5" s="1202"/>
      <c r="O5" s="1202"/>
      <c r="P5" s="1202"/>
      <c r="Q5" s="1202"/>
      <c r="R5" s="1202"/>
      <c r="S5" s="1202"/>
      <c r="T5" s="1202"/>
      <c r="U5" s="275"/>
      <c r="V5" s="275"/>
      <c r="W5" s="275"/>
      <c r="X5" s="275"/>
      <c r="Y5" s="275"/>
      <c r="Z5" s="275"/>
      <c r="AA5" s="275"/>
      <c r="AB5" s="275"/>
      <c r="AC5" s="275"/>
      <c r="AD5" s="276"/>
      <c r="AE5" s="276"/>
      <c r="AF5" s="275"/>
      <c r="AG5" s="275"/>
      <c r="AH5" s="275"/>
      <c r="AI5" s="275"/>
      <c r="AJ5" s="275"/>
      <c r="AK5" s="275"/>
      <c r="AL5" s="275"/>
      <c r="AM5" s="275"/>
      <c r="AN5" s="275"/>
      <c r="AO5" s="275"/>
      <c r="AP5" s="275"/>
      <c r="AQ5" s="275"/>
      <c r="AR5" s="275"/>
      <c r="AS5" s="275"/>
      <c r="AT5" s="275"/>
      <c r="AU5" s="275"/>
      <c r="AV5" s="275"/>
      <c r="AW5" s="275"/>
      <c r="AX5" s="275"/>
      <c r="AY5" s="275"/>
    </row>
    <row r="6" spans="1:59">
      <c r="N6" s="267" t="s">
        <v>227</v>
      </c>
    </row>
    <row r="7" spans="1:59" ht="13.5" customHeight="1">
      <c r="A7" s="1203" t="s">
        <v>45</v>
      </c>
      <c r="B7" s="1205" t="s">
        <v>27</v>
      </c>
      <c r="C7" s="1206" t="s">
        <v>1</v>
      </c>
      <c r="D7" s="1207"/>
      <c r="E7" s="1197" t="s">
        <v>0</v>
      </c>
      <c r="F7" s="1197" t="s">
        <v>147</v>
      </c>
      <c r="G7" s="1208" t="s">
        <v>148</v>
      </c>
      <c r="H7" s="1208"/>
      <c r="I7" s="1200" t="s">
        <v>45</v>
      </c>
      <c r="J7" s="1197" t="s">
        <v>278</v>
      </c>
      <c r="K7" s="1197"/>
      <c r="L7" s="1197" t="s">
        <v>279</v>
      </c>
      <c r="M7" s="1197"/>
      <c r="N7" s="1197" t="s">
        <v>454</v>
      </c>
      <c r="O7" s="1197"/>
      <c r="P7" s="1197" t="s">
        <v>280</v>
      </c>
      <c r="Q7" s="1197"/>
      <c r="R7" s="1197" t="s">
        <v>983</v>
      </c>
      <c r="S7" s="1197"/>
      <c r="T7" s="1197" t="s">
        <v>281</v>
      </c>
      <c r="U7" s="1197"/>
      <c r="V7" s="1197" t="s">
        <v>1044</v>
      </c>
      <c r="W7" s="1197"/>
      <c r="X7" s="1197" t="s">
        <v>1044</v>
      </c>
      <c r="Y7" s="1197"/>
      <c r="Z7" s="1197" t="s">
        <v>282</v>
      </c>
      <c r="AA7" s="1197"/>
      <c r="AB7" s="1197" t="s">
        <v>283</v>
      </c>
      <c r="AC7" s="1197"/>
      <c r="AD7" s="1197" t="s">
        <v>284</v>
      </c>
      <c r="AE7" s="1197"/>
      <c r="AF7" s="1197" t="s">
        <v>285</v>
      </c>
      <c r="AG7" s="1197"/>
      <c r="AH7" s="1197" t="s">
        <v>286</v>
      </c>
      <c r="AI7" s="1197"/>
      <c r="AJ7" s="1197" t="s">
        <v>287</v>
      </c>
      <c r="AK7" s="1197"/>
      <c r="AL7" s="1197" t="s">
        <v>444</v>
      </c>
      <c r="AM7" s="1197"/>
      <c r="AN7" s="1197" t="s">
        <v>288</v>
      </c>
      <c r="AO7" s="1197"/>
      <c r="AP7" s="1197" t="s">
        <v>289</v>
      </c>
      <c r="AQ7" s="1197"/>
      <c r="AR7" s="1197" t="s">
        <v>290</v>
      </c>
      <c r="AS7" s="1197"/>
      <c r="AT7" s="1197" t="s">
        <v>291</v>
      </c>
      <c r="AU7" s="1197"/>
      <c r="AV7" s="1197" t="s">
        <v>292</v>
      </c>
      <c r="AW7" s="1197"/>
      <c r="AX7" s="1197" t="s">
        <v>293</v>
      </c>
      <c r="AY7" s="1197"/>
      <c r="AZ7" s="1197" t="s">
        <v>294</v>
      </c>
      <c r="BA7" s="1197"/>
      <c r="BB7" s="1197" t="s">
        <v>295</v>
      </c>
      <c r="BC7" s="1197"/>
      <c r="BD7" s="1197" t="s">
        <v>296</v>
      </c>
      <c r="BE7" s="1197"/>
      <c r="BF7" s="1197" t="s">
        <v>297</v>
      </c>
      <c r="BG7" s="1197"/>
    </row>
    <row r="8" spans="1:59" ht="22.5" customHeight="1">
      <c r="A8" s="1204"/>
      <c r="B8" s="1205"/>
      <c r="C8" s="278" t="s">
        <v>20</v>
      </c>
      <c r="D8" s="1104" t="s">
        <v>39</v>
      </c>
      <c r="E8" s="1197"/>
      <c r="F8" s="1197"/>
      <c r="G8" s="279" t="s">
        <v>29</v>
      </c>
      <c r="H8" s="279" t="s">
        <v>30</v>
      </c>
      <c r="I8" s="1200"/>
      <c r="J8" s="277" t="s">
        <v>29</v>
      </c>
      <c r="K8" s="277" t="s">
        <v>30</v>
      </c>
      <c r="L8" s="277" t="s">
        <v>29</v>
      </c>
      <c r="M8" s="277" t="s">
        <v>30</v>
      </c>
      <c r="N8" s="465" t="s">
        <v>29</v>
      </c>
      <c r="O8" s="465" t="s">
        <v>30</v>
      </c>
      <c r="P8" s="277" t="s">
        <v>29</v>
      </c>
      <c r="Q8" s="277" t="s">
        <v>30</v>
      </c>
      <c r="R8" s="1010" t="s">
        <v>29</v>
      </c>
      <c r="S8" s="1010" t="s">
        <v>30</v>
      </c>
      <c r="T8" s="277" t="s">
        <v>29</v>
      </c>
      <c r="U8" s="277" t="s">
        <v>30</v>
      </c>
      <c r="V8" s="1021" t="s">
        <v>29</v>
      </c>
      <c r="W8" s="1021" t="s">
        <v>30</v>
      </c>
      <c r="X8" s="1021" t="s">
        <v>29</v>
      </c>
      <c r="Y8" s="1021" t="s">
        <v>30</v>
      </c>
      <c r="Z8" s="277" t="s">
        <v>29</v>
      </c>
      <c r="AA8" s="277" t="s">
        <v>30</v>
      </c>
      <c r="AB8" s="277" t="s">
        <v>29</v>
      </c>
      <c r="AC8" s="277" t="s">
        <v>30</v>
      </c>
      <c r="AD8" s="277" t="s">
        <v>29</v>
      </c>
      <c r="AE8" s="277" t="s">
        <v>30</v>
      </c>
      <c r="AF8" s="277" t="s">
        <v>29</v>
      </c>
      <c r="AG8" s="277" t="s">
        <v>30</v>
      </c>
      <c r="AH8" s="277" t="s">
        <v>29</v>
      </c>
      <c r="AI8" s="277" t="s">
        <v>30</v>
      </c>
      <c r="AJ8" s="277" t="s">
        <v>29</v>
      </c>
      <c r="AK8" s="277" t="s">
        <v>30</v>
      </c>
      <c r="AL8" s="461" t="s">
        <v>29</v>
      </c>
      <c r="AM8" s="461" t="s">
        <v>30</v>
      </c>
      <c r="AN8" s="277" t="s">
        <v>29</v>
      </c>
      <c r="AO8" s="277" t="s">
        <v>30</v>
      </c>
      <c r="AP8" s="277" t="s">
        <v>29</v>
      </c>
      <c r="AQ8" s="277" t="s">
        <v>30</v>
      </c>
      <c r="AR8" s="277" t="s">
        <v>29</v>
      </c>
      <c r="AS8" s="277" t="s">
        <v>30</v>
      </c>
      <c r="AT8" s="277" t="s">
        <v>29</v>
      </c>
      <c r="AU8" s="277" t="s">
        <v>30</v>
      </c>
      <c r="AV8" s="277" t="s">
        <v>29</v>
      </c>
      <c r="AW8" s="277" t="s">
        <v>30</v>
      </c>
      <c r="AX8" s="277" t="s">
        <v>29</v>
      </c>
      <c r="AY8" s="277" t="s">
        <v>30</v>
      </c>
      <c r="AZ8" s="277" t="s">
        <v>29</v>
      </c>
      <c r="BA8" s="277" t="s">
        <v>30</v>
      </c>
      <c r="BB8" s="277" t="s">
        <v>29</v>
      </c>
      <c r="BC8" s="277" t="s">
        <v>30</v>
      </c>
      <c r="BD8" s="277" t="s">
        <v>29</v>
      </c>
      <c r="BE8" s="277" t="s">
        <v>30</v>
      </c>
      <c r="BF8" s="277" t="s">
        <v>29</v>
      </c>
      <c r="BG8" s="277" t="s">
        <v>30</v>
      </c>
    </row>
    <row r="9" spans="1:59" s="1107" customFormat="1" ht="8.25" customHeight="1">
      <c r="A9" s="1106">
        <v>1</v>
      </c>
      <c r="B9" s="1106">
        <v>2</v>
      </c>
      <c r="C9" s="1106">
        <v>3</v>
      </c>
      <c r="D9" s="1106">
        <v>4</v>
      </c>
      <c r="E9" s="1106">
        <v>5</v>
      </c>
      <c r="F9" s="1106">
        <v>6</v>
      </c>
      <c r="G9" s="1106">
        <v>7</v>
      </c>
      <c r="H9" s="1106">
        <v>8</v>
      </c>
      <c r="I9" s="1106">
        <v>9</v>
      </c>
      <c r="J9" s="1106">
        <v>10</v>
      </c>
      <c r="K9" s="1106">
        <v>11</v>
      </c>
      <c r="L9" s="1106">
        <v>12</v>
      </c>
      <c r="M9" s="1106">
        <v>13</v>
      </c>
      <c r="N9" s="1106">
        <v>12</v>
      </c>
      <c r="O9" s="1106">
        <v>13</v>
      </c>
      <c r="P9" s="1106">
        <v>14</v>
      </c>
      <c r="Q9" s="1106">
        <v>15</v>
      </c>
      <c r="R9" s="1106">
        <v>14</v>
      </c>
      <c r="S9" s="1106">
        <v>15</v>
      </c>
      <c r="T9" s="1106">
        <v>16</v>
      </c>
      <c r="U9" s="1106">
        <v>17</v>
      </c>
      <c r="V9" s="1106">
        <v>16</v>
      </c>
      <c r="W9" s="1106">
        <v>17</v>
      </c>
      <c r="X9" s="1106">
        <v>16</v>
      </c>
      <c r="Y9" s="1106">
        <v>17</v>
      </c>
      <c r="Z9" s="1106">
        <v>18</v>
      </c>
      <c r="AA9" s="1106">
        <v>19</v>
      </c>
      <c r="AB9" s="1106">
        <v>20</v>
      </c>
      <c r="AC9" s="1106">
        <v>21</v>
      </c>
      <c r="AD9" s="1106">
        <v>22</v>
      </c>
      <c r="AE9" s="1106">
        <v>23</v>
      </c>
      <c r="AF9" s="1106">
        <v>24</v>
      </c>
      <c r="AG9" s="1106">
        <v>25</v>
      </c>
      <c r="AH9" s="1106">
        <v>26</v>
      </c>
      <c r="AI9" s="1106">
        <v>27</v>
      </c>
      <c r="AJ9" s="1106">
        <v>28</v>
      </c>
      <c r="AK9" s="1106">
        <v>29</v>
      </c>
      <c r="AL9" s="1106">
        <v>28</v>
      </c>
      <c r="AM9" s="1106">
        <v>29</v>
      </c>
      <c r="AN9" s="1106">
        <v>30</v>
      </c>
      <c r="AO9" s="1106">
        <v>31</v>
      </c>
      <c r="AP9" s="1106">
        <v>32</v>
      </c>
      <c r="AQ9" s="1106">
        <v>33</v>
      </c>
      <c r="AR9" s="1106">
        <v>34</v>
      </c>
      <c r="AS9" s="1106">
        <v>35</v>
      </c>
      <c r="AT9" s="1106">
        <v>36</v>
      </c>
      <c r="AU9" s="1106">
        <v>37</v>
      </c>
      <c r="AV9" s="1106">
        <v>38</v>
      </c>
      <c r="AW9" s="1106">
        <v>39</v>
      </c>
      <c r="AX9" s="1106">
        <v>40</v>
      </c>
      <c r="AY9" s="1106">
        <v>41</v>
      </c>
      <c r="AZ9" s="1106">
        <v>42</v>
      </c>
      <c r="BA9" s="1106">
        <v>43</v>
      </c>
      <c r="BB9" s="1106">
        <v>44</v>
      </c>
      <c r="BC9" s="1106">
        <v>45</v>
      </c>
      <c r="BD9" s="1106">
        <v>46</v>
      </c>
      <c r="BE9" s="1106">
        <v>47</v>
      </c>
      <c r="BF9" s="1106">
        <v>48</v>
      </c>
      <c r="BG9" s="1106">
        <v>49</v>
      </c>
    </row>
    <row r="10" spans="1:59" s="289" customFormat="1" ht="15" customHeight="1">
      <c r="A10" s="63" t="str">
        <f t="array" ref="A10">IF(C10&lt;&gt;0,SUM(($C10:C$16&lt;&gt;0)*1),"")</f>
        <v/>
      </c>
      <c r="B10" s="1098"/>
      <c r="C10" s="283"/>
      <c r="D10" s="1098"/>
      <c r="E10" s="284" t="s">
        <v>298</v>
      </c>
      <c r="F10" s="285"/>
      <c r="G10" s="286"/>
      <c r="H10" s="286"/>
      <c r="I10" s="287"/>
      <c r="J10" s="288">
        <f>CDPS!C10</f>
        <v>1342165410</v>
      </c>
      <c r="K10" s="288">
        <f>CDPS!D10</f>
        <v>0</v>
      </c>
      <c r="L10" s="288">
        <f>CDPS!C12</f>
        <v>1694774692</v>
      </c>
      <c r="M10" s="288">
        <f>CDPS!D12</f>
        <v>0</v>
      </c>
      <c r="N10" s="288">
        <f>CDPS!C13</f>
        <v>0</v>
      </c>
      <c r="O10" s="288">
        <f>CDPS!D13</f>
        <v>0</v>
      </c>
      <c r="P10" s="288">
        <f>CDPS!C16</f>
        <v>0</v>
      </c>
      <c r="Q10" s="288">
        <f>CDPS!D16</f>
        <v>0</v>
      </c>
      <c r="R10" s="288">
        <f>CDPS!C17</f>
        <v>452614594</v>
      </c>
      <c r="S10" s="288">
        <f>CDPS!D17</f>
        <v>0</v>
      </c>
      <c r="T10" s="288">
        <f>CDPS!C19</f>
        <v>0</v>
      </c>
      <c r="U10" s="288">
        <f>CDPS!D19</f>
        <v>0</v>
      </c>
      <c r="V10" s="288">
        <f>CDPS!C23</f>
        <v>0</v>
      </c>
      <c r="W10" s="288">
        <f>CDPS!D23</f>
        <v>0</v>
      </c>
      <c r="X10" s="288">
        <v>0</v>
      </c>
      <c r="Y10" s="288">
        <v>0</v>
      </c>
      <c r="Z10" s="288">
        <f>CDPS!C32</f>
        <v>22599987302</v>
      </c>
      <c r="AA10" s="288">
        <f>CDPS!D32</f>
        <v>0</v>
      </c>
      <c r="AB10" s="288">
        <f>CDPS!C34</f>
        <v>4310031764</v>
      </c>
      <c r="AC10" s="288">
        <f>CDPS!D34</f>
        <v>0</v>
      </c>
      <c r="AD10" s="288">
        <f>CDPS!C35</f>
        <v>0</v>
      </c>
      <c r="AE10" s="288">
        <f>CDPS!D35</f>
        <v>0</v>
      </c>
      <c r="AF10" s="288">
        <f>CDPS!C36</f>
        <v>0</v>
      </c>
      <c r="AG10" s="288">
        <f>CDPS!D36</f>
        <v>0</v>
      </c>
      <c r="AH10" s="288">
        <f>CDPS!C44</f>
        <v>0</v>
      </c>
      <c r="AI10" s="288">
        <f>CDPS!D44</f>
        <v>5000000000</v>
      </c>
      <c r="AJ10" s="288">
        <f>CDPS!C46</f>
        <v>0</v>
      </c>
      <c r="AK10" s="288">
        <f>CDPS!D46</f>
        <v>20000000000</v>
      </c>
      <c r="AL10" s="288">
        <f>CDPS!C47</f>
        <v>0</v>
      </c>
      <c r="AM10" s="288">
        <f>CDPS!D47</f>
        <v>1982640000</v>
      </c>
      <c r="AN10" s="288">
        <f>CDPS!C49</f>
        <v>0</v>
      </c>
      <c r="AO10" s="288">
        <f>CDPS!D49</f>
        <v>4000000000</v>
      </c>
      <c r="AP10" s="288">
        <f>CDPS!C51</f>
        <v>223589505</v>
      </c>
      <c r="AQ10" s="288">
        <f>CDPS!D51</f>
        <v>0</v>
      </c>
      <c r="AR10" s="288">
        <f>CDPS!C52</f>
        <v>359476733</v>
      </c>
      <c r="AS10" s="288">
        <f>CDPS!D52</f>
        <v>0</v>
      </c>
      <c r="AT10" s="288">
        <f>CDPS!C58</f>
        <v>0</v>
      </c>
      <c r="AU10" s="288">
        <f>CDPS!D58</f>
        <v>0</v>
      </c>
      <c r="AV10" s="288">
        <v>0</v>
      </c>
      <c r="AW10" s="288">
        <v>0</v>
      </c>
      <c r="AX10" s="288">
        <v>0</v>
      </c>
      <c r="AY10" s="288">
        <v>0</v>
      </c>
      <c r="AZ10" s="288">
        <v>0</v>
      </c>
      <c r="BA10" s="288">
        <v>0</v>
      </c>
      <c r="BB10" s="288">
        <v>0</v>
      </c>
      <c r="BC10" s="288">
        <v>0</v>
      </c>
      <c r="BD10" s="288">
        <v>0</v>
      </c>
      <c r="BE10" s="288">
        <v>0</v>
      </c>
      <c r="BF10" s="288">
        <v>0</v>
      </c>
      <c r="BG10" s="288">
        <v>0</v>
      </c>
    </row>
    <row r="11" spans="1:59" s="289" customFormat="1" ht="15" customHeight="1">
      <c r="A11" s="63">
        <f t="array" ref="A11">IF(C11&lt;&gt;0,SUM(($C$11:C11&lt;&gt;0)*1),"")</f>
        <v>1</v>
      </c>
      <c r="B11" s="1099">
        <v>42371</v>
      </c>
      <c r="C11" s="290" t="s">
        <v>42</v>
      </c>
      <c r="D11" s="1099">
        <v>42371</v>
      </c>
      <c r="E11" s="344" t="s">
        <v>361</v>
      </c>
      <c r="F11" s="345">
        <v>4500000</v>
      </c>
      <c r="G11" s="346" t="s">
        <v>242</v>
      </c>
      <c r="H11" s="346" t="s">
        <v>97</v>
      </c>
      <c r="I11" s="63">
        <f t="shared" ref="I11:I34" si="0">A11</f>
        <v>1</v>
      </c>
      <c r="J11" s="292">
        <f t="shared" ref="J11:J450" si="1">IF($G11="1111",$F11,0)</f>
        <v>0</v>
      </c>
      <c r="K11" s="292">
        <f t="shared" ref="K11:K450" si="2">IF($H11="1111",$F11,0)</f>
        <v>4500000</v>
      </c>
      <c r="L11" s="292">
        <f t="shared" ref="L11:L450" si="3">IF($G11="1121",$F11,0)</f>
        <v>0</v>
      </c>
      <c r="M11" s="292">
        <f t="shared" ref="M11:M450" si="4">IF($H11="1121",$F11,0)</f>
        <v>0</v>
      </c>
      <c r="N11" s="292">
        <f>IF($G11="1122",$F11,0)</f>
        <v>0</v>
      </c>
      <c r="O11" s="292">
        <f>IF($H11="1122",$F11,0)</f>
        <v>0</v>
      </c>
      <c r="P11" s="292">
        <f t="shared" ref="P11:P450" si="5">IF($G11="1331",$F11,0)</f>
        <v>0</v>
      </c>
      <c r="Q11" s="292">
        <f t="shared" ref="Q11:Q450" si="6">IF($H11="1331",$F11,0)</f>
        <v>0</v>
      </c>
      <c r="R11" s="292">
        <f>IF($G11="1332",$F11,0)</f>
        <v>0</v>
      </c>
      <c r="S11" s="292">
        <f>IF($H11="1332",$F11,0)</f>
        <v>0</v>
      </c>
      <c r="T11" s="292">
        <f t="shared" ref="T11:T450" si="7">IF($G11="1388",$F11,0)</f>
        <v>0</v>
      </c>
      <c r="U11" s="292">
        <f t="shared" ref="U11:U450" si="8">IF($H11="1388",$F11,0)</f>
        <v>0</v>
      </c>
      <c r="V11" s="292">
        <f>IF($G11="1522",$F11,0)</f>
        <v>0</v>
      </c>
      <c r="W11" s="292">
        <f>IF($H11="1522",$F11,0)</f>
        <v>0</v>
      </c>
      <c r="X11" s="292">
        <f>IF($G11="154",$F11,0)</f>
        <v>0</v>
      </c>
      <c r="Y11" s="292">
        <f>IF($H11="154",$F11,0)</f>
        <v>0</v>
      </c>
      <c r="Z11" s="292">
        <f>IF($G11="2412",$F11,0)</f>
        <v>4500000</v>
      </c>
      <c r="AA11" s="292">
        <f>IF($H11="2412",$F11,0)</f>
        <v>0</v>
      </c>
      <c r="AB11" s="292">
        <f t="shared" ref="AB11:AB450" si="9">IF($G11="331",$F11,0)</f>
        <v>0</v>
      </c>
      <c r="AC11" s="292">
        <f t="shared" ref="AC11:AC450" si="10">IF($H11="331",$F11,0)</f>
        <v>0</v>
      </c>
      <c r="AD11" s="292">
        <f t="shared" ref="AD11:AD450" si="11">IF($G11="3334",$F11,0)</f>
        <v>0</v>
      </c>
      <c r="AE11" s="292">
        <f t="shared" ref="AE11:AE450" si="12">IF($H11="3334",$F11,0)</f>
        <v>0</v>
      </c>
      <c r="AF11" s="292">
        <f t="shared" ref="AF11:AF450" si="13">IF($G11="33382",$F11,0)</f>
        <v>0</v>
      </c>
      <c r="AG11" s="292">
        <f t="shared" ref="AG11:AG450" si="14">IF($H11="33382",$F11,0)</f>
        <v>0</v>
      </c>
      <c r="AH11" s="292">
        <f t="shared" ref="AH11:AH450" si="15">IF($G11="3388",$F11,0)</f>
        <v>0</v>
      </c>
      <c r="AI11" s="292">
        <f t="shared" ref="AI11:AI450" si="16">IF($H11="3388",$F11,0)</f>
        <v>0</v>
      </c>
      <c r="AJ11" s="292">
        <f t="shared" ref="AJ11:AJ450" si="17">IF($G11="3411",$F11,0)</f>
        <v>0</v>
      </c>
      <c r="AK11" s="292">
        <f t="shared" ref="AK11:AK450" si="18">IF($H11="3411",$F11,0)</f>
        <v>0</v>
      </c>
      <c r="AL11" s="292">
        <f>IF($G11="3412",$F11,0)</f>
        <v>0</v>
      </c>
      <c r="AM11" s="292">
        <f>IF($H11="3412",$F11,0)</f>
        <v>0</v>
      </c>
      <c r="AN11" s="292">
        <f t="shared" ref="AN11:AN450" si="19">IF($G11="4111",$F11,0)</f>
        <v>0</v>
      </c>
      <c r="AO11" s="292">
        <f t="shared" ref="AO11:AO450" si="20">IF($H11="4111",$F11,0)</f>
        <v>0</v>
      </c>
      <c r="AP11" s="292">
        <f t="shared" ref="AP11:AP450" si="21">IF($G11="4211",$F11,0)</f>
        <v>0</v>
      </c>
      <c r="AQ11" s="292">
        <f t="shared" ref="AQ11:AQ450" si="22">IF($H11="4211",$F11,0)</f>
        <v>0</v>
      </c>
      <c r="AR11" s="292">
        <f t="shared" ref="AR11:AR450" si="23">IF($G11="4212",$F11,0)</f>
        <v>0</v>
      </c>
      <c r="AS11" s="292">
        <f t="shared" ref="AS11:AS450" si="24">IF($H11="4212",$F11,0)</f>
        <v>0</v>
      </c>
      <c r="AT11" s="292">
        <f t="shared" ref="AT11:AT450" si="25">IF($G11="515",$F11,0)</f>
        <v>0</v>
      </c>
      <c r="AU11" s="292">
        <f t="shared" ref="AU11:AU450" si="26">IF($H11="515",$F11,0)</f>
        <v>0</v>
      </c>
      <c r="AV11" s="292">
        <f t="shared" ref="AV11:AV450" si="27">IF($G11="635",$F11,0)</f>
        <v>0</v>
      </c>
      <c r="AW11" s="292">
        <f t="shared" ref="AW11:AW450" si="28">IF($H11="635",$F11,0)</f>
        <v>0</v>
      </c>
      <c r="AX11" s="292">
        <f t="shared" ref="AX11:AX450" si="29">IF($G11="642",$F11,0)</f>
        <v>0</v>
      </c>
      <c r="AY11" s="292">
        <f t="shared" ref="AY11:AY450" si="30">IF($H11="642",$F11,0)</f>
        <v>0</v>
      </c>
      <c r="AZ11" s="292">
        <f t="shared" ref="AZ11:AZ450" si="31">IF($G11="711",$F11,0)</f>
        <v>0</v>
      </c>
      <c r="BA11" s="292">
        <f t="shared" ref="BA11:BA450" si="32">IF($H11="711",$F11,0)</f>
        <v>0</v>
      </c>
      <c r="BB11" s="292">
        <f t="shared" ref="BB11:BB450" si="33">IF($G11="811",$F11,0)</f>
        <v>0</v>
      </c>
      <c r="BC11" s="292">
        <f t="shared" ref="BC11:BC450" si="34">IF($H11="811",$F11,0)</f>
        <v>0</v>
      </c>
      <c r="BD11" s="292">
        <f t="shared" ref="BD11:BD450" si="35">IF($G11="821",$F11,0)</f>
        <v>0</v>
      </c>
      <c r="BE11" s="292">
        <f t="shared" ref="BE11:BE450" si="36">IF($H11="821",$F11,0)</f>
        <v>0</v>
      </c>
      <c r="BF11" s="292">
        <f t="shared" ref="BF11:BF450" si="37">IF($G11="911",$F11,0)</f>
        <v>0</v>
      </c>
      <c r="BG11" s="292">
        <f t="shared" ref="BG11:BG450" si="38">IF($H11="911",$F11,0)</f>
        <v>0</v>
      </c>
    </row>
    <row r="12" spans="1:59" s="289" customFormat="1" ht="15" customHeight="1">
      <c r="A12" s="63">
        <f t="array" ref="A12">IF(C12&lt;&gt;0,SUM(($C$11:C12&lt;&gt;0)*1),"")</f>
        <v>2</v>
      </c>
      <c r="B12" s="1099">
        <v>42371</v>
      </c>
      <c r="C12" s="290" t="s">
        <v>42</v>
      </c>
      <c r="D12" s="1099">
        <v>42371</v>
      </c>
      <c r="E12" s="344" t="s">
        <v>362</v>
      </c>
      <c r="F12" s="345">
        <v>450000</v>
      </c>
      <c r="G12" s="346" t="s">
        <v>981</v>
      </c>
      <c r="H12" s="346" t="s">
        <v>97</v>
      </c>
      <c r="I12" s="63">
        <f t="shared" si="0"/>
        <v>2</v>
      </c>
      <c r="J12" s="292">
        <f t="shared" si="1"/>
        <v>0</v>
      </c>
      <c r="K12" s="292">
        <f t="shared" si="2"/>
        <v>450000</v>
      </c>
      <c r="L12" s="292">
        <f t="shared" si="3"/>
        <v>0</v>
      </c>
      <c r="M12" s="292">
        <f t="shared" si="4"/>
        <v>0</v>
      </c>
      <c r="N12" s="292">
        <f t="shared" ref="N12:N450" si="39">IF($G12="1122",$F12,0)</f>
        <v>0</v>
      </c>
      <c r="O12" s="292">
        <f t="shared" ref="O12:O450" si="40">IF($H12="1122",$F12,0)</f>
        <v>0</v>
      </c>
      <c r="P12" s="292">
        <f t="shared" si="5"/>
        <v>0</v>
      </c>
      <c r="Q12" s="292">
        <f t="shared" si="6"/>
        <v>0</v>
      </c>
      <c r="R12" s="292">
        <f t="shared" ref="R12:R75" si="41">IF($G12="1332",$F12,0)</f>
        <v>450000</v>
      </c>
      <c r="S12" s="292">
        <f t="shared" ref="S12:S75" si="42">IF($H12="1332",$F12,0)</f>
        <v>0</v>
      </c>
      <c r="T12" s="292">
        <f t="shared" si="7"/>
        <v>0</v>
      </c>
      <c r="U12" s="292">
        <f t="shared" si="8"/>
        <v>0</v>
      </c>
      <c r="V12" s="292">
        <f t="shared" ref="V12:V75" si="43">IF($G12="1522",$F12,0)</f>
        <v>0</v>
      </c>
      <c r="W12" s="292">
        <f t="shared" ref="W12:W75" si="44">IF($H12="1522",$F12,0)</f>
        <v>0</v>
      </c>
      <c r="X12" s="292">
        <f t="shared" ref="X12:X75" si="45">IF($G12="154",$F12,0)</f>
        <v>0</v>
      </c>
      <c r="Y12" s="292">
        <f t="shared" ref="Y12:Y75" si="46">IF($H12="154",$F12,0)</f>
        <v>0</v>
      </c>
      <c r="Z12" s="292">
        <f t="shared" ref="Z12:Z450" si="47">IF($G12="2412",$F12,0)</f>
        <v>0</v>
      </c>
      <c r="AA12" s="292">
        <f t="shared" ref="AA12:AA450" si="48">IF($H12="2412",$F12,0)</f>
        <v>0</v>
      </c>
      <c r="AB12" s="292">
        <f t="shared" si="9"/>
        <v>0</v>
      </c>
      <c r="AC12" s="292">
        <f t="shared" si="10"/>
        <v>0</v>
      </c>
      <c r="AD12" s="292">
        <f t="shared" si="11"/>
        <v>0</v>
      </c>
      <c r="AE12" s="292">
        <f t="shared" si="12"/>
        <v>0</v>
      </c>
      <c r="AF12" s="292">
        <f t="shared" si="13"/>
        <v>0</v>
      </c>
      <c r="AG12" s="292">
        <f t="shared" si="14"/>
        <v>0</v>
      </c>
      <c r="AH12" s="292">
        <f t="shared" si="15"/>
        <v>0</v>
      </c>
      <c r="AI12" s="292">
        <f t="shared" si="16"/>
        <v>0</v>
      </c>
      <c r="AJ12" s="292">
        <f t="shared" si="17"/>
        <v>0</v>
      </c>
      <c r="AK12" s="292">
        <f t="shared" si="18"/>
        <v>0</v>
      </c>
      <c r="AL12" s="292">
        <f t="shared" ref="AL12:AL450" si="49">IF($G12="3412",$F12,0)</f>
        <v>0</v>
      </c>
      <c r="AM12" s="292">
        <f t="shared" ref="AM12:AM450" si="50">IF($H12="3412",$F12,0)</f>
        <v>0</v>
      </c>
      <c r="AN12" s="292">
        <f t="shared" si="19"/>
        <v>0</v>
      </c>
      <c r="AO12" s="292">
        <f t="shared" si="20"/>
        <v>0</v>
      </c>
      <c r="AP12" s="292">
        <f t="shared" si="21"/>
        <v>0</v>
      </c>
      <c r="AQ12" s="292">
        <f t="shared" si="22"/>
        <v>0</v>
      </c>
      <c r="AR12" s="292">
        <f t="shared" si="23"/>
        <v>0</v>
      </c>
      <c r="AS12" s="292">
        <f t="shared" si="24"/>
        <v>0</v>
      </c>
      <c r="AT12" s="292">
        <f t="shared" si="25"/>
        <v>0</v>
      </c>
      <c r="AU12" s="292">
        <f t="shared" si="26"/>
        <v>0</v>
      </c>
      <c r="AV12" s="292">
        <f t="shared" si="27"/>
        <v>0</v>
      </c>
      <c r="AW12" s="292">
        <f t="shared" si="28"/>
        <v>0</v>
      </c>
      <c r="AX12" s="292">
        <f t="shared" si="29"/>
        <v>0</v>
      </c>
      <c r="AY12" s="292">
        <f t="shared" si="30"/>
        <v>0</v>
      </c>
      <c r="AZ12" s="292">
        <f t="shared" si="31"/>
        <v>0</v>
      </c>
      <c r="BA12" s="292">
        <f t="shared" si="32"/>
        <v>0</v>
      </c>
      <c r="BB12" s="292">
        <f t="shared" si="33"/>
        <v>0</v>
      </c>
      <c r="BC12" s="292">
        <f t="shared" si="34"/>
        <v>0</v>
      </c>
      <c r="BD12" s="292">
        <f t="shared" si="35"/>
        <v>0</v>
      </c>
      <c r="BE12" s="292">
        <f t="shared" si="36"/>
        <v>0</v>
      </c>
      <c r="BF12" s="292">
        <f t="shared" si="37"/>
        <v>0</v>
      </c>
      <c r="BG12" s="292">
        <f t="shared" si="38"/>
        <v>0</v>
      </c>
    </row>
    <row r="13" spans="1:59" s="289" customFormat="1" ht="15" customHeight="1">
      <c r="A13" s="63">
        <f t="array" ref="A13">IF(C13&lt;&gt;0,SUM(($C$11:C13&lt;&gt;0)*1),"")</f>
        <v>3</v>
      </c>
      <c r="B13" s="1099">
        <v>42373</v>
      </c>
      <c r="C13" s="290" t="s">
        <v>53</v>
      </c>
      <c r="D13" s="1099">
        <v>42373</v>
      </c>
      <c r="E13" s="344" t="s">
        <v>361</v>
      </c>
      <c r="F13" s="345">
        <v>18000000</v>
      </c>
      <c r="G13" s="346" t="s">
        <v>242</v>
      </c>
      <c r="H13" s="346" t="s">
        <v>97</v>
      </c>
      <c r="I13" s="63">
        <f t="shared" si="0"/>
        <v>3</v>
      </c>
      <c r="J13" s="292">
        <f t="shared" si="1"/>
        <v>0</v>
      </c>
      <c r="K13" s="292">
        <f t="shared" si="2"/>
        <v>18000000</v>
      </c>
      <c r="L13" s="292">
        <f t="shared" si="3"/>
        <v>0</v>
      </c>
      <c r="M13" s="292">
        <f t="shared" si="4"/>
        <v>0</v>
      </c>
      <c r="N13" s="292">
        <f t="shared" si="39"/>
        <v>0</v>
      </c>
      <c r="O13" s="292">
        <f t="shared" si="40"/>
        <v>0</v>
      </c>
      <c r="P13" s="292">
        <f t="shared" si="5"/>
        <v>0</v>
      </c>
      <c r="Q13" s="292">
        <f t="shared" si="6"/>
        <v>0</v>
      </c>
      <c r="R13" s="292">
        <f t="shared" si="41"/>
        <v>0</v>
      </c>
      <c r="S13" s="292">
        <f t="shared" si="42"/>
        <v>0</v>
      </c>
      <c r="T13" s="292">
        <f t="shared" si="7"/>
        <v>0</v>
      </c>
      <c r="U13" s="292">
        <f t="shared" si="8"/>
        <v>0</v>
      </c>
      <c r="V13" s="292">
        <f t="shared" si="43"/>
        <v>0</v>
      </c>
      <c r="W13" s="292">
        <f t="shared" si="44"/>
        <v>0</v>
      </c>
      <c r="X13" s="292">
        <f t="shared" si="45"/>
        <v>0</v>
      </c>
      <c r="Y13" s="292">
        <f t="shared" si="46"/>
        <v>0</v>
      </c>
      <c r="Z13" s="292">
        <f t="shared" si="47"/>
        <v>18000000</v>
      </c>
      <c r="AA13" s="292">
        <f t="shared" si="48"/>
        <v>0</v>
      </c>
      <c r="AB13" s="292">
        <f t="shared" si="9"/>
        <v>0</v>
      </c>
      <c r="AC13" s="292">
        <f t="shared" si="10"/>
        <v>0</v>
      </c>
      <c r="AD13" s="292">
        <f t="shared" si="11"/>
        <v>0</v>
      </c>
      <c r="AE13" s="292">
        <f t="shared" si="12"/>
        <v>0</v>
      </c>
      <c r="AF13" s="292">
        <f t="shared" si="13"/>
        <v>0</v>
      </c>
      <c r="AG13" s="292">
        <f t="shared" si="14"/>
        <v>0</v>
      </c>
      <c r="AH13" s="292">
        <f t="shared" si="15"/>
        <v>0</v>
      </c>
      <c r="AI13" s="292">
        <f t="shared" si="16"/>
        <v>0</v>
      </c>
      <c r="AJ13" s="292">
        <f t="shared" si="17"/>
        <v>0</v>
      </c>
      <c r="AK13" s="292">
        <f t="shared" si="18"/>
        <v>0</v>
      </c>
      <c r="AL13" s="292">
        <f t="shared" si="49"/>
        <v>0</v>
      </c>
      <c r="AM13" s="292">
        <f t="shared" si="50"/>
        <v>0</v>
      </c>
      <c r="AN13" s="292">
        <f t="shared" si="19"/>
        <v>0</v>
      </c>
      <c r="AO13" s="292">
        <f t="shared" si="20"/>
        <v>0</v>
      </c>
      <c r="AP13" s="292">
        <f t="shared" si="21"/>
        <v>0</v>
      </c>
      <c r="AQ13" s="292">
        <f t="shared" si="22"/>
        <v>0</v>
      </c>
      <c r="AR13" s="292">
        <f t="shared" si="23"/>
        <v>0</v>
      </c>
      <c r="AS13" s="292">
        <f t="shared" si="24"/>
        <v>0</v>
      </c>
      <c r="AT13" s="292">
        <f t="shared" si="25"/>
        <v>0</v>
      </c>
      <c r="AU13" s="292">
        <f t="shared" si="26"/>
        <v>0</v>
      </c>
      <c r="AV13" s="292">
        <f t="shared" si="27"/>
        <v>0</v>
      </c>
      <c r="AW13" s="292">
        <f t="shared" si="28"/>
        <v>0</v>
      </c>
      <c r="AX13" s="292">
        <f t="shared" si="29"/>
        <v>0</v>
      </c>
      <c r="AY13" s="292">
        <f t="shared" si="30"/>
        <v>0</v>
      </c>
      <c r="AZ13" s="292">
        <f t="shared" si="31"/>
        <v>0</v>
      </c>
      <c r="BA13" s="292">
        <f t="shared" si="32"/>
        <v>0</v>
      </c>
      <c r="BB13" s="292">
        <f t="shared" si="33"/>
        <v>0</v>
      </c>
      <c r="BC13" s="292">
        <f t="shared" si="34"/>
        <v>0</v>
      </c>
      <c r="BD13" s="292">
        <f t="shared" si="35"/>
        <v>0</v>
      </c>
      <c r="BE13" s="292">
        <f t="shared" si="36"/>
        <v>0</v>
      </c>
      <c r="BF13" s="292">
        <f t="shared" si="37"/>
        <v>0</v>
      </c>
      <c r="BG13" s="292">
        <f t="shared" si="38"/>
        <v>0</v>
      </c>
    </row>
    <row r="14" spans="1:59" s="289" customFormat="1" ht="15" customHeight="1">
      <c r="A14" s="63">
        <f t="array" ref="A14">IF(C14&lt;&gt;0,SUM(($C$11:C14&lt;&gt;0)*1),"")</f>
        <v>4</v>
      </c>
      <c r="B14" s="1099">
        <v>42373</v>
      </c>
      <c r="C14" s="290" t="s">
        <v>53</v>
      </c>
      <c r="D14" s="1099">
        <v>42373</v>
      </c>
      <c r="E14" s="344" t="s">
        <v>362</v>
      </c>
      <c r="F14" s="345">
        <v>1800000</v>
      </c>
      <c r="G14" s="346" t="s">
        <v>981</v>
      </c>
      <c r="H14" s="346" t="s">
        <v>97</v>
      </c>
      <c r="I14" s="63">
        <f t="shared" si="0"/>
        <v>4</v>
      </c>
      <c r="J14" s="292">
        <f t="shared" si="1"/>
        <v>0</v>
      </c>
      <c r="K14" s="292">
        <f t="shared" si="2"/>
        <v>1800000</v>
      </c>
      <c r="L14" s="292">
        <f t="shared" si="3"/>
        <v>0</v>
      </c>
      <c r="M14" s="292">
        <f t="shared" si="4"/>
        <v>0</v>
      </c>
      <c r="N14" s="292">
        <f t="shared" si="39"/>
        <v>0</v>
      </c>
      <c r="O14" s="292">
        <f t="shared" si="40"/>
        <v>0</v>
      </c>
      <c r="P14" s="292">
        <f t="shared" si="5"/>
        <v>0</v>
      </c>
      <c r="Q14" s="292">
        <f t="shared" si="6"/>
        <v>0</v>
      </c>
      <c r="R14" s="292">
        <f t="shared" si="41"/>
        <v>1800000</v>
      </c>
      <c r="S14" s="292">
        <f t="shared" si="42"/>
        <v>0</v>
      </c>
      <c r="T14" s="292">
        <f t="shared" si="7"/>
        <v>0</v>
      </c>
      <c r="U14" s="292">
        <f t="shared" si="8"/>
        <v>0</v>
      </c>
      <c r="V14" s="292">
        <f t="shared" si="43"/>
        <v>0</v>
      </c>
      <c r="W14" s="292">
        <f t="shared" si="44"/>
        <v>0</v>
      </c>
      <c r="X14" s="292">
        <f t="shared" si="45"/>
        <v>0</v>
      </c>
      <c r="Y14" s="292">
        <f t="shared" si="46"/>
        <v>0</v>
      </c>
      <c r="Z14" s="292">
        <f t="shared" si="47"/>
        <v>0</v>
      </c>
      <c r="AA14" s="292">
        <f t="shared" si="48"/>
        <v>0</v>
      </c>
      <c r="AB14" s="292">
        <f t="shared" si="9"/>
        <v>0</v>
      </c>
      <c r="AC14" s="292">
        <f t="shared" si="10"/>
        <v>0</v>
      </c>
      <c r="AD14" s="292">
        <f t="shared" si="11"/>
        <v>0</v>
      </c>
      <c r="AE14" s="292">
        <f t="shared" si="12"/>
        <v>0</v>
      </c>
      <c r="AF14" s="292">
        <f t="shared" si="13"/>
        <v>0</v>
      </c>
      <c r="AG14" s="292">
        <f t="shared" si="14"/>
        <v>0</v>
      </c>
      <c r="AH14" s="292">
        <f t="shared" si="15"/>
        <v>0</v>
      </c>
      <c r="AI14" s="292">
        <f t="shared" si="16"/>
        <v>0</v>
      </c>
      <c r="AJ14" s="292">
        <f t="shared" si="17"/>
        <v>0</v>
      </c>
      <c r="AK14" s="292">
        <f t="shared" si="18"/>
        <v>0</v>
      </c>
      <c r="AL14" s="292">
        <f t="shared" si="49"/>
        <v>0</v>
      </c>
      <c r="AM14" s="292">
        <f t="shared" si="50"/>
        <v>0</v>
      </c>
      <c r="AN14" s="292">
        <f t="shared" si="19"/>
        <v>0</v>
      </c>
      <c r="AO14" s="292">
        <f t="shared" si="20"/>
        <v>0</v>
      </c>
      <c r="AP14" s="292">
        <f t="shared" si="21"/>
        <v>0</v>
      </c>
      <c r="AQ14" s="292">
        <f t="shared" si="22"/>
        <v>0</v>
      </c>
      <c r="AR14" s="292">
        <f t="shared" si="23"/>
        <v>0</v>
      </c>
      <c r="AS14" s="292">
        <f t="shared" si="24"/>
        <v>0</v>
      </c>
      <c r="AT14" s="292">
        <f t="shared" si="25"/>
        <v>0</v>
      </c>
      <c r="AU14" s="292">
        <f t="shared" si="26"/>
        <v>0</v>
      </c>
      <c r="AV14" s="292">
        <f t="shared" si="27"/>
        <v>0</v>
      </c>
      <c r="AW14" s="292">
        <f t="shared" si="28"/>
        <v>0</v>
      </c>
      <c r="AX14" s="292">
        <f t="shared" si="29"/>
        <v>0</v>
      </c>
      <c r="AY14" s="292">
        <f t="shared" si="30"/>
        <v>0</v>
      </c>
      <c r="AZ14" s="292">
        <f t="shared" si="31"/>
        <v>0</v>
      </c>
      <c r="BA14" s="292">
        <f t="shared" si="32"/>
        <v>0</v>
      </c>
      <c r="BB14" s="292">
        <f t="shared" si="33"/>
        <v>0</v>
      </c>
      <c r="BC14" s="292">
        <f t="shared" si="34"/>
        <v>0</v>
      </c>
      <c r="BD14" s="292">
        <f t="shared" si="35"/>
        <v>0</v>
      </c>
      <c r="BE14" s="292">
        <f t="shared" si="36"/>
        <v>0</v>
      </c>
      <c r="BF14" s="292">
        <f t="shared" si="37"/>
        <v>0</v>
      </c>
      <c r="BG14" s="292">
        <f t="shared" si="38"/>
        <v>0</v>
      </c>
    </row>
    <row r="15" spans="1:59" s="289" customFormat="1" ht="15" customHeight="1">
      <c r="A15" s="63">
        <f t="array" ref="A15">IF(C15&lt;&gt;0,SUM(($C$11:C15&lt;&gt;0)*1),"")</f>
        <v>5</v>
      </c>
      <c r="B15" s="1099">
        <v>42374</v>
      </c>
      <c r="C15" s="290" t="s">
        <v>54</v>
      </c>
      <c r="D15" s="1099">
        <v>42374</v>
      </c>
      <c r="E15" s="344" t="s">
        <v>363</v>
      </c>
      <c r="F15" s="345">
        <v>1653598</v>
      </c>
      <c r="G15" s="346" t="s">
        <v>242</v>
      </c>
      <c r="H15" s="346" t="s">
        <v>97</v>
      </c>
      <c r="I15" s="63">
        <f t="shared" si="0"/>
        <v>5</v>
      </c>
      <c r="J15" s="292">
        <f t="shared" si="1"/>
        <v>0</v>
      </c>
      <c r="K15" s="292">
        <f t="shared" si="2"/>
        <v>1653598</v>
      </c>
      <c r="L15" s="292">
        <f t="shared" si="3"/>
        <v>0</v>
      </c>
      <c r="M15" s="292">
        <f t="shared" si="4"/>
        <v>0</v>
      </c>
      <c r="N15" s="292">
        <f t="shared" si="39"/>
        <v>0</v>
      </c>
      <c r="O15" s="292">
        <f t="shared" si="40"/>
        <v>0</v>
      </c>
      <c r="P15" s="292">
        <f t="shared" si="5"/>
        <v>0</v>
      </c>
      <c r="Q15" s="292">
        <f t="shared" si="6"/>
        <v>0</v>
      </c>
      <c r="R15" s="292">
        <f t="shared" si="41"/>
        <v>0</v>
      </c>
      <c r="S15" s="292">
        <f t="shared" si="42"/>
        <v>0</v>
      </c>
      <c r="T15" s="292">
        <f t="shared" si="7"/>
        <v>0</v>
      </c>
      <c r="U15" s="292">
        <f t="shared" si="8"/>
        <v>0</v>
      </c>
      <c r="V15" s="292">
        <f t="shared" si="43"/>
        <v>0</v>
      </c>
      <c r="W15" s="292">
        <f t="shared" si="44"/>
        <v>0</v>
      </c>
      <c r="X15" s="292">
        <f t="shared" si="45"/>
        <v>0</v>
      </c>
      <c r="Y15" s="292">
        <f t="shared" si="46"/>
        <v>0</v>
      </c>
      <c r="Z15" s="292">
        <f t="shared" si="47"/>
        <v>1653598</v>
      </c>
      <c r="AA15" s="292">
        <f t="shared" si="48"/>
        <v>0</v>
      </c>
      <c r="AB15" s="292">
        <f t="shared" si="9"/>
        <v>0</v>
      </c>
      <c r="AC15" s="292">
        <f t="shared" si="10"/>
        <v>0</v>
      </c>
      <c r="AD15" s="292">
        <f t="shared" si="11"/>
        <v>0</v>
      </c>
      <c r="AE15" s="292">
        <f t="shared" si="12"/>
        <v>0</v>
      </c>
      <c r="AF15" s="292">
        <f t="shared" si="13"/>
        <v>0</v>
      </c>
      <c r="AG15" s="292">
        <f t="shared" si="14"/>
        <v>0</v>
      </c>
      <c r="AH15" s="292">
        <f t="shared" si="15"/>
        <v>0</v>
      </c>
      <c r="AI15" s="292">
        <f t="shared" si="16"/>
        <v>0</v>
      </c>
      <c r="AJ15" s="292">
        <f t="shared" si="17"/>
        <v>0</v>
      </c>
      <c r="AK15" s="292">
        <f t="shared" si="18"/>
        <v>0</v>
      </c>
      <c r="AL15" s="292">
        <f t="shared" si="49"/>
        <v>0</v>
      </c>
      <c r="AM15" s="292">
        <f t="shared" si="50"/>
        <v>0</v>
      </c>
      <c r="AN15" s="292">
        <f t="shared" si="19"/>
        <v>0</v>
      </c>
      <c r="AO15" s="292">
        <f t="shared" si="20"/>
        <v>0</v>
      </c>
      <c r="AP15" s="292">
        <f t="shared" si="21"/>
        <v>0</v>
      </c>
      <c r="AQ15" s="292">
        <f t="shared" si="22"/>
        <v>0</v>
      </c>
      <c r="AR15" s="292">
        <f t="shared" si="23"/>
        <v>0</v>
      </c>
      <c r="AS15" s="292">
        <f t="shared" si="24"/>
        <v>0</v>
      </c>
      <c r="AT15" s="292">
        <f t="shared" si="25"/>
        <v>0</v>
      </c>
      <c r="AU15" s="292">
        <f t="shared" si="26"/>
        <v>0</v>
      </c>
      <c r="AV15" s="292">
        <f t="shared" si="27"/>
        <v>0</v>
      </c>
      <c r="AW15" s="292">
        <f t="shared" si="28"/>
        <v>0</v>
      </c>
      <c r="AX15" s="292">
        <f t="shared" si="29"/>
        <v>0</v>
      </c>
      <c r="AY15" s="292">
        <f t="shared" si="30"/>
        <v>0</v>
      </c>
      <c r="AZ15" s="292">
        <f t="shared" si="31"/>
        <v>0</v>
      </c>
      <c r="BA15" s="292">
        <f t="shared" si="32"/>
        <v>0</v>
      </c>
      <c r="BB15" s="292">
        <f t="shared" si="33"/>
        <v>0</v>
      </c>
      <c r="BC15" s="292">
        <f t="shared" si="34"/>
        <v>0</v>
      </c>
      <c r="BD15" s="292">
        <f t="shared" si="35"/>
        <v>0</v>
      </c>
      <c r="BE15" s="292">
        <f t="shared" si="36"/>
        <v>0</v>
      </c>
      <c r="BF15" s="292">
        <f t="shared" si="37"/>
        <v>0</v>
      </c>
      <c r="BG15" s="292">
        <f t="shared" si="38"/>
        <v>0</v>
      </c>
    </row>
    <row r="16" spans="1:59" s="289" customFormat="1" ht="15" customHeight="1">
      <c r="A16" s="63">
        <f t="array" ref="A16">IF(C16&lt;&gt;0,SUM(($C$11:C16&lt;&gt;0)*1),"")</f>
        <v>6</v>
      </c>
      <c r="B16" s="1099">
        <v>42374</v>
      </c>
      <c r="C16" s="290" t="s">
        <v>54</v>
      </c>
      <c r="D16" s="1099">
        <v>42374</v>
      </c>
      <c r="E16" s="344" t="s">
        <v>365</v>
      </c>
      <c r="F16" s="345">
        <v>165359</v>
      </c>
      <c r="G16" s="346" t="s">
        <v>981</v>
      </c>
      <c r="H16" s="346" t="s">
        <v>97</v>
      </c>
      <c r="I16" s="63">
        <f t="shared" si="0"/>
        <v>6</v>
      </c>
      <c r="J16" s="292">
        <f t="shared" si="1"/>
        <v>0</v>
      </c>
      <c r="K16" s="292">
        <f t="shared" si="2"/>
        <v>165359</v>
      </c>
      <c r="L16" s="292">
        <f t="shared" si="3"/>
        <v>0</v>
      </c>
      <c r="M16" s="292">
        <f t="shared" si="4"/>
        <v>0</v>
      </c>
      <c r="N16" s="292">
        <f t="shared" si="39"/>
        <v>0</v>
      </c>
      <c r="O16" s="292">
        <f t="shared" si="40"/>
        <v>0</v>
      </c>
      <c r="P16" s="292">
        <f t="shared" si="5"/>
        <v>0</v>
      </c>
      <c r="Q16" s="292">
        <f t="shared" si="6"/>
        <v>0</v>
      </c>
      <c r="R16" s="292">
        <f t="shared" si="41"/>
        <v>165359</v>
      </c>
      <c r="S16" s="292">
        <f t="shared" si="42"/>
        <v>0</v>
      </c>
      <c r="T16" s="292">
        <f t="shared" si="7"/>
        <v>0</v>
      </c>
      <c r="U16" s="292">
        <f t="shared" si="8"/>
        <v>0</v>
      </c>
      <c r="V16" s="292">
        <f t="shared" si="43"/>
        <v>0</v>
      </c>
      <c r="W16" s="292">
        <f t="shared" si="44"/>
        <v>0</v>
      </c>
      <c r="X16" s="292">
        <f t="shared" si="45"/>
        <v>0</v>
      </c>
      <c r="Y16" s="292">
        <f t="shared" si="46"/>
        <v>0</v>
      </c>
      <c r="Z16" s="292">
        <f t="shared" si="47"/>
        <v>0</v>
      </c>
      <c r="AA16" s="292">
        <f t="shared" si="48"/>
        <v>0</v>
      </c>
      <c r="AB16" s="292">
        <f t="shared" si="9"/>
        <v>0</v>
      </c>
      <c r="AC16" s="292">
        <f t="shared" si="10"/>
        <v>0</v>
      </c>
      <c r="AD16" s="292">
        <f t="shared" si="11"/>
        <v>0</v>
      </c>
      <c r="AE16" s="292">
        <f t="shared" si="12"/>
        <v>0</v>
      </c>
      <c r="AF16" s="292">
        <f t="shared" si="13"/>
        <v>0</v>
      </c>
      <c r="AG16" s="292">
        <f t="shared" si="14"/>
        <v>0</v>
      </c>
      <c r="AH16" s="292">
        <f t="shared" si="15"/>
        <v>0</v>
      </c>
      <c r="AI16" s="292">
        <f t="shared" si="16"/>
        <v>0</v>
      </c>
      <c r="AJ16" s="292">
        <f t="shared" si="17"/>
        <v>0</v>
      </c>
      <c r="AK16" s="292">
        <f t="shared" si="18"/>
        <v>0</v>
      </c>
      <c r="AL16" s="292">
        <f t="shared" si="49"/>
        <v>0</v>
      </c>
      <c r="AM16" s="292">
        <f t="shared" si="50"/>
        <v>0</v>
      </c>
      <c r="AN16" s="292">
        <f t="shared" si="19"/>
        <v>0</v>
      </c>
      <c r="AO16" s="292">
        <f t="shared" si="20"/>
        <v>0</v>
      </c>
      <c r="AP16" s="292">
        <f t="shared" si="21"/>
        <v>0</v>
      </c>
      <c r="AQ16" s="292">
        <f t="shared" si="22"/>
        <v>0</v>
      </c>
      <c r="AR16" s="292">
        <f t="shared" si="23"/>
        <v>0</v>
      </c>
      <c r="AS16" s="292">
        <f t="shared" si="24"/>
        <v>0</v>
      </c>
      <c r="AT16" s="292">
        <f t="shared" si="25"/>
        <v>0</v>
      </c>
      <c r="AU16" s="292">
        <f t="shared" si="26"/>
        <v>0</v>
      </c>
      <c r="AV16" s="292">
        <f t="shared" si="27"/>
        <v>0</v>
      </c>
      <c r="AW16" s="292">
        <f t="shared" si="28"/>
        <v>0</v>
      </c>
      <c r="AX16" s="292">
        <f t="shared" si="29"/>
        <v>0</v>
      </c>
      <c r="AY16" s="292">
        <f t="shared" si="30"/>
        <v>0</v>
      </c>
      <c r="AZ16" s="292">
        <f t="shared" si="31"/>
        <v>0</v>
      </c>
      <c r="BA16" s="292">
        <f t="shared" si="32"/>
        <v>0</v>
      </c>
      <c r="BB16" s="292">
        <f t="shared" si="33"/>
        <v>0</v>
      </c>
      <c r="BC16" s="292">
        <f t="shared" si="34"/>
        <v>0</v>
      </c>
      <c r="BD16" s="292">
        <f t="shared" si="35"/>
        <v>0</v>
      </c>
      <c r="BE16" s="292">
        <f t="shared" si="36"/>
        <v>0</v>
      </c>
      <c r="BF16" s="292">
        <f t="shared" si="37"/>
        <v>0</v>
      </c>
      <c r="BG16" s="292">
        <f t="shared" si="38"/>
        <v>0</v>
      </c>
    </row>
    <row r="17" spans="1:59" s="289" customFormat="1" ht="15" customHeight="1">
      <c r="A17" s="63">
        <f t="array" ref="A17">IF(C17&lt;&gt;0,SUM(($C$11:C17&lt;&gt;0)*1),"")</f>
        <v>7</v>
      </c>
      <c r="B17" s="1099">
        <v>42374</v>
      </c>
      <c r="C17" s="290" t="s">
        <v>8</v>
      </c>
      <c r="D17" s="1099">
        <v>42374</v>
      </c>
      <c r="E17" s="344" t="s">
        <v>163</v>
      </c>
      <c r="F17" s="345">
        <v>300000000</v>
      </c>
      <c r="G17" s="346" t="s">
        <v>9</v>
      </c>
      <c r="H17" s="346" t="s">
        <v>31</v>
      </c>
      <c r="I17" s="63">
        <f t="shared" si="0"/>
        <v>7</v>
      </c>
      <c r="J17" s="292">
        <f t="shared" si="1"/>
        <v>0</v>
      </c>
      <c r="K17" s="292">
        <f t="shared" si="2"/>
        <v>0</v>
      </c>
      <c r="L17" s="292">
        <f t="shared" si="3"/>
        <v>0</v>
      </c>
      <c r="M17" s="292">
        <f t="shared" si="4"/>
        <v>300000000</v>
      </c>
      <c r="N17" s="292">
        <f t="shared" si="39"/>
        <v>0</v>
      </c>
      <c r="O17" s="292">
        <f t="shared" si="40"/>
        <v>0</v>
      </c>
      <c r="P17" s="292">
        <f t="shared" si="5"/>
        <v>0</v>
      </c>
      <c r="Q17" s="292">
        <f t="shared" si="6"/>
        <v>0</v>
      </c>
      <c r="R17" s="292">
        <f t="shared" si="41"/>
        <v>0</v>
      </c>
      <c r="S17" s="292">
        <f t="shared" si="42"/>
        <v>0</v>
      </c>
      <c r="T17" s="292">
        <f t="shared" si="7"/>
        <v>0</v>
      </c>
      <c r="U17" s="292">
        <f t="shared" si="8"/>
        <v>0</v>
      </c>
      <c r="V17" s="292">
        <f t="shared" si="43"/>
        <v>0</v>
      </c>
      <c r="W17" s="292">
        <f t="shared" si="44"/>
        <v>0</v>
      </c>
      <c r="X17" s="292">
        <f t="shared" si="45"/>
        <v>0</v>
      </c>
      <c r="Y17" s="292">
        <f t="shared" si="46"/>
        <v>0</v>
      </c>
      <c r="Z17" s="292">
        <f t="shared" si="47"/>
        <v>0</v>
      </c>
      <c r="AA17" s="292">
        <f t="shared" si="48"/>
        <v>0</v>
      </c>
      <c r="AB17" s="292">
        <f t="shared" si="9"/>
        <v>300000000</v>
      </c>
      <c r="AC17" s="292">
        <f t="shared" si="10"/>
        <v>0</v>
      </c>
      <c r="AD17" s="292">
        <f t="shared" si="11"/>
        <v>0</v>
      </c>
      <c r="AE17" s="292">
        <f t="shared" si="12"/>
        <v>0</v>
      </c>
      <c r="AF17" s="292">
        <f t="shared" si="13"/>
        <v>0</v>
      </c>
      <c r="AG17" s="292">
        <f t="shared" si="14"/>
        <v>0</v>
      </c>
      <c r="AH17" s="292">
        <f t="shared" si="15"/>
        <v>0</v>
      </c>
      <c r="AI17" s="292">
        <f t="shared" si="16"/>
        <v>0</v>
      </c>
      <c r="AJ17" s="292">
        <f t="shared" si="17"/>
        <v>0</v>
      </c>
      <c r="AK17" s="292">
        <f t="shared" si="18"/>
        <v>0</v>
      </c>
      <c r="AL17" s="292">
        <f t="shared" si="49"/>
        <v>0</v>
      </c>
      <c r="AM17" s="292">
        <f t="shared" si="50"/>
        <v>0</v>
      </c>
      <c r="AN17" s="292">
        <f t="shared" si="19"/>
        <v>0</v>
      </c>
      <c r="AO17" s="292">
        <f t="shared" si="20"/>
        <v>0</v>
      </c>
      <c r="AP17" s="292">
        <f t="shared" si="21"/>
        <v>0</v>
      </c>
      <c r="AQ17" s="292">
        <f t="shared" si="22"/>
        <v>0</v>
      </c>
      <c r="AR17" s="292">
        <f t="shared" si="23"/>
        <v>0</v>
      </c>
      <c r="AS17" s="292">
        <f t="shared" si="24"/>
        <v>0</v>
      </c>
      <c r="AT17" s="292">
        <f t="shared" si="25"/>
        <v>0</v>
      </c>
      <c r="AU17" s="292">
        <f t="shared" si="26"/>
        <v>0</v>
      </c>
      <c r="AV17" s="292">
        <f t="shared" si="27"/>
        <v>0</v>
      </c>
      <c r="AW17" s="292">
        <f t="shared" si="28"/>
        <v>0</v>
      </c>
      <c r="AX17" s="292">
        <f t="shared" si="29"/>
        <v>0</v>
      </c>
      <c r="AY17" s="292">
        <f t="shared" si="30"/>
        <v>0</v>
      </c>
      <c r="AZ17" s="292">
        <f t="shared" si="31"/>
        <v>0</v>
      </c>
      <c r="BA17" s="292">
        <f t="shared" si="32"/>
        <v>0</v>
      </c>
      <c r="BB17" s="292">
        <f t="shared" si="33"/>
        <v>0</v>
      </c>
      <c r="BC17" s="292">
        <f t="shared" si="34"/>
        <v>0</v>
      </c>
      <c r="BD17" s="292">
        <f t="shared" si="35"/>
        <v>0</v>
      </c>
      <c r="BE17" s="292">
        <f t="shared" si="36"/>
        <v>0</v>
      </c>
      <c r="BF17" s="292">
        <f t="shared" si="37"/>
        <v>0</v>
      </c>
      <c r="BG17" s="292">
        <f t="shared" si="38"/>
        <v>0</v>
      </c>
    </row>
    <row r="18" spans="1:59" s="289" customFormat="1" ht="15" customHeight="1">
      <c r="A18" s="63">
        <f t="array" ref="A18">IF(C18&lt;&gt;0,SUM(($C$11:C18&lt;&gt;0)*1),"")</f>
        <v>8</v>
      </c>
      <c r="B18" s="1099">
        <v>42374</v>
      </c>
      <c r="C18" s="290" t="s">
        <v>8</v>
      </c>
      <c r="D18" s="1099">
        <v>42374</v>
      </c>
      <c r="E18" s="344" t="s">
        <v>22</v>
      </c>
      <c r="F18" s="345">
        <v>150000</v>
      </c>
      <c r="G18" s="346" t="s">
        <v>135</v>
      </c>
      <c r="H18" s="346" t="s">
        <v>31</v>
      </c>
      <c r="I18" s="63">
        <f t="shared" si="0"/>
        <v>8</v>
      </c>
      <c r="J18" s="292">
        <f t="shared" si="1"/>
        <v>0</v>
      </c>
      <c r="K18" s="292">
        <f t="shared" si="2"/>
        <v>0</v>
      </c>
      <c r="L18" s="292">
        <f t="shared" si="3"/>
        <v>0</v>
      </c>
      <c r="M18" s="292">
        <f t="shared" si="4"/>
        <v>150000</v>
      </c>
      <c r="N18" s="292">
        <f t="shared" si="39"/>
        <v>0</v>
      </c>
      <c r="O18" s="292">
        <f t="shared" si="40"/>
        <v>0</v>
      </c>
      <c r="P18" s="292">
        <f t="shared" si="5"/>
        <v>0</v>
      </c>
      <c r="Q18" s="292">
        <f t="shared" si="6"/>
        <v>0</v>
      </c>
      <c r="R18" s="292">
        <f t="shared" si="41"/>
        <v>0</v>
      </c>
      <c r="S18" s="292">
        <f t="shared" si="42"/>
        <v>0</v>
      </c>
      <c r="T18" s="292">
        <f t="shared" si="7"/>
        <v>0</v>
      </c>
      <c r="U18" s="292">
        <f t="shared" si="8"/>
        <v>0</v>
      </c>
      <c r="V18" s="292">
        <f t="shared" si="43"/>
        <v>0</v>
      </c>
      <c r="W18" s="292">
        <f t="shared" si="44"/>
        <v>0</v>
      </c>
      <c r="X18" s="292">
        <f t="shared" si="45"/>
        <v>0</v>
      </c>
      <c r="Y18" s="292">
        <f t="shared" si="46"/>
        <v>0</v>
      </c>
      <c r="Z18" s="292">
        <f t="shared" si="47"/>
        <v>0</v>
      </c>
      <c r="AA18" s="292">
        <f t="shared" si="48"/>
        <v>0</v>
      </c>
      <c r="AB18" s="292">
        <f t="shared" si="9"/>
        <v>0</v>
      </c>
      <c r="AC18" s="292">
        <f t="shared" si="10"/>
        <v>0</v>
      </c>
      <c r="AD18" s="292">
        <f t="shared" si="11"/>
        <v>0</v>
      </c>
      <c r="AE18" s="292">
        <f t="shared" si="12"/>
        <v>0</v>
      </c>
      <c r="AF18" s="292">
        <f t="shared" si="13"/>
        <v>0</v>
      </c>
      <c r="AG18" s="292">
        <f t="shared" si="14"/>
        <v>0</v>
      </c>
      <c r="AH18" s="292">
        <f t="shared" si="15"/>
        <v>0</v>
      </c>
      <c r="AI18" s="292">
        <f t="shared" si="16"/>
        <v>0</v>
      </c>
      <c r="AJ18" s="292">
        <f t="shared" si="17"/>
        <v>0</v>
      </c>
      <c r="AK18" s="292">
        <f t="shared" si="18"/>
        <v>0</v>
      </c>
      <c r="AL18" s="292">
        <f t="shared" si="49"/>
        <v>0</v>
      </c>
      <c r="AM18" s="292">
        <f t="shared" si="50"/>
        <v>0</v>
      </c>
      <c r="AN18" s="292">
        <f t="shared" si="19"/>
        <v>0</v>
      </c>
      <c r="AO18" s="292">
        <f t="shared" si="20"/>
        <v>0</v>
      </c>
      <c r="AP18" s="292">
        <f t="shared" si="21"/>
        <v>0</v>
      </c>
      <c r="AQ18" s="292">
        <f t="shared" si="22"/>
        <v>0</v>
      </c>
      <c r="AR18" s="292">
        <f t="shared" si="23"/>
        <v>0</v>
      </c>
      <c r="AS18" s="292">
        <f t="shared" si="24"/>
        <v>0</v>
      </c>
      <c r="AT18" s="292">
        <f t="shared" si="25"/>
        <v>0</v>
      </c>
      <c r="AU18" s="292">
        <f t="shared" si="26"/>
        <v>0</v>
      </c>
      <c r="AV18" s="292">
        <f t="shared" si="27"/>
        <v>0</v>
      </c>
      <c r="AW18" s="292">
        <f t="shared" si="28"/>
        <v>0</v>
      </c>
      <c r="AX18" s="292">
        <f t="shared" si="29"/>
        <v>150000</v>
      </c>
      <c r="AY18" s="292">
        <f t="shared" si="30"/>
        <v>0</v>
      </c>
      <c r="AZ18" s="292">
        <f t="shared" si="31"/>
        <v>0</v>
      </c>
      <c r="BA18" s="292">
        <f t="shared" si="32"/>
        <v>0</v>
      </c>
      <c r="BB18" s="292">
        <f t="shared" si="33"/>
        <v>0</v>
      </c>
      <c r="BC18" s="292">
        <f t="shared" si="34"/>
        <v>0</v>
      </c>
      <c r="BD18" s="292">
        <f t="shared" si="35"/>
        <v>0</v>
      </c>
      <c r="BE18" s="292">
        <f t="shared" si="36"/>
        <v>0</v>
      </c>
      <c r="BF18" s="292">
        <f t="shared" si="37"/>
        <v>0</v>
      </c>
      <c r="BG18" s="292">
        <f t="shared" si="38"/>
        <v>0</v>
      </c>
    </row>
    <row r="19" spans="1:59" s="289" customFormat="1" ht="15" customHeight="1">
      <c r="A19" s="63">
        <f t="array" ref="A19">IF(C19&lt;&gt;0,SUM(($C$11:C19&lt;&gt;0)*1),"")</f>
        <v>9</v>
      </c>
      <c r="B19" s="1099">
        <v>42374</v>
      </c>
      <c r="C19" s="290" t="s">
        <v>8</v>
      </c>
      <c r="D19" s="1099">
        <v>42374</v>
      </c>
      <c r="E19" s="344" t="s">
        <v>23</v>
      </c>
      <c r="F19" s="345">
        <v>15000</v>
      </c>
      <c r="G19" s="346" t="s">
        <v>10</v>
      </c>
      <c r="H19" s="346" t="s">
        <v>31</v>
      </c>
      <c r="I19" s="63">
        <f t="shared" si="0"/>
        <v>9</v>
      </c>
      <c r="J19" s="292">
        <f t="shared" si="1"/>
        <v>0</v>
      </c>
      <c r="K19" s="292">
        <f t="shared" si="2"/>
        <v>0</v>
      </c>
      <c r="L19" s="292">
        <f t="shared" si="3"/>
        <v>0</v>
      </c>
      <c r="M19" s="292">
        <f t="shared" si="4"/>
        <v>15000</v>
      </c>
      <c r="N19" s="292">
        <f t="shared" si="39"/>
        <v>0</v>
      </c>
      <c r="O19" s="292">
        <f t="shared" si="40"/>
        <v>0</v>
      </c>
      <c r="P19" s="292">
        <f t="shared" si="5"/>
        <v>15000</v>
      </c>
      <c r="Q19" s="292">
        <f t="shared" si="6"/>
        <v>0</v>
      </c>
      <c r="R19" s="292">
        <f t="shared" si="41"/>
        <v>0</v>
      </c>
      <c r="S19" s="292">
        <f t="shared" si="42"/>
        <v>0</v>
      </c>
      <c r="T19" s="292">
        <f t="shared" si="7"/>
        <v>0</v>
      </c>
      <c r="U19" s="292">
        <f t="shared" si="8"/>
        <v>0</v>
      </c>
      <c r="V19" s="292">
        <f t="shared" si="43"/>
        <v>0</v>
      </c>
      <c r="W19" s="292">
        <f t="shared" si="44"/>
        <v>0</v>
      </c>
      <c r="X19" s="292">
        <f t="shared" si="45"/>
        <v>0</v>
      </c>
      <c r="Y19" s="292">
        <f t="shared" si="46"/>
        <v>0</v>
      </c>
      <c r="Z19" s="292">
        <f t="shared" si="47"/>
        <v>0</v>
      </c>
      <c r="AA19" s="292">
        <f t="shared" si="48"/>
        <v>0</v>
      </c>
      <c r="AB19" s="292">
        <f t="shared" si="9"/>
        <v>0</v>
      </c>
      <c r="AC19" s="292">
        <f t="shared" si="10"/>
        <v>0</v>
      </c>
      <c r="AD19" s="292">
        <f t="shared" si="11"/>
        <v>0</v>
      </c>
      <c r="AE19" s="292">
        <f t="shared" si="12"/>
        <v>0</v>
      </c>
      <c r="AF19" s="292">
        <f t="shared" si="13"/>
        <v>0</v>
      </c>
      <c r="AG19" s="292">
        <f t="shared" si="14"/>
        <v>0</v>
      </c>
      <c r="AH19" s="292">
        <f t="shared" si="15"/>
        <v>0</v>
      </c>
      <c r="AI19" s="292">
        <f t="shared" si="16"/>
        <v>0</v>
      </c>
      <c r="AJ19" s="292">
        <f t="shared" si="17"/>
        <v>0</v>
      </c>
      <c r="AK19" s="292">
        <f t="shared" si="18"/>
        <v>0</v>
      </c>
      <c r="AL19" s="292">
        <f t="shared" si="49"/>
        <v>0</v>
      </c>
      <c r="AM19" s="292">
        <f t="shared" si="50"/>
        <v>0</v>
      </c>
      <c r="AN19" s="292">
        <f t="shared" si="19"/>
        <v>0</v>
      </c>
      <c r="AO19" s="292">
        <f t="shared" si="20"/>
        <v>0</v>
      </c>
      <c r="AP19" s="292">
        <f t="shared" si="21"/>
        <v>0</v>
      </c>
      <c r="AQ19" s="292">
        <f t="shared" si="22"/>
        <v>0</v>
      </c>
      <c r="AR19" s="292">
        <f t="shared" si="23"/>
        <v>0</v>
      </c>
      <c r="AS19" s="292">
        <f t="shared" si="24"/>
        <v>0</v>
      </c>
      <c r="AT19" s="292">
        <f t="shared" si="25"/>
        <v>0</v>
      </c>
      <c r="AU19" s="292">
        <f t="shared" si="26"/>
        <v>0</v>
      </c>
      <c r="AV19" s="292">
        <f t="shared" si="27"/>
        <v>0</v>
      </c>
      <c r="AW19" s="292">
        <f t="shared" si="28"/>
        <v>0</v>
      </c>
      <c r="AX19" s="292">
        <f t="shared" si="29"/>
        <v>0</v>
      </c>
      <c r="AY19" s="292">
        <f t="shared" si="30"/>
        <v>0</v>
      </c>
      <c r="AZ19" s="292">
        <f t="shared" si="31"/>
        <v>0</v>
      </c>
      <c r="BA19" s="292">
        <f t="shared" si="32"/>
        <v>0</v>
      </c>
      <c r="BB19" s="292">
        <f t="shared" si="33"/>
        <v>0</v>
      </c>
      <c r="BC19" s="292">
        <f t="shared" si="34"/>
        <v>0</v>
      </c>
      <c r="BD19" s="292">
        <f t="shared" si="35"/>
        <v>0</v>
      </c>
      <c r="BE19" s="292">
        <f t="shared" si="36"/>
        <v>0</v>
      </c>
      <c r="BF19" s="292">
        <f t="shared" si="37"/>
        <v>0</v>
      </c>
      <c r="BG19" s="292">
        <f t="shared" si="38"/>
        <v>0</v>
      </c>
    </row>
    <row r="20" spans="1:59" s="289" customFormat="1" ht="15" customHeight="1">
      <c r="A20" s="63">
        <f t="array" ref="A20">IF(C20&lt;&gt;0,SUM(($C$11:C20&lt;&gt;0)*1),"")</f>
        <v>10</v>
      </c>
      <c r="B20" s="1099">
        <v>42375</v>
      </c>
      <c r="C20" s="290" t="s">
        <v>8</v>
      </c>
      <c r="D20" s="1099">
        <v>42375</v>
      </c>
      <c r="E20" s="344" t="s">
        <v>163</v>
      </c>
      <c r="F20" s="345">
        <v>314955000</v>
      </c>
      <c r="G20" s="346" t="s">
        <v>9</v>
      </c>
      <c r="H20" s="346" t="s">
        <v>31</v>
      </c>
      <c r="I20" s="63">
        <f t="shared" si="0"/>
        <v>10</v>
      </c>
      <c r="J20" s="292">
        <f t="shared" si="1"/>
        <v>0</v>
      </c>
      <c r="K20" s="292">
        <f t="shared" si="2"/>
        <v>0</v>
      </c>
      <c r="L20" s="292">
        <f t="shared" si="3"/>
        <v>0</v>
      </c>
      <c r="M20" s="292">
        <f t="shared" si="4"/>
        <v>314955000</v>
      </c>
      <c r="N20" s="292">
        <f t="shared" si="39"/>
        <v>0</v>
      </c>
      <c r="O20" s="292">
        <f t="shared" si="40"/>
        <v>0</v>
      </c>
      <c r="P20" s="292">
        <f t="shared" si="5"/>
        <v>0</v>
      </c>
      <c r="Q20" s="292">
        <f t="shared" si="6"/>
        <v>0</v>
      </c>
      <c r="R20" s="292">
        <f t="shared" si="41"/>
        <v>0</v>
      </c>
      <c r="S20" s="292">
        <f t="shared" si="42"/>
        <v>0</v>
      </c>
      <c r="T20" s="292">
        <f t="shared" si="7"/>
        <v>0</v>
      </c>
      <c r="U20" s="292">
        <f t="shared" si="8"/>
        <v>0</v>
      </c>
      <c r="V20" s="292">
        <f t="shared" si="43"/>
        <v>0</v>
      </c>
      <c r="W20" s="292">
        <f t="shared" si="44"/>
        <v>0</v>
      </c>
      <c r="X20" s="292">
        <f t="shared" si="45"/>
        <v>0</v>
      </c>
      <c r="Y20" s="292">
        <f t="shared" si="46"/>
        <v>0</v>
      </c>
      <c r="Z20" s="292">
        <f t="shared" si="47"/>
        <v>0</v>
      </c>
      <c r="AA20" s="292">
        <f t="shared" si="48"/>
        <v>0</v>
      </c>
      <c r="AB20" s="292">
        <f t="shared" si="9"/>
        <v>314955000</v>
      </c>
      <c r="AC20" s="292">
        <f t="shared" si="10"/>
        <v>0</v>
      </c>
      <c r="AD20" s="292">
        <f t="shared" si="11"/>
        <v>0</v>
      </c>
      <c r="AE20" s="292">
        <f t="shared" si="12"/>
        <v>0</v>
      </c>
      <c r="AF20" s="292">
        <f t="shared" si="13"/>
        <v>0</v>
      </c>
      <c r="AG20" s="292">
        <f t="shared" si="14"/>
        <v>0</v>
      </c>
      <c r="AH20" s="292">
        <f t="shared" si="15"/>
        <v>0</v>
      </c>
      <c r="AI20" s="292">
        <f t="shared" si="16"/>
        <v>0</v>
      </c>
      <c r="AJ20" s="292">
        <f t="shared" si="17"/>
        <v>0</v>
      </c>
      <c r="AK20" s="292">
        <f t="shared" si="18"/>
        <v>0</v>
      </c>
      <c r="AL20" s="292">
        <f t="shared" si="49"/>
        <v>0</v>
      </c>
      <c r="AM20" s="292">
        <f t="shared" si="50"/>
        <v>0</v>
      </c>
      <c r="AN20" s="292">
        <f t="shared" si="19"/>
        <v>0</v>
      </c>
      <c r="AO20" s="292">
        <f t="shared" si="20"/>
        <v>0</v>
      </c>
      <c r="AP20" s="292">
        <f t="shared" si="21"/>
        <v>0</v>
      </c>
      <c r="AQ20" s="292">
        <f t="shared" si="22"/>
        <v>0</v>
      </c>
      <c r="AR20" s="292">
        <f t="shared" si="23"/>
        <v>0</v>
      </c>
      <c r="AS20" s="292">
        <f t="shared" si="24"/>
        <v>0</v>
      </c>
      <c r="AT20" s="292">
        <f t="shared" si="25"/>
        <v>0</v>
      </c>
      <c r="AU20" s="292">
        <f t="shared" si="26"/>
        <v>0</v>
      </c>
      <c r="AV20" s="292">
        <f t="shared" si="27"/>
        <v>0</v>
      </c>
      <c r="AW20" s="292">
        <f t="shared" si="28"/>
        <v>0</v>
      </c>
      <c r="AX20" s="292">
        <f t="shared" si="29"/>
        <v>0</v>
      </c>
      <c r="AY20" s="292">
        <f t="shared" si="30"/>
        <v>0</v>
      </c>
      <c r="AZ20" s="292">
        <f t="shared" si="31"/>
        <v>0</v>
      </c>
      <c r="BA20" s="292">
        <f t="shared" si="32"/>
        <v>0</v>
      </c>
      <c r="BB20" s="292">
        <f t="shared" si="33"/>
        <v>0</v>
      </c>
      <c r="BC20" s="292">
        <f t="shared" si="34"/>
        <v>0</v>
      </c>
      <c r="BD20" s="292">
        <f t="shared" si="35"/>
        <v>0</v>
      </c>
      <c r="BE20" s="292">
        <f t="shared" si="36"/>
        <v>0</v>
      </c>
      <c r="BF20" s="292">
        <f t="shared" si="37"/>
        <v>0</v>
      </c>
      <c r="BG20" s="292">
        <f t="shared" si="38"/>
        <v>0</v>
      </c>
    </row>
    <row r="21" spans="1:59" s="289" customFormat="1" ht="15" customHeight="1">
      <c r="A21" s="63">
        <f t="array" ref="A21">IF(C21&lt;&gt;0,SUM(($C$11:C21&lt;&gt;0)*1),"")</f>
        <v>11</v>
      </c>
      <c r="B21" s="1099">
        <v>42375</v>
      </c>
      <c r="C21" s="290" t="s">
        <v>8</v>
      </c>
      <c r="D21" s="1099">
        <v>42375</v>
      </c>
      <c r="E21" s="344" t="s">
        <v>22</v>
      </c>
      <c r="F21" s="345">
        <v>157478</v>
      </c>
      <c r="G21" s="346" t="s">
        <v>135</v>
      </c>
      <c r="H21" s="346" t="s">
        <v>31</v>
      </c>
      <c r="I21" s="63">
        <f t="shared" si="0"/>
        <v>11</v>
      </c>
      <c r="J21" s="292">
        <f t="shared" si="1"/>
        <v>0</v>
      </c>
      <c r="K21" s="292">
        <f t="shared" si="2"/>
        <v>0</v>
      </c>
      <c r="L21" s="292">
        <f t="shared" si="3"/>
        <v>0</v>
      </c>
      <c r="M21" s="292">
        <f t="shared" si="4"/>
        <v>157478</v>
      </c>
      <c r="N21" s="292">
        <f t="shared" si="39"/>
        <v>0</v>
      </c>
      <c r="O21" s="292">
        <f t="shared" si="40"/>
        <v>0</v>
      </c>
      <c r="P21" s="292">
        <f t="shared" si="5"/>
        <v>0</v>
      </c>
      <c r="Q21" s="292">
        <f t="shared" si="6"/>
        <v>0</v>
      </c>
      <c r="R21" s="292">
        <f t="shared" si="41"/>
        <v>0</v>
      </c>
      <c r="S21" s="292">
        <f t="shared" si="42"/>
        <v>0</v>
      </c>
      <c r="T21" s="292">
        <f t="shared" si="7"/>
        <v>0</v>
      </c>
      <c r="U21" s="292">
        <f t="shared" si="8"/>
        <v>0</v>
      </c>
      <c r="V21" s="292">
        <f t="shared" si="43"/>
        <v>0</v>
      </c>
      <c r="W21" s="292">
        <f t="shared" si="44"/>
        <v>0</v>
      </c>
      <c r="X21" s="292">
        <f t="shared" si="45"/>
        <v>0</v>
      </c>
      <c r="Y21" s="292">
        <f t="shared" si="46"/>
        <v>0</v>
      </c>
      <c r="Z21" s="292">
        <f t="shared" si="47"/>
        <v>0</v>
      </c>
      <c r="AA21" s="292">
        <f t="shared" si="48"/>
        <v>0</v>
      </c>
      <c r="AB21" s="292">
        <f t="shared" si="9"/>
        <v>0</v>
      </c>
      <c r="AC21" s="292">
        <f t="shared" si="10"/>
        <v>0</v>
      </c>
      <c r="AD21" s="292">
        <f t="shared" si="11"/>
        <v>0</v>
      </c>
      <c r="AE21" s="292">
        <f t="shared" si="12"/>
        <v>0</v>
      </c>
      <c r="AF21" s="292">
        <f t="shared" si="13"/>
        <v>0</v>
      </c>
      <c r="AG21" s="292">
        <f t="shared" si="14"/>
        <v>0</v>
      </c>
      <c r="AH21" s="292">
        <f t="shared" si="15"/>
        <v>0</v>
      </c>
      <c r="AI21" s="292">
        <f t="shared" si="16"/>
        <v>0</v>
      </c>
      <c r="AJ21" s="292">
        <f t="shared" si="17"/>
        <v>0</v>
      </c>
      <c r="AK21" s="292">
        <f t="shared" si="18"/>
        <v>0</v>
      </c>
      <c r="AL21" s="292">
        <f t="shared" si="49"/>
        <v>0</v>
      </c>
      <c r="AM21" s="292">
        <f t="shared" si="50"/>
        <v>0</v>
      </c>
      <c r="AN21" s="292">
        <f t="shared" si="19"/>
        <v>0</v>
      </c>
      <c r="AO21" s="292">
        <f t="shared" si="20"/>
        <v>0</v>
      </c>
      <c r="AP21" s="292">
        <f t="shared" si="21"/>
        <v>0</v>
      </c>
      <c r="AQ21" s="292">
        <f t="shared" si="22"/>
        <v>0</v>
      </c>
      <c r="AR21" s="292">
        <f t="shared" si="23"/>
        <v>0</v>
      </c>
      <c r="AS21" s="292">
        <f t="shared" si="24"/>
        <v>0</v>
      </c>
      <c r="AT21" s="292">
        <f t="shared" si="25"/>
        <v>0</v>
      </c>
      <c r="AU21" s="292">
        <f t="shared" si="26"/>
        <v>0</v>
      </c>
      <c r="AV21" s="292">
        <f t="shared" si="27"/>
        <v>0</v>
      </c>
      <c r="AW21" s="292">
        <f t="shared" si="28"/>
        <v>0</v>
      </c>
      <c r="AX21" s="292">
        <f t="shared" si="29"/>
        <v>157478</v>
      </c>
      <c r="AY21" s="292">
        <f t="shared" si="30"/>
        <v>0</v>
      </c>
      <c r="AZ21" s="292">
        <f t="shared" si="31"/>
        <v>0</v>
      </c>
      <c r="BA21" s="292">
        <f t="shared" si="32"/>
        <v>0</v>
      </c>
      <c r="BB21" s="292">
        <f t="shared" si="33"/>
        <v>0</v>
      </c>
      <c r="BC21" s="292">
        <f t="shared" si="34"/>
        <v>0</v>
      </c>
      <c r="BD21" s="292">
        <f t="shared" si="35"/>
        <v>0</v>
      </c>
      <c r="BE21" s="292">
        <f t="shared" si="36"/>
        <v>0</v>
      </c>
      <c r="BF21" s="292">
        <f t="shared" si="37"/>
        <v>0</v>
      </c>
      <c r="BG21" s="292">
        <f t="shared" si="38"/>
        <v>0</v>
      </c>
    </row>
    <row r="22" spans="1:59" s="289" customFormat="1" ht="15" customHeight="1">
      <c r="A22" s="63">
        <f t="array" ref="A22">IF(C22&lt;&gt;0,SUM(($C$11:C22&lt;&gt;0)*1),"")</f>
        <v>12</v>
      </c>
      <c r="B22" s="1099">
        <v>42375</v>
      </c>
      <c r="C22" s="290" t="s">
        <v>8</v>
      </c>
      <c r="D22" s="1099">
        <v>42375</v>
      </c>
      <c r="E22" s="344" t="s">
        <v>23</v>
      </c>
      <c r="F22" s="345">
        <v>15748</v>
      </c>
      <c r="G22" s="346" t="s">
        <v>10</v>
      </c>
      <c r="H22" s="346" t="s">
        <v>31</v>
      </c>
      <c r="I22" s="63">
        <f t="shared" si="0"/>
        <v>12</v>
      </c>
      <c r="J22" s="292">
        <f t="shared" si="1"/>
        <v>0</v>
      </c>
      <c r="K22" s="292">
        <f t="shared" si="2"/>
        <v>0</v>
      </c>
      <c r="L22" s="292">
        <f t="shared" si="3"/>
        <v>0</v>
      </c>
      <c r="M22" s="292">
        <f t="shared" si="4"/>
        <v>15748</v>
      </c>
      <c r="N22" s="292">
        <f t="shared" si="39"/>
        <v>0</v>
      </c>
      <c r="O22" s="292">
        <f t="shared" si="40"/>
        <v>0</v>
      </c>
      <c r="P22" s="292">
        <f t="shared" si="5"/>
        <v>15748</v>
      </c>
      <c r="Q22" s="292">
        <f t="shared" si="6"/>
        <v>0</v>
      </c>
      <c r="R22" s="292">
        <f t="shared" si="41"/>
        <v>0</v>
      </c>
      <c r="S22" s="292">
        <f t="shared" si="42"/>
        <v>0</v>
      </c>
      <c r="T22" s="292">
        <f t="shared" si="7"/>
        <v>0</v>
      </c>
      <c r="U22" s="292">
        <f t="shared" si="8"/>
        <v>0</v>
      </c>
      <c r="V22" s="292">
        <f t="shared" si="43"/>
        <v>0</v>
      </c>
      <c r="W22" s="292">
        <f t="shared" si="44"/>
        <v>0</v>
      </c>
      <c r="X22" s="292">
        <f t="shared" si="45"/>
        <v>0</v>
      </c>
      <c r="Y22" s="292">
        <f t="shared" si="46"/>
        <v>0</v>
      </c>
      <c r="Z22" s="292">
        <f t="shared" si="47"/>
        <v>0</v>
      </c>
      <c r="AA22" s="292">
        <f t="shared" si="48"/>
        <v>0</v>
      </c>
      <c r="AB22" s="292">
        <f t="shared" si="9"/>
        <v>0</v>
      </c>
      <c r="AC22" s="292">
        <f t="shared" si="10"/>
        <v>0</v>
      </c>
      <c r="AD22" s="292">
        <f t="shared" si="11"/>
        <v>0</v>
      </c>
      <c r="AE22" s="292">
        <f t="shared" si="12"/>
        <v>0</v>
      </c>
      <c r="AF22" s="292">
        <f t="shared" si="13"/>
        <v>0</v>
      </c>
      <c r="AG22" s="292">
        <f t="shared" si="14"/>
        <v>0</v>
      </c>
      <c r="AH22" s="292">
        <f t="shared" si="15"/>
        <v>0</v>
      </c>
      <c r="AI22" s="292">
        <f t="shared" si="16"/>
        <v>0</v>
      </c>
      <c r="AJ22" s="292">
        <f t="shared" si="17"/>
        <v>0</v>
      </c>
      <c r="AK22" s="292">
        <f t="shared" si="18"/>
        <v>0</v>
      </c>
      <c r="AL22" s="292">
        <f t="shared" si="49"/>
        <v>0</v>
      </c>
      <c r="AM22" s="292">
        <f t="shared" si="50"/>
        <v>0</v>
      </c>
      <c r="AN22" s="292">
        <f t="shared" si="19"/>
        <v>0</v>
      </c>
      <c r="AO22" s="292">
        <f t="shared" si="20"/>
        <v>0</v>
      </c>
      <c r="AP22" s="292">
        <f t="shared" si="21"/>
        <v>0</v>
      </c>
      <c r="AQ22" s="292">
        <f t="shared" si="22"/>
        <v>0</v>
      </c>
      <c r="AR22" s="292">
        <f t="shared" si="23"/>
        <v>0</v>
      </c>
      <c r="AS22" s="292">
        <f t="shared" si="24"/>
        <v>0</v>
      </c>
      <c r="AT22" s="292">
        <f t="shared" si="25"/>
        <v>0</v>
      </c>
      <c r="AU22" s="292">
        <f t="shared" si="26"/>
        <v>0</v>
      </c>
      <c r="AV22" s="292">
        <f t="shared" si="27"/>
        <v>0</v>
      </c>
      <c r="AW22" s="292">
        <f t="shared" si="28"/>
        <v>0</v>
      </c>
      <c r="AX22" s="292">
        <f t="shared" si="29"/>
        <v>0</v>
      </c>
      <c r="AY22" s="292">
        <f t="shared" si="30"/>
        <v>0</v>
      </c>
      <c r="AZ22" s="292">
        <f t="shared" si="31"/>
        <v>0</v>
      </c>
      <c r="BA22" s="292">
        <f t="shared" si="32"/>
        <v>0</v>
      </c>
      <c r="BB22" s="292">
        <f t="shared" si="33"/>
        <v>0</v>
      </c>
      <c r="BC22" s="292">
        <f t="shared" si="34"/>
        <v>0</v>
      </c>
      <c r="BD22" s="292">
        <f t="shared" si="35"/>
        <v>0</v>
      </c>
      <c r="BE22" s="292">
        <f t="shared" si="36"/>
        <v>0</v>
      </c>
      <c r="BF22" s="292">
        <f t="shared" si="37"/>
        <v>0</v>
      </c>
      <c r="BG22" s="292">
        <f t="shared" si="38"/>
        <v>0</v>
      </c>
    </row>
    <row r="23" spans="1:59" s="289" customFormat="1" ht="15" customHeight="1">
      <c r="A23" s="63">
        <f t="array" ref="A23">IF(C23&lt;&gt;0,SUM(($C$11:C23&lt;&gt;0)*1),"")</f>
        <v>13</v>
      </c>
      <c r="B23" s="1099">
        <v>42379</v>
      </c>
      <c r="C23" s="290" t="s">
        <v>41</v>
      </c>
      <c r="D23" s="1099">
        <v>42379</v>
      </c>
      <c r="E23" s="344" t="s">
        <v>372</v>
      </c>
      <c r="F23" s="345">
        <v>6818182</v>
      </c>
      <c r="G23" s="346" t="s">
        <v>135</v>
      </c>
      <c r="H23" s="346" t="s">
        <v>97</v>
      </c>
      <c r="I23" s="63">
        <f t="shared" si="0"/>
        <v>13</v>
      </c>
      <c r="J23" s="292">
        <f t="shared" si="1"/>
        <v>0</v>
      </c>
      <c r="K23" s="292">
        <f t="shared" si="2"/>
        <v>6818182</v>
      </c>
      <c r="L23" s="292">
        <f t="shared" si="3"/>
        <v>0</v>
      </c>
      <c r="M23" s="292">
        <f t="shared" si="4"/>
        <v>0</v>
      </c>
      <c r="N23" s="292">
        <f t="shared" si="39"/>
        <v>0</v>
      </c>
      <c r="O23" s="292">
        <f t="shared" si="40"/>
        <v>0</v>
      </c>
      <c r="P23" s="292">
        <f t="shared" si="5"/>
        <v>0</v>
      </c>
      <c r="Q23" s="292">
        <f t="shared" si="6"/>
        <v>0</v>
      </c>
      <c r="R23" s="292">
        <f t="shared" si="41"/>
        <v>0</v>
      </c>
      <c r="S23" s="292">
        <f t="shared" si="42"/>
        <v>0</v>
      </c>
      <c r="T23" s="292">
        <f t="shared" si="7"/>
        <v>0</v>
      </c>
      <c r="U23" s="292">
        <f t="shared" si="8"/>
        <v>0</v>
      </c>
      <c r="V23" s="292">
        <f t="shared" si="43"/>
        <v>0</v>
      </c>
      <c r="W23" s="292">
        <f t="shared" si="44"/>
        <v>0</v>
      </c>
      <c r="X23" s="292">
        <f t="shared" si="45"/>
        <v>0</v>
      </c>
      <c r="Y23" s="292">
        <f t="shared" si="46"/>
        <v>0</v>
      </c>
      <c r="Z23" s="292">
        <f t="shared" si="47"/>
        <v>0</v>
      </c>
      <c r="AA23" s="292">
        <f t="shared" si="48"/>
        <v>0</v>
      </c>
      <c r="AB23" s="292">
        <f t="shared" si="9"/>
        <v>0</v>
      </c>
      <c r="AC23" s="292">
        <f t="shared" si="10"/>
        <v>0</v>
      </c>
      <c r="AD23" s="292">
        <f t="shared" si="11"/>
        <v>0</v>
      </c>
      <c r="AE23" s="292">
        <f t="shared" si="12"/>
        <v>0</v>
      </c>
      <c r="AF23" s="292">
        <f t="shared" si="13"/>
        <v>0</v>
      </c>
      <c r="AG23" s="292">
        <f t="shared" si="14"/>
        <v>0</v>
      </c>
      <c r="AH23" s="292">
        <f t="shared" si="15"/>
        <v>0</v>
      </c>
      <c r="AI23" s="292">
        <f t="shared" si="16"/>
        <v>0</v>
      </c>
      <c r="AJ23" s="292">
        <f t="shared" si="17"/>
        <v>0</v>
      </c>
      <c r="AK23" s="292">
        <f t="shared" si="18"/>
        <v>0</v>
      </c>
      <c r="AL23" s="292">
        <f t="shared" si="49"/>
        <v>0</v>
      </c>
      <c r="AM23" s="292">
        <f t="shared" si="50"/>
        <v>0</v>
      </c>
      <c r="AN23" s="292">
        <f t="shared" si="19"/>
        <v>0</v>
      </c>
      <c r="AO23" s="292">
        <f t="shared" si="20"/>
        <v>0</v>
      </c>
      <c r="AP23" s="292">
        <f t="shared" si="21"/>
        <v>0</v>
      </c>
      <c r="AQ23" s="292">
        <f t="shared" si="22"/>
        <v>0</v>
      </c>
      <c r="AR23" s="292">
        <f t="shared" si="23"/>
        <v>0</v>
      </c>
      <c r="AS23" s="292">
        <f t="shared" si="24"/>
        <v>0</v>
      </c>
      <c r="AT23" s="292">
        <f t="shared" si="25"/>
        <v>0</v>
      </c>
      <c r="AU23" s="292">
        <f t="shared" si="26"/>
        <v>0</v>
      </c>
      <c r="AV23" s="292">
        <f t="shared" si="27"/>
        <v>0</v>
      </c>
      <c r="AW23" s="292">
        <f t="shared" si="28"/>
        <v>0</v>
      </c>
      <c r="AX23" s="292">
        <f t="shared" si="29"/>
        <v>6818182</v>
      </c>
      <c r="AY23" s="292">
        <f t="shared" si="30"/>
        <v>0</v>
      </c>
      <c r="AZ23" s="292">
        <f t="shared" si="31"/>
        <v>0</v>
      </c>
      <c r="BA23" s="292">
        <f t="shared" si="32"/>
        <v>0</v>
      </c>
      <c r="BB23" s="292">
        <f t="shared" si="33"/>
        <v>0</v>
      </c>
      <c r="BC23" s="292">
        <f t="shared" si="34"/>
        <v>0</v>
      </c>
      <c r="BD23" s="292">
        <f t="shared" si="35"/>
        <v>0</v>
      </c>
      <c r="BE23" s="292">
        <f t="shared" si="36"/>
        <v>0</v>
      </c>
      <c r="BF23" s="292">
        <f t="shared" si="37"/>
        <v>0</v>
      </c>
      <c r="BG23" s="292">
        <f t="shared" si="38"/>
        <v>0</v>
      </c>
    </row>
    <row r="24" spans="1:59" s="289" customFormat="1" ht="15" customHeight="1">
      <c r="A24" s="63">
        <f t="array" ref="A24">IF(C24&lt;&gt;0,SUM(($C$11:C24&lt;&gt;0)*1),"")</f>
        <v>14</v>
      </c>
      <c r="B24" s="1099">
        <v>42379</v>
      </c>
      <c r="C24" s="290" t="s">
        <v>41</v>
      </c>
      <c r="D24" s="1099">
        <v>42379</v>
      </c>
      <c r="E24" s="344" t="s">
        <v>374</v>
      </c>
      <c r="F24" s="345">
        <v>681818</v>
      </c>
      <c r="G24" s="346" t="s">
        <v>10</v>
      </c>
      <c r="H24" s="346" t="s">
        <v>97</v>
      </c>
      <c r="I24" s="63">
        <f t="shared" si="0"/>
        <v>14</v>
      </c>
      <c r="J24" s="292">
        <f t="shared" si="1"/>
        <v>0</v>
      </c>
      <c r="K24" s="292">
        <f t="shared" si="2"/>
        <v>681818</v>
      </c>
      <c r="L24" s="292">
        <f t="shared" si="3"/>
        <v>0</v>
      </c>
      <c r="M24" s="292">
        <f t="shared" si="4"/>
        <v>0</v>
      </c>
      <c r="N24" s="292">
        <f t="shared" si="39"/>
        <v>0</v>
      </c>
      <c r="O24" s="292">
        <f t="shared" si="40"/>
        <v>0</v>
      </c>
      <c r="P24" s="292">
        <f t="shared" si="5"/>
        <v>681818</v>
      </c>
      <c r="Q24" s="292">
        <f t="shared" si="6"/>
        <v>0</v>
      </c>
      <c r="R24" s="292">
        <f t="shared" si="41"/>
        <v>0</v>
      </c>
      <c r="S24" s="292">
        <f t="shared" si="42"/>
        <v>0</v>
      </c>
      <c r="T24" s="292">
        <f t="shared" si="7"/>
        <v>0</v>
      </c>
      <c r="U24" s="292">
        <f t="shared" si="8"/>
        <v>0</v>
      </c>
      <c r="V24" s="292">
        <f t="shared" si="43"/>
        <v>0</v>
      </c>
      <c r="W24" s="292">
        <f t="shared" si="44"/>
        <v>0</v>
      </c>
      <c r="X24" s="292">
        <f t="shared" si="45"/>
        <v>0</v>
      </c>
      <c r="Y24" s="292">
        <f t="shared" si="46"/>
        <v>0</v>
      </c>
      <c r="Z24" s="292">
        <f t="shared" si="47"/>
        <v>0</v>
      </c>
      <c r="AA24" s="292">
        <f t="shared" si="48"/>
        <v>0</v>
      </c>
      <c r="AB24" s="292">
        <f t="shared" si="9"/>
        <v>0</v>
      </c>
      <c r="AC24" s="292">
        <f t="shared" si="10"/>
        <v>0</v>
      </c>
      <c r="AD24" s="292">
        <f t="shared" si="11"/>
        <v>0</v>
      </c>
      <c r="AE24" s="292">
        <f t="shared" si="12"/>
        <v>0</v>
      </c>
      <c r="AF24" s="292">
        <f t="shared" si="13"/>
        <v>0</v>
      </c>
      <c r="AG24" s="292">
        <f t="shared" si="14"/>
        <v>0</v>
      </c>
      <c r="AH24" s="292">
        <f t="shared" si="15"/>
        <v>0</v>
      </c>
      <c r="AI24" s="292">
        <f t="shared" si="16"/>
        <v>0</v>
      </c>
      <c r="AJ24" s="292">
        <f t="shared" si="17"/>
        <v>0</v>
      </c>
      <c r="AK24" s="292">
        <f t="shared" si="18"/>
        <v>0</v>
      </c>
      <c r="AL24" s="292">
        <f t="shared" si="49"/>
        <v>0</v>
      </c>
      <c r="AM24" s="292">
        <f t="shared" si="50"/>
        <v>0</v>
      </c>
      <c r="AN24" s="292">
        <f t="shared" si="19"/>
        <v>0</v>
      </c>
      <c r="AO24" s="292">
        <f t="shared" si="20"/>
        <v>0</v>
      </c>
      <c r="AP24" s="292">
        <f t="shared" si="21"/>
        <v>0</v>
      </c>
      <c r="AQ24" s="292">
        <f t="shared" si="22"/>
        <v>0</v>
      </c>
      <c r="AR24" s="292">
        <f t="shared" si="23"/>
        <v>0</v>
      </c>
      <c r="AS24" s="292">
        <f t="shared" si="24"/>
        <v>0</v>
      </c>
      <c r="AT24" s="292">
        <f t="shared" si="25"/>
        <v>0</v>
      </c>
      <c r="AU24" s="292">
        <f t="shared" si="26"/>
        <v>0</v>
      </c>
      <c r="AV24" s="292">
        <f t="shared" si="27"/>
        <v>0</v>
      </c>
      <c r="AW24" s="292">
        <f t="shared" si="28"/>
        <v>0</v>
      </c>
      <c r="AX24" s="292">
        <f t="shared" si="29"/>
        <v>0</v>
      </c>
      <c r="AY24" s="292">
        <f t="shared" si="30"/>
        <v>0</v>
      </c>
      <c r="AZ24" s="292">
        <f t="shared" si="31"/>
        <v>0</v>
      </c>
      <c r="BA24" s="292">
        <f t="shared" si="32"/>
        <v>0</v>
      </c>
      <c r="BB24" s="292">
        <f t="shared" si="33"/>
        <v>0</v>
      </c>
      <c r="BC24" s="292">
        <f t="shared" si="34"/>
        <v>0</v>
      </c>
      <c r="BD24" s="292">
        <f t="shared" si="35"/>
        <v>0</v>
      </c>
      <c r="BE24" s="292">
        <f t="shared" si="36"/>
        <v>0</v>
      </c>
      <c r="BF24" s="292">
        <f t="shared" si="37"/>
        <v>0</v>
      </c>
      <c r="BG24" s="292">
        <f t="shared" si="38"/>
        <v>0</v>
      </c>
    </row>
    <row r="25" spans="1:59" s="289" customFormat="1" ht="15" customHeight="1">
      <c r="A25" s="63">
        <f t="array" ref="A25">IF(C25&lt;&gt;0,SUM(($C$11:C25&lt;&gt;0)*1),"")</f>
        <v>15</v>
      </c>
      <c r="B25" s="1099">
        <v>42380</v>
      </c>
      <c r="C25" s="290" t="s">
        <v>40</v>
      </c>
      <c r="D25" s="1099">
        <v>42380</v>
      </c>
      <c r="E25" s="344" t="s">
        <v>324</v>
      </c>
      <c r="F25" s="345">
        <v>497553</v>
      </c>
      <c r="G25" s="346" t="s">
        <v>135</v>
      </c>
      <c r="H25" s="346" t="s">
        <v>97</v>
      </c>
      <c r="I25" s="63">
        <f t="shared" si="0"/>
        <v>15</v>
      </c>
      <c r="J25" s="292">
        <f t="shared" si="1"/>
        <v>0</v>
      </c>
      <c r="K25" s="292">
        <f t="shared" si="2"/>
        <v>497553</v>
      </c>
      <c r="L25" s="292">
        <f t="shared" si="3"/>
        <v>0</v>
      </c>
      <c r="M25" s="292">
        <f t="shared" si="4"/>
        <v>0</v>
      </c>
      <c r="N25" s="292">
        <f t="shared" si="39"/>
        <v>0</v>
      </c>
      <c r="O25" s="292">
        <f t="shared" si="40"/>
        <v>0</v>
      </c>
      <c r="P25" s="292">
        <f t="shared" si="5"/>
        <v>0</v>
      </c>
      <c r="Q25" s="292">
        <f t="shared" si="6"/>
        <v>0</v>
      </c>
      <c r="R25" s="292">
        <f t="shared" si="41"/>
        <v>0</v>
      </c>
      <c r="S25" s="292">
        <f t="shared" si="42"/>
        <v>0</v>
      </c>
      <c r="T25" s="292">
        <f t="shared" si="7"/>
        <v>0</v>
      </c>
      <c r="U25" s="292">
        <f t="shared" si="8"/>
        <v>0</v>
      </c>
      <c r="V25" s="292">
        <f t="shared" si="43"/>
        <v>0</v>
      </c>
      <c r="W25" s="292">
        <f t="shared" si="44"/>
        <v>0</v>
      </c>
      <c r="X25" s="292">
        <f t="shared" si="45"/>
        <v>0</v>
      </c>
      <c r="Y25" s="292">
        <f t="shared" si="46"/>
        <v>0</v>
      </c>
      <c r="Z25" s="292">
        <f t="shared" si="47"/>
        <v>0</v>
      </c>
      <c r="AA25" s="292">
        <f t="shared" si="48"/>
        <v>0</v>
      </c>
      <c r="AB25" s="292">
        <f t="shared" si="9"/>
        <v>0</v>
      </c>
      <c r="AC25" s="292">
        <f t="shared" si="10"/>
        <v>0</v>
      </c>
      <c r="AD25" s="292">
        <f t="shared" si="11"/>
        <v>0</v>
      </c>
      <c r="AE25" s="292">
        <f t="shared" si="12"/>
        <v>0</v>
      </c>
      <c r="AF25" s="292">
        <f t="shared" si="13"/>
        <v>0</v>
      </c>
      <c r="AG25" s="292">
        <f t="shared" si="14"/>
        <v>0</v>
      </c>
      <c r="AH25" s="292">
        <f t="shared" si="15"/>
        <v>0</v>
      </c>
      <c r="AI25" s="292">
        <f t="shared" si="16"/>
        <v>0</v>
      </c>
      <c r="AJ25" s="292">
        <f t="shared" si="17"/>
        <v>0</v>
      </c>
      <c r="AK25" s="292">
        <f t="shared" si="18"/>
        <v>0</v>
      </c>
      <c r="AL25" s="292">
        <f t="shared" si="49"/>
        <v>0</v>
      </c>
      <c r="AM25" s="292">
        <f t="shared" si="50"/>
        <v>0</v>
      </c>
      <c r="AN25" s="292">
        <f t="shared" si="19"/>
        <v>0</v>
      </c>
      <c r="AO25" s="292">
        <f t="shared" si="20"/>
        <v>0</v>
      </c>
      <c r="AP25" s="292">
        <f t="shared" si="21"/>
        <v>0</v>
      </c>
      <c r="AQ25" s="292">
        <f t="shared" si="22"/>
        <v>0</v>
      </c>
      <c r="AR25" s="292">
        <f t="shared" si="23"/>
        <v>0</v>
      </c>
      <c r="AS25" s="292">
        <f t="shared" si="24"/>
        <v>0</v>
      </c>
      <c r="AT25" s="292">
        <f t="shared" si="25"/>
        <v>0</v>
      </c>
      <c r="AU25" s="292">
        <f t="shared" si="26"/>
        <v>0</v>
      </c>
      <c r="AV25" s="292">
        <f t="shared" si="27"/>
        <v>0</v>
      </c>
      <c r="AW25" s="292">
        <f t="shared" si="28"/>
        <v>0</v>
      </c>
      <c r="AX25" s="292">
        <f t="shared" si="29"/>
        <v>497553</v>
      </c>
      <c r="AY25" s="292">
        <f t="shared" si="30"/>
        <v>0</v>
      </c>
      <c r="AZ25" s="292">
        <f t="shared" si="31"/>
        <v>0</v>
      </c>
      <c r="BA25" s="292">
        <f t="shared" si="32"/>
        <v>0</v>
      </c>
      <c r="BB25" s="292">
        <f t="shared" si="33"/>
        <v>0</v>
      </c>
      <c r="BC25" s="292">
        <f t="shared" si="34"/>
        <v>0</v>
      </c>
      <c r="BD25" s="292">
        <f t="shared" si="35"/>
        <v>0</v>
      </c>
      <c r="BE25" s="292">
        <f t="shared" si="36"/>
        <v>0</v>
      </c>
      <c r="BF25" s="292">
        <f t="shared" si="37"/>
        <v>0</v>
      </c>
      <c r="BG25" s="292">
        <f t="shared" si="38"/>
        <v>0</v>
      </c>
    </row>
    <row r="26" spans="1:59" s="289" customFormat="1" ht="15" customHeight="1">
      <c r="A26" s="63">
        <f t="array" ref="A26">IF(C26&lt;&gt;0,SUM(($C$11:C26&lt;&gt;0)*1),"")</f>
        <v>16</v>
      </c>
      <c r="B26" s="1099">
        <v>42380</v>
      </c>
      <c r="C26" s="290" t="s">
        <v>40</v>
      </c>
      <c r="D26" s="1099">
        <v>42380</v>
      </c>
      <c r="E26" s="344" t="s">
        <v>326</v>
      </c>
      <c r="F26" s="345">
        <v>49755</v>
      </c>
      <c r="G26" s="346" t="s">
        <v>10</v>
      </c>
      <c r="H26" s="346" t="s">
        <v>97</v>
      </c>
      <c r="I26" s="63">
        <f t="shared" si="0"/>
        <v>16</v>
      </c>
      <c r="J26" s="292">
        <f t="shared" si="1"/>
        <v>0</v>
      </c>
      <c r="K26" s="292">
        <f t="shared" si="2"/>
        <v>49755</v>
      </c>
      <c r="L26" s="292">
        <f t="shared" si="3"/>
        <v>0</v>
      </c>
      <c r="M26" s="292">
        <f t="shared" si="4"/>
        <v>0</v>
      </c>
      <c r="N26" s="292">
        <f t="shared" si="39"/>
        <v>0</v>
      </c>
      <c r="O26" s="292">
        <f t="shared" si="40"/>
        <v>0</v>
      </c>
      <c r="P26" s="292">
        <f t="shared" si="5"/>
        <v>49755</v>
      </c>
      <c r="Q26" s="292">
        <f t="shared" si="6"/>
        <v>0</v>
      </c>
      <c r="R26" s="292">
        <f t="shared" si="41"/>
        <v>0</v>
      </c>
      <c r="S26" s="292">
        <f t="shared" si="42"/>
        <v>0</v>
      </c>
      <c r="T26" s="292">
        <f t="shared" si="7"/>
        <v>0</v>
      </c>
      <c r="U26" s="292">
        <f t="shared" si="8"/>
        <v>0</v>
      </c>
      <c r="V26" s="292">
        <f t="shared" si="43"/>
        <v>0</v>
      </c>
      <c r="W26" s="292">
        <f t="shared" si="44"/>
        <v>0</v>
      </c>
      <c r="X26" s="292">
        <f t="shared" si="45"/>
        <v>0</v>
      </c>
      <c r="Y26" s="292">
        <f t="shared" si="46"/>
        <v>0</v>
      </c>
      <c r="Z26" s="292">
        <f t="shared" si="47"/>
        <v>0</v>
      </c>
      <c r="AA26" s="292">
        <f t="shared" si="48"/>
        <v>0</v>
      </c>
      <c r="AB26" s="292">
        <f t="shared" si="9"/>
        <v>0</v>
      </c>
      <c r="AC26" s="292">
        <f t="shared" si="10"/>
        <v>0</v>
      </c>
      <c r="AD26" s="292">
        <f t="shared" si="11"/>
        <v>0</v>
      </c>
      <c r="AE26" s="292">
        <f t="shared" si="12"/>
        <v>0</v>
      </c>
      <c r="AF26" s="292">
        <f t="shared" si="13"/>
        <v>0</v>
      </c>
      <c r="AG26" s="292">
        <f t="shared" si="14"/>
        <v>0</v>
      </c>
      <c r="AH26" s="292">
        <f t="shared" si="15"/>
        <v>0</v>
      </c>
      <c r="AI26" s="292">
        <f t="shared" si="16"/>
        <v>0</v>
      </c>
      <c r="AJ26" s="292">
        <f t="shared" si="17"/>
        <v>0</v>
      </c>
      <c r="AK26" s="292">
        <f t="shared" si="18"/>
        <v>0</v>
      </c>
      <c r="AL26" s="292">
        <f t="shared" si="49"/>
        <v>0</v>
      </c>
      <c r="AM26" s="292">
        <f t="shared" si="50"/>
        <v>0</v>
      </c>
      <c r="AN26" s="292">
        <f t="shared" si="19"/>
        <v>0</v>
      </c>
      <c r="AO26" s="292">
        <f t="shared" si="20"/>
        <v>0</v>
      </c>
      <c r="AP26" s="292">
        <f t="shared" si="21"/>
        <v>0</v>
      </c>
      <c r="AQ26" s="292">
        <f t="shared" si="22"/>
        <v>0</v>
      </c>
      <c r="AR26" s="292">
        <f t="shared" si="23"/>
        <v>0</v>
      </c>
      <c r="AS26" s="292">
        <f t="shared" si="24"/>
        <v>0</v>
      </c>
      <c r="AT26" s="292">
        <f t="shared" si="25"/>
        <v>0</v>
      </c>
      <c r="AU26" s="292">
        <f t="shared" si="26"/>
        <v>0</v>
      </c>
      <c r="AV26" s="292">
        <f t="shared" si="27"/>
        <v>0</v>
      </c>
      <c r="AW26" s="292">
        <f t="shared" si="28"/>
        <v>0</v>
      </c>
      <c r="AX26" s="292">
        <f t="shared" si="29"/>
        <v>0</v>
      </c>
      <c r="AY26" s="292">
        <f t="shared" si="30"/>
        <v>0</v>
      </c>
      <c r="AZ26" s="292">
        <f t="shared" si="31"/>
        <v>0</v>
      </c>
      <c r="BA26" s="292">
        <f t="shared" si="32"/>
        <v>0</v>
      </c>
      <c r="BB26" s="292">
        <f t="shared" si="33"/>
        <v>0</v>
      </c>
      <c r="BC26" s="292">
        <f t="shared" si="34"/>
        <v>0</v>
      </c>
      <c r="BD26" s="292">
        <f t="shared" si="35"/>
        <v>0</v>
      </c>
      <c r="BE26" s="292">
        <f t="shared" si="36"/>
        <v>0</v>
      </c>
      <c r="BF26" s="292">
        <f t="shared" si="37"/>
        <v>0</v>
      </c>
      <c r="BG26" s="292">
        <f t="shared" si="38"/>
        <v>0</v>
      </c>
    </row>
    <row r="27" spans="1:59" s="289" customFormat="1" ht="15" customHeight="1">
      <c r="A27" s="63">
        <f t="array" ref="A27">IF(C27&lt;&gt;0,SUM(($C$11:C27&lt;&gt;0)*1),"")</f>
        <v>17</v>
      </c>
      <c r="B27" s="1099">
        <v>42381</v>
      </c>
      <c r="C27" s="290" t="s">
        <v>63</v>
      </c>
      <c r="D27" s="1099">
        <v>42381</v>
      </c>
      <c r="E27" s="344" t="s">
        <v>317</v>
      </c>
      <c r="F27" s="345">
        <v>12150000</v>
      </c>
      <c r="G27" s="346" t="s">
        <v>242</v>
      </c>
      <c r="H27" s="346" t="s">
        <v>97</v>
      </c>
      <c r="I27" s="63">
        <f t="shared" si="0"/>
        <v>17</v>
      </c>
      <c r="J27" s="292">
        <f t="shared" si="1"/>
        <v>0</v>
      </c>
      <c r="K27" s="292">
        <f t="shared" si="2"/>
        <v>12150000</v>
      </c>
      <c r="L27" s="292">
        <f t="shared" si="3"/>
        <v>0</v>
      </c>
      <c r="M27" s="292">
        <f t="shared" si="4"/>
        <v>0</v>
      </c>
      <c r="N27" s="292">
        <f t="shared" si="39"/>
        <v>0</v>
      </c>
      <c r="O27" s="292">
        <f t="shared" si="40"/>
        <v>0</v>
      </c>
      <c r="P27" s="292">
        <f t="shared" si="5"/>
        <v>0</v>
      </c>
      <c r="Q27" s="292">
        <f t="shared" si="6"/>
        <v>0</v>
      </c>
      <c r="R27" s="292">
        <f t="shared" si="41"/>
        <v>0</v>
      </c>
      <c r="S27" s="292">
        <f t="shared" si="42"/>
        <v>0</v>
      </c>
      <c r="T27" s="292">
        <f t="shared" si="7"/>
        <v>0</v>
      </c>
      <c r="U27" s="292">
        <f t="shared" si="8"/>
        <v>0</v>
      </c>
      <c r="V27" s="292">
        <f t="shared" si="43"/>
        <v>0</v>
      </c>
      <c r="W27" s="292">
        <f t="shared" si="44"/>
        <v>0</v>
      </c>
      <c r="X27" s="292">
        <f t="shared" si="45"/>
        <v>0</v>
      </c>
      <c r="Y27" s="292">
        <f t="shared" si="46"/>
        <v>0</v>
      </c>
      <c r="Z27" s="292">
        <f t="shared" si="47"/>
        <v>12150000</v>
      </c>
      <c r="AA27" s="292">
        <f t="shared" si="48"/>
        <v>0</v>
      </c>
      <c r="AB27" s="292">
        <f t="shared" si="9"/>
        <v>0</v>
      </c>
      <c r="AC27" s="292">
        <f t="shared" si="10"/>
        <v>0</v>
      </c>
      <c r="AD27" s="292">
        <f t="shared" si="11"/>
        <v>0</v>
      </c>
      <c r="AE27" s="292">
        <f t="shared" si="12"/>
        <v>0</v>
      </c>
      <c r="AF27" s="292">
        <f t="shared" si="13"/>
        <v>0</v>
      </c>
      <c r="AG27" s="292">
        <f t="shared" si="14"/>
        <v>0</v>
      </c>
      <c r="AH27" s="292">
        <f t="shared" si="15"/>
        <v>0</v>
      </c>
      <c r="AI27" s="292">
        <f t="shared" si="16"/>
        <v>0</v>
      </c>
      <c r="AJ27" s="292">
        <f t="shared" si="17"/>
        <v>0</v>
      </c>
      <c r="AK27" s="292">
        <f t="shared" si="18"/>
        <v>0</v>
      </c>
      <c r="AL27" s="292">
        <f t="shared" si="49"/>
        <v>0</v>
      </c>
      <c r="AM27" s="292">
        <f t="shared" si="50"/>
        <v>0</v>
      </c>
      <c r="AN27" s="292">
        <f t="shared" si="19"/>
        <v>0</v>
      </c>
      <c r="AO27" s="292">
        <f t="shared" si="20"/>
        <v>0</v>
      </c>
      <c r="AP27" s="292">
        <f t="shared" si="21"/>
        <v>0</v>
      </c>
      <c r="AQ27" s="292">
        <f t="shared" si="22"/>
        <v>0</v>
      </c>
      <c r="AR27" s="292">
        <f t="shared" si="23"/>
        <v>0</v>
      </c>
      <c r="AS27" s="292">
        <f t="shared" si="24"/>
        <v>0</v>
      </c>
      <c r="AT27" s="292">
        <f t="shared" si="25"/>
        <v>0</v>
      </c>
      <c r="AU27" s="292">
        <f t="shared" si="26"/>
        <v>0</v>
      </c>
      <c r="AV27" s="292">
        <f t="shared" si="27"/>
        <v>0</v>
      </c>
      <c r="AW27" s="292">
        <f t="shared" si="28"/>
        <v>0</v>
      </c>
      <c r="AX27" s="292">
        <f t="shared" si="29"/>
        <v>0</v>
      </c>
      <c r="AY27" s="292">
        <f t="shared" si="30"/>
        <v>0</v>
      </c>
      <c r="AZ27" s="292">
        <f t="shared" si="31"/>
        <v>0</v>
      </c>
      <c r="BA27" s="292">
        <f t="shared" si="32"/>
        <v>0</v>
      </c>
      <c r="BB27" s="292">
        <f t="shared" si="33"/>
        <v>0</v>
      </c>
      <c r="BC27" s="292">
        <f t="shared" si="34"/>
        <v>0</v>
      </c>
      <c r="BD27" s="292">
        <f t="shared" si="35"/>
        <v>0</v>
      </c>
      <c r="BE27" s="292">
        <f t="shared" si="36"/>
        <v>0</v>
      </c>
      <c r="BF27" s="292">
        <f t="shared" si="37"/>
        <v>0</v>
      </c>
      <c r="BG27" s="292">
        <f t="shared" si="38"/>
        <v>0</v>
      </c>
    </row>
    <row r="28" spans="1:59" s="289" customFormat="1" ht="15" customHeight="1">
      <c r="A28" s="63">
        <f t="array" ref="A28">IF(C28&lt;&gt;0,SUM(($C$11:C28&lt;&gt;0)*1),"")</f>
        <v>18</v>
      </c>
      <c r="B28" s="1099">
        <v>42381</v>
      </c>
      <c r="C28" s="290" t="s">
        <v>63</v>
      </c>
      <c r="D28" s="1099">
        <v>42381</v>
      </c>
      <c r="E28" s="344" t="s">
        <v>318</v>
      </c>
      <c r="F28" s="345">
        <v>1215000</v>
      </c>
      <c r="G28" s="346" t="s">
        <v>981</v>
      </c>
      <c r="H28" s="346" t="s">
        <v>97</v>
      </c>
      <c r="I28" s="63">
        <f t="shared" si="0"/>
        <v>18</v>
      </c>
      <c r="J28" s="292">
        <f t="shared" si="1"/>
        <v>0</v>
      </c>
      <c r="K28" s="292">
        <f t="shared" si="2"/>
        <v>1215000</v>
      </c>
      <c r="L28" s="292">
        <f t="shared" si="3"/>
        <v>0</v>
      </c>
      <c r="M28" s="292">
        <f t="shared" si="4"/>
        <v>0</v>
      </c>
      <c r="N28" s="292">
        <f t="shared" si="39"/>
        <v>0</v>
      </c>
      <c r="O28" s="292">
        <f t="shared" si="40"/>
        <v>0</v>
      </c>
      <c r="P28" s="292">
        <f t="shared" si="5"/>
        <v>0</v>
      </c>
      <c r="Q28" s="292">
        <f t="shared" si="6"/>
        <v>0</v>
      </c>
      <c r="R28" s="292">
        <f t="shared" si="41"/>
        <v>1215000</v>
      </c>
      <c r="S28" s="292">
        <f t="shared" si="42"/>
        <v>0</v>
      </c>
      <c r="T28" s="292">
        <f t="shared" si="7"/>
        <v>0</v>
      </c>
      <c r="U28" s="292">
        <f t="shared" si="8"/>
        <v>0</v>
      </c>
      <c r="V28" s="292">
        <f t="shared" si="43"/>
        <v>0</v>
      </c>
      <c r="W28" s="292">
        <f t="shared" si="44"/>
        <v>0</v>
      </c>
      <c r="X28" s="292">
        <f t="shared" si="45"/>
        <v>0</v>
      </c>
      <c r="Y28" s="292">
        <f t="shared" si="46"/>
        <v>0</v>
      </c>
      <c r="Z28" s="292">
        <f t="shared" si="47"/>
        <v>0</v>
      </c>
      <c r="AA28" s="292">
        <f t="shared" si="48"/>
        <v>0</v>
      </c>
      <c r="AB28" s="292">
        <f t="shared" si="9"/>
        <v>0</v>
      </c>
      <c r="AC28" s="292">
        <f t="shared" si="10"/>
        <v>0</v>
      </c>
      <c r="AD28" s="292">
        <f t="shared" si="11"/>
        <v>0</v>
      </c>
      <c r="AE28" s="292">
        <f t="shared" si="12"/>
        <v>0</v>
      </c>
      <c r="AF28" s="292">
        <f t="shared" si="13"/>
        <v>0</v>
      </c>
      <c r="AG28" s="292">
        <f t="shared" si="14"/>
        <v>0</v>
      </c>
      <c r="AH28" s="292">
        <f t="shared" si="15"/>
        <v>0</v>
      </c>
      <c r="AI28" s="292">
        <f t="shared" si="16"/>
        <v>0</v>
      </c>
      <c r="AJ28" s="292">
        <f t="shared" si="17"/>
        <v>0</v>
      </c>
      <c r="AK28" s="292">
        <f t="shared" si="18"/>
        <v>0</v>
      </c>
      <c r="AL28" s="292">
        <f t="shared" si="49"/>
        <v>0</v>
      </c>
      <c r="AM28" s="292">
        <f t="shared" si="50"/>
        <v>0</v>
      </c>
      <c r="AN28" s="292">
        <f t="shared" si="19"/>
        <v>0</v>
      </c>
      <c r="AO28" s="292">
        <f t="shared" si="20"/>
        <v>0</v>
      </c>
      <c r="AP28" s="292">
        <f t="shared" si="21"/>
        <v>0</v>
      </c>
      <c r="AQ28" s="292">
        <f t="shared" si="22"/>
        <v>0</v>
      </c>
      <c r="AR28" s="292">
        <f t="shared" si="23"/>
        <v>0</v>
      </c>
      <c r="AS28" s="292">
        <f t="shared" si="24"/>
        <v>0</v>
      </c>
      <c r="AT28" s="292">
        <f t="shared" si="25"/>
        <v>0</v>
      </c>
      <c r="AU28" s="292">
        <f t="shared" si="26"/>
        <v>0</v>
      </c>
      <c r="AV28" s="292">
        <f t="shared" si="27"/>
        <v>0</v>
      </c>
      <c r="AW28" s="292">
        <f t="shared" si="28"/>
        <v>0</v>
      </c>
      <c r="AX28" s="292">
        <f t="shared" si="29"/>
        <v>0</v>
      </c>
      <c r="AY28" s="292">
        <f t="shared" si="30"/>
        <v>0</v>
      </c>
      <c r="AZ28" s="292">
        <f t="shared" si="31"/>
        <v>0</v>
      </c>
      <c r="BA28" s="292">
        <f t="shared" si="32"/>
        <v>0</v>
      </c>
      <c r="BB28" s="292">
        <f t="shared" si="33"/>
        <v>0</v>
      </c>
      <c r="BC28" s="292">
        <f t="shared" si="34"/>
        <v>0</v>
      </c>
      <c r="BD28" s="292">
        <f t="shared" si="35"/>
        <v>0</v>
      </c>
      <c r="BE28" s="292">
        <f t="shared" si="36"/>
        <v>0</v>
      </c>
      <c r="BF28" s="292">
        <f t="shared" si="37"/>
        <v>0</v>
      </c>
      <c r="BG28" s="292">
        <f t="shared" si="38"/>
        <v>0</v>
      </c>
    </row>
    <row r="29" spans="1:59" s="289" customFormat="1" ht="15" customHeight="1">
      <c r="A29" s="63">
        <f t="array" ref="A29">IF(C29&lt;&gt;0,SUM(($C$11:C29&lt;&gt;0)*1),"")</f>
        <v>19</v>
      </c>
      <c r="B29" s="1099">
        <v>42381</v>
      </c>
      <c r="C29" s="290" t="s">
        <v>64</v>
      </c>
      <c r="D29" s="1099">
        <v>42381</v>
      </c>
      <c r="E29" s="344" t="s">
        <v>380</v>
      </c>
      <c r="F29" s="345">
        <v>800000</v>
      </c>
      <c r="G29" s="346" t="s">
        <v>242</v>
      </c>
      <c r="H29" s="346" t="s">
        <v>97</v>
      </c>
      <c r="I29" s="63">
        <f t="shared" si="0"/>
        <v>19</v>
      </c>
      <c r="J29" s="292">
        <f t="shared" si="1"/>
        <v>0</v>
      </c>
      <c r="K29" s="292">
        <f t="shared" si="2"/>
        <v>800000</v>
      </c>
      <c r="L29" s="292">
        <f t="shared" si="3"/>
        <v>0</v>
      </c>
      <c r="M29" s="292">
        <f t="shared" si="4"/>
        <v>0</v>
      </c>
      <c r="N29" s="292">
        <f t="shared" si="39"/>
        <v>0</v>
      </c>
      <c r="O29" s="292">
        <f t="shared" si="40"/>
        <v>0</v>
      </c>
      <c r="P29" s="292">
        <f t="shared" si="5"/>
        <v>0</v>
      </c>
      <c r="Q29" s="292">
        <f t="shared" si="6"/>
        <v>0</v>
      </c>
      <c r="R29" s="292">
        <f t="shared" si="41"/>
        <v>0</v>
      </c>
      <c r="S29" s="292">
        <f t="shared" si="42"/>
        <v>0</v>
      </c>
      <c r="T29" s="292">
        <f t="shared" si="7"/>
        <v>0</v>
      </c>
      <c r="U29" s="292">
        <f t="shared" si="8"/>
        <v>0</v>
      </c>
      <c r="V29" s="292">
        <f t="shared" si="43"/>
        <v>0</v>
      </c>
      <c r="W29" s="292">
        <f t="shared" si="44"/>
        <v>0</v>
      </c>
      <c r="X29" s="292">
        <f t="shared" si="45"/>
        <v>0</v>
      </c>
      <c r="Y29" s="292">
        <f t="shared" si="46"/>
        <v>0</v>
      </c>
      <c r="Z29" s="292">
        <f t="shared" si="47"/>
        <v>800000</v>
      </c>
      <c r="AA29" s="292">
        <f t="shared" si="48"/>
        <v>0</v>
      </c>
      <c r="AB29" s="292">
        <f t="shared" si="9"/>
        <v>0</v>
      </c>
      <c r="AC29" s="292">
        <f t="shared" si="10"/>
        <v>0</v>
      </c>
      <c r="AD29" s="292">
        <f t="shared" si="11"/>
        <v>0</v>
      </c>
      <c r="AE29" s="292">
        <f t="shared" si="12"/>
        <v>0</v>
      </c>
      <c r="AF29" s="292">
        <f t="shared" si="13"/>
        <v>0</v>
      </c>
      <c r="AG29" s="292">
        <f t="shared" si="14"/>
        <v>0</v>
      </c>
      <c r="AH29" s="292">
        <f t="shared" si="15"/>
        <v>0</v>
      </c>
      <c r="AI29" s="292">
        <f t="shared" si="16"/>
        <v>0</v>
      </c>
      <c r="AJ29" s="292">
        <f t="shared" si="17"/>
        <v>0</v>
      </c>
      <c r="AK29" s="292">
        <f t="shared" si="18"/>
        <v>0</v>
      </c>
      <c r="AL29" s="292">
        <f t="shared" si="49"/>
        <v>0</v>
      </c>
      <c r="AM29" s="292">
        <f t="shared" si="50"/>
        <v>0</v>
      </c>
      <c r="AN29" s="292">
        <f t="shared" si="19"/>
        <v>0</v>
      </c>
      <c r="AO29" s="292">
        <f t="shared" si="20"/>
        <v>0</v>
      </c>
      <c r="AP29" s="292">
        <f t="shared" si="21"/>
        <v>0</v>
      </c>
      <c r="AQ29" s="292">
        <f t="shared" si="22"/>
        <v>0</v>
      </c>
      <c r="AR29" s="292">
        <f t="shared" si="23"/>
        <v>0</v>
      </c>
      <c r="AS29" s="292">
        <f t="shared" si="24"/>
        <v>0</v>
      </c>
      <c r="AT29" s="292">
        <f t="shared" si="25"/>
        <v>0</v>
      </c>
      <c r="AU29" s="292">
        <f t="shared" si="26"/>
        <v>0</v>
      </c>
      <c r="AV29" s="292">
        <f t="shared" si="27"/>
        <v>0</v>
      </c>
      <c r="AW29" s="292">
        <f t="shared" si="28"/>
        <v>0</v>
      </c>
      <c r="AX29" s="292">
        <f t="shared" si="29"/>
        <v>0</v>
      </c>
      <c r="AY29" s="292">
        <f t="shared" si="30"/>
        <v>0</v>
      </c>
      <c r="AZ29" s="292">
        <f t="shared" si="31"/>
        <v>0</v>
      </c>
      <c r="BA29" s="292">
        <f t="shared" si="32"/>
        <v>0</v>
      </c>
      <c r="BB29" s="292">
        <f t="shared" si="33"/>
        <v>0</v>
      </c>
      <c r="BC29" s="292">
        <f t="shared" si="34"/>
        <v>0</v>
      </c>
      <c r="BD29" s="292">
        <f t="shared" si="35"/>
        <v>0</v>
      </c>
      <c r="BE29" s="292">
        <f t="shared" si="36"/>
        <v>0</v>
      </c>
      <c r="BF29" s="292">
        <f t="shared" si="37"/>
        <v>0</v>
      </c>
      <c r="BG29" s="292">
        <f t="shared" si="38"/>
        <v>0</v>
      </c>
    </row>
    <row r="30" spans="1:59" s="289" customFormat="1" ht="15" customHeight="1">
      <c r="A30" s="63">
        <f t="array" ref="A30">IF(C30&lt;&gt;0,SUM(($C$11:C30&lt;&gt;0)*1),"")</f>
        <v>20</v>
      </c>
      <c r="B30" s="1099">
        <v>42381</v>
      </c>
      <c r="C30" s="290" t="s">
        <v>8</v>
      </c>
      <c r="D30" s="1099">
        <v>42381</v>
      </c>
      <c r="E30" s="344" t="s">
        <v>163</v>
      </c>
      <c r="F30" s="345">
        <v>500000000</v>
      </c>
      <c r="G30" s="346" t="s">
        <v>9</v>
      </c>
      <c r="H30" s="346" t="s">
        <v>31</v>
      </c>
      <c r="I30" s="63">
        <f t="shared" si="0"/>
        <v>20</v>
      </c>
      <c r="J30" s="292">
        <f t="shared" si="1"/>
        <v>0</v>
      </c>
      <c r="K30" s="292">
        <f t="shared" si="2"/>
        <v>0</v>
      </c>
      <c r="L30" s="292">
        <f t="shared" si="3"/>
        <v>0</v>
      </c>
      <c r="M30" s="292">
        <f t="shared" si="4"/>
        <v>500000000</v>
      </c>
      <c r="N30" s="292">
        <f t="shared" si="39"/>
        <v>0</v>
      </c>
      <c r="O30" s="292">
        <f t="shared" si="40"/>
        <v>0</v>
      </c>
      <c r="P30" s="292">
        <f t="shared" si="5"/>
        <v>0</v>
      </c>
      <c r="Q30" s="292">
        <f t="shared" si="6"/>
        <v>0</v>
      </c>
      <c r="R30" s="292">
        <f t="shared" si="41"/>
        <v>0</v>
      </c>
      <c r="S30" s="292">
        <f t="shared" si="42"/>
        <v>0</v>
      </c>
      <c r="T30" s="292">
        <f t="shared" si="7"/>
        <v>0</v>
      </c>
      <c r="U30" s="292">
        <f t="shared" si="8"/>
        <v>0</v>
      </c>
      <c r="V30" s="292">
        <f t="shared" si="43"/>
        <v>0</v>
      </c>
      <c r="W30" s="292">
        <f t="shared" si="44"/>
        <v>0</v>
      </c>
      <c r="X30" s="292">
        <f t="shared" si="45"/>
        <v>0</v>
      </c>
      <c r="Y30" s="292">
        <f t="shared" si="46"/>
        <v>0</v>
      </c>
      <c r="Z30" s="292">
        <f t="shared" si="47"/>
        <v>0</v>
      </c>
      <c r="AA30" s="292">
        <f t="shared" si="48"/>
        <v>0</v>
      </c>
      <c r="AB30" s="292">
        <f t="shared" si="9"/>
        <v>500000000</v>
      </c>
      <c r="AC30" s="292">
        <f t="shared" si="10"/>
        <v>0</v>
      </c>
      <c r="AD30" s="292">
        <f t="shared" si="11"/>
        <v>0</v>
      </c>
      <c r="AE30" s="292">
        <f t="shared" si="12"/>
        <v>0</v>
      </c>
      <c r="AF30" s="292">
        <f t="shared" si="13"/>
        <v>0</v>
      </c>
      <c r="AG30" s="292">
        <f t="shared" si="14"/>
        <v>0</v>
      </c>
      <c r="AH30" s="292">
        <f t="shared" si="15"/>
        <v>0</v>
      </c>
      <c r="AI30" s="292">
        <f t="shared" si="16"/>
        <v>0</v>
      </c>
      <c r="AJ30" s="292">
        <f t="shared" si="17"/>
        <v>0</v>
      </c>
      <c r="AK30" s="292">
        <f t="shared" si="18"/>
        <v>0</v>
      </c>
      <c r="AL30" s="292">
        <f t="shared" si="49"/>
        <v>0</v>
      </c>
      <c r="AM30" s="292">
        <f t="shared" si="50"/>
        <v>0</v>
      </c>
      <c r="AN30" s="292">
        <f t="shared" si="19"/>
        <v>0</v>
      </c>
      <c r="AO30" s="292">
        <f t="shared" si="20"/>
        <v>0</v>
      </c>
      <c r="AP30" s="292">
        <f t="shared" si="21"/>
        <v>0</v>
      </c>
      <c r="AQ30" s="292">
        <f t="shared" si="22"/>
        <v>0</v>
      </c>
      <c r="AR30" s="292">
        <f t="shared" si="23"/>
        <v>0</v>
      </c>
      <c r="AS30" s="292">
        <f t="shared" si="24"/>
        <v>0</v>
      </c>
      <c r="AT30" s="292">
        <f t="shared" si="25"/>
        <v>0</v>
      </c>
      <c r="AU30" s="292">
        <f t="shared" si="26"/>
        <v>0</v>
      </c>
      <c r="AV30" s="292">
        <f t="shared" si="27"/>
        <v>0</v>
      </c>
      <c r="AW30" s="292">
        <f t="shared" si="28"/>
        <v>0</v>
      </c>
      <c r="AX30" s="292">
        <f t="shared" si="29"/>
        <v>0</v>
      </c>
      <c r="AY30" s="292">
        <f t="shared" si="30"/>
        <v>0</v>
      </c>
      <c r="AZ30" s="292">
        <f t="shared" si="31"/>
        <v>0</v>
      </c>
      <c r="BA30" s="292">
        <f t="shared" si="32"/>
        <v>0</v>
      </c>
      <c r="BB30" s="292">
        <f t="shared" si="33"/>
        <v>0</v>
      </c>
      <c r="BC30" s="292">
        <f t="shared" si="34"/>
        <v>0</v>
      </c>
      <c r="BD30" s="292">
        <f t="shared" si="35"/>
        <v>0</v>
      </c>
      <c r="BE30" s="292">
        <f t="shared" si="36"/>
        <v>0</v>
      </c>
      <c r="BF30" s="292">
        <f t="shared" si="37"/>
        <v>0</v>
      </c>
      <c r="BG30" s="292">
        <f t="shared" si="38"/>
        <v>0</v>
      </c>
    </row>
    <row r="31" spans="1:59" s="289" customFormat="1" ht="15" customHeight="1">
      <c r="A31" s="63">
        <f t="array" ref="A31">IF(C31&lt;&gt;0,SUM(($C$11:C31&lt;&gt;0)*1),"")</f>
        <v>21</v>
      </c>
      <c r="B31" s="1099">
        <v>42381</v>
      </c>
      <c r="C31" s="290" t="s">
        <v>8</v>
      </c>
      <c r="D31" s="1099">
        <v>42381</v>
      </c>
      <c r="E31" s="344" t="s">
        <v>163</v>
      </c>
      <c r="F31" s="345">
        <v>200000000</v>
      </c>
      <c r="G31" s="346" t="s">
        <v>9</v>
      </c>
      <c r="H31" s="346" t="s">
        <v>31</v>
      </c>
      <c r="I31" s="63">
        <f t="shared" si="0"/>
        <v>21</v>
      </c>
      <c r="J31" s="292">
        <f t="shared" si="1"/>
        <v>0</v>
      </c>
      <c r="K31" s="292">
        <f t="shared" si="2"/>
        <v>0</v>
      </c>
      <c r="L31" s="292">
        <f t="shared" si="3"/>
        <v>0</v>
      </c>
      <c r="M31" s="292">
        <f t="shared" si="4"/>
        <v>200000000</v>
      </c>
      <c r="N31" s="292">
        <f t="shared" si="39"/>
        <v>0</v>
      </c>
      <c r="O31" s="292">
        <f t="shared" si="40"/>
        <v>0</v>
      </c>
      <c r="P31" s="292">
        <f t="shared" si="5"/>
        <v>0</v>
      </c>
      <c r="Q31" s="292">
        <f t="shared" si="6"/>
        <v>0</v>
      </c>
      <c r="R31" s="292">
        <f t="shared" si="41"/>
        <v>0</v>
      </c>
      <c r="S31" s="292">
        <f t="shared" si="42"/>
        <v>0</v>
      </c>
      <c r="T31" s="292">
        <f t="shared" si="7"/>
        <v>0</v>
      </c>
      <c r="U31" s="292">
        <f t="shared" si="8"/>
        <v>0</v>
      </c>
      <c r="V31" s="292">
        <f t="shared" si="43"/>
        <v>0</v>
      </c>
      <c r="W31" s="292">
        <f t="shared" si="44"/>
        <v>0</v>
      </c>
      <c r="X31" s="292">
        <f t="shared" si="45"/>
        <v>0</v>
      </c>
      <c r="Y31" s="292">
        <f t="shared" si="46"/>
        <v>0</v>
      </c>
      <c r="Z31" s="292">
        <f t="shared" si="47"/>
        <v>0</v>
      </c>
      <c r="AA31" s="292">
        <f t="shared" si="48"/>
        <v>0</v>
      </c>
      <c r="AB31" s="292">
        <f t="shared" si="9"/>
        <v>200000000</v>
      </c>
      <c r="AC31" s="292">
        <f t="shared" si="10"/>
        <v>0</v>
      </c>
      <c r="AD31" s="292">
        <f t="shared" si="11"/>
        <v>0</v>
      </c>
      <c r="AE31" s="292">
        <f t="shared" si="12"/>
        <v>0</v>
      </c>
      <c r="AF31" s="292">
        <f t="shared" si="13"/>
        <v>0</v>
      </c>
      <c r="AG31" s="292">
        <f t="shared" si="14"/>
        <v>0</v>
      </c>
      <c r="AH31" s="292">
        <f t="shared" si="15"/>
        <v>0</v>
      </c>
      <c r="AI31" s="292">
        <f t="shared" si="16"/>
        <v>0</v>
      </c>
      <c r="AJ31" s="292">
        <f t="shared" si="17"/>
        <v>0</v>
      </c>
      <c r="AK31" s="292">
        <f t="shared" si="18"/>
        <v>0</v>
      </c>
      <c r="AL31" s="292">
        <f t="shared" si="49"/>
        <v>0</v>
      </c>
      <c r="AM31" s="292">
        <f t="shared" si="50"/>
        <v>0</v>
      </c>
      <c r="AN31" s="292">
        <f t="shared" si="19"/>
        <v>0</v>
      </c>
      <c r="AO31" s="292">
        <f t="shared" si="20"/>
        <v>0</v>
      </c>
      <c r="AP31" s="292">
        <f t="shared" si="21"/>
        <v>0</v>
      </c>
      <c r="AQ31" s="292">
        <f t="shared" si="22"/>
        <v>0</v>
      </c>
      <c r="AR31" s="292">
        <f t="shared" si="23"/>
        <v>0</v>
      </c>
      <c r="AS31" s="292">
        <f t="shared" si="24"/>
        <v>0</v>
      </c>
      <c r="AT31" s="292">
        <f t="shared" si="25"/>
        <v>0</v>
      </c>
      <c r="AU31" s="292">
        <f t="shared" si="26"/>
        <v>0</v>
      </c>
      <c r="AV31" s="292">
        <f t="shared" si="27"/>
        <v>0</v>
      </c>
      <c r="AW31" s="292">
        <f t="shared" si="28"/>
        <v>0</v>
      </c>
      <c r="AX31" s="292">
        <f t="shared" si="29"/>
        <v>0</v>
      </c>
      <c r="AY31" s="292">
        <f t="shared" si="30"/>
        <v>0</v>
      </c>
      <c r="AZ31" s="292">
        <f t="shared" si="31"/>
        <v>0</v>
      </c>
      <c r="BA31" s="292">
        <f t="shared" si="32"/>
        <v>0</v>
      </c>
      <c r="BB31" s="292">
        <f t="shared" si="33"/>
        <v>0</v>
      </c>
      <c r="BC31" s="292">
        <f t="shared" si="34"/>
        <v>0</v>
      </c>
      <c r="BD31" s="292">
        <f t="shared" si="35"/>
        <v>0</v>
      </c>
      <c r="BE31" s="292">
        <f t="shared" si="36"/>
        <v>0</v>
      </c>
      <c r="BF31" s="292">
        <f t="shared" si="37"/>
        <v>0</v>
      </c>
      <c r="BG31" s="292">
        <f t="shared" si="38"/>
        <v>0</v>
      </c>
    </row>
    <row r="32" spans="1:59" s="289" customFormat="1" ht="15" customHeight="1">
      <c r="A32" s="63">
        <f t="array" ref="A32">IF(C32&lt;&gt;0,SUM(($C$11:C32&lt;&gt;0)*1),"")</f>
        <v>22</v>
      </c>
      <c r="B32" s="1099">
        <v>42381</v>
      </c>
      <c r="C32" s="290" t="s">
        <v>8</v>
      </c>
      <c r="D32" s="1099">
        <v>42381</v>
      </c>
      <c r="E32" s="344" t="s">
        <v>22</v>
      </c>
      <c r="F32" s="345">
        <v>60000</v>
      </c>
      <c r="G32" s="346" t="s">
        <v>135</v>
      </c>
      <c r="H32" s="346" t="s">
        <v>31</v>
      </c>
      <c r="I32" s="63">
        <f t="shared" si="0"/>
        <v>22</v>
      </c>
      <c r="J32" s="292">
        <f t="shared" si="1"/>
        <v>0</v>
      </c>
      <c r="K32" s="292">
        <f t="shared" si="2"/>
        <v>0</v>
      </c>
      <c r="L32" s="292">
        <f t="shared" si="3"/>
        <v>0</v>
      </c>
      <c r="M32" s="292">
        <f t="shared" si="4"/>
        <v>60000</v>
      </c>
      <c r="N32" s="292">
        <f t="shared" si="39"/>
        <v>0</v>
      </c>
      <c r="O32" s="292">
        <f t="shared" si="40"/>
        <v>0</v>
      </c>
      <c r="P32" s="292">
        <f t="shared" si="5"/>
        <v>0</v>
      </c>
      <c r="Q32" s="292">
        <f t="shared" si="6"/>
        <v>0</v>
      </c>
      <c r="R32" s="292">
        <f t="shared" si="41"/>
        <v>0</v>
      </c>
      <c r="S32" s="292">
        <f t="shared" si="42"/>
        <v>0</v>
      </c>
      <c r="T32" s="292">
        <f t="shared" si="7"/>
        <v>0</v>
      </c>
      <c r="U32" s="292">
        <f t="shared" si="8"/>
        <v>0</v>
      </c>
      <c r="V32" s="292">
        <f t="shared" si="43"/>
        <v>0</v>
      </c>
      <c r="W32" s="292">
        <f t="shared" si="44"/>
        <v>0</v>
      </c>
      <c r="X32" s="292">
        <f t="shared" si="45"/>
        <v>0</v>
      </c>
      <c r="Y32" s="292">
        <f t="shared" si="46"/>
        <v>0</v>
      </c>
      <c r="Z32" s="292">
        <f t="shared" si="47"/>
        <v>0</v>
      </c>
      <c r="AA32" s="292">
        <f t="shared" si="48"/>
        <v>0</v>
      </c>
      <c r="AB32" s="292">
        <f t="shared" si="9"/>
        <v>0</v>
      </c>
      <c r="AC32" s="292">
        <f t="shared" si="10"/>
        <v>0</v>
      </c>
      <c r="AD32" s="292">
        <f t="shared" si="11"/>
        <v>0</v>
      </c>
      <c r="AE32" s="292">
        <f t="shared" si="12"/>
        <v>0</v>
      </c>
      <c r="AF32" s="292">
        <f t="shared" si="13"/>
        <v>0</v>
      </c>
      <c r="AG32" s="292">
        <f t="shared" si="14"/>
        <v>0</v>
      </c>
      <c r="AH32" s="292">
        <f t="shared" si="15"/>
        <v>0</v>
      </c>
      <c r="AI32" s="292">
        <f t="shared" si="16"/>
        <v>0</v>
      </c>
      <c r="AJ32" s="292">
        <f t="shared" si="17"/>
        <v>0</v>
      </c>
      <c r="AK32" s="292">
        <f t="shared" si="18"/>
        <v>0</v>
      </c>
      <c r="AL32" s="292">
        <f t="shared" si="49"/>
        <v>0</v>
      </c>
      <c r="AM32" s="292">
        <f t="shared" si="50"/>
        <v>0</v>
      </c>
      <c r="AN32" s="292">
        <f t="shared" si="19"/>
        <v>0</v>
      </c>
      <c r="AO32" s="292">
        <f t="shared" si="20"/>
        <v>0</v>
      </c>
      <c r="AP32" s="292">
        <f t="shared" si="21"/>
        <v>0</v>
      </c>
      <c r="AQ32" s="292">
        <f t="shared" si="22"/>
        <v>0</v>
      </c>
      <c r="AR32" s="292">
        <f t="shared" si="23"/>
        <v>0</v>
      </c>
      <c r="AS32" s="292">
        <f t="shared" si="24"/>
        <v>0</v>
      </c>
      <c r="AT32" s="292">
        <f t="shared" si="25"/>
        <v>0</v>
      </c>
      <c r="AU32" s="292">
        <f t="shared" si="26"/>
        <v>0</v>
      </c>
      <c r="AV32" s="292">
        <f t="shared" si="27"/>
        <v>0</v>
      </c>
      <c r="AW32" s="292">
        <f t="shared" si="28"/>
        <v>0</v>
      </c>
      <c r="AX32" s="292">
        <f t="shared" si="29"/>
        <v>60000</v>
      </c>
      <c r="AY32" s="292">
        <f t="shared" si="30"/>
        <v>0</v>
      </c>
      <c r="AZ32" s="292">
        <f t="shared" si="31"/>
        <v>0</v>
      </c>
      <c r="BA32" s="292">
        <f t="shared" si="32"/>
        <v>0</v>
      </c>
      <c r="BB32" s="292">
        <f t="shared" si="33"/>
        <v>0</v>
      </c>
      <c r="BC32" s="292">
        <f t="shared" si="34"/>
        <v>0</v>
      </c>
      <c r="BD32" s="292">
        <f t="shared" si="35"/>
        <v>0</v>
      </c>
      <c r="BE32" s="292">
        <f t="shared" si="36"/>
        <v>0</v>
      </c>
      <c r="BF32" s="292">
        <f t="shared" si="37"/>
        <v>0</v>
      </c>
      <c r="BG32" s="292">
        <f t="shared" si="38"/>
        <v>0</v>
      </c>
    </row>
    <row r="33" spans="1:59" s="289" customFormat="1" ht="15" customHeight="1">
      <c r="A33" s="63">
        <f t="array" ref="A33">IF(C33&lt;&gt;0,SUM(($C$11:C33&lt;&gt;0)*1),"")</f>
        <v>23</v>
      </c>
      <c r="B33" s="1099">
        <v>42381</v>
      </c>
      <c r="C33" s="290" t="s">
        <v>8</v>
      </c>
      <c r="D33" s="1099">
        <v>42381</v>
      </c>
      <c r="E33" s="344" t="s">
        <v>23</v>
      </c>
      <c r="F33" s="345">
        <v>6000</v>
      </c>
      <c r="G33" s="346" t="s">
        <v>10</v>
      </c>
      <c r="H33" s="346" t="s">
        <v>31</v>
      </c>
      <c r="I33" s="63">
        <f t="shared" si="0"/>
        <v>23</v>
      </c>
      <c r="J33" s="292">
        <f t="shared" si="1"/>
        <v>0</v>
      </c>
      <c r="K33" s="292">
        <f t="shared" si="2"/>
        <v>0</v>
      </c>
      <c r="L33" s="292">
        <f t="shared" si="3"/>
        <v>0</v>
      </c>
      <c r="M33" s="292">
        <f t="shared" si="4"/>
        <v>6000</v>
      </c>
      <c r="N33" s="292">
        <f t="shared" si="39"/>
        <v>0</v>
      </c>
      <c r="O33" s="292">
        <f t="shared" si="40"/>
        <v>0</v>
      </c>
      <c r="P33" s="292">
        <f t="shared" si="5"/>
        <v>6000</v>
      </c>
      <c r="Q33" s="292">
        <f t="shared" si="6"/>
        <v>0</v>
      </c>
      <c r="R33" s="292">
        <f t="shared" si="41"/>
        <v>0</v>
      </c>
      <c r="S33" s="292">
        <f t="shared" si="42"/>
        <v>0</v>
      </c>
      <c r="T33" s="292">
        <f t="shared" si="7"/>
        <v>0</v>
      </c>
      <c r="U33" s="292">
        <f t="shared" si="8"/>
        <v>0</v>
      </c>
      <c r="V33" s="292">
        <f t="shared" si="43"/>
        <v>0</v>
      </c>
      <c r="W33" s="292">
        <f t="shared" si="44"/>
        <v>0</v>
      </c>
      <c r="X33" s="292">
        <f t="shared" si="45"/>
        <v>0</v>
      </c>
      <c r="Y33" s="292">
        <f t="shared" si="46"/>
        <v>0</v>
      </c>
      <c r="Z33" s="292">
        <f t="shared" si="47"/>
        <v>0</v>
      </c>
      <c r="AA33" s="292">
        <f t="shared" si="48"/>
        <v>0</v>
      </c>
      <c r="AB33" s="292">
        <f t="shared" si="9"/>
        <v>0</v>
      </c>
      <c r="AC33" s="292">
        <f t="shared" si="10"/>
        <v>0</v>
      </c>
      <c r="AD33" s="292">
        <f t="shared" si="11"/>
        <v>0</v>
      </c>
      <c r="AE33" s="292">
        <f t="shared" si="12"/>
        <v>0</v>
      </c>
      <c r="AF33" s="292">
        <f t="shared" si="13"/>
        <v>0</v>
      </c>
      <c r="AG33" s="292">
        <f t="shared" si="14"/>
        <v>0</v>
      </c>
      <c r="AH33" s="292">
        <f t="shared" si="15"/>
        <v>0</v>
      </c>
      <c r="AI33" s="292">
        <f t="shared" si="16"/>
        <v>0</v>
      </c>
      <c r="AJ33" s="292">
        <f t="shared" si="17"/>
        <v>0</v>
      </c>
      <c r="AK33" s="292">
        <f t="shared" si="18"/>
        <v>0</v>
      </c>
      <c r="AL33" s="292">
        <f t="shared" si="49"/>
        <v>0</v>
      </c>
      <c r="AM33" s="292">
        <f t="shared" si="50"/>
        <v>0</v>
      </c>
      <c r="AN33" s="292">
        <f t="shared" si="19"/>
        <v>0</v>
      </c>
      <c r="AO33" s="292">
        <f t="shared" si="20"/>
        <v>0</v>
      </c>
      <c r="AP33" s="292">
        <f t="shared" si="21"/>
        <v>0</v>
      </c>
      <c r="AQ33" s="292">
        <f t="shared" si="22"/>
        <v>0</v>
      </c>
      <c r="AR33" s="292">
        <f t="shared" si="23"/>
        <v>0</v>
      </c>
      <c r="AS33" s="292">
        <f t="shared" si="24"/>
        <v>0</v>
      </c>
      <c r="AT33" s="292">
        <f t="shared" si="25"/>
        <v>0</v>
      </c>
      <c r="AU33" s="292">
        <f t="shared" si="26"/>
        <v>0</v>
      </c>
      <c r="AV33" s="292">
        <f t="shared" si="27"/>
        <v>0</v>
      </c>
      <c r="AW33" s="292">
        <f t="shared" si="28"/>
        <v>0</v>
      </c>
      <c r="AX33" s="292">
        <f t="shared" si="29"/>
        <v>0</v>
      </c>
      <c r="AY33" s="292">
        <f t="shared" si="30"/>
        <v>0</v>
      </c>
      <c r="AZ33" s="292">
        <f t="shared" si="31"/>
        <v>0</v>
      </c>
      <c r="BA33" s="292">
        <f t="shared" si="32"/>
        <v>0</v>
      </c>
      <c r="BB33" s="292">
        <f t="shared" si="33"/>
        <v>0</v>
      </c>
      <c r="BC33" s="292">
        <f t="shared" si="34"/>
        <v>0</v>
      </c>
      <c r="BD33" s="292">
        <f t="shared" si="35"/>
        <v>0</v>
      </c>
      <c r="BE33" s="292">
        <f t="shared" si="36"/>
        <v>0</v>
      </c>
      <c r="BF33" s="292">
        <f t="shared" si="37"/>
        <v>0</v>
      </c>
      <c r="BG33" s="292">
        <f t="shared" si="38"/>
        <v>0</v>
      </c>
    </row>
    <row r="34" spans="1:59" s="289" customFormat="1" ht="15" customHeight="1">
      <c r="A34" s="63">
        <f t="array" ref="A34">IF(C34&lt;&gt;0,SUM(($C$11:C34&lt;&gt;0)*1),"")</f>
        <v>24</v>
      </c>
      <c r="B34" s="1099">
        <v>42383</v>
      </c>
      <c r="C34" s="290" t="s">
        <v>8</v>
      </c>
      <c r="D34" s="1099">
        <v>42383</v>
      </c>
      <c r="E34" s="344" t="s">
        <v>386</v>
      </c>
      <c r="F34" s="345">
        <v>1500000</v>
      </c>
      <c r="G34" s="346" t="s">
        <v>113</v>
      </c>
      <c r="H34" s="346" t="s">
        <v>31</v>
      </c>
      <c r="I34" s="63">
        <f t="shared" si="0"/>
        <v>24</v>
      </c>
      <c r="J34" s="292">
        <f t="shared" si="1"/>
        <v>0</v>
      </c>
      <c r="K34" s="292">
        <f t="shared" si="2"/>
        <v>0</v>
      </c>
      <c r="L34" s="292">
        <f t="shared" si="3"/>
        <v>0</v>
      </c>
      <c r="M34" s="292">
        <f t="shared" si="4"/>
        <v>1500000</v>
      </c>
      <c r="N34" s="292">
        <f t="shared" si="39"/>
        <v>0</v>
      </c>
      <c r="O34" s="292">
        <f t="shared" si="40"/>
        <v>0</v>
      </c>
      <c r="P34" s="292">
        <f t="shared" si="5"/>
        <v>0</v>
      </c>
      <c r="Q34" s="292">
        <f t="shared" si="6"/>
        <v>0</v>
      </c>
      <c r="R34" s="292">
        <f t="shared" si="41"/>
        <v>0</v>
      </c>
      <c r="S34" s="292">
        <f t="shared" si="42"/>
        <v>0</v>
      </c>
      <c r="T34" s="292">
        <f t="shared" si="7"/>
        <v>0</v>
      </c>
      <c r="U34" s="292">
        <f t="shared" si="8"/>
        <v>0</v>
      </c>
      <c r="V34" s="292">
        <f t="shared" si="43"/>
        <v>0</v>
      </c>
      <c r="W34" s="292">
        <f t="shared" si="44"/>
        <v>0</v>
      </c>
      <c r="X34" s="292">
        <f t="shared" si="45"/>
        <v>0</v>
      </c>
      <c r="Y34" s="292">
        <f t="shared" si="46"/>
        <v>0</v>
      </c>
      <c r="Z34" s="292">
        <f t="shared" si="47"/>
        <v>0</v>
      </c>
      <c r="AA34" s="292">
        <f t="shared" si="48"/>
        <v>0</v>
      </c>
      <c r="AB34" s="292">
        <f t="shared" si="9"/>
        <v>0</v>
      </c>
      <c r="AC34" s="292">
        <f t="shared" si="10"/>
        <v>0</v>
      </c>
      <c r="AD34" s="292">
        <f t="shared" si="11"/>
        <v>0</v>
      </c>
      <c r="AE34" s="292">
        <f t="shared" si="12"/>
        <v>0</v>
      </c>
      <c r="AF34" s="292">
        <f t="shared" si="13"/>
        <v>1500000</v>
      </c>
      <c r="AG34" s="292">
        <f t="shared" si="14"/>
        <v>0</v>
      </c>
      <c r="AH34" s="292">
        <f t="shared" si="15"/>
        <v>0</v>
      </c>
      <c r="AI34" s="292">
        <f t="shared" si="16"/>
        <v>0</v>
      </c>
      <c r="AJ34" s="292">
        <f t="shared" si="17"/>
        <v>0</v>
      </c>
      <c r="AK34" s="292">
        <f t="shared" si="18"/>
        <v>0</v>
      </c>
      <c r="AL34" s="292">
        <f t="shared" si="49"/>
        <v>0</v>
      </c>
      <c r="AM34" s="292">
        <f t="shared" si="50"/>
        <v>0</v>
      </c>
      <c r="AN34" s="292">
        <f t="shared" si="19"/>
        <v>0</v>
      </c>
      <c r="AO34" s="292">
        <f t="shared" si="20"/>
        <v>0</v>
      </c>
      <c r="AP34" s="292">
        <f t="shared" si="21"/>
        <v>0</v>
      </c>
      <c r="AQ34" s="292">
        <f t="shared" si="22"/>
        <v>0</v>
      </c>
      <c r="AR34" s="292">
        <f t="shared" si="23"/>
        <v>0</v>
      </c>
      <c r="AS34" s="292">
        <f t="shared" si="24"/>
        <v>0</v>
      </c>
      <c r="AT34" s="292">
        <f t="shared" si="25"/>
        <v>0</v>
      </c>
      <c r="AU34" s="292">
        <f t="shared" si="26"/>
        <v>0</v>
      </c>
      <c r="AV34" s="292">
        <f t="shared" si="27"/>
        <v>0</v>
      </c>
      <c r="AW34" s="292">
        <f t="shared" si="28"/>
        <v>0</v>
      </c>
      <c r="AX34" s="292">
        <f t="shared" si="29"/>
        <v>0</v>
      </c>
      <c r="AY34" s="292">
        <f t="shared" si="30"/>
        <v>0</v>
      </c>
      <c r="AZ34" s="292">
        <f t="shared" si="31"/>
        <v>0</v>
      </c>
      <c r="BA34" s="292">
        <f t="shared" si="32"/>
        <v>0</v>
      </c>
      <c r="BB34" s="292">
        <f t="shared" si="33"/>
        <v>0</v>
      </c>
      <c r="BC34" s="292">
        <f t="shared" si="34"/>
        <v>0</v>
      </c>
      <c r="BD34" s="292">
        <f t="shared" si="35"/>
        <v>0</v>
      </c>
      <c r="BE34" s="292">
        <f t="shared" si="36"/>
        <v>0</v>
      </c>
      <c r="BF34" s="292">
        <f t="shared" si="37"/>
        <v>0</v>
      </c>
      <c r="BG34" s="292">
        <f t="shared" si="38"/>
        <v>0</v>
      </c>
    </row>
    <row r="35" spans="1:59" s="289" customFormat="1" ht="15" customHeight="1">
      <c r="A35" s="63">
        <f t="array" ref="A35">IF(C35&lt;&gt;0,SUM(($C$11:C35&lt;&gt;0)*1),"")</f>
        <v>25</v>
      </c>
      <c r="B35" s="1099">
        <v>42384</v>
      </c>
      <c r="C35" s="290" t="s">
        <v>65</v>
      </c>
      <c r="D35" s="1099">
        <v>42384</v>
      </c>
      <c r="E35" s="344" t="s">
        <v>185</v>
      </c>
      <c r="F35" s="345">
        <v>2010000</v>
      </c>
      <c r="G35" s="346" t="s">
        <v>242</v>
      </c>
      <c r="H35" s="346" t="s">
        <v>97</v>
      </c>
      <c r="I35" s="63">
        <f>A35</f>
        <v>25</v>
      </c>
      <c r="J35" s="292">
        <f t="shared" si="1"/>
        <v>0</v>
      </c>
      <c r="K35" s="292">
        <f t="shared" si="2"/>
        <v>2010000</v>
      </c>
      <c r="L35" s="292">
        <f t="shared" si="3"/>
        <v>0</v>
      </c>
      <c r="M35" s="292">
        <f t="shared" si="4"/>
        <v>0</v>
      </c>
      <c r="N35" s="292">
        <f t="shared" si="39"/>
        <v>0</v>
      </c>
      <c r="O35" s="292">
        <f t="shared" si="40"/>
        <v>0</v>
      </c>
      <c r="P35" s="292">
        <f t="shared" si="5"/>
        <v>0</v>
      </c>
      <c r="Q35" s="292">
        <f t="shared" si="6"/>
        <v>0</v>
      </c>
      <c r="R35" s="292">
        <f t="shared" si="41"/>
        <v>0</v>
      </c>
      <c r="S35" s="292">
        <f t="shared" si="42"/>
        <v>0</v>
      </c>
      <c r="T35" s="292">
        <f t="shared" si="7"/>
        <v>0</v>
      </c>
      <c r="U35" s="292">
        <f t="shared" si="8"/>
        <v>0</v>
      </c>
      <c r="V35" s="292">
        <f t="shared" si="43"/>
        <v>0</v>
      </c>
      <c r="W35" s="292">
        <f t="shared" si="44"/>
        <v>0</v>
      </c>
      <c r="X35" s="292">
        <f t="shared" si="45"/>
        <v>0</v>
      </c>
      <c r="Y35" s="292">
        <f t="shared" si="46"/>
        <v>0</v>
      </c>
      <c r="Z35" s="292">
        <f t="shared" si="47"/>
        <v>2010000</v>
      </c>
      <c r="AA35" s="292">
        <f t="shared" si="48"/>
        <v>0</v>
      </c>
      <c r="AB35" s="292">
        <f t="shared" si="9"/>
        <v>0</v>
      </c>
      <c r="AC35" s="292">
        <f t="shared" si="10"/>
        <v>0</v>
      </c>
      <c r="AD35" s="292">
        <f t="shared" si="11"/>
        <v>0</v>
      </c>
      <c r="AE35" s="292">
        <f t="shared" si="12"/>
        <v>0</v>
      </c>
      <c r="AF35" s="292">
        <f t="shared" si="13"/>
        <v>0</v>
      </c>
      <c r="AG35" s="292">
        <f t="shared" si="14"/>
        <v>0</v>
      </c>
      <c r="AH35" s="292">
        <f t="shared" si="15"/>
        <v>0</v>
      </c>
      <c r="AI35" s="292">
        <f t="shared" si="16"/>
        <v>0</v>
      </c>
      <c r="AJ35" s="292">
        <f t="shared" si="17"/>
        <v>0</v>
      </c>
      <c r="AK35" s="292">
        <f t="shared" si="18"/>
        <v>0</v>
      </c>
      <c r="AL35" s="292">
        <f t="shared" si="49"/>
        <v>0</v>
      </c>
      <c r="AM35" s="292">
        <f t="shared" si="50"/>
        <v>0</v>
      </c>
      <c r="AN35" s="292">
        <f t="shared" si="19"/>
        <v>0</v>
      </c>
      <c r="AO35" s="292">
        <f t="shared" si="20"/>
        <v>0</v>
      </c>
      <c r="AP35" s="292">
        <f t="shared" si="21"/>
        <v>0</v>
      </c>
      <c r="AQ35" s="292">
        <f t="shared" si="22"/>
        <v>0</v>
      </c>
      <c r="AR35" s="292">
        <f t="shared" si="23"/>
        <v>0</v>
      </c>
      <c r="AS35" s="292">
        <f t="shared" si="24"/>
        <v>0</v>
      </c>
      <c r="AT35" s="292">
        <f t="shared" si="25"/>
        <v>0</v>
      </c>
      <c r="AU35" s="292">
        <f t="shared" si="26"/>
        <v>0</v>
      </c>
      <c r="AV35" s="292">
        <f t="shared" si="27"/>
        <v>0</v>
      </c>
      <c r="AW35" s="292">
        <f t="shared" si="28"/>
        <v>0</v>
      </c>
      <c r="AX35" s="292">
        <f t="shared" si="29"/>
        <v>0</v>
      </c>
      <c r="AY35" s="292">
        <f t="shared" si="30"/>
        <v>0</v>
      </c>
      <c r="AZ35" s="292">
        <f t="shared" si="31"/>
        <v>0</v>
      </c>
      <c r="BA35" s="292">
        <f t="shared" si="32"/>
        <v>0</v>
      </c>
      <c r="BB35" s="292">
        <f t="shared" si="33"/>
        <v>0</v>
      </c>
      <c r="BC35" s="292">
        <f t="shared" si="34"/>
        <v>0</v>
      </c>
      <c r="BD35" s="292">
        <f t="shared" si="35"/>
        <v>0</v>
      </c>
      <c r="BE35" s="292">
        <f t="shared" si="36"/>
        <v>0</v>
      </c>
      <c r="BF35" s="292">
        <f t="shared" si="37"/>
        <v>0</v>
      </c>
      <c r="BG35" s="292">
        <f t="shared" si="38"/>
        <v>0</v>
      </c>
    </row>
    <row r="36" spans="1:59" s="289" customFormat="1" ht="15" customHeight="1">
      <c r="A36" s="63">
        <f t="array" ref="A36">IF(C36&lt;&gt;0,SUM(($C$11:C36&lt;&gt;0)*1),"")</f>
        <v>26</v>
      </c>
      <c r="B36" s="1099">
        <v>42384</v>
      </c>
      <c r="C36" s="290" t="s">
        <v>11</v>
      </c>
      <c r="D36" s="1099">
        <v>42384</v>
      </c>
      <c r="E36" s="344" t="s">
        <v>388</v>
      </c>
      <c r="F36" s="345">
        <v>350000000</v>
      </c>
      <c r="G36" s="346" t="s">
        <v>97</v>
      </c>
      <c r="H36" s="346" t="s">
        <v>31</v>
      </c>
      <c r="I36" s="63">
        <f>A36</f>
        <v>26</v>
      </c>
      <c r="J36" s="292">
        <f t="shared" si="1"/>
        <v>350000000</v>
      </c>
      <c r="K36" s="292">
        <f t="shared" si="2"/>
        <v>0</v>
      </c>
      <c r="L36" s="292">
        <f t="shared" si="3"/>
        <v>0</v>
      </c>
      <c r="M36" s="292">
        <f t="shared" si="4"/>
        <v>350000000</v>
      </c>
      <c r="N36" s="292">
        <f t="shared" si="39"/>
        <v>0</v>
      </c>
      <c r="O36" s="292">
        <f t="shared" si="40"/>
        <v>0</v>
      </c>
      <c r="P36" s="292">
        <f t="shared" si="5"/>
        <v>0</v>
      </c>
      <c r="Q36" s="292">
        <f t="shared" si="6"/>
        <v>0</v>
      </c>
      <c r="R36" s="292">
        <f t="shared" si="41"/>
        <v>0</v>
      </c>
      <c r="S36" s="292">
        <f t="shared" si="42"/>
        <v>0</v>
      </c>
      <c r="T36" s="292">
        <f t="shared" si="7"/>
        <v>0</v>
      </c>
      <c r="U36" s="292">
        <f t="shared" si="8"/>
        <v>0</v>
      </c>
      <c r="V36" s="292">
        <f t="shared" si="43"/>
        <v>0</v>
      </c>
      <c r="W36" s="292">
        <f t="shared" si="44"/>
        <v>0</v>
      </c>
      <c r="X36" s="292">
        <f t="shared" si="45"/>
        <v>0</v>
      </c>
      <c r="Y36" s="292">
        <f t="shared" si="46"/>
        <v>0</v>
      </c>
      <c r="Z36" s="292">
        <f t="shared" si="47"/>
        <v>0</v>
      </c>
      <c r="AA36" s="292">
        <f t="shared" si="48"/>
        <v>0</v>
      </c>
      <c r="AB36" s="292">
        <f t="shared" si="9"/>
        <v>0</v>
      </c>
      <c r="AC36" s="292">
        <f t="shared" si="10"/>
        <v>0</v>
      </c>
      <c r="AD36" s="292">
        <f t="shared" si="11"/>
        <v>0</v>
      </c>
      <c r="AE36" s="292">
        <f t="shared" si="12"/>
        <v>0</v>
      </c>
      <c r="AF36" s="292">
        <f t="shared" si="13"/>
        <v>0</v>
      </c>
      <c r="AG36" s="292">
        <f t="shared" si="14"/>
        <v>0</v>
      </c>
      <c r="AH36" s="292">
        <f t="shared" si="15"/>
        <v>0</v>
      </c>
      <c r="AI36" s="292">
        <f t="shared" si="16"/>
        <v>0</v>
      </c>
      <c r="AJ36" s="292">
        <f t="shared" si="17"/>
        <v>0</v>
      </c>
      <c r="AK36" s="292">
        <f t="shared" si="18"/>
        <v>0</v>
      </c>
      <c r="AL36" s="292">
        <f t="shared" si="49"/>
        <v>0</v>
      </c>
      <c r="AM36" s="292">
        <f t="shared" si="50"/>
        <v>0</v>
      </c>
      <c r="AN36" s="292">
        <f t="shared" si="19"/>
        <v>0</v>
      </c>
      <c r="AO36" s="292">
        <f t="shared" si="20"/>
        <v>0</v>
      </c>
      <c r="AP36" s="292">
        <f t="shared" si="21"/>
        <v>0</v>
      </c>
      <c r="AQ36" s="292">
        <f t="shared" si="22"/>
        <v>0</v>
      </c>
      <c r="AR36" s="292">
        <f t="shared" si="23"/>
        <v>0</v>
      </c>
      <c r="AS36" s="292">
        <f t="shared" si="24"/>
        <v>0</v>
      </c>
      <c r="AT36" s="292">
        <f t="shared" si="25"/>
        <v>0</v>
      </c>
      <c r="AU36" s="292">
        <f t="shared" si="26"/>
        <v>0</v>
      </c>
      <c r="AV36" s="292">
        <f t="shared" si="27"/>
        <v>0</v>
      </c>
      <c r="AW36" s="292">
        <f t="shared" si="28"/>
        <v>0</v>
      </c>
      <c r="AX36" s="292">
        <f t="shared" si="29"/>
        <v>0</v>
      </c>
      <c r="AY36" s="292">
        <f t="shared" si="30"/>
        <v>0</v>
      </c>
      <c r="AZ36" s="292">
        <f t="shared" si="31"/>
        <v>0</v>
      </c>
      <c r="BA36" s="292">
        <f t="shared" si="32"/>
        <v>0</v>
      </c>
      <c r="BB36" s="292">
        <f t="shared" si="33"/>
        <v>0</v>
      </c>
      <c r="BC36" s="292">
        <f t="shared" si="34"/>
        <v>0</v>
      </c>
      <c r="BD36" s="292">
        <f t="shared" si="35"/>
        <v>0</v>
      </c>
      <c r="BE36" s="292">
        <f t="shared" si="36"/>
        <v>0</v>
      </c>
      <c r="BF36" s="292">
        <f t="shared" si="37"/>
        <v>0</v>
      </c>
      <c r="BG36" s="292">
        <f t="shared" si="38"/>
        <v>0</v>
      </c>
    </row>
    <row r="37" spans="1:59" s="289" customFormat="1" ht="15" customHeight="1">
      <c r="A37" s="63">
        <f t="array" ref="A37">IF(C37&lt;&gt;0,SUM(($C$11:C37&lt;&gt;0)*1),"")</f>
        <v>27</v>
      </c>
      <c r="B37" s="1099">
        <v>42385</v>
      </c>
      <c r="C37" s="290" t="s">
        <v>70</v>
      </c>
      <c r="D37" s="1099">
        <v>42385</v>
      </c>
      <c r="E37" s="344" t="s">
        <v>389</v>
      </c>
      <c r="F37" s="345">
        <v>12750000</v>
      </c>
      <c r="G37" s="346" t="s">
        <v>242</v>
      </c>
      <c r="H37" s="346" t="s">
        <v>97</v>
      </c>
      <c r="I37" s="63">
        <f>A37</f>
        <v>27</v>
      </c>
      <c r="J37" s="292">
        <f t="shared" si="1"/>
        <v>0</v>
      </c>
      <c r="K37" s="292">
        <f t="shared" si="2"/>
        <v>12750000</v>
      </c>
      <c r="L37" s="292">
        <f t="shared" si="3"/>
        <v>0</v>
      </c>
      <c r="M37" s="292">
        <f t="shared" si="4"/>
        <v>0</v>
      </c>
      <c r="N37" s="292">
        <f t="shared" si="39"/>
        <v>0</v>
      </c>
      <c r="O37" s="292">
        <f t="shared" si="40"/>
        <v>0</v>
      </c>
      <c r="P37" s="292">
        <f t="shared" si="5"/>
        <v>0</v>
      </c>
      <c r="Q37" s="292">
        <f t="shared" si="6"/>
        <v>0</v>
      </c>
      <c r="R37" s="292">
        <f t="shared" si="41"/>
        <v>0</v>
      </c>
      <c r="S37" s="292">
        <f t="shared" si="42"/>
        <v>0</v>
      </c>
      <c r="T37" s="292">
        <f t="shared" si="7"/>
        <v>0</v>
      </c>
      <c r="U37" s="292">
        <f t="shared" si="8"/>
        <v>0</v>
      </c>
      <c r="V37" s="292">
        <f t="shared" si="43"/>
        <v>0</v>
      </c>
      <c r="W37" s="292">
        <f t="shared" si="44"/>
        <v>0</v>
      </c>
      <c r="X37" s="292">
        <f t="shared" si="45"/>
        <v>0</v>
      </c>
      <c r="Y37" s="292">
        <f t="shared" si="46"/>
        <v>0</v>
      </c>
      <c r="Z37" s="292">
        <f t="shared" si="47"/>
        <v>12750000</v>
      </c>
      <c r="AA37" s="292">
        <f t="shared" si="48"/>
        <v>0</v>
      </c>
      <c r="AB37" s="292">
        <f t="shared" si="9"/>
        <v>0</v>
      </c>
      <c r="AC37" s="292">
        <f t="shared" si="10"/>
        <v>0</v>
      </c>
      <c r="AD37" s="292">
        <f t="shared" si="11"/>
        <v>0</v>
      </c>
      <c r="AE37" s="292">
        <f t="shared" si="12"/>
        <v>0</v>
      </c>
      <c r="AF37" s="292">
        <f t="shared" si="13"/>
        <v>0</v>
      </c>
      <c r="AG37" s="292">
        <f t="shared" si="14"/>
        <v>0</v>
      </c>
      <c r="AH37" s="292">
        <f t="shared" si="15"/>
        <v>0</v>
      </c>
      <c r="AI37" s="292">
        <f t="shared" si="16"/>
        <v>0</v>
      </c>
      <c r="AJ37" s="292">
        <f t="shared" si="17"/>
        <v>0</v>
      </c>
      <c r="AK37" s="292">
        <f t="shared" si="18"/>
        <v>0</v>
      </c>
      <c r="AL37" s="292">
        <f t="shared" si="49"/>
        <v>0</v>
      </c>
      <c r="AM37" s="292">
        <f t="shared" si="50"/>
        <v>0</v>
      </c>
      <c r="AN37" s="292">
        <f t="shared" si="19"/>
        <v>0</v>
      </c>
      <c r="AO37" s="292">
        <f t="shared" si="20"/>
        <v>0</v>
      </c>
      <c r="AP37" s="292">
        <f t="shared" si="21"/>
        <v>0</v>
      </c>
      <c r="AQ37" s="292">
        <f t="shared" si="22"/>
        <v>0</v>
      </c>
      <c r="AR37" s="292">
        <f t="shared" si="23"/>
        <v>0</v>
      </c>
      <c r="AS37" s="292">
        <f t="shared" si="24"/>
        <v>0</v>
      </c>
      <c r="AT37" s="292">
        <f t="shared" si="25"/>
        <v>0</v>
      </c>
      <c r="AU37" s="292">
        <f t="shared" si="26"/>
        <v>0</v>
      </c>
      <c r="AV37" s="292">
        <f t="shared" si="27"/>
        <v>0</v>
      </c>
      <c r="AW37" s="292">
        <f t="shared" si="28"/>
        <v>0</v>
      </c>
      <c r="AX37" s="292">
        <f t="shared" si="29"/>
        <v>0</v>
      </c>
      <c r="AY37" s="292">
        <f t="shared" si="30"/>
        <v>0</v>
      </c>
      <c r="AZ37" s="292">
        <f t="shared" si="31"/>
        <v>0</v>
      </c>
      <c r="BA37" s="292">
        <f t="shared" si="32"/>
        <v>0</v>
      </c>
      <c r="BB37" s="292">
        <f t="shared" si="33"/>
        <v>0</v>
      </c>
      <c r="BC37" s="292">
        <f t="shared" si="34"/>
        <v>0</v>
      </c>
      <c r="BD37" s="292">
        <f t="shared" si="35"/>
        <v>0</v>
      </c>
      <c r="BE37" s="292">
        <f t="shared" si="36"/>
        <v>0</v>
      </c>
      <c r="BF37" s="292">
        <f t="shared" si="37"/>
        <v>0</v>
      </c>
      <c r="BG37" s="292">
        <f t="shared" si="38"/>
        <v>0</v>
      </c>
    </row>
    <row r="38" spans="1:59" s="289" customFormat="1" ht="15" customHeight="1">
      <c r="A38" s="63">
        <f t="array" ref="A38">IF(C38&lt;&gt;0,SUM(($C$11:C38&lt;&gt;0)*1),"")</f>
        <v>28</v>
      </c>
      <c r="B38" s="1099">
        <v>42385</v>
      </c>
      <c r="C38" s="290" t="s">
        <v>70</v>
      </c>
      <c r="D38" s="1099">
        <v>42385</v>
      </c>
      <c r="E38" s="344" t="s">
        <v>391</v>
      </c>
      <c r="F38" s="345">
        <v>1275000</v>
      </c>
      <c r="G38" s="346" t="s">
        <v>981</v>
      </c>
      <c r="H38" s="346" t="s">
        <v>97</v>
      </c>
      <c r="I38" s="63">
        <f>A38</f>
        <v>28</v>
      </c>
      <c r="J38" s="292">
        <f t="shared" si="1"/>
        <v>0</v>
      </c>
      <c r="K38" s="292">
        <f t="shared" si="2"/>
        <v>1275000</v>
      </c>
      <c r="L38" s="292">
        <f t="shared" si="3"/>
        <v>0</v>
      </c>
      <c r="M38" s="292">
        <f t="shared" si="4"/>
        <v>0</v>
      </c>
      <c r="N38" s="292">
        <f t="shared" si="39"/>
        <v>0</v>
      </c>
      <c r="O38" s="292">
        <f t="shared" si="40"/>
        <v>0</v>
      </c>
      <c r="P38" s="292">
        <f t="shared" si="5"/>
        <v>0</v>
      </c>
      <c r="Q38" s="292">
        <f t="shared" si="6"/>
        <v>0</v>
      </c>
      <c r="R38" s="292">
        <f t="shared" si="41"/>
        <v>1275000</v>
      </c>
      <c r="S38" s="292">
        <f t="shared" si="42"/>
        <v>0</v>
      </c>
      <c r="T38" s="292">
        <f t="shared" si="7"/>
        <v>0</v>
      </c>
      <c r="U38" s="292">
        <f t="shared" si="8"/>
        <v>0</v>
      </c>
      <c r="V38" s="292">
        <f t="shared" si="43"/>
        <v>0</v>
      </c>
      <c r="W38" s="292">
        <f t="shared" si="44"/>
        <v>0</v>
      </c>
      <c r="X38" s="292">
        <f t="shared" si="45"/>
        <v>0</v>
      </c>
      <c r="Y38" s="292">
        <f t="shared" si="46"/>
        <v>0</v>
      </c>
      <c r="Z38" s="292">
        <f t="shared" si="47"/>
        <v>0</v>
      </c>
      <c r="AA38" s="292">
        <f t="shared" si="48"/>
        <v>0</v>
      </c>
      <c r="AB38" s="292">
        <f t="shared" si="9"/>
        <v>0</v>
      </c>
      <c r="AC38" s="292">
        <f t="shared" si="10"/>
        <v>0</v>
      </c>
      <c r="AD38" s="292">
        <f t="shared" si="11"/>
        <v>0</v>
      </c>
      <c r="AE38" s="292">
        <f t="shared" si="12"/>
        <v>0</v>
      </c>
      <c r="AF38" s="292">
        <f t="shared" si="13"/>
        <v>0</v>
      </c>
      <c r="AG38" s="292">
        <f t="shared" si="14"/>
        <v>0</v>
      </c>
      <c r="AH38" s="292">
        <f t="shared" si="15"/>
        <v>0</v>
      </c>
      <c r="AI38" s="292">
        <f t="shared" si="16"/>
        <v>0</v>
      </c>
      <c r="AJ38" s="292">
        <f t="shared" si="17"/>
        <v>0</v>
      </c>
      <c r="AK38" s="292">
        <f t="shared" si="18"/>
        <v>0</v>
      </c>
      <c r="AL38" s="292">
        <f t="shared" si="49"/>
        <v>0</v>
      </c>
      <c r="AM38" s="292">
        <f t="shared" si="50"/>
        <v>0</v>
      </c>
      <c r="AN38" s="292">
        <f t="shared" si="19"/>
        <v>0</v>
      </c>
      <c r="AO38" s="292">
        <f t="shared" si="20"/>
        <v>0</v>
      </c>
      <c r="AP38" s="292">
        <f t="shared" si="21"/>
        <v>0</v>
      </c>
      <c r="AQ38" s="292">
        <f t="shared" si="22"/>
        <v>0</v>
      </c>
      <c r="AR38" s="292">
        <f t="shared" si="23"/>
        <v>0</v>
      </c>
      <c r="AS38" s="292">
        <f t="shared" si="24"/>
        <v>0</v>
      </c>
      <c r="AT38" s="292">
        <f t="shared" si="25"/>
        <v>0</v>
      </c>
      <c r="AU38" s="292">
        <f t="shared" si="26"/>
        <v>0</v>
      </c>
      <c r="AV38" s="292">
        <f t="shared" si="27"/>
        <v>0</v>
      </c>
      <c r="AW38" s="292">
        <f t="shared" si="28"/>
        <v>0</v>
      </c>
      <c r="AX38" s="292">
        <f t="shared" si="29"/>
        <v>0</v>
      </c>
      <c r="AY38" s="292">
        <f t="shared" si="30"/>
        <v>0</v>
      </c>
      <c r="AZ38" s="292">
        <f t="shared" si="31"/>
        <v>0</v>
      </c>
      <c r="BA38" s="292">
        <f t="shared" si="32"/>
        <v>0</v>
      </c>
      <c r="BB38" s="292">
        <f t="shared" si="33"/>
        <v>0</v>
      </c>
      <c r="BC38" s="292">
        <f t="shared" si="34"/>
        <v>0</v>
      </c>
      <c r="BD38" s="292">
        <f t="shared" si="35"/>
        <v>0</v>
      </c>
      <c r="BE38" s="292">
        <f t="shared" si="36"/>
        <v>0</v>
      </c>
      <c r="BF38" s="292">
        <f t="shared" si="37"/>
        <v>0</v>
      </c>
      <c r="BG38" s="292">
        <f t="shared" si="38"/>
        <v>0</v>
      </c>
    </row>
    <row r="39" spans="1:59" s="289" customFormat="1" ht="15" customHeight="1">
      <c r="A39" s="63">
        <f t="array" ref="A39">IF(C39&lt;&gt;0,SUM(($C$11:C39&lt;&gt;0)*1),"")</f>
        <v>29</v>
      </c>
      <c r="B39" s="1099">
        <v>42387</v>
      </c>
      <c r="C39" s="290" t="s">
        <v>71</v>
      </c>
      <c r="D39" s="1099">
        <v>42387</v>
      </c>
      <c r="E39" s="344" t="s">
        <v>392</v>
      </c>
      <c r="F39" s="345">
        <v>16600000</v>
      </c>
      <c r="G39" s="346" t="s">
        <v>242</v>
      </c>
      <c r="H39" s="346" t="s">
        <v>97</v>
      </c>
      <c r="I39" s="63">
        <f t="shared" ref="I39:I140" si="51">A39</f>
        <v>29</v>
      </c>
      <c r="J39" s="292">
        <f t="shared" si="1"/>
        <v>0</v>
      </c>
      <c r="K39" s="292">
        <f t="shared" si="2"/>
        <v>16600000</v>
      </c>
      <c r="L39" s="292">
        <f t="shared" si="3"/>
        <v>0</v>
      </c>
      <c r="M39" s="292">
        <f t="shared" si="4"/>
        <v>0</v>
      </c>
      <c r="N39" s="292">
        <f t="shared" si="39"/>
        <v>0</v>
      </c>
      <c r="O39" s="292">
        <f t="shared" si="40"/>
        <v>0</v>
      </c>
      <c r="P39" s="292">
        <f t="shared" si="5"/>
        <v>0</v>
      </c>
      <c r="Q39" s="292">
        <f t="shared" si="6"/>
        <v>0</v>
      </c>
      <c r="R39" s="292">
        <f t="shared" si="41"/>
        <v>0</v>
      </c>
      <c r="S39" s="292">
        <f t="shared" si="42"/>
        <v>0</v>
      </c>
      <c r="T39" s="292">
        <f t="shared" si="7"/>
        <v>0</v>
      </c>
      <c r="U39" s="292">
        <f t="shared" si="8"/>
        <v>0</v>
      </c>
      <c r="V39" s="292">
        <f t="shared" si="43"/>
        <v>0</v>
      </c>
      <c r="W39" s="292">
        <f t="shared" si="44"/>
        <v>0</v>
      </c>
      <c r="X39" s="292">
        <f t="shared" si="45"/>
        <v>0</v>
      </c>
      <c r="Y39" s="292">
        <f t="shared" si="46"/>
        <v>0</v>
      </c>
      <c r="Z39" s="292">
        <f t="shared" si="47"/>
        <v>16600000</v>
      </c>
      <c r="AA39" s="292">
        <f t="shared" si="48"/>
        <v>0</v>
      </c>
      <c r="AB39" s="292">
        <f t="shared" si="9"/>
        <v>0</v>
      </c>
      <c r="AC39" s="292">
        <f t="shared" si="10"/>
        <v>0</v>
      </c>
      <c r="AD39" s="292">
        <f t="shared" si="11"/>
        <v>0</v>
      </c>
      <c r="AE39" s="292">
        <f t="shared" si="12"/>
        <v>0</v>
      </c>
      <c r="AF39" s="292">
        <f t="shared" si="13"/>
        <v>0</v>
      </c>
      <c r="AG39" s="292">
        <f t="shared" si="14"/>
        <v>0</v>
      </c>
      <c r="AH39" s="292">
        <f t="shared" si="15"/>
        <v>0</v>
      </c>
      <c r="AI39" s="292">
        <f t="shared" si="16"/>
        <v>0</v>
      </c>
      <c r="AJ39" s="292">
        <f t="shared" si="17"/>
        <v>0</v>
      </c>
      <c r="AK39" s="292">
        <f t="shared" si="18"/>
        <v>0</v>
      </c>
      <c r="AL39" s="292">
        <f t="shared" si="49"/>
        <v>0</v>
      </c>
      <c r="AM39" s="292">
        <f t="shared" si="50"/>
        <v>0</v>
      </c>
      <c r="AN39" s="292">
        <f t="shared" si="19"/>
        <v>0</v>
      </c>
      <c r="AO39" s="292">
        <f t="shared" si="20"/>
        <v>0</v>
      </c>
      <c r="AP39" s="292">
        <f t="shared" si="21"/>
        <v>0</v>
      </c>
      <c r="AQ39" s="292">
        <f t="shared" si="22"/>
        <v>0</v>
      </c>
      <c r="AR39" s="292">
        <f t="shared" si="23"/>
        <v>0</v>
      </c>
      <c r="AS39" s="292">
        <f t="shared" si="24"/>
        <v>0</v>
      </c>
      <c r="AT39" s="292">
        <f t="shared" si="25"/>
        <v>0</v>
      </c>
      <c r="AU39" s="292">
        <f t="shared" si="26"/>
        <v>0</v>
      </c>
      <c r="AV39" s="292">
        <f t="shared" si="27"/>
        <v>0</v>
      </c>
      <c r="AW39" s="292">
        <f t="shared" si="28"/>
        <v>0</v>
      </c>
      <c r="AX39" s="292">
        <f t="shared" si="29"/>
        <v>0</v>
      </c>
      <c r="AY39" s="292">
        <f t="shared" si="30"/>
        <v>0</v>
      </c>
      <c r="AZ39" s="292">
        <f t="shared" si="31"/>
        <v>0</v>
      </c>
      <c r="BA39" s="292">
        <f t="shared" si="32"/>
        <v>0</v>
      </c>
      <c r="BB39" s="292">
        <f t="shared" si="33"/>
        <v>0</v>
      </c>
      <c r="BC39" s="292">
        <f t="shared" si="34"/>
        <v>0</v>
      </c>
      <c r="BD39" s="292">
        <f t="shared" si="35"/>
        <v>0</v>
      </c>
      <c r="BE39" s="292">
        <f t="shared" si="36"/>
        <v>0</v>
      </c>
      <c r="BF39" s="292">
        <f t="shared" si="37"/>
        <v>0</v>
      </c>
      <c r="BG39" s="292">
        <f t="shared" si="38"/>
        <v>0</v>
      </c>
    </row>
    <row r="40" spans="1:59" s="289" customFormat="1" ht="15" customHeight="1">
      <c r="A40" s="63">
        <f t="array" ref="A40">IF(C40&lt;&gt;0,SUM(($C$11:C40&lt;&gt;0)*1),"")</f>
        <v>30</v>
      </c>
      <c r="B40" s="1099">
        <v>42387</v>
      </c>
      <c r="C40" s="290" t="s">
        <v>71</v>
      </c>
      <c r="D40" s="1099">
        <v>42387</v>
      </c>
      <c r="E40" s="344" t="s">
        <v>394</v>
      </c>
      <c r="F40" s="345">
        <v>1660000</v>
      </c>
      <c r="G40" s="346" t="s">
        <v>981</v>
      </c>
      <c r="H40" s="346" t="s">
        <v>97</v>
      </c>
      <c r="I40" s="63">
        <f t="shared" si="51"/>
        <v>30</v>
      </c>
      <c r="J40" s="292">
        <f t="shared" si="1"/>
        <v>0</v>
      </c>
      <c r="K40" s="292">
        <f t="shared" si="2"/>
        <v>1660000</v>
      </c>
      <c r="L40" s="292">
        <f t="shared" si="3"/>
        <v>0</v>
      </c>
      <c r="M40" s="292">
        <f t="shared" si="4"/>
        <v>0</v>
      </c>
      <c r="N40" s="292">
        <f t="shared" si="39"/>
        <v>0</v>
      </c>
      <c r="O40" s="292">
        <f t="shared" si="40"/>
        <v>0</v>
      </c>
      <c r="P40" s="292">
        <f t="shared" si="5"/>
        <v>0</v>
      </c>
      <c r="Q40" s="292">
        <f t="shared" si="6"/>
        <v>0</v>
      </c>
      <c r="R40" s="292">
        <f t="shared" si="41"/>
        <v>1660000</v>
      </c>
      <c r="S40" s="292">
        <f t="shared" si="42"/>
        <v>0</v>
      </c>
      <c r="T40" s="292">
        <f t="shared" si="7"/>
        <v>0</v>
      </c>
      <c r="U40" s="292">
        <f t="shared" si="8"/>
        <v>0</v>
      </c>
      <c r="V40" s="292">
        <f t="shared" si="43"/>
        <v>0</v>
      </c>
      <c r="W40" s="292">
        <f t="shared" si="44"/>
        <v>0</v>
      </c>
      <c r="X40" s="292">
        <f t="shared" si="45"/>
        <v>0</v>
      </c>
      <c r="Y40" s="292">
        <f t="shared" si="46"/>
        <v>0</v>
      </c>
      <c r="Z40" s="292">
        <f t="shared" si="47"/>
        <v>0</v>
      </c>
      <c r="AA40" s="292">
        <f t="shared" si="48"/>
        <v>0</v>
      </c>
      <c r="AB40" s="292">
        <f t="shared" si="9"/>
        <v>0</v>
      </c>
      <c r="AC40" s="292">
        <f t="shared" si="10"/>
        <v>0</v>
      </c>
      <c r="AD40" s="292">
        <f t="shared" si="11"/>
        <v>0</v>
      </c>
      <c r="AE40" s="292">
        <f t="shared" si="12"/>
        <v>0</v>
      </c>
      <c r="AF40" s="292">
        <f t="shared" si="13"/>
        <v>0</v>
      </c>
      <c r="AG40" s="292">
        <f t="shared" si="14"/>
        <v>0</v>
      </c>
      <c r="AH40" s="292">
        <f t="shared" si="15"/>
        <v>0</v>
      </c>
      <c r="AI40" s="292">
        <f t="shared" si="16"/>
        <v>0</v>
      </c>
      <c r="AJ40" s="292">
        <f t="shared" si="17"/>
        <v>0</v>
      </c>
      <c r="AK40" s="292">
        <f t="shared" si="18"/>
        <v>0</v>
      </c>
      <c r="AL40" s="292">
        <f t="shared" si="49"/>
        <v>0</v>
      </c>
      <c r="AM40" s="292">
        <f t="shared" si="50"/>
        <v>0</v>
      </c>
      <c r="AN40" s="292">
        <f t="shared" si="19"/>
        <v>0</v>
      </c>
      <c r="AO40" s="292">
        <f t="shared" si="20"/>
        <v>0</v>
      </c>
      <c r="AP40" s="292">
        <f t="shared" si="21"/>
        <v>0</v>
      </c>
      <c r="AQ40" s="292">
        <f t="shared" si="22"/>
        <v>0</v>
      </c>
      <c r="AR40" s="292">
        <f t="shared" si="23"/>
        <v>0</v>
      </c>
      <c r="AS40" s="292">
        <f t="shared" si="24"/>
        <v>0</v>
      </c>
      <c r="AT40" s="292">
        <f t="shared" si="25"/>
        <v>0</v>
      </c>
      <c r="AU40" s="292">
        <f t="shared" si="26"/>
        <v>0</v>
      </c>
      <c r="AV40" s="292">
        <f t="shared" si="27"/>
        <v>0</v>
      </c>
      <c r="AW40" s="292">
        <f t="shared" si="28"/>
        <v>0</v>
      </c>
      <c r="AX40" s="292">
        <f t="shared" si="29"/>
        <v>0</v>
      </c>
      <c r="AY40" s="292">
        <f t="shared" si="30"/>
        <v>0</v>
      </c>
      <c r="AZ40" s="292">
        <f t="shared" si="31"/>
        <v>0</v>
      </c>
      <c r="BA40" s="292">
        <f t="shared" si="32"/>
        <v>0</v>
      </c>
      <c r="BB40" s="292">
        <f t="shared" si="33"/>
        <v>0</v>
      </c>
      <c r="BC40" s="292">
        <f t="shared" si="34"/>
        <v>0</v>
      </c>
      <c r="BD40" s="292">
        <f t="shared" si="35"/>
        <v>0</v>
      </c>
      <c r="BE40" s="292">
        <f t="shared" si="36"/>
        <v>0</v>
      </c>
      <c r="BF40" s="292">
        <f t="shared" si="37"/>
        <v>0</v>
      </c>
      <c r="BG40" s="292">
        <f t="shared" si="38"/>
        <v>0</v>
      </c>
    </row>
    <row r="41" spans="1:59" s="289" customFormat="1" ht="15" customHeight="1">
      <c r="A41" s="63">
        <f t="array" ref="A41">IF(C41&lt;&gt;0,SUM(($C$11:C41&lt;&gt;0)*1),"")</f>
        <v>31</v>
      </c>
      <c r="B41" s="1099">
        <v>42388</v>
      </c>
      <c r="C41" s="290" t="s">
        <v>72</v>
      </c>
      <c r="D41" s="1099">
        <v>42388</v>
      </c>
      <c r="E41" s="344" t="s">
        <v>395</v>
      </c>
      <c r="F41" s="345">
        <v>16200000</v>
      </c>
      <c r="G41" s="346" t="s">
        <v>242</v>
      </c>
      <c r="H41" s="346" t="s">
        <v>97</v>
      </c>
      <c r="I41" s="63">
        <f t="shared" si="51"/>
        <v>31</v>
      </c>
      <c r="J41" s="292">
        <f t="shared" si="1"/>
        <v>0</v>
      </c>
      <c r="K41" s="292">
        <f t="shared" si="2"/>
        <v>16200000</v>
      </c>
      <c r="L41" s="292">
        <f t="shared" si="3"/>
        <v>0</v>
      </c>
      <c r="M41" s="292">
        <f t="shared" si="4"/>
        <v>0</v>
      </c>
      <c r="N41" s="292">
        <f t="shared" si="39"/>
        <v>0</v>
      </c>
      <c r="O41" s="292">
        <f t="shared" si="40"/>
        <v>0</v>
      </c>
      <c r="P41" s="292">
        <f t="shared" si="5"/>
        <v>0</v>
      </c>
      <c r="Q41" s="292">
        <f t="shared" si="6"/>
        <v>0</v>
      </c>
      <c r="R41" s="292">
        <f t="shared" si="41"/>
        <v>0</v>
      </c>
      <c r="S41" s="292">
        <f t="shared" si="42"/>
        <v>0</v>
      </c>
      <c r="T41" s="292">
        <f t="shared" si="7"/>
        <v>0</v>
      </c>
      <c r="U41" s="292">
        <f t="shared" si="8"/>
        <v>0</v>
      </c>
      <c r="V41" s="292">
        <f t="shared" si="43"/>
        <v>0</v>
      </c>
      <c r="W41" s="292">
        <f t="shared" si="44"/>
        <v>0</v>
      </c>
      <c r="X41" s="292">
        <f t="shared" si="45"/>
        <v>0</v>
      </c>
      <c r="Y41" s="292">
        <f t="shared" si="46"/>
        <v>0</v>
      </c>
      <c r="Z41" s="292">
        <f t="shared" si="47"/>
        <v>16200000</v>
      </c>
      <c r="AA41" s="292">
        <f t="shared" si="48"/>
        <v>0</v>
      </c>
      <c r="AB41" s="292">
        <f t="shared" si="9"/>
        <v>0</v>
      </c>
      <c r="AC41" s="292">
        <f t="shared" si="10"/>
        <v>0</v>
      </c>
      <c r="AD41" s="292">
        <f t="shared" si="11"/>
        <v>0</v>
      </c>
      <c r="AE41" s="292">
        <f t="shared" si="12"/>
        <v>0</v>
      </c>
      <c r="AF41" s="292">
        <f t="shared" si="13"/>
        <v>0</v>
      </c>
      <c r="AG41" s="292">
        <f t="shared" si="14"/>
        <v>0</v>
      </c>
      <c r="AH41" s="292">
        <f t="shared" si="15"/>
        <v>0</v>
      </c>
      <c r="AI41" s="292">
        <f t="shared" si="16"/>
        <v>0</v>
      </c>
      <c r="AJ41" s="292">
        <f t="shared" si="17"/>
        <v>0</v>
      </c>
      <c r="AK41" s="292">
        <f t="shared" si="18"/>
        <v>0</v>
      </c>
      <c r="AL41" s="292">
        <f t="shared" si="49"/>
        <v>0</v>
      </c>
      <c r="AM41" s="292">
        <f t="shared" si="50"/>
        <v>0</v>
      </c>
      <c r="AN41" s="292">
        <f t="shared" si="19"/>
        <v>0</v>
      </c>
      <c r="AO41" s="292">
        <f t="shared" si="20"/>
        <v>0</v>
      </c>
      <c r="AP41" s="292">
        <f t="shared" si="21"/>
        <v>0</v>
      </c>
      <c r="AQ41" s="292">
        <f t="shared" si="22"/>
        <v>0</v>
      </c>
      <c r="AR41" s="292">
        <f t="shared" si="23"/>
        <v>0</v>
      </c>
      <c r="AS41" s="292">
        <f t="shared" si="24"/>
        <v>0</v>
      </c>
      <c r="AT41" s="292">
        <f t="shared" si="25"/>
        <v>0</v>
      </c>
      <c r="AU41" s="292">
        <f t="shared" si="26"/>
        <v>0</v>
      </c>
      <c r="AV41" s="292">
        <f t="shared" si="27"/>
        <v>0</v>
      </c>
      <c r="AW41" s="292">
        <f t="shared" si="28"/>
        <v>0</v>
      </c>
      <c r="AX41" s="292">
        <f t="shared" si="29"/>
        <v>0</v>
      </c>
      <c r="AY41" s="292">
        <f t="shared" si="30"/>
        <v>0</v>
      </c>
      <c r="AZ41" s="292">
        <f t="shared" si="31"/>
        <v>0</v>
      </c>
      <c r="BA41" s="292">
        <f t="shared" si="32"/>
        <v>0</v>
      </c>
      <c r="BB41" s="292">
        <f t="shared" si="33"/>
        <v>0</v>
      </c>
      <c r="BC41" s="292">
        <f t="shared" si="34"/>
        <v>0</v>
      </c>
      <c r="BD41" s="292">
        <f t="shared" si="35"/>
        <v>0</v>
      </c>
      <c r="BE41" s="292">
        <f t="shared" si="36"/>
        <v>0</v>
      </c>
      <c r="BF41" s="292">
        <f t="shared" si="37"/>
        <v>0</v>
      </c>
      <c r="BG41" s="292">
        <f t="shared" si="38"/>
        <v>0</v>
      </c>
    </row>
    <row r="42" spans="1:59" s="289" customFormat="1" ht="15" customHeight="1">
      <c r="A42" s="63">
        <f t="array" ref="A42">IF(C42&lt;&gt;0,SUM(($C$11:C42&lt;&gt;0)*1),"")</f>
        <v>32</v>
      </c>
      <c r="B42" s="1099">
        <v>42388</v>
      </c>
      <c r="C42" s="290" t="s">
        <v>72</v>
      </c>
      <c r="D42" s="1099">
        <v>42388</v>
      </c>
      <c r="E42" s="344" t="s">
        <v>397</v>
      </c>
      <c r="F42" s="345">
        <v>1620000</v>
      </c>
      <c r="G42" s="346" t="s">
        <v>981</v>
      </c>
      <c r="H42" s="346" t="s">
        <v>97</v>
      </c>
      <c r="I42" s="63">
        <f t="shared" si="51"/>
        <v>32</v>
      </c>
      <c r="J42" s="292">
        <f t="shared" si="1"/>
        <v>0</v>
      </c>
      <c r="K42" s="292">
        <f t="shared" si="2"/>
        <v>1620000</v>
      </c>
      <c r="L42" s="292">
        <f t="shared" si="3"/>
        <v>0</v>
      </c>
      <c r="M42" s="292">
        <f t="shared" si="4"/>
        <v>0</v>
      </c>
      <c r="N42" s="292">
        <f t="shared" si="39"/>
        <v>0</v>
      </c>
      <c r="O42" s="292">
        <f t="shared" si="40"/>
        <v>0</v>
      </c>
      <c r="P42" s="292">
        <f t="shared" si="5"/>
        <v>0</v>
      </c>
      <c r="Q42" s="292">
        <f t="shared" si="6"/>
        <v>0</v>
      </c>
      <c r="R42" s="292">
        <f t="shared" si="41"/>
        <v>1620000</v>
      </c>
      <c r="S42" s="292">
        <f t="shared" si="42"/>
        <v>0</v>
      </c>
      <c r="T42" s="292">
        <f t="shared" si="7"/>
        <v>0</v>
      </c>
      <c r="U42" s="292">
        <f t="shared" si="8"/>
        <v>0</v>
      </c>
      <c r="V42" s="292">
        <f t="shared" si="43"/>
        <v>0</v>
      </c>
      <c r="W42" s="292">
        <f t="shared" si="44"/>
        <v>0</v>
      </c>
      <c r="X42" s="292">
        <f t="shared" si="45"/>
        <v>0</v>
      </c>
      <c r="Y42" s="292">
        <f t="shared" si="46"/>
        <v>0</v>
      </c>
      <c r="Z42" s="292">
        <f t="shared" si="47"/>
        <v>0</v>
      </c>
      <c r="AA42" s="292">
        <f t="shared" si="48"/>
        <v>0</v>
      </c>
      <c r="AB42" s="292">
        <f t="shared" si="9"/>
        <v>0</v>
      </c>
      <c r="AC42" s="292">
        <f t="shared" si="10"/>
        <v>0</v>
      </c>
      <c r="AD42" s="292">
        <f t="shared" si="11"/>
        <v>0</v>
      </c>
      <c r="AE42" s="292">
        <f t="shared" si="12"/>
        <v>0</v>
      </c>
      <c r="AF42" s="292">
        <f t="shared" si="13"/>
        <v>0</v>
      </c>
      <c r="AG42" s="292">
        <f t="shared" si="14"/>
        <v>0</v>
      </c>
      <c r="AH42" s="292">
        <f t="shared" si="15"/>
        <v>0</v>
      </c>
      <c r="AI42" s="292">
        <f t="shared" si="16"/>
        <v>0</v>
      </c>
      <c r="AJ42" s="292">
        <f t="shared" si="17"/>
        <v>0</v>
      </c>
      <c r="AK42" s="292">
        <f t="shared" si="18"/>
        <v>0</v>
      </c>
      <c r="AL42" s="292">
        <f t="shared" si="49"/>
        <v>0</v>
      </c>
      <c r="AM42" s="292">
        <f t="shared" si="50"/>
        <v>0</v>
      </c>
      <c r="AN42" s="292">
        <f t="shared" si="19"/>
        <v>0</v>
      </c>
      <c r="AO42" s="292">
        <f t="shared" si="20"/>
        <v>0</v>
      </c>
      <c r="AP42" s="292">
        <f t="shared" si="21"/>
        <v>0</v>
      </c>
      <c r="AQ42" s="292">
        <f t="shared" si="22"/>
        <v>0</v>
      </c>
      <c r="AR42" s="292">
        <f t="shared" si="23"/>
        <v>0</v>
      </c>
      <c r="AS42" s="292">
        <f t="shared" si="24"/>
        <v>0</v>
      </c>
      <c r="AT42" s="292">
        <f t="shared" si="25"/>
        <v>0</v>
      </c>
      <c r="AU42" s="292">
        <f t="shared" si="26"/>
        <v>0</v>
      </c>
      <c r="AV42" s="292">
        <f t="shared" si="27"/>
        <v>0</v>
      </c>
      <c r="AW42" s="292">
        <f t="shared" si="28"/>
        <v>0</v>
      </c>
      <c r="AX42" s="292">
        <f t="shared" si="29"/>
        <v>0</v>
      </c>
      <c r="AY42" s="292">
        <f t="shared" si="30"/>
        <v>0</v>
      </c>
      <c r="AZ42" s="292">
        <f t="shared" si="31"/>
        <v>0</v>
      </c>
      <c r="BA42" s="292">
        <f t="shared" si="32"/>
        <v>0</v>
      </c>
      <c r="BB42" s="292">
        <f t="shared" si="33"/>
        <v>0</v>
      </c>
      <c r="BC42" s="292">
        <f t="shared" si="34"/>
        <v>0</v>
      </c>
      <c r="BD42" s="292">
        <f t="shared" si="35"/>
        <v>0</v>
      </c>
      <c r="BE42" s="292">
        <f t="shared" si="36"/>
        <v>0</v>
      </c>
      <c r="BF42" s="292">
        <f t="shared" si="37"/>
        <v>0</v>
      </c>
      <c r="BG42" s="292">
        <f t="shared" si="38"/>
        <v>0</v>
      </c>
    </row>
    <row r="43" spans="1:59" s="289" customFormat="1" ht="15" customHeight="1">
      <c r="A43" s="63">
        <f t="array" ref="A43">IF(C43&lt;&gt;0,SUM(($C$11:C43&lt;&gt;0)*1),"")</f>
        <v>33</v>
      </c>
      <c r="B43" s="1099">
        <v>42389</v>
      </c>
      <c r="C43" s="290" t="s">
        <v>73</v>
      </c>
      <c r="D43" s="1099">
        <v>42389</v>
      </c>
      <c r="E43" s="344" t="s">
        <v>185</v>
      </c>
      <c r="F43" s="345">
        <v>1357000</v>
      </c>
      <c r="G43" s="346" t="s">
        <v>242</v>
      </c>
      <c r="H43" s="346" t="s">
        <v>97</v>
      </c>
      <c r="I43" s="63">
        <f t="shared" si="51"/>
        <v>33</v>
      </c>
      <c r="J43" s="292">
        <f t="shared" si="1"/>
        <v>0</v>
      </c>
      <c r="K43" s="292">
        <f t="shared" si="2"/>
        <v>1357000</v>
      </c>
      <c r="L43" s="292">
        <f t="shared" si="3"/>
        <v>0</v>
      </c>
      <c r="M43" s="292">
        <f t="shared" si="4"/>
        <v>0</v>
      </c>
      <c r="N43" s="292">
        <f t="shared" si="39"/>
        <v>0</v>
      </c>
      <c r="O43" s="292">
        <f t="shared" si="40"/>
        <v>0</v>
      </c>
      <c r="P43" s="292">
        <f t="shared" si="5"/>
        <v>0</v>
      </c>
      <c r="Q43" s="292">
        <f t="shared" si="6"/>
        <v>0</v>
      </c>
      <c r="R43" s="292">
        <f t="shared" si="41"/>
        <v>0</v>
      </c>
      <c r="S43" s="292">
        <f t="shared" si="42"/>
        <v>0</v>
      </c>
      <c r="T43" s="292">
        <f t="shared" si="7"/>
        <v>0</v>
      </c>
      <c r="U43" s="292">
        <f t="shared" si="8"/>
        <v>0</v>
      </c>
      <c r="V43" s="292">
        <f t="shared" si="43"/>
        <v>0</v>
      </c>
      <c r="W43" s="292">
        <f t="shared" si="44"/>
        <v>0</v>
      </c>
      <c r="X43" s="292">
        <f t="shared" si="45"/>
        <v>0</v>
      </c>
      <c r="Y43" s="292">
        <f t="shared" si="46"/>
        <v>0</v>
      </c>
      <c r="Z43" s="292">
        <f t="shared" si="47"/>
        <v>1357000</v>
      </c>
      <c r="AA43" s="292">
        <f t="shared" si="48"/>
        <v>0</v>
      </c>
      <c r="AB43" s="292">
        <f t="shared" si="9"/>
        <v>0</v>
      </c>
      <c r="AC43" s="292">
        <f t="shared" si="10"/>
        <v>0</v>
      </c>
      <c r="AD43" s="292">
        <f t="shared" si="11"/>
        <v>0</v>
      </c>
      <c r="AE43" s="292">
        <f t="shared" si="12"/>
        <v>0</v>
      </c>
      <c r="AF43" s="292">
        <f t="shared" si="13"/>
        <v>0</v>
      </c>
      <c r="AG43" s="292">
        <f t="shared" si="14"/>
        <v>0</v>
      </c>
      <c r="AH43" s="292">
        <f t="shared" si="15"/>
        <v>0</v>
      </c>
      <c r="AI43" s="292">
        <f t="shared" si="16"/>
        <v>0</v>
      </c>
      <c r="AJ43" s="292">
        <f t="shared" si="17"/>
        <v>0</v>
      </c>
      <c r="AK43" s="292">
        <f t="shared" si="18"/>
        <v>0</v>
      </c>
      <c r="AL43" s="292">
        <f t="shared" si="49"/>
        <v>0</v>
      </c>
      <c r="AM43" s="292">
        <f t="shared" si="50"/>
        <v>0</v>
      </c>
      <c r="AN43" s="292">
        <f t="shared" si="19"/>
        <v>0</v>
      </c>
      <c r="AO43" s="292">
        <f t="shared" si="20"/>
        <v>0</v>
      </c>
      <c r="AP43" s="292">
        <f t="shared" si="21"/>
        <v>0</v>
      </c>
      <c r="AQ43" s="292">
        <f t="shared" si="22"/>
        <v>0</v>
      </c>
      <c r="AR43" s="292">
        <f t="shared" si="23"/>
        <v>0</v>
      </c>
      <c r="AS43" s="292">
        <f t="shared" si="24"/>
        <v>0</v>
      </c>
      <c r="AT43" s="292">
        <f t="shared" si="25"/>
        <v>0</v>
      </c>
      <c r="AU43" s="292">
        <f t="shared" si="26"/>
        <v>0</v>
      </c>
      <c r="AV43" s="292">
        <f t="shared" si="27"/>
        <v>0</v>
      </c>
      <c r="AW43" s="292">
        <f t="shared" si="28"/>
        <v>0</v>
      </c>
      <c r="AX43" s="292">
        <f t="shared" si="29"/>
        <v>0</v>
      </c>
      <c r="AY43" s="292">
        <f t="shared" si="30"/>
        <v>0</v>
      </c>
      <c r="AZ43" s="292">
        <f t="shared" si="31"/>
        <v>0</v>
      </c>
      <c r="BA43" s="292">
        <f t="shared" si="32"/>
        <v>0</v>
      </c>
      <c r="BB43" s="292">
        <f t="shared" si="33"/>
        <v>0</v>
      </c>
      <c r="BC43" s="292">
        <f t="shared" si="34"/>
        <v>0</v>
      </c>
      <c r="BD43" s="292">
        <f t="shared" si="35"/>
        <v>0</v>
      </c>
      <c r="BE43" s="292">
        <f t="shared" si="36"/>
        <v>0</v>
      </c>
      <c r="BF43" s="292">
        <f t="shared" si="37"/>
        <v>0</v>
      </c>
      <c r="BG43" s="292">
        <f t="shared" si="38"/>
        <v>0</v>
      </c>
    </row>
    <row r="44" spans="1:59" s="289" customFormat="1" ht="15" customHeight="1">
      <c r="A44" s="63">
        <f t="array" ref="A44">IF(C44&lt;&gt;0,SUM(($C$11:C44&lt;&gt;0)*1),"")</f>
        <v>34</v>
      </c>
      <c r="B44" s="1099">
        <v>42389</v>
      </c>
      <c r="C44" s="290" t="s">
        <v>74</v>
      </c>
      <c r="D44" s="1099">
        <v>42389</v>
      </c>
      <c r="E44" s="344" t="s">
        <v>399</v>
      </c>
      <c r="F44" s="345">
        <v>2589000</v>
      </c>
      <c r="G44" s="346" t="s">
        <v>242</v>
      </c>
      <c r="H44" s="346" t="s">
        <v>97</v>
      </c>
      <c r="I44" s="63">
        <f t="shared" si="51"/>
        <v>34</v>
      </c>
      <c r="J44" s="292">
        <f t="shared" si="1"/>
        <v>0</v>
      </c>
      <c r="K44" s="292">
        <f t="shared" si="2"/>
        <v>2589000</v>
      </c>
      <c r="L44" s="292">
        <f t="shared" si="3"/>
        <v>0</v>
      </c>
      <c r="M44" s="292">
        <f t="shared" si="4"/>
        <v>0</v>
      </c>
      <c r="N44" s="292">
        <f t="shared" si="39"/>
        <v>0</v>
      </c>
      <c r="O44" s="292">
        <f t="shared" si="40"/>
        <v>0</v>
      </c>
      <c r="P44" s="292">
        <f t="shared" si="5"/>
        <v>0</v>
      </c>
      <c r="Q44" s="292">
        <f t="shared" si="6"/>
        <v>0</v>
      </c>
      <c r="R44" s="292">
        <f t="shared" si="41"/>
        <v>0</v>
      </c>
      <c r="S44" s="292">
        <f t="shared" si="42"/>
        <v>0</v>
      </c>
      <c r="T44" s="292">
        <f t="shared" si="7"/>
        <v>0</v>
      </c>
      <c r="U44" s="292">
        <f t="shared" si="8"/>
        <v>0</v>
      </c>
      <c r="V44" s="292">
        <f t="shared" si="43"/>
        <v>0</v>
      </c>
      <c r="W44" s="292">
        <f t="shared" si="44"/>
        <v>0</v>
      </c>
      <c r="X44" s="292">
        <f t="shared" si="45"/>
        <v>0</v>
      </c>
      <c r="Y44" s="292">
        <f t="shared" si="46"/>
        <v>0</v>
      </c>
      <c r="Z44" s="292">
        <f t="shared" si="47"/>
        <v>2589000</v>
      </c>
      <c r="AA44" s="292">
        <f t="shared" si="48"/>
        <v>0</v>
      </c>
      <c r="AB44" s="292">
        <f t="shared" si="9"/>
        <v>0</v>
      </c>
      <c r="AC44" s="292">
        <f t="shared" si="10"/>
        <v>0</v>
      </c>
      <c r="AD44" s="292">
        <f t="shared" si="11"/>
        <v>0</v>
      </c>
      <c r="AE44" s="292">
        <f t="shared" si="12"/>
        <v>0</v>
      </c>
      <c r="AF44" s="292">
        <f t="shared" si="13"/>
        <v>0</v>
      </c>
      <c r="AG44" s="292">
        <f t="shared" si="14"/>
        <v>0</v>
      </c>
      <c r="AH44" s="292">
        <f t="shared" si="15"/>
        <v>0</v>
      </c>
      <c r="AI44" s="292">
        <f t="shared" si="16"/>
        <v>0</v>
      </c>
      <c r="AJ44" s="292">
        <f t="shared" si="17"/>
        <v>0</v>
      </c>
      <c r="AK44" s="292">
        <f t="shared" si="18"/>
        <v>0</v>
      </c>
      <c r="AL44" s="292">
        <f t="shared" si="49"/>
        <v>0</v>
      </c>
      <c r="AM44" s="292">
        <f t="shared" si="50"/>
        <v>0</v>
      </c>
      <c r="AN44" s="292">
        <f t="shared" si="19"/>
        <v>0</v>
      </c>
      <c r="AO44" s="292">
        <f t="shared" si="20"/>
        <v>0</v>
      </c>
      <c r="AP44" s="292">
        <f t="shared" si="21"/>
        <v>0</v>
      </c>
      <c r="AQ44" s="292">
        <f t="shared" si="22"/>
        <v>0</v>
      </c>
      <c r="AR44" s="292">
        <f t="shared" si="23"/>
        <v>0</v>
      </c>
      <c r="AS44" s="292">
        <f t="shared" si="24"/>
        <v>0</v>
      </c>
      <c r="AT44" s="292">
        <f t="shared" si="25"/>
        <v>0</v>
      </c>
      <c r="AU44" s="292">
        <f t="shared" si="26"/>
        <v>0</v>
      </c>
      <c r="AV44" s="292">
        <f t="shared" si="27"/>
        <v>0</v>
      </c>
      <c r="AW44" s="292">
        <f t="shared" si="28"/>
        <v>0</v>
      </c>
      <c r="AX44" s="292">
        <f t="shared" si="29"/>
        <v>0</v>
      </c>
      <c r="AY44" s="292">
        <f t="shared" si="30"/>
        <v>0</v>
      </c>
      <c r="AZ44" s="292">
        <f t="shared" si="31"/>
        <v>0</v>
      </c>
      <c r="BA44" s="292">
        <f t="shared" si="32"/>
        <v>0</v>
      </c>
      <c r="BB44" s="292">
        <f t="shared" si="33"/>
        <v>0</v>
      </c>
      <c r="BC44" s="292">
        <f t="shared" si="34"/>
        <v>0</v>
      </c>
      <c r="BD44" s="292">
        <f t="shared" si="35"/>
        <v>0</v>
      </c>
      <c r="BE44" s="292">
        <f t="shared" si="36"/>
        <v>0</v>
      </c>
      <c r="BF44" s="292">
        <f t="shared" si="37"/>
        <v>0</v>
      </c>
      <c r="BG44" s="292">
        <f t="shared" si="38"/>
        <v>0</v>
      </c>
    </row>
    <row r="45" spans="1:59" s="289" customFormat="1" ht="15" customHeight="1">
      <c r="A45" s="63">
        <f t="array" ref="A45">IF(C45&lt;&gt;0,SUM(($C$11:C45&lt;&gt;0)*1),"")</f>
        <v>35</v>
      </c>
      <c r="B45" s="1099">
        <v>42390</v>
      </c>
      <c r="C45" s="290" t="s">
        <v>75</v>
      </c>
      <c r="D45" s="1099">
        <v>42343</v>
      </c>
      <c r="E45" s="344" t="s">
        <v>401</v>
      </c>
      <c r="F45" s="345">
        <v>13804000</v>
      </c>
      <c r="G45" s="346" t="s">
        <v>242</v>
      </c>
      <c r="H45" s="346" t="s">
        <v>97</v>
      </c>
      <c r="I45" s="63">
        <f t="shared" si="51"/>
        <v>35</v>
      </c>
      <c r="J45" s="292">
        <f t="shared" si="1"/>
        <v>0</v>
      </c>
      <c r="K45" s="292">
        <f t="shared" si="2"/>
        <v>13804000</v>
      </c>
      <c r="L45" s="292">
        <f t="shared" si="3"/>
        <v>0</v>
      </c>
      <c r="M45" s="292">
        <f t="shared" si="4"/>
        <v>0</v>
      </c>
      <c r="N45" s="292">
        <f t="shared" si="39"/>
        <v>0</v>
      </c>
      <c r="O45" s="292">
        <f t="shared" si="40"/>
        <v>0</v>
      </c>
      <c r="P45" s="292">
        <f t="shared" si="5"/>
        <v>0</v>
      </c>
      <c r="Q45" s="292">
        <f t="shared" si="6"/>
        <v>0</v>
      </c>
      <c r="R45" s="292">
        <f t="shared" si="41"/>
        <v>0</v>
      </c>
      <c r="S45" s="292">
        <f t="shared" si="42"/>
        <v>0</v>
      </c>
      <c r="T45" s="292">
        <f t="shared" si="7"/>
        <v>0</v>
      </c>
      <c r="U45" s="292">
        <f t="shared" si="8"/>
        <v>0</v>
      </c>
      <c r="V45" s="292">
        <f t="shared" si="43"/>
        <v>0</v>
      </c>
      <c r="W45" s="292">
        <f t="shared" si="44"/>
        <v>0</v>
      </c>
      <c r="X45" s="292">
        <f t="shared" si="45"/>
        <v>0</v>
      </c>
      <c r="Y45" s="292">
        <f t="shared" si="46"/>
        <v>0</v>
      </c>
      <c r="Z45" s="292">
        <f t="shared" si="47"/>
        <v>13804000</v>
      </c>
      <c r="AA45" s="292">
        <f t="shared" si="48"/>
        <v>0</v>
      </c>
      <c r="AB45" s="292">
        <f t="shared" si="9"/>
        <v>0</v>
      </c>
      <c r="AC45" s="292">
        <f t="shared" si="10"/>
        <v>0</v>
      </c>
      <c r="AD45" s="292">
        <f t="shared" si="11"/>
        <v>0</v>
      </c>
      <c r="AE45" s="292">
        <f t="shared" si="12"/>
        <v>0</v>
      </c>
      <c r="AF45" s="292">
        <f t="shared" si="13"/>
        <v>0</v>
      </c>
      <c r="AG45" s="292">
        <f t="shared" si="14"/>
        <v>0</v>
      </c>
      <c r="AH45" s="292">
        <f t="shared" si="15"/>
        <v>0</v>
      </c>
      <c r="AI45" s="292">
        <f t="shared" si="16"/>
        <v>0</v>
      </c>
      <c r="AJ45" s="292">
        <f t="shared" si="17"/>
        <v>0</v>
      </c>
      <c r="AK45" s="292">
        <f t="shared" si="18"/>
        <v>0</v>
      </c>
      <c r="AL45" s="292">
        <f t="shared" si="49"/>
        <v>0</v>
      </c>
      <c r="AM45" s="292">
        <f t="shared" si="50"/>
        <v>0</v>
      </c>
      <c r="AN45" s="292">
        <f t="shared" si="19"/>
        <v>0</v>
      </c>
      <c r="AO45" s="292">
        <f t="shared" si="20"/>
        <v>0</v>
      </c>
      <c r="AP45" s="292">
        <f t="shared" si="21"/>
        <v>0</v>
      </c>
      <c r="AQ45" s="292">
        <f t="shared" si="22"/>
        <v>0</v>
      </c>
      <c r="AR45" s="292">
        <f t="shared" si="23"/>
        <v>0</v>
      </c>
      <c r="AS45" s="292">
        <f t="shared" si="24"/>
        <v>0</v>
      </c>
      <c r="AT45" s="292">
        <f t="shared" si="25"/>
        <v>0</v>
      </c>
      <c r="AU45" s="292">
        <f t="shared" si="26"/>
        <v>0</v>
      </c>
      <c r="AV45" s="292">
        <f t="shared" si="27"/>
        <v>0</v>
      </c>
      <c r="AW45" s="292">
        <f t="shared" si="28"/>
        <v>0</v>
      </c>
      <c r="AX45" s="292">
        <f t="shared" si="29"/>
        <v>0</v>
      </c>
      <c r="AY45" s="292">
        <f t="shared" si="30"/>
        <v>0</v>
      </c>
      <c r="AZ45" s="292">
        <f t="shared" si="31"/>
        <v>0</v>
      </c>
      <c r="BA45" s="292">
        <f t="shared" si="32"/>
        <v>0</v>
      </c>
      <c r="BB45" s="292">
        <f t="shared" si="33"/>
        <v>0</v>
      </c>
      <c r="BC45" s="292">
        <f t="shared" si="34"/>
        <v>0</v>
      </c>
      <c r="BD45" s="292">
        <f t="shared" si="35"/>
        <v>0</v>
      </c>
      <c r="BE45" s="292">
        <f t="shared" si="36"/>
        <v>0</v>
      </c>
      <c r="BF45" s="292">
        <f t="shared" si="37"/>
        <v>0</v>
      </c>
      <c r="BG45" s="292">
        <f t="shared" si="38"/>
        <v>0</v>
      </c>
    </row>
    <row r="46" spans="1:59" s="289" customFormat="1" ht="15" customHeight="1">
      <c r="A46" s="63">
        <f t="array" ref="A46">IF(C46&lt;&gt;0,SUM(($C$11:C46&lt;&gt;0)*1),"")</f>
        <v>36</v>
      </c>
      <c r="B46" s="1099">
        <v>42390</v>
      </c>
      <c r="C46" s="290" t="s">
        <v>75</v>
      </c>
      <c r="D46" s="1099">
        <v>42343</v>
      </c>
      <c r="E46" s="344" t="s">
        <v>404</v>
      </c>
      <c r="F46" s="345">
        <v>1380400</v>
      </c>
      <c r="G46" s="346" t="s">
        <v>981</v>
      </c>
      <c r="H46" s="346" t="s">
        <v>97</v>
      </c>
      <c r="I46" s="63">
        <f t="shared" si="51"/>
        <v>36</v>
      </c>
      <c r="J46" s="292">
        <f t="shared" si="1"/>
        <v>0</v>
      </c>
      <c r="K46" s="292">
        <f t="shared" si="2"/>
        <v>1380400</v>
      </c>
      <c r="L46" s="292">
        <f t="shared" si="3"/>
        <v>0</v>
      </c>
      <c r="M46" s="292">
        <f t="shared" si="4"/>
        <v>0</v>
      </c>
      <c r="N46" s="292">
        <f t="shared" si="39"/>
        <v>0</v>
      </c>
      <c r="O46" s="292">
        <f t="shared" si="40"/>
        <v>0</v>
      </c>
      <c r="P46" s="292">
        <f t="shared" si="5"/>
        <v>0</v>
      </c>
      <c r="Q46" s="292">
        <f t="shared" si="6"/>
        <v>0</v>
      </c>
      <c r="R46" s="292">
        <f t="shared" si="41"/>
        <v>1380400</v>
      </c>
      <c r="S46" s="292">
        <f t="shared" si="42"/>
        <v>0</v>
      </c>
      <c r="T46" s="292">
        <f t="shared" si="7"/>
        <v>0</v>
      </c>
      <c r="U46" s="292">
        <f t="shared" si="8"/>
        <v>0</v>
      </c>
      <c r="V46" s="292">
        <f t="shared" si="43"/>
        <v>0</v>
      </c>
      <c r="W46" s="292">
        <f t="shared" si="44"/>
        <v>0</v>
      </c>
      <c r="X46" s="292">
        <f t="shared" si="45"/>
        <v>0</v>
      </c>
      <c r="Y46" s="292">
        <f t="shared" si="46"/>
        <v>0</v>
      </c>
      <c r="Z46" s="292">
        <f t="shared" si="47"/>
        <v>0</v>
      </c>
      <c r="AA46" s="292">
        <f t="shared" si="48"/>
        <v>0</v>
      </c>
      <c r="AB46" s="292">
        <f t="shared" si="9"/>
        <v>0</v>
      </c>
      <c r="AC46" s="292">
        <f t="shared" si="10"/>
        <v>0</v>
      </c>
      <c r="AD46" s="292">
        <f t="shared" si="11"/>
        <v>0</v>
      </c>
      <c r="AE46" s="292">
        <f t="shared" si="12"/>
        <v>0</v>
      </c>
      <c r="AF46" s="292">
        <f t="shared" si="13"/>
        <v>0</v>
      </c>
      <c r="AG46" s="292">
        <f t="shared" si="14"/>
        <v>0</v>
      </c>
      <c r="AH46" s="292">
        <f t="shared" si="15"/>
        <v>0</v>
      </c>
      <c r="AI46" s="292">
        <f t="shared" si="16"/>
        <v>0</v>
      </c>
      <c r="AJ46" s="292">
        <f t="shared" si="17"/>
        <v>0</v>
      </c>
      <c r="AK46" s="292">
        <f t="shared" si="18"/>
        <v>0</v>
      </c>
      <c r="AL46" s="292">
        <f t="shared" si="49"/>
        <v>0</v>
      </c>
      <c r="AM46" s="292">
        <f t="shared" si="50"/>
        <v>0</v>
      </c>
      <c r="AN46" s="292">
        <f t="shared" si="19"/>
        <v>0</v>
      </c>
      <c r="AO46" s="292">
        <f t="shared" si="20"/>
        <v>0</v>
      </c>
      <c r="AP46" s="292">
        <f t="shared" si="21"/>
        <v>0</v>
      </c>
      <c r="AQ46" s="292">
        <f t="shared" si="22"/>
        <v>0</v>
      </c>
      <c r="AR46" s="292">
        <f t="shared" si="23"/>
        <v>0</v>
      </c>
      <c r="AS46" s="292">
        <f t="shared" si="24"/>
        <v>0</v>
      </c>
      <c r="AT46" s="292">
        <f t="shared" si="25"/>
        <v>0</v>
      </c>
      <c r="AU46" s="292">
        <f t="shared" si="26"/>
        <v>0</v>
      </c>
      <c r="AV46" s="292">
        <f t="shared" si="27"/>
        <v>0</v>
      </c>
      <c r="AW46" s="292">
        <f t="shared" si="28"/>
        <v>0</v>
      </c>
      <c r="AX46" s="292">
        <f t="shared" si="29"/>
        <v>0</v>
      </c>
      <c r="AY46" s="292">
        <f t="shared" si="30"/>
        <v>0</v>
      </c>
      <c r="AZ46" s="292">
        <f t="shared" si="31"/>
        <v>0</v>
      </c>
      <c r="BA46" s="292">
        <f t="shared" si="32"/>
        <v>0</v>
      </c>
      <c r="BB46" s="292">
        <f t="shared" si="33"/>
        <v>0</v>
      </c>
      <c r="BC46" s="292">
        <f t="shared" si="34"/>
        <v>0</v>
      </c>
      <c r="BD46" s="292">
        <f t="shared" si="35"/>
        <v>0</v>
      </c>
      <c r="BE46" s="292">
        <f t="shared" si="36"/>
        <v>0</v>
      </c>
      <c r="BF46" s="292">
        <f t="shared" si="37"/>
        <v>0</v>
      </c>
      <c r="BG46" s="292">
        <f t="shared" si="38"/>
        <v>0</v>
      </c>
    </row>
    <row r="47" spans="1:59" s="289" customFormat="1" ht="15" customHeight="1">
      <c r="A47" s="63">
        <f t="array" ref="A47">IF(C47&lt;&gt;0,SUM(($C$11:C47&lt;&gt;0)*1),"")</f>
        <v>37</v>
      </c>
      <c r="B47" s="1099">
        <v>42390</v>
      </c>
      <c r="C47" s="290" t="s">
        <v>76</v>
      </c>
      <c r="D47" s="1099">
        <v>42390</v>
      </c>
      <c r="E47" s="344" t="s">
        <v>399</v>
      </c>
      <c r="F47" s="345">
        <v>2303000</v>
      </c>
      <c r="G47" s="346" t="s">
        <v>242</v>
      </c>
      <c r="H47" s="346" t="s">
        <v>97</v>
      </c>
      <c r="I47" s="63">
        <f t="shared" si="51"/>
        <v>37</v>
      </c>
      <c r="J47" s="292">
        <f t="shared" si="1"/>
        <v>0</v>
      </c>
      <c r="K47" s="292">
        <f t="shared" si="2"/>
        <v>2303000</v>
      </c>
      <c r="L47" s="292">
        <f t="shared" si="3"/>
        <v>0</v>
      </c>
      <c r="M47" s="292">
        <f t="shared" si="4"/>
        <v>0</v>
      </c>
      <c r="N47" s="292">
        <f t="shared" si="39"/>
        <v>0</v>
      </c>
      <c r="O47" s="292">
        <f t="shared" si="40"/>
        <v>0</v>
      </c>
      <c r="P47" s="292">
        <f t="shared" si="5"/>
        <v>0</v>
      </c>
      <c r="Q47" s="292">
        <f t="shared" si="6"/>
        <v>0</v>
      </c>
      <c r="R47" s="292">
        <f t="shared" si="41"/>
        <v>0</v>
      </c>
      <c r="S47" s="292">
        <f t="shared" si="42"/>
        <v>0</v>
      </c>
      <c r="T47" s="292">
        <f t="shared" si="7"/>
        <v>0</v>
      </c>
      <c r="U47" s="292">
        <f t="shared" si="8"/>
        <v>0</v>
      </c>
      <c r="V47" s="292">
        <f t="shared" si="43"/>
        <v>0</v>
      </c>
      <c r="W47" s="292">
        <f t="shared" si="44"/>
        <v>0</v>
      </c>
      <c r="X47" s="292">
        <f t="shared" si="45"/>
        <v>0</v>
      </c>
      <c r="Y47" s="292">
        <f t="shared" si="46"/>
        <v>0</v>
      </c>
      <c r="Z47" s="292">
        <f t="shared" si="47"/>
        <v>2303000</v>
      </c>
      <c r="AA47" s="292">
        <f t="shared" si="48"/>
        <v>0</v>
      </c>
      <c r="AB47" s="292">
        <f t="shared" si="9"/>
        <v>0</v>
      </c>
      <c r="AC47" s="292">
        <f t="shared" si="10"/>
        <v>0</v>
      </c>
      <c r="AD47" s="292">
        <f t="shared" si="11"/>
        <v>0</v>
      </c>
      <c r="AE47" s="292">
        <f t="shared" si="12"/>
        <v>0</v>
      </c>
      <c r="AF47" s="292">
        <f t="shared" si="13"/>
        <v>0</v>
      </c>
      <c r="AG47" s="292">
        <f t="shared" si="14"/>
        <v>0</v>
      </c>
      <c r="AH47" s="292">
        <f t="shared" si="15"/>
        <v>0</v>
      </c>
      <c r="AI47" s="292">
        <f t="shared" si="16"/>
        <v>0</v>
      </c>
      <c r="AJ47" s="292">
        <f t="shared" si="17"/>
        <v>0</v>
      </c>
      <c r="AK47" s="292">
        <f t="shared" si="18"/>
        <v>0</v>
      </c>
      <c r="AL47" s="292">
        <f t="shared" si="49"/>
        <v>0</v>
      </c>
      <c r="AM47" s="292">
        <f t="shared" si="50"/>
        <v>0</v>
      </c>
      <c r="AN47" s="292">
        <f t="shared" si="19"/>
        <v>0</v>
      </c>
      <c r="AO47" s="292">
        <f t="shared" si="20"/>
        <v>0</v>
      </c>
      <c r="AP47" s="292">
        <f t="shared" si="21"/>
        <v>0</v>
      </c>
      <c r="AQ47" s="292">
        <f t="shared" si="22"/>
        <v>0</v>
      </c>
      <c r="AR47" s="292">
        <f t="shared" si="23"/>
        <v>0</v>
      </c>
      <c r="AS47" s="292">
        <f t="shared" si="24"/>
        <v>0</v>
      </c>
      <c r="AT47" s="292">
        <f t="shared" si="25"/>
        <v>0</v>
      </c>
      <c r="AU47" s="292">
        <f t="shared" si="26"/>
        <v>0</v>
      </c>
      <c r="AV47" s="292">
        <f t="shared" si="27"/>
        <v>0</v>
      </c>
      <c r="AW47" s="292">
        <f t="shared" si="28"/>
        <v>0</v>
      </c>
      <c r="AX47" s="292">
        <f t="shared" si="29"/>
        <v>0</v>
      </c>
      <c r="AY47" s="292">
        <f t="shared" si="30"/>
        <v>0</v>
      </c>
      <c r="AZ47" s="292">
        <f t="shared" si="31"/>
        <v>0</v>
      </c>
      <c r="BA47" s="292">
        <f t="shared" si="32"/>
        <v>0</v>
      </c>
      <c r="BB47" s="292">
        <f t="shared" si="33"/>
        <v>0</v>
      </c>
      <c r="BC47" s="292">
        <f t="shared" si="34"/>
        <v>0</v>
      </c>
      <c r="BD47" s="292">
        <f t="shared" si="35"/>
        <v>0</v>
      </c>
      <c r="BE47" s="292">
        <f t="shared" si="36"/>
        <v>0</v>
      </c>
      <c r="BF47" s="292">
        <f t="shared" si="37"/>
        <v>0</v>
      </c>
      <c r="BG47" s="292">
        <f t="shared" si="38"/>
        <v>0</v>
      </c>
    </row>
    <row r="48" spans="1:59" s="289" customFormat="1" ht="15" customHeight="1">
      <c r="A48" s="63">
        <f t="array" ref="A48">IF(C48&lt;&gt;0,SUM(($C$11:C48&lt;&gt;0)*1),"")</f>
        <v>38</v>
      </c>
      <c r="B48" s="1099">
        <v>42390</v>
      </c>
      <c r="C48" s="290" t="s">
        <v>77</v>
      </c>
      <c r="D48" s="1099">
        <v>42390</v>
      </c>
      <c r="E48" s="344" t="s">
        <v>407</v>
      </c>
      <c r="F48" s="345">
        <v>7333400</v>
      </c>
      <c r="G48" s="346" t="s">
        <v>135</v>
      </c>
      <c r="H48" s="346" t="s">
        <v>97</v>
      </c>
      <c r="I48" s="63">
        <f t="shared" si="51"/>
        <v>38</v>
      </c>
      <c r="J48" s="292">
        <f t="shared" si="1"/>
        <v>0</v>
      </c>
      <c r="K48" s="292">
        <f t="shared" si="2"/>
        <v>7333400</v>
      </c>
      <c r="L48" s="292">
        <f t="shared" si="3"/>
        <v>0</v>
      </c>
      <c r="M48" s="292">
        <f t="shared" si="4"/>
        <v>0</v>
      </c>
      <c r="N48" s="292">
        <f t="shared" si="39"/>
        <v>0</v>
      </c>
      <c r="O48" s="292">
        <f t="shared" si="40"/>
        <v>0</v>
      </c>
      <c r="P48" s="292">
        <f t="shared" si="5"/>
        <v>0</v>
      </c>
      <c r="Q48" s="292">
        <f t="shared" si="6"/>
        <v>0</v>
      </c>
      <c r="R48" s="292">
        <f t="shared" si="41"/>
        <v>0</v>
      </c>
      <c r="S48" s="292">
        <f t="shared" si="42"/>
        <v>0</v>
      </c>
      <c r="T48" s="292">
        <f t="shared" si="7"/>
        <v>0</v>
      </c>
      <c r="U48" s="292">
        <f t="shared" si="8"/>
        <v>0</v>
      </c>
      <c r="V48" s="292">
        <f t="shared" si="43"/>
        <v>0</v>
      </c>
      <c r="W48" s="292">
        <f t="shared" si="44"/>
        <v>0</v>
      </c>
      <c r="X48" s="292">
        <f t="shared" si="45"/>
        <v>0</v>
      </c>
      <c r="Y48" s="292">
        <f t="shared" si="46"/>
        <v>0</v>
      </c>
      <c r="Z48" s="292">
        <f t="shared" si="47"/>
        <v>0</v>
      </c>
      <c r="AA48" s="292">
        <f t="shared" si="48"/>
        <v>0</v>
      </c>
      <c r="AB48" s="292">
        <f t="shared" si="9"/>
        <v>0</v>
      </c>
      <c r="AC48" s="292">
        <f t="shared" si="10"/>
        <v>0</v>
      </c>
      <c r="AD48" s="292">
        <f t="shared" si="11"/>
        <v>0</v>
      </c>
      <c r="AE48" s="292">
        <f t="shared" si="12"/>
        <v>0</v>
      </c>
      <c r="AF48" s="292">
        <f t="shared" si="13"/>
        <v>0</v>
      </c>
      <c r="AG48" s="292">
        <f t="shared" si="14"/>
        <v>0</v>
      </c>
      <c r="AH48" s="292">
        <f t="shared" si="15"/>
        <v>0</v>
      </c>
      <c r="AI48" s="292">
        <f t="shared" si="16"/>
        <v>0</v>
      </c>
      <c r="AJ48" s="292">
        <f t="shared" si="17"/>
        <v>0</v>
      </c>
      <c r="AK48" s="292">
        <f t="shared" si="18"/>
        <v>0</v>
      </c>
      <c r="AL48" s="292">
        <f t="shared" si="49"/>
        <v>0</v>
      </c>
      <c r="AM48" s="292">
        <f t="shared" si="50"/>
        <v>0</v>
      </c>
      <c r="AN48" s="292">
        <f t="shared" si="19"/>
        <v>0</v>
      </c>
      <c r="AO48" s="292">
        <f t="shared" si="20"/>
        <v>0</v>
      </c>
      <c r="AP48" s="292">
        <f t="shared" si="21"/>
        <v>0</v>
      </c>
      <c r="AQ48" s="292">
        <f t="shared" si="22"/>
        <v>0</v>
      </c>
      <c r="AR48" s="292">
        <f t="shared" si="23"/>
        <v>0</v>
      </c>
      <c r="AS48" s="292">
        <f t="shared" si="24"/>
        <v>0</v>
      </c>
      <c r="AT48" s="292">
        <f t="shared" si="25"/>
        <v>0</v>
      </c>
      <c r="AU48" s="292">
        <f t="shared" si="26"/>
        <v>0</v>
      </c>
      <c r="AV48" s="292">
        <f t="shared" si="27"/>
        <v>0</v>
      </c>
      <c r="AW48" s="292">
        <f t="shared" si="28"/>
        <v>0</v>
      </c>
      <c r="AX48" s="292">
        <f t="shared" si="29"/>
        <v>7333400</v>
      </c>
      <c r="AY48" s="292">
        <f t="shared" si="30"/>
        <v>0</v>
      </c>
      <c r="AZ48" s="292">
        <f t="shared" si="31"/>
        <v>0</v>
      </c>
      <c r="BA48" s="292">
        <f t="shared" si="32"/>
        <v>0</v>
      </c>
      <c r="BB48" s="292">
        <f t="shared" si="33"/>
        <v>0</v>
      </c>
      <c r="BC48" s="292">
        <f t="shared" si="34"/>
        <v>0</v>
      </c>
      <c r="BD48" s="292">
        <f t="shared" si="35"/>
        <v>0</v>
      </c>
      <c r="BE48" s="292">
        <f t="shared" si="36"/>
        <v>0</v>
      </c>
      <c r="BF48" s="292">
        <f t="shared" si="37"/>
        <v>0</v>
      </c>
      <c r="BG48" s="292">
        <f t="shared" si="38"/>
        <v>0</v>
      </c>
    </row>
    <row r="49" spans="1:59" s="289" customFormat="1" ht="15" customHeight="1">
      <c r="A49" s="63">
        <f t="array" ref="A49">IF(C49&lt;&gt;0,SUM(($C$11:C49&lt;&gt;0)*1),"")</f>
        <v>39</v>
      </c>
      <c r="B49" s="1099">
        <v>42390</v>
      </c>
      <c r="C49" s="290" t="s">
        <v>77</v>
      </c>
      <c r="D49" s="1099">
        <v>42390</v>
      </c>
      <c r="E49" s="344" t="s">
        <v>409</v>
      </c>
      <c r="F49" s="345">
        <v>366670</v>
      </c>
      <c r="G49" s="346" t="s">
        <v>10</v>
      </c>
      <c r="H49" s="346" t="s">
        <v>97</v>
      </c>
      <c r="I49" s="63">
        <f t="shared" si="51"/>
        <v>39</v>
      </c>
      <c r="J49" s="292">
        <f t="shared" si="1"/>
        <v>0</v>
      </c>
      <c r="K49" s="292">
        <f t="shared" si="2"/>
        <v>366670</v>
      </c>
      <c r="L49" s="292">
        <f t="shared" si="3"/>
        <v>0</v>
      </c>
      <c r="M49" s="292">
        <f t="shared" si="4"/>
        <v>0</v>
      </c>
      <c r="N49" s="292">
        <f t="shared" si="39"/>
        <v>0</v>
      </c>
      <c r="O49" s="292">
        <f t="shared" si="40"/>
        <v>0</v>
      </c>
      <c r="P49" s="292">
        <f t="shared" si="5"/>
        <v>366670</v>
      </c>
      <c r="Q49" s="292">
        <f t="shared" si="6"/>
        <v>0</v>
      </c>
      <c r="R49" s="292">
        <f t="shared" si="41"/>
        <v>0</v>
      </c>
      <c r="S49" s="292">
        <f t="shared" si="42"/>
        <v>0</v>
      </c>
      <c r="T49" s="292">
        <f t="shared" si="7"/>
        <v>0</v>
      </c>
      <c r="U49" s="292">
        <f t="shared" si="8"/>
        <v>0</v>
      </c>
      <c r="V49" s="292">
        <f t="shared" si="43"/>
        <v>0</v>
      </c>
      <c r="W49" s="292">
        <f t="shared" si="44"/>
        <v>0</v>
      </c>
      <c r="X49" s="292">
        <f t="shared" si="45"/>
        <v>0</v>
      </c>
      <c r="Y49" s="292">
        <f t="shared" si="46"/>
        <v>0</v>
      </c>
      <c r="Z49" s="292">
        <f t="shared" si="47"/>
        <v>0</v>
      </c>
      <c r="AA49" s="292">
        <f t="shared" si="48"/>
        <v>0</v>
      </c>
      <c r="AB49" s="292">
        <f t="shared" si="9"/>
        <v>0</v>
      </c>
      <c r="AC49" s="292">
        <f t="shared" si="10"/>
        <v>0</v>
      </c>
      <c r="AD49" s="292">
        <f t="shared" si="11"/>
        <v>0</v>
      </c>
      <c r="AE49" s="292">
        <f t="shared" si="12"/>
        <v>0</v>
      </c>
      <c r="AF49" s="292">
        <f t="shared" si="13"/>
        <v>0</v>
      </c>
      <c r="AG49" s="292">
        <f t="shared" si="14"/>
        <v>0</v>
      </c>
      <c r="AH49" s="292">
        <f t="shared" si="15"/>
        <v>0</v>
      </c>
      <c r="AI49" s="292">
        <f t="shared" si="16"/>
        <v>0</v>
      </c>
      <c r="AJ49" s="292">
        <f t="shared" si="17"/>
        <v>0</v>
      </c>
      <c r="AK49" s="292">
        <f t="shared" si="18"/>
        <v>0</v>
      </c>
      <c r="AL49" s="292">
        <f t="shared" si="49"/>
        <v>0</v>
      </c>
      <c r="AM49" s="292">
        <f t="shared" si="50"/>
        <v>0</v>
      </c>
      <c r="AN49" s="292">
        <f t="shared" si="19"/>
        <v>0</v>
      </c>
      <c r="AO49" s="292">
        <f t="shared" si="20"/>
        <v>0</v>
      </c>
      <c r="AP49" s="292">
        <f t="shared" si="21"/>
        <v>0</v>
      </c>
      <c r="AQ49" s="292">
        <f t="shared" si="22"/>
        <v>0</v>
      </c>
      <c r="AR49" s="292">
        <f t="shared" si="23"/>
        <v>0</v>
      </c>
      <c r="AS49" s="292">
        <f t="shared" si="24"/>
        <v>0</v>
      </c>
      <c r="AT49" s="292">
        <f t="shared" si="25"/>
        <v>0</v>
      </c>
      <c r="AU49" s="292">
        <f t="shared" si="26"/>
        <v>0</v>
      </c>
      <c r="AV49" s="292">
        <f t="shared" si="27"/>
        <v>0</v>
      </c>
      <c r="AW49" s="292">
        <f t="shared" si="28"/>
        <v>0</v>
      </c>
      <c r="AX49" s="292">
        <f t="shared" si="29"/>
        <v>0</v>
      </c>
      <c r="AY49" s="292">
        <f t="shared" si="30"/>
        <v>0</v>
      </c>
      <c r="AZ49" s="292">
        <f t="shared" si="31"/>
        <v>0</v>
      </c>
      <c r="BA49" s="292">
        <f t="shared" si="32"/>
        <v>0</v>
      </c>
      <c r="BB49" s="292">
        <f t="shared" si="33"/>
        <v>0</v>
      </c>
      <c r="BC49" s="292">
        <f t="shared" si="34"/>
        <v>0</v>
      </c>
      <c r="BD49" s="292">
        <f t="shared" si="35"/>
        <v>0</v>
      </c>
      <c r="BE49" s="292">
        <f t="shared" si="36"/>
        <v>0</v>
      </c>
      <c r="BF49" s="292">
        <f t="shared" si="37"/>
        <v>0</v>
      </c>
      <c r="BG49" s="292">
        <f t="shared" si="38"/>
        <v>0</v>
      </c>
    </row>
    <row r="50" spans="1:59" s="289" customFormat="1" ht="15" customHeight="1">
      <c r="A50" s="63">
        <f t="array" ref="A50">IF(C50&lt;&gt;0,SUM(($C$11:C50&lt;&gt;0)*1),"")</f>
        <v>40</v>
      </c>
      <c r="B50" s="1099">
        <v>42390</v>
      </c>
      <c r="C50" s="290" t="s">
        <v>8</v>
      </c>
      <c r="D50" s="1099">
        <v>42390</v>
      </c>
      <c r="E50" s="344" t="s">
        <v>405</v>
      </c>
      <c r="F50" s="345">
        <v>8187032</v>
      </c>
      <c r="G50" s="346" t="s">
        <v>133</v>
      </c>
      <c r="H50" s="346" t="s">
        <v>31</v>
      </c>
      <c r="I50" s="63">
        <f t="shared" si="51"/>
        <v>40</v>
      </c>
      <c r="J50" s="292">
        <f t="shared" si="1"/>
        <v>0</v>
      </c>
      <c r="K50" s="292">
        <f t="shared" si="2"/>
        <v>0</v>
      </c>
      <c r="L50" s="292">
        <f t="shared" si="3"/>
        <v>0</v>
      </c>
      <c r="M50" s="292">
        <f t="shared" si="4"/>
        <v>8187032</v>
      </c>
      <c r="N50" s="292">
        <f t="shared" si="39"/>
        <v>0</v>
      </c>
      <c r="O50" s="292">
        <f t="shared" si="40"/>
        <v>0</v>
      </c>
      <c r="P50" s="292">
        <f t="shared" si="5"/>
        <v>0</v>
      </c>
      <c r="Q50" s="292">
        <f t="shared" si="6"/>
        <v>0</v>
      </c>
      <c r="R50" s="292">
        <f t="shared" si="41"/>
        <v>0</v>
      </c>
      <c r="S50" s="292">
        <f t="shared" si="42"/>
        <v>0</v>
      </c>
      <c r="T50" s="292">
        <f t="shared" si="7"/>
        <v>0</v>
      </c>
      <c r="U50" s="292">
        <f t="shared" si="8"/>
        <v>0</v>
      </c>
      <c r="V50" s="292">
        <f t="shared" si="43"/>
        <v>0</v>
      </c>
      <c r="W50" s="292">
        <f t="shared" si="44"/>
        <v>0</v>
      </c>
      <c r="X50" s="292">
        <f t="shared" si="45"/>
        <v>0</v>
      </c>
      <c r="Y50" s="292">
        <f t="shared" si="46"/>
        <v>0</v>
      </c>
      <c r="Z50" s="292">
        <f t="shared" si="47"/>
        <v>0</v>
      </c>
      <c r="AA50" s="292">
        <f t="shared" si="48"/>
        <v>0</v>
      </c>
      <c r="AB50" s="292">
        <f t="shared" si="9"/>
        <v>0</v>
      </c>
      <c r="AC50" s="292">
        <f t="shared" si="10"/>
        <v>0</v>
      </c>
      <c r="AD50" s="292">
        <f t="shared" si="11"/>
        <v>0</v>
      </c>
      <c r="AE50" s="292">
        <f t="shared" si="12"/>
        <v>0</v>
      </c>
      <c r="AF50" s="292">
        <f t="shared" si="13"/>
        <v>0</v>
      </c>
      <c r="AG50" s="292">
        <f t="shared" si="14"/>
        <v>0</v>
      </c>
      <c r="AH50" s="292">
        <f t="shared" si="15"/>
        <v>0</v>
      </c>
      <c r="AI50" s="292">
        <f t="shared" si="16"/>
        <v>0</v>
      </c>
      <c r="AJ50" s="292">
        <f t="shared" si="17"/>
        <v>0</v>
      </c>
      <c r="AK50" s="292">
        <f t="shared" si="18"/>
        <v>0</v>
      </c>
      <c r="AL50" s="292">
        <f t="shared" si="49"/>
        <v>0</v>
      </c>
      <c r="AM50" s="292">
        <f t="shared" si="50"/>
        <v>0</v>
      </c>
      <c r="AN50" s="292">
        <f t="shared" si="19"/>
        <v>0</v>
      </c>
      <c r="AO50" s="292">
        <f t="shared" si="20"/>
        <v>0</v>
      </c>
      <c r="AP50" s="292">
        <f t="shared" si="21"/>
        <v>0</v>
      </c>
      <c r="AQ50" s="292">
        <f t="shared" si="22"/>
        <v>0</v>
      </c>
      <c r="AR50" s="292">
        <f t="shared" si="23"/>
        <v>0</v>
      </c>
      <c r="AS50" s="292">
        <f t="shared" si="24"/>
        <v>0</v>
      </c>
      <c r="AT50" s="292">
        <f t="shared" si="25"/>
        <v>0</v>
      </c>
      <c r="AU50" s="292">
        <f t="shared" si="26"/>
        <v>0</v>
      </c>
      <c r="AV50" s="292">
        <f t="shared" si="27"/>
        <v>8187032</v>
      </c>
      <c r="AW50" s="292">
        <f t="shared" si="28"/>
        <v>0</v>
      </c>
      <c r="AX50" s="292">
        <f t="shared" si="29"/>
        <v>0</v>
      </c>
      <c r="AY50" s="292">
        <f t="shared" si="30"/>
        <v>0</v>
      </c>
      <c r="AZ50" s="292">
        <f t="shared" si="31"/>
        <v>0</v>
      </c>
      <c r="BA50" s="292">
        <f t="shared" si="32"/>
        <v>0</v>
      </c>
      <c r="BB50" s="292">
        <f t="shared" si="33"/>
        <v>0</v>
      </c>
      <c r="BC50" s="292">
        <f t="shared" si="34"/>
        <v>0</v>
      </c>
      <c r="BD50" s="292">
        <f t="shared" si="35"/>
        <v>0</v>
      </c>
      <c r="BE50" s="292">
        <f t="shared" si="36"/>
        <v>0</v>
      </c>
      <c r="BF50" s="292">
        <f t="shared" si="37"/>
        <v>0</v>
      </c>
      <c r="BG50" s="292">
        <f t="shared" si="38"/>
        <v>0</v>
      </c>
    </row>
    <row r="51" spans="1:59" s="289" customFormat="1" ht="15" customHeight="1">
      <c r="A51" s="63">
        <f t="array" ref="A51">IF(C51&lt;&gt;0,SUM(($C$11:C51&lt;&gt;0)*1),"")</f>
        <v>41</v>
      </c>
      <c r="B51" s="1099">
        <v>42390</v>
      </c>
      <c r="C51" s="290" t="s">
        <v>8</v>
      </c>
      <c r="D51" s="1099">
        <v>42390</v>
      </c>
      <c r="E51" s="344" t="s">
        <v>405</v>
      </c>
      <c r="F51" s="345">
        <v>16374064</v>
      </c>
      <c r="G51" s="346" t="s">
        <v>133</v>
      </c>
      <c r="H51" s="346" t="s">
        <v>31</v>
      </c>
      <c r="I51" s="63">
        <f t="shared" si="51"/>
        <v>41</v>
      </c>
      <c r="J51" s="292">
        <f t="shared" si="1"/>
        <v>0</v>
      </c>
      <c r="K51" s="292">
        <f t="shared" si="2"/>
        <v>0</v>
      </c>
      <c r="L51" s="292">
        <f t="shared" si="3"/>
        <v>0</v>
      </c>
      <c r="M51" s="292">
        <f t="shared" si="4"/>
        <v>16374064</v>
      </c>
      <c r="N51" s="292">
        <f t="shared" si="39"/>
        <v>0</v>
      </c>
      <c r="O51" s="292">
        <f t="shared" si="40"/>
        <v>0</v>
      </c>
      <c r="P51" s="292">
        <f t="shared" si="5"/>
        <v>0</v>
      </c>
      <c r="Q51" s="292">
        <f t="shared" si="6"/>
        <v>0</v>
      </c>
      <c r="R51" s="292">
        <f t="shared" si="41"/>
        <v>0</v>
      </c>
      <c r="S51" s="292">
        <f t="shared" si="42"/>
        <v>0</v>
      </c>
      <c r="T51" s="292">
        <f t="shared" si="7"/>
        <v>0</v>
      </c>
      <c r="U51" s="292">
        <f t="shared" si="8"/>
        <v>0</v>
      </c>
      <c r="V51" s="292">
        <f t="shared" si="43"/>
        <v>0</v>
      </c>
      <c r="W51" s="292">
        <f t="shared" si="44"/>
        <v>0</v>
      </c>
      <c r="X51" s="292">
        <f t="shared" si="45"/>
        <v>0</v>
      </c>
      <c r="Y51" s="292">
        <f t="shared" si="46"/>
        <v>0</v>
      </c>
      <c r="Z51" s="292">
        <f t="shared" si="47"/>
        <v>0</v>
      </c>
      <c r="AA51" s="292">
        <f t="shared" si="48"/>
        <v>0</v>
      </c>
      <c r="AB51" s="292">
        <f t="shared" si="9"/>
        <v>0</v>
      </c>
      <c r="AC51" s="292">
        <f t="shared" si="10"/>
        <v>0</v>
      </c>
      <c r="AD51" s="292">
        <f t="shared" si="11"/>
        <v>0</v>
      </c>
      <c r="AE51" s="292">
        <f t="shared" si="12"/>
        <v>0</v>
      </c>
      <c r="AF51" s="292">
        <f t="shared" si="13"/>
        <v>0</v>
      </c>
      <c r="AG51" s="292">
        <f t="shared" si="14"/>
        <v>0</v>
      </c>
      <c r="AH51" s="292">
        <f t="shared" si="15"/>
        <v>0</v>
      </c>
      <c r="AI51" s="292">
        <f t="shared" si="16"/>
        <v>0</v>
      </c>
      <c r="AJ51" s="292">
        <f t="shared" si="17"/>
        <v>0</v>
      </c>
      <c r="AK51" s="292">
        <f t="shared" si="18"/>
        <v>0</v>
      </c>
      <c r="AL51" s="292">
        <f t="shared" si="49"/>
        <v>0</v>
      </c>
      <c r="AM51" s="292">
        <f t="shared" si="50"/>
        <v>0</v>
      </c>
      <c r="AN51" s="292">
        <f t="shared" si="19"/>
        <v>0</v>
      </c>
      <c r="AO51" s="292">
        <f t="shared" si="20"/>
        <v>0</v>
      </c>
      <c r="AP51" s="292">
        <f t="shared" si="21"/>
        <v>0</v>
      </c>
      <c r="AQ51" s="292">
        <f t="shared" si="22"/>
        <v>0</v>
      </c>
      <c r="AR51" s="292">
        <f t="shared" si="23"/>
        <v>0</v>
      </c>
      <c r="AS51" s="292">
        <f t="shared" si="24"/>
        <v>0</v>
      </c>
      <c r="AT51" s="292">
        <f t="shared" si="25"/>
        <v>0</v>
      </c>
      <c r="AU51" s="292">
        <f t="shared" si="26"/>
        <v>0</v>
      </c>
      <c r="AV51" s="292">
        <f t="shared" si="27"/>
        <v>16374064</v>
      </c>
      <c r="AW51" s="292">
        <f t="shared" si="28"/>
        <v>0</v>
      </c>
      <c r="AX51" s="292">
        <f t="shared" si="29"/>
        <v>0</v>
      </c>
      <c r="AY51" s="292">
        <f t="shared" si="30"/>
        <v>0</v>
      </c>
      <c r="AZ51" s="292">
        <f t="shared" si="31"/>
        <v>0</v>
      </c>
      <c r="BA51" s="292">
        <f t="shared" si="32"/>
        <v>0</v>
      </c>
      <c r="BB51" s="292">
        <f t="shared" si="33"/>
        <v>0</v>
      </c>
      <c r="BC51" s="292">
        <f t="shared" si="34"/>
        <v>0</v>
      </c>
      <c r="BD51" s="292">
        <f t="shared" si="35"/>
        <v>0</v>
      </c>
      <c r="BE51" s="292">
        <f t="shared" si="36"/>
        <v>0</v>
      </c>
      <c r="BF51" s="292">
        <f t="shared" si="37"/>
        <v>0</v>
      </c>
      <c r="BG51" s="292">
        <f t="shared" si="38"/>
        <v>0</v>
      </c>
    </row>
    <row r="52" spans="1:59" s="289" customFormat="1" ht="15" customHeight="1">
      <c r="A52" s="63">
        <f t="array" ref="A52">IF(C52&lt;&gt;0,SUM(($C$11:C52&lt;&gt;0)*1),"")</f>
        <v>42</v>
      </c>
      <c r="B52" s="1099">
        <v>42391</v>
      </c>
      <c r="C52" s="290" t="s">
        <v>78</v>
      </c>
      <c r="D52" s="1099">
        <v>42391</v>
      </c>
      <c r="E52" s="344" t="s">
        <v>410</v>
      </c>
      <c r="F52" s="345">
        <v>170000000</v>
      </c>
      <c r="G52" s="346" t="s">
        <v>31</v>
      </c>
      <c r="H52" s="346" t="s">
        <v>97</v>
      </c>
      <c r="I52" s="63">
        <f t="shared" si="51"/>
        <v>42</v>
      </c>
      <c r="J52" s="292">
        <f t="shared" si="1"/>
        <v>0</v>
      </c>
      <c r="K52" s="292">
        <f t="shared" si="2"/>
        <v>170000000</v>
      </c>
      <c r="L52" s="292">
        <f t="shared" si="3"/>
        <v>170000000</v>
      </c>
      <c r="M52" s="292">
        <f t="shared" si="4"/>
        <v>0</v>
      </c>
      <c r="N52" s="292">
        <f t="shared" si="39"/>
        <v>0</v>
      </c>
      <c r="O52" s="292">
        <f t="shared" si="40"/>
        <v>0</v>
      </c>
      <c r="P52" s="292">
        <f t="shared" si="5"/>
        <v>0</v>
      </c>
      <c r="Q52" s="292">
        <f t="shared" si="6"/>
        <v>0</v>
      </c>
      <c r="R52" s="292">
        <f t="shared" si="41"/>
        <v>0</v>
      </c>
      <c r="S52" s="292">
        <f t="shared" si="42"/>
        <v>0</v>
      </c>
      <c r="T52" s="292">
        <f t="shared" si="7"/>
        <v>0</v>
      </c>
      <c r="U52" s="292">
        <f t="shared" si="8"/>
        <v>0</v>
      </c>
      <c r="V52" s="292">
        <f t="shared" si="43"/>
        <v>0</v>
      </c>
      <c r="W52" s="292">
        <f t="shared" si="44"/>
        <v>0</v>
      </c>
      <c r="X52" s="292">
        <f t="shared" si="45"/>
        <v>0</v>
      </c>
      <c r="Y52" s="292">
        <f t="shared" si="46"/>
        <v>0</v>
      </c>
      <c r="Z52" s="292">
        <f t="shared" si="47"/>
        <v>0</v>
      </c>
      <c r="AA52" s="292">
        <f t="shared" si="48"/>
        <v>0</v>
      </c>
      <c r="AB52" s="292">
        <f t="shared" si="9"/>
        <v>0</v>
      </c>
      <c r="AC52" s="292">
        <f t="shared" si="10"/>
        <v>0</v>
      </c>
      <c r="AD52" s="292">
        <f t="shared" si="11"/>
        <v>0</v>
      </c>
      <c r="AE52" s="292">
        <f t="shared" si="12"/>
        <v>0</v>
      </c>
      <c r="AF52" s="292">
        <f t="shared" si="13"/>
        <v>0</v>
      </c>
      <c r="AG52" s="292">
        <f t="shared" si="14"/>
        <v>0</v>
      </c>
      <c r="AH52" s="292">
        <f t="shared" si="15"/>
        <v>0</v>
      </c>
      <c r="AI52" s="292">
        <f t="shared" si="16"/>
        <v>0</v>
      </c>
      <c r="AJ52" s="292">
        <f t="shared" si="17"/>
        <v>0</v>
      </c>
      <c r="AK52" s="292">
        <f t="shared" si="18"/>
        <v>0</v>
      </c>
      <c r="AL52" s="292">
        <f t="shared" si="49"/>
        <v>0</v>
      </c>
      <c r="AM52" s="292">
        <f t="shared" si="50"/>
        <v>0</v>
      </c>
      <c r="AN52" s="292">
        <f t="shared" si="19"/>
        <v>0</v>
      </c>
      <c r="AO52" s="292">
        <f t="shared" si="20"/>
        <v>0</v>
      </c>
      <c r="AP52" s="292">
        <f t="shared" si="21"/>
        <v>0</v>
      </c>
      <c r="AQ52" s="292">
        <f t="shared" si="22"/>
        <v>0</v>
      </c>
      <c r="AR52" s="292">
        <f t="shared" si="23"/>
        <v>0</v>
      </c>
      <c r="AS52" s="292">
        <f t="shared" si="24"/>
        <v>0</v>
      </c>
      <c r="AT52" s="292">
        <f t="shared" si="25"/>
        <v>0</v>
      </c>
      <c r="AU52" s="292">
        <f t="shared" si="26"/>
        <v>0</v>
      </c>
      <c r="AV52" s="292">
        <f t="shared" si="27"/>
        <v>0</v>
      </c>
      <c r="AW52" s="292">
        <f t="shared" si="28"/>
        <v>0</v>
      </c>
      <c r="AX52" s="292">
        <f t="shared" si="29"/>
        <v>0</v>
      </c>
      <c r="AY52" s="292">
        <f t="shared" si="30"/>
        <v>0</v>
      </c>
      <c r="AZ52" s="292">
        <f t="shared" si="31"/>
        <v>0</v>
      </c>
      <c r="BA52" s="292">
        <f t="shared" si="32"/>
        <v>0</v>
      </c>
      <c r="BB52" s="292">
        <f t="shared" si="33"/>
        <v>0</v>
      </c>
      <c r="BC52" s="292">
        <f t="shared" si="34"/>
        <v>0</v>
      </c>
      <c r="BD52" s="292">
        <f t="shared" si="35"/>
        <v>0</v>
      </c>
      <c r="BE52" s="292">
        <f t="shared" si="36"/>
        <v>0</v>
      </c>
      <c r="BF52" s="292">
        <f t="shared" si="37"/>
        <v>0</v>
      </c>
      <c r="BG52" s="292">
        <f t="shared" si="38"/>
        <v>0</v>
      </c>
    </row>
    <row r="53" spans="1:59" s="289" customFormat="1" ht="15" customHeight="1">
      <c r="A53" s="63">
        <f t="array" ref="A53">IF(C53&lt;&gt;0,SUM(($C$11:C53&lt;&gt;0)*1),"")</f>
        <v>43</v>
      </c>
      <c r="B53" s="1099">
        <v>42391</v>
      </c>
      <c r="C53" s="290" t="s">
        <v>79</v>
      </c>
      <c r="D53" s="1099">
        <v>42391</v>
      </c>
      <c r="E53" s="344" t="s">
        <v>411</v>
      </c>
      <c r="F53" s="345">
        <v>3195000</v>
      </c>
      <c r="G53" s="346" t="s">
        <v>242</v>
      </c>
      <c r="H53" s="346" t="s">
        <v>97</v>
      </c>
      <c r="I53" s="63">
        <f t="shared" si="51"/>
        <v>43</v>
      </c>
      <c r="J53" s="292">
        <f t="shared" si="1"/>
        <v>0</v>
      </c>
      <c r="K53" s="292">
        <f t="shared" si="2"/>
        <v>3195000</v>
      </c>
      <c r="L53" s="292">
        <f t="shared" si="3"/>
        <v>0</v>
      </c>
      <c r="M53" s="292">
        <f t="shared" si="4"/>
        <v>0</v>
      </c>
      <c r="N53" s="292">
        <f t="shared" si="39"/>
        <v>0</v>
      </c>
      <c r="O53" s="292">
        <f t="shared" si="40"/>
        <v>0</v>
      </c>
      <c r="P53" s="292">
        <f t="shared" si="5"/>
        <v>0</v>
      </c>
      <c r="Q53" s="292">
        <f t="shared" si="6"/>
        <v>0</v>
      </c>
      <c r="R53" s="292">
        <f t="shared" si="41"/>
        <v>0</v>
      </c>
      <c r="S53" s="292">
        <f t="shared" si="42"/>
        <v>0</v>
      </c>
      <c r="T53" s="292">
        <f t="shared" si="7"/>
        <v>0</v>
      </c>
      <c r="U53" s="292">
        <f t="shared" si="8"/>
        <v>0</v>
      </c>
      <c r="V53" s="292">
        <f t="shared" si="43"/>
        <v>0</v>
      </c>
      <c r="W53" s="292">
        <f t="shared" si="44"/>
        <v>0</v>
      </c>
      <c r="X53" s="292">
        <f t="shared" si="45"/>
        <v>0</v>
      </c>
      <c r="Y53" s="292">
        <f t="shared" si="46"/>
        <v>0</v>
      </c>
      <c r="Z53" s="292">
        <f t="shared" si="47"/>
        <v>3195000</v>
      </c>
      <c r="AA53" s="292">
        <f t="shared" si="48"/>
        <v>0</v>
      </c>
      <c r="AB53" s="292">
        <f t="shared" si="9"/>
        <v>0</v>
      </c>
      <c r="AC53" s="292">
        <f t="shared" si="10"/>
        <v>0</v>
      </c>
      <c r="AD53" s="292">
        <f t="shared" si="11"/>
        <v>0</v>
      </c>
      <c r="AE53" s="292">
        <f t="shared" si="12"/>
        <v>0</v>
      </c>
      <c r="AF53" s="292">
        <f t="shared" si="13"/>
        <v>0</v>
      </c>
      <c r="AG53" s="292">
        <f t="shared" si="14"/>
        <v>0</v>
      </c>
      <c r="AH53" s="292">
        <f t="shared" si="15"/>
        <v>0</v>
      </c>
      <c r="AI53" s="292">
        <f t="shared" si="16"/>
        <v>0</v>
      </c>
      <c r="AJ53" s="292">
        <f t="shared" si="17"/>
        <v>0</v>
      </c>
      <c r="AK53" s="292">
        <f t="shared" si="18"/>
        <v>0</v>
      </c>
      <c r="AL53" s="292">
        <f t="shared" si="49"/>
        <v>0</v>
      </c>
      <c r="AM53" s="292">
        <f t="shared" si="50"/>
        <v>0</v>
      </c>
      <c r="AN53" s="292">
        <f t="shared" si="19"/>
        <v>0</v>
      </c>
      <c r="AO53" s="292">
        <f t="shared" si="20"/>
        <v>0</v>
      </c>
      <c r="AP53" s="292">
        <f t="shared" si="21"/>
        <v>0</v>
      </c>
      <c r="AQ53" s="292">
        <f t="shared" si="22"/>
        <v>0</v>
      </c>
      <c r="AR53" s="292">
        <f t="shared" si="23"/>
        <v>0</v>
      </c>
      <c r="AS53" s="292">
        <f t="shared" si="24"/>
        <v>0</v>
      </c>
      <c r="AT53" s="292">
        <f t="shared" si="25"/>
        <v>0</v>
      </c>
      <c r="AU53" s="292">
        <f t="shared" si="26"/>
        <v>0</v>
      </c>
      <c r="AV53" s="292">
        <f t="shared" si="27"/>
        <v>0</v>
      </c>
      <c r="AW53" s="292">
        <f t="shared" si="28"/>
        <v>0</v>
      </c>
      <c r="AX53" s="292">
        <f t="shared" si="29"/>
        <v>0</v>
      </c>
      <c r="AY53" s="292">
        <f t="shared" si="30"/>
        <v>0</v>
      </c>
      <c r="AZ53" s="292">
        <f t="shared" si="31"/>
        <v>0</v>
      </c>
      <c r="BA53" s="292">
        <f t="shared" si="32"/>
        <v>0</v>
      </c>
      <c r="BB53" s="292">
        <f t="shared" si="33"/>
        <v>0</v>
      </c>
      <c r="BC53" s="292">
        <f t="shared" si="34"/>
        <v>0</v>
      </c>
      <c r="BD53" s="292">
        <f t="shared" si="35"/>
        <v>0</v>
      </c>
      <c r="BE53" s="292">
        <f t="shared" si="36"/>
        <v>0</v>
      </c>
      <c r="BF53" s="292">
        <f t="shared" si="37"/>
        <v>0</v>
      </c>
      <c r="BG53" s="292">
        <f t="shared" si="38"/>
        <v>0</v>
      </c>
    </row>
    <row r="54" spans="1:59" s="289" customFormat="1" ht="15" customHeight="1">
      <c r="A54" s="63">
        <f t="array" ref="A54">IF(C54&lt;&gt;0,SUM(($C$11:C54&lt;&gt;0)*1),"")</f>
        <v>44</v>
      </c>
      <c r="B54" s="1099">
        <v>42391</v>
      </c>
      <c r="C54" s="290" t="s">
        <v>8</v>
      </c>
      <c r="D54" s="1099">
        <v>42391</v>
      </c>
      <c r="E54" s="344" t="s">
        <v>405</v>
      </c>
      <c r="F54" s="345">
        <v>13104432</v>
      </c>
      <c r="G54" s="346" t="s">
        <v>133</v>
      </c>
      <c r="H54" s="346" t="s">
        <v>31</v>
      </c>
      <c r="I54" s="63">
        <f t="shared" si="51"/>
        <v>44</v>
      </c>
      <c r="J54" s="292">
        <f t="shared" si="1"/>
        <v>0</v>
      </c>
      <c r="K54" s="292">
        <f t="shared" si="2"/>
        <v>0</v>
      </c>
      <c r="L54" s="292">
        <f t="shared" si="3"/>
        <v>0</v>
      </c>
      <c r="M54" s="292">
        <f t="shared" si="4"/>
        <v>13104432</v>
      </c>
      <c r="N54" s="292">
        <f t="shared" si="39"/>
        <v>0</v>
      </c>
      <c r="O54" s="292">
        <f t="shared" si="40"/>
        <v>0</v>
      </c>
      <c r="P54" s="292">
        <f t="shared" si="5"/>
        <v>0</v>
      </c>
      <c r="Q54" s="292">
        <f t="shared" si="6"/>
        <v>0</v>
      </c>
      <c r="R54" s="292">
        <f t="shared" si="41"/>
        <v>0</v>
      </c>
      <c r="S54" s="292">
        <f t="shared" si="42"/>
        <v>0</v>
      </c>
      <c r="T54" s="292">
        <f t="shared" si="7"/>
        <v>0</v>
      </c>
      <c r="U54" s="292">
        <f t="shared" si="8"/>
        <v>0</v>
      </c>
      <c r="V54" s="292">
        <f t="shared" si="43"/>
        <v>0</v>
      </c>
      <c r="W54" s="292">
        <f t="shared" si="44"/>
        <v>0</v>
      </c>
      <c r="X54" s="292">
        <f t="shared" si="45"/>
        <v>0</v>
      </c>
      <c r="Y54" s="292">
        <f t="shared" si="46"/>
        <v>0</v>
      </c>
      <c r="Z54" s="292">
        <f t="shared" si="47"/>
        <v>0</v>
      </c>
      <c r="AA54" s="292">
        <f t="shared" si="48"/>
        <v>0</v>
      </c>
      <c r="AB54" s="292">
        <f t="shared" si="9"/>
        <v>0</v>
      </c>
      <c r="AC54" s="292">
        <f t="shared" si="10"/>
        <v>0</v>
      </c>
      <c r="AD54" s="292">
        <f t="shared" si="11"/>
        <v>0</v>
      </c>
      <c r="AE54" s="292">
        <f t="shared" si="12"/>
        <v>0</v>
      </c>
      <c r="AF54" s="292">
        <f t="shared" si="13"/>
        <v>0</v>
      </c>
      <c r="AG54" s="292">
        <f t="shared" si="14"/>
        <v>0</v>
      </c>
      <c r="AH54" s="292">
        <f t="shared" si="15"/>
        <v>0</v>
      </c>
      <c r="AI54" s="292">
        <f t="shared" si="16"/>
        <v>0</v>
      </c>
      <c r="AJ54" s="292">
        <f t="shared" si="17"/>
        <v>0</v>
      </c>
      <c r="AK54" s="292">
        <f t="shared" si="18"/>
        <v>0</v>
      </c>
      <c r="AL54" s="292">
        <f t="shared" si="49"/>
        <v>0</v>
      </c>
      <c r="AM54" s="292">
        <f t="shared" si="50"/>
        <v>0</v>
      </c>
      <c r="AN54" s="292">
        <f t="shared" si="19"/>
        <v>0</v>
      </c>
      <c r="AO54" s="292">
        <f t="shared" si="20"/>
        <v>0</v>
      </c>
      <c r="AP54" s="292">
        <f t="shared" si="21"/>
        <v>0</v>
      </c>
      <c r="AQ54" s="292">
        <f t="shared" si="22"/>
        <v>0</v>
      </c>
      <c r="AR54" s="292">
        <f t="shared" si="23"/>
        <v>0</v>
      </c>
      <c r="AS54" s="292">
        <f t="shared" si="24"/>
        <v>0</v>
      </c>
      <c r="AT54" s="292">
        <f t="shared" si="25"/>
        <v>0</v>
      </c>
      <c r="AU54" s="292">
        <f t="shared" si="26"/>
        <v>0</v>
      </c>
      <c r="AV54" s="292">
        <f t="shared" si="27"/>
        <v>13104432</v>
      </c>
      <c r="AW54" s="292">
        <f t="shared" si="28"/>
        <v>0</v>
      </c>
      <c r="AX54" s="292">
        <f t="shared" si="29"/>
        <v>0</v>
      </c>
      <c r="AY54" s="292">
        <f t="shared" si="30"/>
        <v>0</v>
      </c>
      <c r="AZ54" s="292">
        <f t="shared" si="31"/>
        <v>0</v>
      </c>
      <c r="BA54" s="292">
        <f t="shared" si="32"/>
        <v>0</v>
      </c>
      <c r="BB54" s="292">
        <f t="shared" si="33"/>
        <v>0</v>
      </c>
      <c r="BC54" s="292">
        <f t="shared" si="34"/>
        <v>0</v>
      </c>
      <c r="BD54" s="292">
        <f t="shared" si="35"/>
        <v>0</v>
      </c>
      <c r="BE54" s="292">
        <f t="shared" si="36"/>
        <v>0</v>
      </c>
      <c r="BF54" s="292">
        <f t="shared" si="37"/>
        <v>0</v>
      </c>
      <c r="BG54" s="292">
        <f t="shared" si="38"/>
        <v>0</v>
      </c>
    </row>
    <row r="55" spans="1:59" s="289" customFormat="1" ht="15" customHeight="1">
      <c r="A55" s="63">
        <f t="array" ref="A55">IF(C55&lt;&gt;0,SUM(($C$11:C55&lt;&gt;0)*1),"")</f>
        <v>45</v>
      </c>
      <c r="B55" s="1099">
        <v>42391</v>
      </c>
      <c r="C55" s="290" t="s">
        <v>8</v>
      </c>
      <c r="D55" s="1099">
        <v>42391</v>
      </c>
      <c r="E55" s="344" t="s">
        <v>405</v>
      </c>
      <c r="F55" s="345">
        <v>12285405</v>
      </c>
      <c r="G55" s="346" t="s">
        <v>133</v>
      </c>
      <c r="H55" s="346" t="s">
        <v>31</v>
      </c>
      <c r="I55" s="63">
        <f t="shared" si="51"/>
        <v>45</v>
      </c>
      <c r="J55" s="292">
        <f t="shared" si="1"/>
        <v>0</v>
      </c>
      <c r="K55" s="292">
        <f t="shared" si="2"/>
        <v>0</v>
      </c>
      <c r="L55" s="292">
        <f t="shared" si="3"/>
        <v>0</v>
      </c>
      <c r="M55" s="292">
        <f t="shared" si="4"/>
        <v>12285405</v>
      </c>
      <c r="N55" s="292">
        <f t="shared" si="39"/>
        <v>0</v>
      </c>
      <c r="O55" s="292">
        <f t="shared" si="40"/>
        <v>0</v>
      </c>
      <c r="P55" s="292">
        <f t="shared" si="5"/>
        <v>0</v>
      </c>
      <c r="Q55" s="292">
        <f t="shared" si="6"/>
        <v>0</v>
      </c>
      <c r="R55" s="292">
        <f t="shared" si="41"/>
        <v>0</v>
      </c>
      <c r="S55" s="292">
        <f t="shared" si="42"/>
        <v>0</v>
      </c>
      <c r="T55" s="292">
        <f t="shared" si="7"/>
        <v>0</v>
      </c>
      <c r="U55" s="292">
        <f t="shared" si="8"/>
        <v>0</v>
      </c>
      <c r="V55" s="292">
        <f t="shared" si="43"/>
        <v>0</v>
      </c>
      <c r="W55" s="292">
        <f t="shared" si="44"/>
        <v>0</v>
      </c>
      <c r="X55" s="292">
        <f t="shared" si="45"/>
        <v>0</v>
      </c>
      <c r="Y55" s="292">
        <f t="shared" si="46"/>
        <v>0</v>
      </c>
      <c r="Z55" s="292">
        <f t="shared" si="47"/>
        <v>0</v>
      </c>
      <c r="AA55" s="292">
        <f t="shared" si="48"/>
        <v>0</v>
      </c>
      <c r="AB55" s="292">
        <f t="shared" si="9"/>
        <v>0</v>
      </c>
      <c r="AC55" s="292">
        <f t="shared" si="10"/>
        <v>0</v>
      </c>
      <c r="AD55" s="292">
        <f t="shared" si="11"/>
        <v>0</v>
      </c>
      <c r="AE55" s="292">
        <f t="shared" si="12"/>
        <v>0</v>
      </c>
      <c r="AF55" s="292">
        <f t="shared" si="13"/>
        <v>0</v>
      </c>
      <c r="AG55" s="292">
        <f t="shared" si="14"/>
        <v>0</v>
      </c>
      <c r="AH55" s="292">
        <f t="shared" si="15"/>
        <v>0</v>
      </c>
      <c r="AI55" s="292">
        <f t="shared" si="16"/>
        <v>0</v>
      </c>
      <c r="AJ55" s="292">
        <f t="shared" si="17"/>
        <v>0</v>
      </c>
      <c r="AK55" s="292">
        <f t="shared" si="18"/>
        <v>0</v>
      </c>
      <c r="AL55" s="292">
        <f t="shared" si="49"/>
        <v>0</v>
      </c>
      <c r="AM55" s="292">
        <f t="shared" si="50"/>
        <v>0</v>
      </c>
      <c r="AN55" s="292">
        <f t="shared" si="19"/>
        <v>0</v>
      </c>
      <c r="AO55" s="292">
        <f t="shared" si="20"/>
        <v>0</v>
      </c>
      <c r="AP55" s="292">
        <f t="shared" si="21"/>
        <v>0</v>
      </c>
      <c r="AQ55" s="292">
        <f t="shared" si="22"/>
        <v>0</v>
      </c>
      <c r="AR55" s="292">
        <f t="shared" si="23"/>
        <v>0</v>
      </c>
      <c r="AS55" s="292">
        <f t="shared" si="24"/>
        <v>0</v>
      </c>
      <c r="AT55" s="292">
        <f t="shared" si="25"/>
        <v>0</v>
      </c>
      <c r="AU55" s="292">
        <f t="shared" si="26"/>
        <v>0</v>
      </c>
      <c r="AV55" s="292">
        <f t="shared" si="27"/>
        <v>12285405</v>
      </c>
      <c r="AW55" s="292">
        <f t="shared" si="28"/>
        <v>0</v>
      </c>
      <c r="AX55" s="292">
        <f t="shared" si="29"/>
        <v>0</v>
      </c>
      <c r="AY55" s="292">
        <f t="shared" si="30"/>
        <v>0</v>
      </c>
      <c r="AZ55" s="292">
        <f t="shared" si="31"/>
        <v>0</v>
      </c>
      <c r="BA55" s="292">
        <f t="shared" si="32"/>
        <v>0</v>
      </c>
      <c r="BB55" s="292">
        <f t="shared" si="33"/>
        <v>0</v>
      </c>
      <c r="BC55" s="292">
        <f t="shared" si="34"/>
        <v>0</v>
      </c>
      <c r="BD55" s="292">
        <f t="shared" si="35"/>
        <v>0</v>
      </c>
      <c r="BE55" s="292">
        <f t="shared" si="36"/>
        <v>0</v>
      </c>
      <c r="BF55" s="292">
        <f t="shared" si="37"/>
        <v>0</v>
      </c>
      <c r="BG55" s="292">
        <f t="shared" si="38"/>
        <v>0</v>
      </c>
    </row>
    <row r="56" spans="1:59" s="289" customFormat="1" ht="15" customHeight="1">
      <c r="A56" s="63">
        <f t="array" ref="A56">IF(C56&lt;&gt;0,SUM(($C$11:C56&lt;&gt;0)*1),"")</f>
        <v>46</v>
      </c>
      <c r="B56" s="1099">
        <v>42391</v>
      </c>
      <c r="C56" s="290" t="s">
        <v>8</v>
      </c>
      <c r="D56" s="1099">
        <v>42391</v>
      </c>
      <c r="E56" s="344" t="s">
        <v>405</v>
      </c>
      <c r="F56" s="345">
        <v>8190270</v>
      </c>
      <c r="G56" s="346" t="s">
        <v>133</v>
      </c>
      <c r="H56" s="346" t="s">
        <v>31</v>
      </c>
      <c r="I56" s="63">
        <f t="shared" si="51"/>
        <v>46</v>
      </c>
      <c r="J56" s="292">
        <f t="shared" si="1"/>
        <v>0</v>
      </c>
      <c r="K56" s="292">
        <f t="shared" si="2"/>
        <v>0</v>
      </c>
      <c r="L56" s="292">
        <f t="shared" si="3"/>
        <v>0</v>
      </c>
      <c r="M56" s="292">
        <f t="shared" si="4"/>
        <v>8190270</v>
      </c>
      <c r="N56" s="292">
        <f t="shared" si="39"/>
        <v>0</v>
      </c>
      <c r="O56" s="292">
        <f t="shared" si="40"/>
        <v>0</v>
      </c>
      <c r="P56" s="292">
        <f t="shared" si="5"/>
        <v>0</v>
      </c>
      <c r="Q56" s="292">
        <f t="shared" si="6"/>
        <v>0</v>
      </c>
      <c r="R56" s="292">
        <f t="shared" si="41"/>
        <v>0</v>
      </c>
      <c r="S56" s="292">
        <f t="shared" si="42"/>
        <v>0</v>
      </c>
      <c r="T56" s="292">
        <f t="shared" si="7"/>
        <v>0</v>
      </c>
      <c r="U56" s="292">
        <f t="shared" si="8"/>
        <v>0</v>
      </c>
      <c r="V56" s="292">
        <f t="shared" si="43"/>
        <v>0</v>
      </c>
      <c r="W56" s="292">
        <f t="shared" si="44"/>
        <v>0</v>
      </c>
      <c r="X56" s="292">
        <f t="shared" si="45"/>
        <v>0</v>
      </c>
      <c r="Y56" s="292">
        <f t="shared" si="46"/>
        <v>0</v>
      </c>
      <c r="Z56" s="292">
        <f t="shared" si="47"/>
        <v>0</v>
      </c>
      <c r="AA56" s="292">
        <f t="shared" si="48"/>
        <v>0</v>
      </c>
      <c r="AB56" s="292">
        <f t="shared" si="9"/>
        <v>0</v>
      </c>
      <c r="AC56" s="292">
        <f t="shared" si="10"/>
        <v>0</v>
      </c>
      <c r="AD56" s="292">
        <f t="shared" si="11"/>
        <v>0</v>
      </c>
      <c r="AE56" s="292">
        <f t="shared" si="12"/>
        <v>0</v>
      </c>
      <c r="AF56" s="292">
        <f t="shared" si="13"/>
        <v>0</v>
      </c>
      <c r="AG56" s="292">
        <f t="shared" si="14"/>
        <v>0</v>
      </c>
      <c r="AH56" s="292">
        <f t="shared" si="15"/>
        <v>0</v>
      </c>
      <c r="AI56" s="292">
        <f t="shared" si="16"/>
        <v>0</v>
      </c>
      <c r="AJ56" s="292">
        <f t="shared" si="17"/>
        <v>0</v>
      </c>
      <c r="AK56" s="292">
        <f t="shared" si="18"/>
        <v>0</v>
      </c>
      <c r="AL56" s="292">
        <f t="shared" si="49"/>
        <v>0</v>
      </c>
      <c r="AM56" s="292">
        <f t="shared" si="50"/>
        <v>0</v>
      </c>
      <c r="AN56" s="292">
        <f t="shared" si="19"/>
        <v>0</v>
      </c>
      <c r="AO56" s="292">
        <f t="shared" si="20"/>
        <v>0</v>
      </c>
      <c r="AP56" s="292">
        <f t="shared" si="21"/>
        <v>0</v>
      </c>
      <c r="AQ56" s="292">
        <f t="shared" si="22"/>
        <v>0</v>
      </c>
      <c r="AR56" s="292">
        <f t="shared" si="23"/>
        <v>0</v>
      </c>
      <c r="AS56" s="292">
        <f t="shared" si="24"/>
        <v>0</v>
      </c>
      <c r="AT56" s="292">
        <f t="shared" si="25"/>
        <v>0</v>
      </c>
      <c r="AU56" s="292">
        <f t="shared" si="26"/>
        <v>0</v>
      </c>
      <c r="AV56" s="292">
        <f t="shared" si="27"/>
        <v>8190270</v>
      </c>
      <c r="AW56" s="292">
        <f t="shared" si="28"/>
        <v>0</v>
      </c>
      <c r="AX56" s="292">
        <f t="shared" si="29"/>
        <v>0</v>
      </c>
      <c r="AY56" s="292">
        <f t="shared" si="30"/>
        <v>0</v>
      </c>
      <c r="AZ56" s="292">
        <f t="shared" si="31"/>
        <v>0</v>
      </c>
      <c r="BA56" s="292">
        <f t="shared" si="32"/>
        <v>0</v>
      </c>
      <c r="BB56" s="292">
        <f t="shared" si="33"/>
        <v>0</v>
      </c>
      <c r="BC56" s="292">
        <f t="shared" si="34"/>
        <v>0</v>
      </c>
      <c r="BD56" s="292">
        <f t="shared" si="35"/>
        <v>0</v>
      </c>
      <c r="BE56" s="292">
        <f t="shared" si="36"/>
        <v>0</v>
      </c>
      <c r="BF56" s="292">
        <f t="shared" si="37"/>
        <v>0</v>
      </c>
      <c r="BG56" s="292">
        <f t="shared" si="38"/>
        <v>0</v>
      </c>
    </row>
    <row r="57" spans="1:59" s="289" customFormat="1" ht="15" customHeight="1">
      <c r="A57" s="63">
        <f t="array" ref="A57">IF(C57&lt;&gt;0,SUM(($C$11:C57&lt;&gt;0)*1),"")</f>
        <v>47</v>
      </c>
      <c r="B57" s="1099">
        <v>42391</v>
      </c>
      <c r="C57" s="290" t="s">
        <v>8</v>
      </c>
      <c r="D57" s="1099">
        <v>42391</v>
      </c>
      <c r="E57" s="344" t="s">
        <v>405</v>
      </c>
      <c r="F57" s="345">
        <v>12285405</v>
      </c>
      <c r="G57" s="346" t="s">
        <v>133</v>
      </c>
      <c r="H57" s="346" t="s">
        <v>31</v>
      </c>
      <c r="I57" s="63">
        <f t="shared" si="51"/>
        <v>47</v>
      </c>
      <c r="J57" s="292">
        <f t="shared" si="1"/>
        <v>0</v>
      </c>
      <c r="K57" s="292">
        <f t="shared" si="2"/>
        <v>0</v>
      </c>
      <c r="L57" s="292">
        <f t="shared" si="3"/>
        <v>0</v>
      </c>
      <c r="M57" s="292">
        <f t="shared" si="4"/>
        <v>12285405</v>
      </c>
      <c r="N57" s="292">
        <f t="shared" si="39"/>
        <v>0</v>
      </c>
      <c r="O57" s="292">
        <f t="shared" si="40"/>
        <v>0</v>
      </c>
      <c r="P57" s="292">
        <f t="shared" si="5"/>
        <v>0</v>
      </c>
      <c r="Q57" s="292">
        <f t="shared" si="6"/>
        <v>0</v>
      </c>
      <c r="R57" s="292">
        <f t="shared" si="41"/>
        <v>0</v>
      </c>
      <c r="S57" s="292">
        <f t="shared" si="42"/>
        <v>0</v>
      </c>
      <c r="T57" s="292">
        <f t="shared" si="7"/>
        <v>0</v>
      </c>
      <c r="U57" s="292">
        <f t="shared" si="8"/>
        <v>0</v>
      </c>
      <c r="V57" s="292">
        <f t="shared" si="43"/>
        <v>0</v>
      </c>
      <c r="W57" s="292">
        <f t="shared" si="44"/>
        <v>0</v>
      </c>
      <c r="X57" s="292">
        <f t="shared" si="45"/>
        <v>0</v>
      </c>
      <c r="Y57" s="292">
        <f t="shared" si="46"/>
        <v>0</v>
      </c>
      <c r="Z57" s="292">
        <f t="shared" si="47"/>
        <v>0</v>
      </c>
      <c r="AA57" s="292">
        <f t="shared" si="48"/>
        <v>0</v>
      </c>
      <c r="AB57" s="292">
        <f t="shared" si="9"/>
        <v>0</v>
      </c>
      <c r="AC57" s="292">
        <f t="shared" si="10"/>
        <v>0</v>
      </c>
      <c r="AD57" s="292">
        <f t="shared" si="11"/>
        <v>0</v>
      </c>
      <c r="AE57" s="292">
        <f t="shared" si="12"/>
        <v>0</v>
      </c>
      <c r="AF57" s="292">
        <f t="shared" si="13"/>
        <v>0</v>
      </c>
      <c r="AG57" s="292">
        <f t="shared" si="14"/>
        <v>0</v>
      </c>
      <c r="AH57" s="292">
        <f t="shared" si="15"/>
        <v>0</v>
      </c>
      <c r="AI57" s="292">
        <f t="shared" si="16"/>
        <v>0</v>
      </c>
      <c r="AJ57" s="292">
        <f t="shared" si="17"/>
        <v>0</v>
      </c>
      <c r="AK57" s="292">
        <f t="shared" si="18"/>
        <v>0</v>
      </c>
      <c r="AL57" s="292">
        <f t="shared" si="49"/>
        <v>0</v>
      </c>
      <c r="AM57" s="292">
        <f t="shared" si="50"/>
        <v>0</v>
      </c>
      <c r="AN57" s="292">
        <f t="shared" si="19"/>
        <v>0</v>
      </c>
      <c r="AO57" s="292">
        <f t="shared" si="20"/>
        <v>0</v>
      </c>
      <c r="AP57" s="292">
        <f t="shared" si="21"/>
        <v>0</v>
      </c>
      <c r="AQ57" s="292">
        <f t="shared" si="22"/>
        <v>0</v>
      </c>
      <c r="AR57" s="292">
        <f t="shared" si="23"/>
        <v>0</v>
      </c>
      <c r="AS57" s="292">
        <f t="shared" si="24"/>
        <v>0</v>
      </c>
      <c r="AT57" s="292">
        <f t="shared" si="25"/>
        <v>0</v>
      </c>
      <c r="AU57" s="292">
        <f t="shared" si="26"/>
        <v>0</v>
      </c>
      <c r="AV57" s="292">
        <f t="shared" si="27"/>
        <v>12285405</v>
      </c>
      <c r="AW57" s="292">
        <f t="shared" si="28"/>
        <v>0</v>
      </c>
      <c r="AX57" s="292">
        <f t="shared" si="29"/>
        <v>0</v>
      </c>
      <c r="AY57" s="292">
        <f t="shared" si="30"/>
        <v>0</v>
      </c>
      <c r="AZ57" s="292">
        <f t="shared" si="31"/>
        <v>0</v>
      </c>
      <c r="BA57" s="292">
        <f t="shared" si="32"/>
        <v>0</v>
      </c>
      <c r="BB57" s="292">
        <f t="shared" si="33"/>
        <v>0</v>
      </c>
      <c r="BC57" s="292">
        <f t="shared" si="34"/>
        <v>0</v>
      </c>
      <c r="BD57" s="292">
        <f t="shared" si="35"/>
        <v>0</v>
      </c>
      <c r="BE57" s="292">
        <f t="shared" si="36"/>
        <v>0</v>
      </c>
      <c r="BF57" s="292">
        <f t="shared" si="37"/>
        <v>0</v>
      </c>
      <c r="BG57" s="292">
        <f t="shared" si="38"/>
        <v>0</v>
      </c>
    </row>
    <row r="58" spans="1:59" s="289" customFormat="1" ht="15" customHeight="1">
      <c r="A58" s="63">
        <f t="array" ref="A58">IF(C58&lt;&gt;0,SUM(($C$11:C58&lt;&gt;0)*1),"")</f>
        <v>48</v>
      </c>
      <c r="B58" s="1099">
        <v>42391</v>
      </c>
      <c r="C58" s="290" t="s">
        <v>8</v>
      </c>
      <c r="D58" s="1099">
        <v>42391</v>
      </c>
      <c r="E58" s="344" t="s">
        <v>405</v>
      </c>
      <c r="F58" s="345">
        <v>16380540</v>
      </c>
      <c r="G58" s="346" t="s">
        <v>133</v>
      </c>
      <c r="H58" s="346" t="s">
        <v>31</v>
      </c>
      <c r="I58" s="63">
        <f t="shared" si="51"/>
        <v>48</v>
      </c>
      <c r="J58" s="292">
        <f t="shared" si="1"/>
        <v>0</v>
      </c>
      <c r="K58" s="292">
        <f t="shared" si="2"/>
        <v>0</v>
      </c>
      <c r="L58" s="292">
        <f t="shared" si="3"/>
        <v>0</v>
      </c>
      <c r="M58" s="292">
        <f t="shared" si="4"/>
        <v>16380540</v>
      </c>
      <c r="N58" s="292">
        <f t="shared" si="39"/>
        <v>0</v>
      </c>
      <c r="O58" s="292">
        <f t="shared" si="40"/>
        <v>0</v>
      </c>
      <c r="P58" s="292">
        <f t="shared" si="5"/>
        <v>0</v>
      </c>
      <c r="Q58" s="292">
        <f t="shared" si="6"/>
        <v>0</v>
      </c>
      <c r="R58" s="292">
        <f t="shared" si="41"/>
        <v>0</v>
      </c>
      <c r="S58" s="292">
        <f t="shared" si="42"/>
        <v>0</v>
      </c>
      <c r="T58" s="292">
        <f t="shared" si="7"/>
        <v>0</v>
      </c>
      <c r="U58" s="292">
        <f t="shared" si="8"/>
        <v>0</v>
      </c>
      <c r="V58" s="292">
        <f t="shared" si="43"/>
        <v>0</v>
      </c>
      <c r="W58" s="292">
        <f t="shared" si="44"/>
        <v>0</v>
      </c>
      <c r="X58" s="292">
        <f t="shared" si="45"/>
        <v>0</v>
      </c>
      <c r="Y58" s="292">
        <f t="shared" si="46"/>
        <v>0</v>
      </c>
      <c r="Z58" s="292">
        <f t="shared" si="47"/>
        <v>0</v>
      </c>
      <c r="AA58" s="292">
        <f t="shared" si="48"/>
        <v>0</v>
      </c>
      <c r="AB58" s="292">
        <f t="shared" si="9"/>
        <v>0</v>
      </c>
      <c r="AC58" s="292">
        <f t="shared" si="10"/>
        <v>0</v>
      </c>
      <c r="AD58" s="292">
        <f t="shared" si="11"/>
        <v>0</v>
      </c>
      <c r="AE58" s="292">
        <f t="shared" si="12"/>
        <v>0</v>
      </c>
      <c r="AF58" s="292">
        <f t="shared" si="13"/>
        <v>0</v>
      </c>
      <c r="AG58" s="292">
        <f t="shared" si="14"/>
        <v>0</v>
      </c>
      <c r="AH58" s="292">
        <f t="shared" si="15"/>
        <v>0</v>
      </c>
      <c r="AI58" s="292">
        <f t="shared" si="16"/>
        <v>0</v>
      </c>
      <c r="AJ58" s="292">
        <f t="shared" si="17"/>
        <v>0</v>
      </c>
      <c r="AK58" s="292">
        <f t="shared" si="18"/>
        <v>0</v>
      </c>
      <c r="AL58" s="292">
        <f t="shared" si="49"/>
        <v>0</v>
      </c>
      <c r="AM58" s="292">
        <f t="shared" si="50"/>
        <v>0</v>
      </c>
      <c r="AN58" s="292">
        <f t="shared" si="19"/>
        <v>0</v>
      </c>
      <c r="AO58" s="292">
        <f t="shared" si="20"/>
        <v>0</v>
      </c>
      <c r="AP58" s="292">
        <f t="shared" si="21"/>
        <v>0</v>
      </c>
      <c r="AQ58" s="292">
        <f t="shared" si="22"/>
        <v>0</v>
      </c>
      <c r="AR58" s="292">
        <f t="shared" si="23"/>
        <v>0</v>
      </c>
      <c r="AS58" s="292">
        <f t="shared" si="24"/>
        <v>0</v>
      </c>
      <c r="AT58" s="292">
        <f t="shared" si="25"/>
        <v>0</v>
      </c>
      <c r="AU58" s="292">
        <f t="shared" si="26"/>
        <v>0</v>
      </c>
      <c r="AV58" s="292">
        <f t="shared" si="27"/>
        <v>16380540</v>
      </c>
      <c r="AW58" s="292">
        <f t="shared" si="28"/>
        <v>0</v>
      </c>
      <c r="AX58" s="292">
        <f t="shared" si="29"/>
        <v>0</v>
      </c>
      <c r="AY58" s="292">
        <f t="shared" si="30"/>
        <v>0</v>
      </c>
      <c r="AZ58" s="292">
        <f t="shared" si="31"/>
        <v>0</v>
      </c>
      <c r="BA58" s="292">
        <f t="shared" si="32"/>
        <v>0</v>
      </c>
      <c r="BB58" s="292">
        <f t="shared" si="33"/>
        <v>0</v>
      </c>
      <c r="BC58" s="292">
        <f t="shared" si="34"/>
        <v>0</v>
      </c>
      <c r="BD58" s="292">
        <f t="shared" si="35"/>
        <v>0</v>
      </c>
      <c r="BE58" s="292">
        <f t="shared" si="36"/>
        <v>0</v>
      </c>
      <c r="BF58" s="292">
        <f t="shared" si="37"/>
        <v>0</v>
      </c>
      <c r="BG58" s="292">
        <f t="shared" si="38"/>
        <v>0</v>
      </c>
    </row>
    <row r="59" spans="1:59" s="289" customFormat="1" ht="15" customHeight="1">
      <c r="A59" s="63">
        <f t="array" ref="A59">IF(C59&lt;&gt;0,SUM(($C$11:C59&lt;&gt;0)*1),"")</f>
        <v>49</v>
      </c>
      <c r="B59" s="1099">
        <v>42391</v>
      </c>
      <c r="C59" s="290" t="s">
        <v>8</v>
      </c>
      <c r="D59" s="1099">
        <v>42391</v>
      </c>
      <c r="E59" s="344" t="s">
        <v>405</v>
      </c>
      <c r="F59" s="345">
        <v>11466378</v>
      </c>
      <c r="G59" s="346" t="s">
        <v>133</v>
      </c>
      <c r="H59" s="346" t="s">
        <v>31</v>
      </c>
      <c r="I59" s="63">
        <f t="shared" si="51"/>
        <v>49</v>
      </c>
      <c r="J59" s="292">
        <f t="shared" si="1"/>
        <v>0</v>
      </c>
      <c r="K59" s="292">
        <f t="shared" si="2"/>
        <v>0</v>
      </c>
      <c r="L59" s="292">
        <f t="shared" si="3"/>
        <v>0</v>
      </c>
      <c r="M59" s="292">
        <f t="shared" si="4"/>
        <v>11466378</v>
      </c>
      <c r="N59" s="292">
        <f t="shared" si="39"/>
        <v>0</v>
      </c>
      <c r="O59" s="292">
        <f t="shared" si="40"/>
        <v>0</v>
      </c>
      <c r="P59" s="292">
        <f t="shared" si="5"/>
        <v>0</v>
      </c>
      <c r="Q59" s="292">
        <f t="shared" si="6"/>
        <v>0</v>
      </c>
      <c r="R59" s="292">
        <f t="shared" si="41"/>
        <v>0</v>
      </c>
      <c r="S59" s="292">
        <f t="shared" si="42"/>
        <v>0</v>
      </c>
      <c r="T59" s="292">
        <f t="shared" si="7"/>
        <v>0</v>
      </c>
      <c r="U59" s="292">
        <f t="shared" si="8"/>
        <v>0</v>
      </c>
      <c r="V59" s="292">
        <f t="shared" si="43"/>
        <v>0</v>
      </c>
      <c r="W59" s="292">
        <f t="shared" si="44"/>
        <v>0</v>
      </c>
      <c r="X59" s="292">
        <f t="shared" si="45"/>
        <v>0</v>
      </c>
      <c r="Y59" s="292">
        <f t="shared" si="46"/>
        <v>0</v>
      </c>
      <c r="Z59" s="292">
        <f t="shared" si="47"/>
        <v>0</v>
      </c>
      <c r="AA59" s="292">
        <f t="shared" si="48"/>
        <v>0</v>
      </c>
      <c r="AB59" s="292">
        <f t="shared" si="9"/>
        <v>0</v>
      </c>
      <c r="AC59" s="292">
        <f t="shared" si="10"/>
        <v>0</v>
      </c>
      <c r="AD59" s="292">
        <f t="shared" si="11"/>
        <v>0</v>
      </c>
      <c r="AE59" s="292">
        <f t="shared" si="12"/>
        <v>0</v>
      </c>
      <c r="AF59" s="292">
        <f t="shared" si="13"/>
        <v>0</v>
      </c>
      <c r="AG59" s="292">
        <f t="shared" si="14"/>
        <v>0</v>
      </c>
      <c r="AH59" s="292">
        <f t="shared" si="15"/>
        <v>0</v>
      </c>
      <c r="AI59" s="292">
        <f t="shared" si="16"/>
        <v>0</v>
      </c>
      <c r="AJ59" s="292">
        <f t="shared" si="17"/>
        <v>0</v>
      </c>
      <c r="AK59" s="292">
        <f t="shared" si="18"/>
        <v>0</v>
      </c>
      <c r="AL59" s="292">
        <f t="shared" si="49"/>
        <v>0</v>
      </c>
      <c r="AM59" s="292">
        <f t="shared" si="50"/>
        <v>0</v>
      </c>
      <c r="AN59" s="292">
        <f t="shared" si="19"/>
        <v>0</v>
      </c>
      <c r="AO59" s="292">
        <f t="shared" si="20"/>
        <v>0</v>
      </c>
      <c r="AP59" s="292">
        <f t="shared" si="21"/>
        <v>0</v>
      </c>
      <c r="AQ59" s="292">
        <f t="shared" si="22"/>
        <v>0</v>
      </c>
      <c r="AR59" s="292">
        <f t="shared" si="23"/>
        <v>0</v>
      </c>
      <c r="AS59" s="292">
        <f t="shared" si="24"/>
        <v>0</v>
      </c>
      <c r="AT59" s="292">
        <f t="shared" si="25"/>
        <v>0</v>
      </c>
      <c r="AU59" s="292">
        <f t="shared" si="26"/>
        <v>0</v>
      </c>
      <c r="AV59" s="292">
        <f t="shared" si="27"/>
        <v>11466378</v>
      </c>
      <c r="AW59" s="292">
        <f t="shared" si="28"/>
        <v>0</v>
      </c>
      <c r="AX59" s="292">
        <f t="shared" si="29"/>
        <v>0</v>
      </c>
      <c r="AY59" s="292">
        <f t="shared" si="30"/>
        <v>0</v>
      </c>
      <c r="AZ59" s="292">
        <f t="shared" si="31"/>
        <v>0</v>
      </c>
      <c r="BA59" s="292">
        <f t="shared" si="32"/>
        <v>0</v>
      </c>
      <c r="BB59" s="292">
        <f t="shared" si="33"/>
        <v>0</v>
      </c>
      <c r="BC59" s="292">
        <f t="shared" si="34"/>
        <v>0</v>
      </c>
      <c r="BD59" s="292">
        <f t="shared" si="35"/>
        <v>0</v>
      </c>
      <c r="BE59" s="292">
        <f t="shared" si="36"/>
        <v>0</v>
      </c>
      <c r="BF59" s="292">
        <f t="shared" si="37"/>
        <v>0</v>
      </c>
      <c r="BG59" s="292">
        <f t="shared" si="38"/>
        <v>0</v>
      </c>
    </row>
    <row r="60" spans="1:59" s="289" customFormat="1" ht="15" customHeight="1">
      <c r="A60" s="63">
        <f t="array" ref="A60">IF(C60&lt;&gt;0,SUM(($C$11:C60&lt;&gt;0)*1),"")</f>
        <v>50</v>
      </c>
      <c r="B60" s="1099">
        <v>42391</v>
      </c>
      <c r="C60" s="290" t="s">
        <v>8</v>
      </c>
      <c r="D60" s="1099">
        <v>42391</v>
      </c>
      <c r="E60" s="344" t="s">
        <v>405</v>
      </c>
      <c r="F60" s="345">
        <v>12285405</v>
      </c>
      <c r="G60" s="346" t="s">
        <v>133</v>
      </c>
      <c r="H60" s="346" t="s">
        <v>31</v>
      </c>
      <c r="I60" s="63">
        <f t="shared" ref="I60:I123" si="52">A60</f>
        <v>50</v>
      </c>
      <c r="J60" s="292">
        <f t="shared" si="1"/>
        <v>0</v>
      </c>
      <c r="K60" s="292">
        <f t="shared" si="2"/>
        <v>0</v>
      </c>
      <c r="L60" s="292">
        <f t="shared" si="3"/>
        <v>0</v>
      </c>
      <c r="M60" s="292">
        <f t="shared" si="4"/>
        <v>12285405</v>
      </c>
      <c r="N60" s="292">
        <f t="shared" si="39"/>
        <v>0</v>
      </c>
      <c r="O60" s="292">
        <f t="shared" si="40"/>
        <v>0</v>
      </c>
      <c r="P60" s="292">
        <f t="shared" si="5"/>
        <v>0</v>
      </c>
      <c r="Q60" s="292">
        <f t="shared" si="6"/>
        <v>0</v>
      </c>
      <c r="R60" s="292">
        <f t="shared" si="41"/>
        <v>0</v>
      </c>
      <c r="S60" s="292">
        <f t="shared" si="42"/>
        <v>0</v>
      </c>
      <c r="T60" s="292">
        <f t="shared" si="7"/>
        <v>0</v>
      </c>
      <c r="U60" s="292">
        <f t="shared" si="8"/>
        <v>0</v>
      </c>
      <c r="V60" s="292">
        <f t="shared" si="43"/>
        <v>0</v>
      </c>
      <c r="W60" s="292">
        <f t="shared" si="44"/>
        <v>0</v>
      </c>
      <c r="X60" s="292">
        <f t="shared" si="45"/>
        <v>0</v>
      </c>
      <c r="Y60" s="292">
        <f t="shared" si="46"/>
        <v>0</v>
      </c>
      <c r="Z60" s="292">
        <f t="shared" si="47"/>
        <v>0</v>
      </c>
      <c r="AA60" s="292">
        <f t="shared" si="48"/>
        <v>0</v>
      </c>
      <c r="AB60" s="292">
        <f t="shared" si="9"/>
        <v>0</v>
      </c>
      <c r="AC60" s="292">
        <f t="shared" si="10"/>
        <v>0</v>
      </c>
      <c r="AD60" s="292">
        <f t="shared" si="11"/>
        <v>0</v>
      </c>
      <c r="AE60" s="292">
        <f t="shared" si="12"/>
        <v>0</v>
      </c>
      <c r="AF60" s="292">
        <f t="shared" si="13"/>
        <v>0</v>
      </c>
      <c r="AG60" s="292">
        <f t="shared" si="14"/>
        <v>0</v>
      </c>
      <c r="AH60" s="292">
        <f t="shared" si="15"/>
        <v>0</v>
      </c>
      <c r="AI60" s="292">
        <f t="shared" si="16"/>
        <v>0</v>
      </c>
      <c r="AJ60" s="292">
        <f t="shared" si="17"/>
        <v>0</v>
      </c>
      <c r="AK60" s="292">
        <f t="shared" si="18"/>
        <v>0</v>
      </c>
      <c r="AL60" s="292">
        <f t="shared" si="49"/>
        <v>0</v>
      </c>
      <c r="AM60" s="292">
        <f t="shared" si="50"/>
        <v>0</v>
      </c>
      <c r="AN60" s="292">
        <f t="shared" si="19"/>
        <v>0</v>
      </c>
      <c r="AO60" s="292">
        <f t="shared" si="20"/>
        <v>0</v>
      </c>
      <c r="AP60" s="292">
        <f t="shared" si="21"/>
        <v>0</v>
      </c>
      <c r="AQ60" s="292">
        <f t="shared" si="22"/>
        <v>0</v>
      </c>
      <c r="AR60" s="292">
        <f t="shared" si="23"/>
        <v>0</v>
      </c>
      <c r="AS60" s="292">
        <f t="shared" si="24"/>
        <v>0</v>
      </c>
      <c r="AT60" s="292">
        <f t="shared" si="25"/>
        <v>0</v>
      </c>
      <c r="AU60" s="292">
        <f t="shared" si="26"/>
        <v>0</v>
      </c>
      <c r="AV60" s="292">
        <f t="shared" si="27"/>
        <v>12285405</v>
      </c>
      <c r="AW60" s="292">
        <f t="shared" si="28"/>
        <v>0</v>
      </c>
      <c r="AX60" s="292">
        <f t="shared" si="29"/>
        <v>0</v>
      </c>
      <c r="AY60" s="292">
        <f t="shared" si="30"/>
        <v>0</v>
      </c>
      <c r="AZ60" s="292">
        <f t="shared" si="31"/>
        <v>0</v>
      </c>
      <c r="BA60" s="292">
        <f t="shared" si="32"/>
        <v>0</v>
      </c>
      <c r="BB60" s="292">
        <f t="shared" si="33"/>
        <v>0</v>
      </c>
      <c r="BC60" s="292">
        <f t="shared" si="34"/>
        <v>0</v>
      </c>
      <c r="BD60" s="292">
        <f t="shared" si="35"/>
        <v>0</v>
      </c>
      <c r="BE60" s="292">
        <f t="shared" si="36"/>
        <v>0</v>
      </c>
      <c r="BF60" s="292">
        <f t="shared" si="37"/>
        <v>0</v>
      </c>
      <c r="BG60" s="292">
        <f t="shared" si="38"/>
        <v>0</v>
      </c>
    </row>
    <row r="61" spans="1:59" s="289" customFormat="1" ht="15" customHeight="1">
      <c r="A61" s="63">
        <f t="array" ref="A61">IF(C61&lt;&gt;0,SUM(($C$11:C61&lt;&gt;0)*1),"")</f>
        <v>51</v>
      </c>
      <c r="B61" s="1099">
        <v>42391</v>
      </c>
      <c r="C61" s="290" t="s">
        <v>8</v>
      </c>
      <c r="D61" s="1099">
        <v>42391</v>
      </c>
      <c r="E61" s="344" t="s">
        <v>405</v>
      </c>
      <c r="F61" s="345">
        <v>12285405</v>
      </c>
      <c r="G61" s="346" t="s">
        <v>133</v>
      </c>
      <c r="H61" s="346" t="s">
        <v>31</v>
      </c>
      <c r="I61" s="63">
        <f t="shared" si="52"/>
        <v>51</v>
      </c>
      <c r="J61" s="292">
        <f t="shared" si="1"/>
        <v>0</v>
      </c>
      <c r="K61" s="292">
        <f t="shared" si="2"/>
        <v>0</v>
      </c>
      <c r="L61" s="292">
        <f t="shared" si="3"/>
        <v>0</v>
      </c>
      <c r="M61" s="292">
        <f t="shared" si="4"/>
        <v>12285405</v>
      </c>
      <c r="N61" s="292">
        <f t="shared" si="39"/>
        <v>0</v>
      </c>
      <c r="O61" s="292">
        <f t="shared" si="40"/>
        <v>0</v>
      </c>
      <c r="P61" s="292">
        <f t="shared" si="5"/>
        <v>0</v>
      </c>
      <c r="Q61" s="292">
        <f t="shared" si="6"/>
        <v>0</v>
      </c>
      <c r="R61" s="292">
        <f t="shared" si="41"/>
        <v>0</v>
      </c>
      <c r="S61" s="292">
        <f t="shared" si="42"/>
        <v>0</v>
      </c>
      <c r="T61" s="292">
        <f t="shared" si="7"/>
        <v>0</v>
      </c>
      <c r="U61" s="292">
        <f t="shared" si="8"/>
        <v>0</v>
      </c>
      <c r="V61" s="292">
        <f t="shared" si="43"/>
        <v>0</v>
      </c>
      <c r="W61" s="292">
        <f t="shared" si="44"/>
        <v>0</v>
      </c>
      <c r="X61" s="292">
        <f t="shared" si="45"/>
        <v>0</v>
      </c>
      <c r="Y61" s="292">
        <f t="shared" si="46"/>
        <v>0</v>
      </c>
      <c r="Z61" s="292">
        <f t="shared" si="47"/>
        <v>0</v>
      </c>
      <c r="AA61" s="292">
        <f t="shared" si="48"/>
        <v>0</v>
      </c>
      <c r="AB61" s="292">
        <f t="shared" si="9"/>
        <v>0</v>
      </c>
      <c r="AC61" s="292">
        <f t="shared" si="10"/>
        <v>0</v>
      </c>
      <c r="AD61" s="292">
        <f t="shared" si="11"/>
        <v>0</v>
      </c>
      <c r="AE61" s="292">
        <f t="shared" si="12"/>
        <v>0</v>
      </c>
      <c r="AF61" s="292">
        <f t="shared" si="13"/>
        <v>0</v>
      </c>
      <c r="AG61" s="292">
        <f t="shared" si="14"/>
        <v>0</v>
      </c>
      <c r="AH61" s="292">
        <f t="shared" si="15"/>
        <v>0</v>
      </c>
      <c r="AI61" s="292">
        <f t="shared" si="16"/>
        <v>0</v>
      </c>
      <c r="AJ61" s="292">
        <f t="shared" si="17"/>
        <v>0</v>
      </c>
      <c r="AK61" s="292">
        <f t="shared" si="18"/>
        <v>0</v>
      </c>
      <c r="AL61" s="292">
        <f t="shared" si="49"/>
        <v>0</v>
      </c>
      <c r="AM61" s="292">
        <f t="shared" si="50"/>
        <v>0</v>
      </c>
      <c r="AN61" s="292">
        <f t="shared" si="19"/>
        <v>0</v>
      </c>
      <c r="AO61" s="292">
        <f t="shared" si="20"/>
        <v>0</v>
      </c>
      <c r="AP61" s="292">
        <f t="shared" si="21"/>
        <v>0</v>
      </c>
      <c r="AQ61" s="292">
        <f t="shared" si="22"/>
        <v>0</v>
      </c>
      <c r="AR61" s="292">
        <f t="shared" si="23"/>
        <v>0</v>
      </c>
      <c r="AS61" s="292">
        <f t="shared" si="24"/>
        <v>0</v>
      </c>
      <c r="AT61" s="292">
        <f t="shared" si="25"/>
        <v>0</v>
      </c>
      <c r="AU61" s="292">
        <f t="shared" si="26"/>
        <v>0</v>
      </c>
      <c r="AV61" s="292">
        <f t="shared" si="27"/>
        <v>12285405</v>
      </c>
      <c r="AW61" s="292">
        <f t="shared" si="28"/>
        <v>0</v>
      </c>
      <c r="AX61" s="292">
        <f t="shared" si="29"/>
        <v>0</v>
      </c>
      <c r="AY61" s="292">
        <f t="shared" si="30"/>
        <v>0</v>
      </c>
      <c r="AZ61" s="292">
        <f t="shared" si="31"/>
        <v>0</v>
      </c>
      <c r="BA61" s="292">
        <f t="shared" si="32"/>
        <v>0</v>
      </c>
      <c r="BB61" s="292">
        <f t="shared" si="33"/>
        <v>0</v>
      </c>
      <c r="BC61" s="292">
        <f t="shared" si="34"/>
        <v>0</v>
      </c>
      <c r="BD61" s="292">
        <f t="shared" si="35"/>
        <v>0</v>
      </c>
      <c r="BE61" s="292">
        <f t="shared" si="36"/>
        <v>0</v>
      </c>
      <c r="BF61" s="292">
        <f t="shared" si="37"/>
        <v>0</v>
      </c>
      <c r="BG61" s="292">
        <f t="shared" si="38"/>
        <v>0</v>
      </c>
    </row>
    <row r="62" spans="1:59" s="289" customFormat="1" ht="15" customHeight="1">
      <c r="A62" s="63">
        <f t="array" ref="A62">IF(C62&lt;&gt;0,SUM(($C$11:C62&lt;&gt;0)*1),"")</f>
        <v>52</v>
      </c>
      <c r="B62" s="1099">
        <v>42391</v>
      </c>
      <c r="C62" s="290" t="s">
        <v>8</v>
      </c>
      <c r="D62" s="1099">
        <v>42391</v>
      </c>
      <c r="E62" s="344" t="s">
        <v>405</v>
      </c>
      <c r="F62" s="345">
        <v>12285405</v>
      </c>
      <c r="G62" s="346" t="s">
        <v>133</v>
      </c>
      <c r="H62" s="346" t="s">
        <v>31</v>
      </c>
      <c r="I62" s="63">
        <f t="shared" si="52"/>
        <v>52</v>
      </c>
      <c r="J62" s="292">
        <f t="shared" si="1"/>
        <v>0</v>
      </c>
      <c r="K62" s="292">
        <f t="shared" si="2"/>
        <v>0</v>
      </c>
      <c r="L62" s="292">
        <f t="shared" si="3"/>
        <v>0</v>
      </c>
      <c r="M62" s="292">
        <f t="shared" si="4"/>
        <v>12285405</v>
      </c>
      <c r="N62" s="292">
        <f t="shared" si="39"/>
        <v>0</v>
      </c>
      <c r="O62" s="292">
        <f t="shared" si="40"/>
        <v>0</v>
      </c>
      <c r="P62" s="292">
        <f t="shared" si="5"/>
        <v>0</v>
      </c>
      <c r="Q62" s="292">
        <f t="shared" si="6"/>
        <v>0</v>
      </c>
      <c r="R62" s="292">
        <f t="shared" si="41"/>
        <v>0</v>
      </c>
      <c r="S62" s="292">
        <f t="shared" si="42"/>
        <v>0</v>
      </c>
      <c r="T62" s="292">
        <f t="shared" si="7"/>
        <v>0</v>
      </c>
      <c r="U62" s="292">
        <f t="shared" si="8"/>
        <v>0</v>
      </c>
      <c r="V62" s="292">
        <f t="shared" si="43"/>
        <v>0</v>
      </c>
      <c r="W62" s="292">
        <f t="shared" si="44"/>
        <v>0</v>
      </c>
      <c r="X62" s="292">
        <f t="shared" si="45"/>
        <v>0</v>
      </c>
      <c r="Y62" s="292">
        <f t="shared" si="46"/>
        <v>0</v>
      </c>
      <c r="Z62" s="292">
        <f t="shared" si="47"/>
        <v>0</v>
      </c>
      <c r="AA62" s="292">
        <f t="shared" si="48"/>
        <v>0</v>
      </c>
      <c r="AB62" s="292">
        <f t="shared" si="9"/>
        <v>0</v>
      </c>
      <c r="AC62" s="292">
        <f t="shared" si="10"/>
        <v>0</v>
      </c>
      <c r="AD62" s="292">
        <f t="shared" si="11"/>
        <v>0</v>
      </c>
      <c r="AE62" s="292">
        <f t="shared" si="12"/>
        <v>0</v>
      </c>
      <c r="AF62" s="292">
        <f t="shared" si="13"/>
        <v>0</v>
      </c>
      <c r="AG62" s="292">
        <f t="shared" si="14"/>
        <v>0</v>
      </c>
      <c r="AH62" s="292">
        <f t="shared" si="15"/>
        <v>0</v>
      </c>
      <c r="AI62" s="292">
        <f t="shared" si="16"/>
        <v>0</v>
      </c>
      <c r="AJ62" s="292">
        <f t="shared" si="17"/>
        <v>0</v>
      </c>
      <c r="AK62" s="292">
        <f t="shared" si="18"/>
        <v>0</v>
      </c>
      <c r="AL62" s="292">
        <f t="shared" si="49"/>
        <v>0</v>
      </c>
      <c r="AM62" s="292">
        <f t="shared" si="50"/>
        <v>0</v>
      </c>
      <c r="AN62" s="292">
        <f t="shared" si="19"/>
        <v>0</v>
      </c>
      <c r="AO62" s="292">
        <f t="shared" si="20"/>
        <v>0</v>
      </c>
      <c r="AP62" s="292">
        <f t="shared" si="21"/>
        <v>0</v>
      </c>
      <c r="AQ62" s="292">
        <f t="shared" si="22"/>
        <v>0</v>
      </c>
      <c r="AR62" s="292">
        <f t="shared" si="23"/>
        <v>0</v>
      </c>
      <c r="AS62" s="292">
        <f t="shared" si="24"/>
        <v>0</v>
      </c>
      <c r="AT62" s="292">
        <f t="shared" si="25"/>
        <v>0</v>
      </c>
      <c r="AU62" s="292">
        <f t="shared" si="26"/>
        <v>0</v>
      </c>
      <c r="AV62" s="292">
        <f t="shared" si="27"/>
        <v>12285405</v>
      </c>
      <c r="AW62" s="292">
        <f t="shared" si="28"/>
        <v>0</v>
      </c>
      <c r="AX62" s="292">
        <f t="shared" si="29"/>
        <v>0</v>
      </c>
      <c r="AY62" s="292">
        <f t="shared" si="30"/>
        <v>0</v>
      </c>
      <c r="AZ62" s="292">
        <f t="shared" si="31"/>
        <v>0</v>
      </c>
      <c r="BA62" s="292">
        <f t="shared" si="32"/>
        <v>0</v>
      </c>
      <c r="BB62" s="292">
        <f t="shared" si="33"/>
        <v>0</v>
      </c>
      <c r="BC62" s="292">
        <f t="shared" si="34"/>
        <v>0</v>
      </c>
      <c r="BD62" s="292">
        <f t="shared" si="35"/>
        <v>0</v>
      </c>
      <c r="BE62" s="292">
        <f t="shared" si="36"/>
        <v>0</v>
      </c>
      <c r="BF62" s="292">
        <f t="shared" si="37"/>
        <v>0</v>
      </c>
      <c r="BG62" s="292">
        <f t="shared" si="38"/>
        <v>0</v>
      </c>
    </row>
    <row r="63" spans="1:59" s="289" customFormat="1" ht="15" customHeight="1">
      <c r="A63" s="63">
        <f t="array" ref="A63">IF(C63&lt;&gt;0,SUM(($C$11:C63&lt;&gt;0)*1),"")</f>
        <v>53</v>
      </c>
      <c r="B63" s="1099">
        <v>42391</v>
      </c>
      <c r="C63" s="290" t="s">
        <v>8</v>
      </c>
      <c r="D63" s="1099">
        <v>42391</v>
      </c>
      <c r="E63" s="344" t="s">
        <v>405</v>
      </c>
      <c r="F63" s="345">
        <v>8190270</v>
      </c>
      <c r="G63" s="346" t="s">
        <v>133</v>
      </c>
      <c r="H63" s="346" t="s">
        <v>31</v>
      </c>
      <c r="I63" s="63">
        <f t="shared" si="52"/>
        <v>53</v>
      </c>
      <c r="J63" s="292">
        <f t="shared" si="1"/>
        <v>0</v>
      </c>
      <c r="K63" s="292">
        <f t="shared" si="2"/>
        <v>0</v>
      </c>
      <c r="L63" s="292">
        <f t="shared" si="3"/>
        <v>0</v>
      </c>
      <c r="M63" s="292">
        <f t="shared" si="4"/>
        <v>8190270</v>
      </c>
      <c r="N63" s="292">
        <f t="shared" si="39"/>
        <v>0</v>
      </c>
      <c r="O63" s="292">
        <f t="shared" si="40"/>
        <v>0</v>
      </c>
      <c r="P63" s="292">
        <f t="shared" si="5"/>
        <v>0</v>
      </c>
      <c r="Q63" s="292">
        <f t="shared" si="6"/>
        <v>0</v>
      </c>
      <c r="R63" s="292">
        <f t="shared" si="41"/>
        <v>0</v>
      </c>
      <c r="S63" s="292">
        <f t="shared" si="42"/>
        <v>0</v>
      </c>
      <c r="T63" s="292">
        <f t="shared" si="7"/>
        <v>0</v>
      </c>
      <c r="U63" s="292">
        <f t="shared" si="8"/>
        <v>0</v>
      </c>
      <c r="V63" s="292">
        <f t="shared" si="43"/>
        <v>0</v>
      </c>
      <c r="W63" s="292">
        <f t="shared" si="44"/>
        <v>0</v>
      </c>
      <c r="X63" s="292">
        <f t="shared" si="45"/>
        <v>0</v>
      </c>
      <c r="Y63" s="292">
        <f t="shared" si="46"/>
        <v>0</v>
      </c>
      <c r="Z63" s="292">
        <f t="shared" si="47"/>
        <v>0</v>
      </c>
      <c r="AA63" s="292">
        <f t="shared" si="48"/>
        <v>0</v>
      </c>
      <c r="AB63" s="292">
        <f t="shared" si="9"/>
        <v>0</v>
      </c>
      <c r="AC63" s="292">
        <f t="shared" si="10"/>
        <v>0</v>
      </c>
      <c r="AD63" s="292">
        <f t="shared" si="11"/>
        <v>0</v>
      </c>
      <c r="AE63" s="292">
        <f t="shared" si="12"/>
        <v>0</v>
      </c>
      <c r="AF63" s="292">
        <f t="shared" si="13"/>
        <v>0</v>
      </c>
      <c r="AG63" s="292">
        <f t="shared" si="14"/>
        <v>0</v>
      </c>
      <c r="AH63" s="292">
        <f t="shared" si="15"/>
        <v>0</v>
      </c>
      <c r="AI63" s="292">
        <f t="shared" si="16"/>
        <v>0</v>
      </c>
      <c r="AJ63" s="292">
        <f t="shared" si="17"/>
        <v>0</v>
      </c>
      <c r="AK63" s="292">
        <f t="shared" si="18"/>
        <v>0</v>
      </c>
      <c r="AL63" s="292">
        <f t="shared" si="49"/>
        <v>0</v>
      </c>
      <c r="AM63" s="292">
        <f t="shared" si="50"/>
        <v>0</v>
      </c>
      <c r="AN63" s="292">
        <f t="shared" si="19"/>
        <v>0</v>
      </c>
      <c r="AO63" s="292">
        <f t="shared" si="20"/>
        <v>0</v>
      </c>
      <c r="AP63" s="292">
        <f t="shared" si="21"/>
        <v>0</v>
      </c>
      <c r="AQ63" s="292">
        <f t="shared" si="22"/>
        <v>0</v>
      </c>
      <c r="AR63" s="292">
        <f t="shared" si="23"/>
        <v>0</v>
      </c>
      <c r="AS63" s="292">
        <f t="shared" si="24"/>
        <v>0</v>
      </c>
      <c r="AT63" s="292">
        <f t="shared" si="25"/>
        <v>0</v>
      </c>
      <c r="AU63" s="292">
        <f t="shared" si="26"/>
        <v>0</v>
      </c>
      <c r="AV63" s="292">
        <f t="shared" si="27"/>
        <v>8190270</v>
      </c>
      <c r="AW63" s="292">
        <f t="shared" si="28"/>
        <v>0</v>
      </c>
      <c r="AX63" s="292">
        <f t="shared" si="29"/>
        <v>0</v>
      </c>
      <c r="AY63" s="292">
        <f t="shared" si="30"/>
        <v>0</v>
      </c>
      <c r="AZ63" s="292">
        <f t="shared" si="31"/>
        <v>0</v>
      </c>
      <c r="BA63" s="292">
        <f t="shared" si="32"/>
        <v>0</v>
      </c>
      <c r="BB63" s="292">
        <f t="shared" si="33"/>
        <v>0</v>
      </c>
      <c r="BC63" s="292">
        <f t="shared" si="34"/>
        <v>0</v>
      </c>
      <c r="BD63" s="292">
        <f t="shared" si="35"/>
        <v>0</v>
      </c>
      <c r="BE63" s="292">
        <f t="shared" si="36"/>
        <v>0</v>
      </c>
      <c r="BF63" s="292">
        <f t="shared" si="37"/>
        <v>0</v>
      </c>
      <c r="BG63" s="292">
        <f t="shared" si="38"/>
        <v>0</v>
      </c>
    </row>
    <row r="64" spans="1:59" s="289" customFormat="1" ht="15" customHeight="1">
      <c r="A64" s="63">
        <f t="array" ref="A64">IF(C64&lt;&gt;0,SUM(($C$11:C64&lt;&gt;0)*1),"")</f>
        <v>54</v>
      </c>
      <c r="B64" s="1099">
        <v>42391</v>
      </c>
      <c r="C64" s="290" t="s">
        <v>8</v>
      </c>
      <c r="D64" s="1099">
        <v>42391</v>
      </c>
      <c r="E64" s="344" t="s">
        <v>405</v>
      </c>
      <c r="F64" s="345">
        <v>8190270</v>
      </c>
      <c r="G64" s="346" t="s">
        <v>133</v>
      </c>
      <c r="H64" s="346" t="s">
        <v>31</v>
      </c>
      <c r="I64" s="63">
        <f t="shared" si="52"/>
        <v>54</v>
      </c>
      <c r="J64" s="292">
        <f t="shared" si="1"/>
        <v>0</v>
      </c>
      <c r="K64" s="292">
        <f t="shared" si="2"/>
        <v>0</v>
      </c>
      <c r="L64" s="292">
        <f t="shared" si="3"/>
        <v>0</v>
      </c>
      <c r="M64" s="292">
        <f t="shared" si="4"/>
        <v>8190270</v>
      </c>
      <c r="N64" s="292">
        <f t="shared" si="39"/>
        <v>0</v>
      </c>
      <c r="O64" s="292">
        <f t="shared" si="40"/>
        <v>0</v>
      </c>
      <c r="P64" s="292">
        <f t="shared" si="5"/>
        <v>0</v>
      </c>
      <c r="Q64" s="292">
        <f t="shared" si="6"/>
        <v>0</v>
      </c>
      <c r="R64" s="292">
        <f t="shared" si="41"/>
        <v>0</v>
      </c>
      <c r="S64" s="292">
        <f t="shared" si="42"/>
        <v>0</v>
      </c>
      <c r="T64" s="292">
        <f t="shared" si="7"/>
        <v>0</v>
      </c>
      <c r="U64" s="292">
        <f t="shared" si="8"/>
        <v>0</v>
      </c>
      <c r="V64" s="292">
        <f t="shared" si="43"/>
        <v>0</v>
      </c>
      <c r="W64" s="292">
        <f t="shared" si="44"/>
        <v>0</v>
      </c>
      <c r="X64" s="292">
        <f t="shared" si="45"/>
        <v>0</v>
      </c>
      <c r="Y64" s="292">
        <f t="shared" si="46"/>
        <v>0</v>
      </c>
      <c r="Z64" s="292">
        <f t="shared" si="47"/>
        <v>0</v>
      </c>
      <c r="AA64" s="292">
        <f t="shared" si="48"/>
        <v>0</v>
      </c>
      <c r="AB64" s="292">
        <f t="shared" si="9"/>
        <v>0</v>
      </c>
      <c r="AC64" s="292">
        <f t="shared" si="10"/>
        <v>0</v>
      </c>
      <c r="AD64" s="292">
        <f t="shared" si="11"/>
        <v>0</v>
      </c>
      <c r="AE64" s="292">
        <f t="shared" si="12"/>
        <v>0</v>
      </c>
      <c r="AF64" s="292">
        <f t="shared" si="13"/>
        <v>0</v>
      </c>
      <c r="AG64" s="292">
        <f t="shared" si="14"/>
        <v>0</v>
      </c>
      <c r="AH64" s="292">
        <f t="shared" si="15"/>
        <v>0</v>
      </c>
      <c r="AI64" s="292">
        <f t="shared" si="16"/>
        <v>0</v>
      </c>
      <c r="AJ64" s="292">
        <f t="shared" si="17"/>
        <v>0</v>
      </c>
      <c r="AK64" s="292">
        <f t="shared" si="18"/>
        <v>0</v>
      </c>
      <c r="AL64" s="292">
        <f t="shared" si="49"/>
        <v>0</v>
      </c>
      <c r="AM64" s="292">
        <f t="shared" si="50"/>
        <v>0</v>
      </c>
      <c r="AN64" s="292">
        <f t="shared" si="19"/>
        <v>0</v>
      </c>
      <c r="AO64" s="292">
        <f t="shared" si="20"/>
        <v>0</v>
      </c>
      <c r="AP64" s="292">
        <f t="shared" si="21"/>
        <v>0</v>
      </c>
      <c r="AQ64" s="292">
        <f t="shared" si="22"/>
        <v>0</v>
      </c>
      <c r="AR64" s="292">
        <f t="shared" si="23"/>
        <v>0</v>
      </c>
      <c r="AS64" s="292">
        <f t="shared" si="24"/>
        <v>0</v>
      </c>
      <c r="AT64" s="292">
        <f t="shared" si="25"/>
        <v>0</v>
      </c>
      <c r="AU64" s="292">
        <f t="shared" si="26"/>
        <v>0</v>
      </c>
      <c r="AV64" s="292">
        <f t="shared" si="27"/>
        <v>8190270</v>
      </c>
      <c r="AW64" s="292">
        <f t="shared" si="28"/>
        <v>0</v>
      </c>
      <c r="AX64" s="292">
        <f t="shared" si="29"/>
        <v>0</v>
      </c>
      <c r="AY64" s="292">
        <f t="shared" si="30"/>
        <v>0</v>
      </c>
      <c r="AZ64" s="292">
        <f t="shared" si="31"/>
        <v>0</v>
      </c>
      <c r="BA64" s="292">
        <f t="shared" si="32"/>
        <v>0</v>
      </c>
      <c r="BB64" s="292">
        <f t="shared" si="33"/>
        <v>0</v>
      </c>
      <c r="BC64" s="292">
        <f t="shared" si="34"/>
        <v>0</v>
      </c>
      <c r="BD64" s="292">
        <f t="shared" si="35"/>
        <v>0</v>
      </c>
      <c r="BE64" s="292">
        <f t="shared" si="36"/>
        <v>0</v>
      </c>
      <c r="BF64" s="292">
        <f t="shared" si="37"/>
        <v>0</v>
      </c>
      <c r="BG64" s="292">
        <f t="shared" si="38"/>
        <v>0</v>
      </c>
    </row>
    <row r="65" spans="1:59" s="289" customFormat="1" ht="15" customHeight="1">
      <c r="A65" s="63">
        <f t="array" ref="A65">IF(C65&lt;&gt;0,SUM(($C$11:C65&lt;&gt;0)*1),"")</f>
        <v>55</v>
      </c>
      <c r="B65" s="1099">
        <v>42391</v>
      </c>
      <c r="C65" s="290" t="s">
        <v>8</v>
      </c>
      <c r="D65" s="1099">
        <v>42391</v>
      </c>
      <c r="E65" s="344" t="s">
        <v>405</v>
      </c>
      <c r="F65" s="345">
        <v>12285405</v>
      </c>
      <c r="G65" s="346" t="s">
        <v>133</v>
      </c>
      <c r="H65" s="346" t="s">
        <v>31</v>
      </c>
      <c r="I65" s="63">
        <f t="shared" si="52"/>
        <v>55</v>
      </c>
      <c r="J65" s="292">
        <f t="shared" si="1"/>
        <v>0</v>
      </c>
      <c r="K65" s="292">
        <f t="shared" si="2"/>
        <v>0</v>
      </c>
      <c r="L65" s="292">
        <f t="shared" si="3"/>
        <v>0</v>
      </c>
      <c r="M65" s="292">
        <f t="shared" si="4"/>
        <v>12285405</v>
      </c>
      <c r="N65" s="292">
        <f t="shared" si="39"/>
        <v>0</v>
      </c>
      <c r="O65" s="292">
        <f t="shared" si="40"/>
        <v>0</v>
      </c>
      <c r="P65" s="292">
        <f t="shared" si="5"/>
        <v>0</v>
      </c>
      <c r="Q65" s="292">
        <f t="shared" si="6"/>
        <v>0</v>
      </c>
      <c r="R65" s="292">
        <f t="shared" si="41"/>
        <v>0</v>
      </c>
      <c r="S65" s="292">
        <f t="shared" si="42"/>
        <v>0</v>
      </c>
      <c r="T65" s="292">
        <f t="shared" si="7"/>
        <v>0</v>
      </c>
      <c r="U65" s="292">
        <f t="shared" si="8"/>
        <v>0</v>
      </c>
      <c r="V65" s="292">
        <f t="shared" si="43"/>
        <v>0</v>
      </c>
      <c r="W65" s="292">
        <f t="shared" si="44"/>
        <v>0</v>
      </c>
      <c r="X65" s="292">
        <f t="shared" si="45"/>
        <v>0</v>
      </c>
      <c r="Y65" s="292">
        <f t="shared" si="46"/>
        <v>0</v>
      </c>
      <c r="Z65" s="292">
        <f t="shared" si="47"/>
        <v>0</v>
      </c>
      <c r="AA65" s="292">
        <f t="shared" si="48"/>
        <v>0</v>
      </c>
      <c r="AB65" s="292">
        <f t="shared" si="9"/>
        <v>0</v>
      </c>
      <c r="AC65" s="292">
        <f t="shared" si="10"/>
        <v>0</v>
      </c>
      <c r="AD65" s="292">
        <f t="shared" si="11"/>
        <v>0</v>
      </c>
      <c r="AE65" s="292">
        <f t="shared" si="12"/>
        <v>0</v>
      </c>
      <c r="AF65" s="292">
        <f t="shared" si="13"/>
        <v>0</v>
      </c>
      <c r="AG65" s="292">
        <f t="shared" si="14"/>
        <v>0</v>
      </c>
      <c r="AH65" s="292">
        <f t="shared" si="15"/>
        <v>0</v>
      </c>
      <c r="AI65" s="292">
        <f t="shared" si="16"/>
        <v>0</v>
      </c>
      <c r="AJ65" s="292">
        <f t="shared" si="17"/>
        <v>0</v>
      </c>
      <c r="AK65" s="292">
        <f t="shared" si="18"/>
        <v>0</v>
      </c>
      <c r="AL65" s="292">
        <f t="shared" si="49"/>
        <v>0</v>
      </c>
      <c r="AM65" s="292">
        <f t="shared" si="50"/>
        <v>0</v>
      </c>
      <c r="AN65" s="292">
        <f t="shared" si="19"/>
        <v>0</v>
      </c>
      <c r="AO65" s="292">
        <f t="shared" si="20"/>
        <v>0</v>
      </c>
      <c r="AP65" s="292">
        <f t="shared" si="21"/>
        <v>0</v>
      </c>
      <c r="AQ65" s="292">
        <f t="shared" si="22"/>
        <v>0</v>
      </c>
      <c r="AR65" s="292">
        <f t="shared" si="23"/>
        <v>0</v>
      </c>
      <c r="AS65" s="292">
        <f t="shared" si="24"/>
        <v>0</v>
      </c>
      <c r="AT65" s="292">
        <f t="shared" si="25"/>
        <v>0</v>
      </c>
      <c r="AU65" s="292">
        <f t="shared" si="26"/>
        <v>0</v>
      </c>
      <c r="AV65" s="292">
        <f t="shared" si="27"/>
        <v>12285405</v>
      </c>
      <c r="AW65" s="292">
        <f t="shared" si="28"/>
        <v>0</v>
      </c>
      <c r="AX65" s="292">
        <f t="shared" si="29"/>
        <v>0</v>
      </c>
      <c r="AY65" s="292">
        <f t="shared" si="30"/>
        <v>0</v>
      </c>
      <c r="AZ65" s="292">
        <f t="shared" si="31"/>
        <v>0</v>
      </c>
      <c r="BA65" s="292">
        <f t="shared" si="32"/>
        <v>0</v>
      </c>
      <c r="BB65" s="292">
        <f t="shared" si="33"/>
        <v>0</v>
      </c>
      <c r="BC65" s="292">
        <f t="shared" si="34"/>
        <v>0</v>
      </c>
      <c r="BD65" s="292">
        <f t="shared" si="35"/>
        <v>0</v>
      </c>
      <c r="BE65" s="292">
        <f t="shared" si="36"/>
        <v>0</v>
      </c>
      <c r="BF65" s="292">
        <f t="shared" si="37"/>
        <v>0</v>
      </c>
      <c r="BG65" s="292">
        <f t="shared" si="38"/>
        <v>0</v>
      </c>
    </row>
    <row r="66" spans="1:59" s="289" customFormat="1" ht="15" customHeight="1">
      <c r="A66" s="63">
        <f t="array" ref="A66">IF(C66&lt;&gt;0,SUM(($C$11:C66&lt;&gt;0)*1),"")</f>
        <v>56</v>
      </c>
      <c r="B66" s="1099">
        <v>42392</v>
      </c>
      <c r="C66" s="290" t="s">
        <v>80</v>
      </c>
      <c r="D66" s="1099">
        <v>42392</v>
      </c>
      <c r="E66" s="344" t="s">
        <v>413</v>
      </c>
      <c r="F66" s="345">
        <v>12000000</v>
      </c>
      <c r="G66" s="346" t="s">
        <v>242</v>
      </c>
      <c r="H66" s="346" t="s">
        <v>97</v>
      </c>
      <c r="I66" s="63">
        <f t="shared" si="52"/>
        <v>56</v>
      </c>
      <c r="J66" s="292">
        <f t="shared" si="1"/>
        <v>0</v>
      </c>
      <c r="K66" s="292">
        <f t="shared" si="2"/>
        <v>12000000</v>
      </c>
      <c r="L66" s="292">
        <f t="shared" si="3"/>
        <v>0</v>
      </c>
      <c r="M66" s="292">
        <f t="shared" si="4"/>
        <v>0</v>
      </c>
      <c r="N66" s="292">
        <f t="shared" si="39"/>
        <v>0</v>
      </c>
      <c r="O66" s="292">
        <f t="shared" si="40"/>
        <v>0</v>
      </c>
      <c r="P66" s="292">
        <f t="shared" si="5"/>
        <v>0</v>
      </c>
      <c r="Q66" s="292">
        <f t="shared" si="6"/>
        <v>0</v>
      </c>
      <c r="R66" s="292">
        <f t="shared" si="41"/>
        <v>0</v>
      </c>
      <c r="S66" s="292">
        <f t="shared" si="42"/>
        <v>0</v>
      </c>
      <c r="T66" s="292">
        <f t="shared" si="7"/>
        <v>0</v>
      </c>
      <c r="U66" s="292">
        <f t="shared" si="8"/>
        <v>0</v>
      </c>
      <c r="V66" s="292">
        <f t="shared" si="43"/>
        <v>0</v>
      </c>
      <c r="W66" s="292">
        <f t="shared" si="44"/>
        <v>0</v>
      </c>
      <c r="X66" s="292">
        <f t="shared" si="45"/>
        <v>0</v>
      </c>
      <c r="Y66" s="292">
        <f t="shared" si="46"/>
        <v>0</v>
      </c>
      <c r="Z66" s="292">
        <f t="shared" si="47"/>
        <v>12000000</v>
      </c>
      <c r="AA66" s="292">
        <f t="shared" si="48"/>
        <v>0</v>
      </c>
      <c r="AB66" s="292">
        <f t="shared" si="9"/>
        <v>0</v>
      </c>
      <c r="AC66" s="292">
        <f t="shared" si="10"/>
        <v>0</v>
      </c>
      <c r="AD66" s="292">
        <f t="shared" si="11"/>
        <v>0</v>
      </c>
      <c r="AE66" s="292">
        <f t="shared" si="12"/>
        <v>0</v>
      </c>
      <c r="AF66" s="292">
        <f t="shared" si="13"/>
        <v>0</v>
      </c>
      <c r="AG66" s="292">
        <f t="shared" si="14"/>
        <v>0</v>
      </c>
      <c r="AH66" s="292">
        <f t="shared" si="15"/>
        <v>0</v>
      </c>
      <c r="AI66" s="292">
        <f t="shared" si="16"/>
        <v>0</v>
      </c>
      <c r="AJ66" s="292">
        <f t="shared" si="17"/>
        <v>0</v>
      </c>
      <c r="AK66" s="292">
        <f t="shared" si="18"/>
        <v>0</v>
      </c>
      <c r="AL66" s="292">
        <f t="shared" si="49"/>
        <v>0</v>
      </c>
      <c r="AM66" s="292">
        <f t="shared" si="50"/>
        <v>0</v>
      </c>
      <c r="AN66" s="292">
        <f t="shared" si="19"/>
        <v>0</v>
      </c>
      <c r="AO66" s="292">
        <f t="shared" si="20"/>
        <v>0</v>
      </c>
      <c r="AP66" s="292">
        <f t="shared" si="21"/>
        <v>0</v>
      </c>
      <c r="AQ66" s="292">
        <f t="shared" si="22"/>
        <v>0</v>
      </c>
      <c r="AR66" s="292">
        <f t="shared" si="23"/>
        <v>0</v>
      </c>
      <c r="AS66" s="292">
        <f t="shared" si="24"/>
        <v>0</v>
      </c>
      <c r="AT66" s="292">
        <f t="shared" si="25"/>
        <v>0</v>
      </c>
      <c r="AU66" s="292">
        <f t="shared" si="26"/>
        <v>0</v>
      </c>
      <c r="AV66" s="292">
        <f t="shared" si="27"/>
        <v>0</v>
      </c>
      <c r="AW66" s="292">
        <f t="shared" si="28"/>
        <v>0</v>
      </c>
      <c r="AX66" s="292">
        <f t="shared" si="29"/>
        <v>0</v>
      </c>
      <c r="AY66" s="292">
        <f t="shared" si="30"/>
        <v>0</v>
      </c>
      <c r="AZ66" s="292">
        <f t="shared" si="31"/>
        <v>0</v>
      </c>
      <c r="BA66" s="292">
        <f t="shared" si="32"/>
        <v>0</v>
      </c>
      <c r="BB66" s="292">
        <f t="shared" si="33"/>
        <v>0</v>
      </c>
      <c r="BC66" s="292">
        <f t="shared" si="34"/>
        <v>0</v>
      </c>
      <c r="BD66" s="292">
        <f t="shared" si="35"/>
        <v>0</v>
      </c>
      <c r="BE66" s="292">
        <f t="shared" si="36"/>
        <v>0</v>
      </c>
      <c r="BF66" s="292">
        <f t="shared" si="37"/>
        <v>0</v>
      </c>
      <c r="BG66" s="292">
        <f t="shared" si="38"/>
        <v>0</v>
      </c>
    </row>
    <row r="67" spans="1:59" s="289" customFormat="1" ht="15" customHeight="1">
      <c r="A67" s="63">
        <f t="array" ref="A67">IF(C67&lt;&gt;0,SUM(($C$11:C67&lt;&gt;0)*1),"")</f>
        <v>57</v>
      </c>
      <c r="B67" s="1099">
        <v>42392</v>
      </c>
      <c r="C67" s="290" t="s">
        <v>81</v>
      </c>
      <c r="D67" s="1099">
        <v>42392</v>
      </c>
      <c r="E67" s="344" t="s">
        <v>399</v>
      </c>
      <c r="F67" s="345">
        <v>2080000</v>
      </c>
      <c r="G67" s="346" t="s">
        <v>242</v>
      </c>
      <c r="H67" s="346" t="s">
        <v>97</v>
      </c>
      <c r="I67" s="63">
        <f t="shared" si="52"/>
        <v>57</v>
      </c>
      <c r="J67" s="292">
        <f t="shared" si="1"/>
        <v>0</v>
      </c>
      <c r="K67" s="292">
        <f t="shared" si="2"/>
        <v>2080000</v>
      </c>
      <c r="L67" s="292">
        <f t="shared" si="3"/>
        <v>0</v>
      </c>
      <c r="M67" s="292">
        <f t="shared" si="4"/>
        <v>0</v>
      </c>
      <c r="N67" s="292">
        <f t="shared" si="39"/>
        <v>0</v>
      </c>
      <c r="O67" s="292">
        <f t="shared" si="40"/>
        <v>0</v>
      </c>
      <c r="P67" s="292">
        <f t="shared" si="5"/>
        <v>0</v>
      </c>
      <c r="Q67" s="292">
        <f t="shared" si="6"/>
        <v>0</v>
      </c>
      <c r="R67" s="292">
        <f t="shared" si="41"/>
        <v>0</v>
      </c>
      <c r="S67" s="292">
        <f t="shared" si="42"/>
        <v>0</v>
      </c>
      <c r="T67" s="292">
        <f t="shared" si="7"/>
        <v>0</v>
      </c>
      <c r="U67" s="292">
        <f t="shared" si="8"/>
        <v>0</v>
      </c>
      <c r="V67" s="292">
        <f t="shared" si="43"/>
        <v>0</v>
      </c>
      <c r="W67" s="292">
        <f t="shared" si="44"/>
        <v>0</v>
      </c>
      <c r="X67" s="292">
        <f t="shared" si="45"/>
        <v>0</v>
      </c>
      <c r="Y67" s="292">
        <f t="shared" si="46"/>
        <v>0</v>
      </c>
      <c r="Z67" s="292">
        <f t="shared" si="47"/>
        <v>2080000</v>
      </c>
      <c r="AA67" s="292">
        <f t="shared" si="48"/>
        <v>0</v>
      </c>
      <c r="AB67" s="292">
        <f t="shared" si="9"/>
        <v>0</v>
      </c>
      <c r="AC67" s="292">
        <f t="shared" si="10"/>
        <v>0</v>
      </c>
      <c r="AD67" s="292">
        <f t="shared" si="11"/>
        <v>0</v>
      </c>
      <c r="AE67" s="292">
        <f t="shared" si="12"/>
        <v>0</v>
      </c>
      <c r="AF67" s="292">
        <f t="shared" si="13"/>
        <v>0</v>
      </c>
      <c r="AG67" s="292">
        <f t="shared" si="14"/>
        <v>0</v>
      </c>
      <c r="AH67" s="292">
        <f t="shared" si="15"/>
        <v>0</v>
      </c>
      <c r="AI67" s="292">
        <f t="shared" si="16"/>
        <v>0</v>
      </c>
      <c r="AJ67" s="292">
        <f t="shared" si="17"/>
        <v>0</v>
      </c>
      <c r="AK67" s="292">
        <f t="shared" si="18"/>
        <v>0</v>
      </c>
      <c r="AL67" s="292">
        <f t="shared" si="49"/>
        <v>0</v>
      </c>
      <c r="AM67" s="292">
        <f t="shared" si="50"/>
        <v>0</v>
      </c>
      <c r="AN67" s="292">
        <f t="shared" si="19"/>
        <v>0</v>
      </c>
      <c r="AO67" s="292">
        <f t="shared" si="20"/>
        <v>0</v>
      </c>
      <c r="AP67" s="292">
        <f t="shared" si="21"/>
        <v>0</v>
      </c>
      <c r="AQ67" s="292">
        <f t="shared" si="22"/>
        <v>0</v>
      </c>
      <c r="AR67" s="292">
        <f t="shared" si="23"/>
        <v>0</v>
      </c>
      <c r="AS67" s="292">
        <f t="shared" si="24"/>
        <v>0</v>
      </c>
      <c r="AT67" s="292">
        <f t="shared" si="25"/>
        <v>0</v>
      </c>
      <c r="AU67" s="292">
        <f t="shared" si="26"/>
        <v>0</v>
      </c>
      <c r="AV67" s="292">
        <f t="shared" si="27"/>
        <v>0</v>
      </c>
      <c r="AW67" s="292">
        <f t="shared" si="28"/>
        <v>0</v>
      </c>
      <c r="AX67" s="292">
        <f t="shared" si="29"/>
        <v>0</v>
      </c>
      <c r="AY67" s="292">
        <f t="shared" si="30"/>
        <v>0</v>
      </c>
      <c r="AZ67" s="292">
        <f t="shared" si="31"/>
        <v>0</v>
      </c>
      <c r="BA67" s="292">
        <f t="shared" si="32"/>
        <v>0</v>
      </c>
      <c r="BB67" s="292">
        <f t="shared" si="33"/>
        <v>0</v>
      </c>
      <c r="BC67" s="292">
        <f t="shared" si="34"/>
        <v>0</v>
      </c>
      <c r="BD67" s="292">
        <f t="shared" si="35"/>
        <v>0</v>
      </c>
      <c r="BE67" s="292">
        <f t="shared" si="36"/>
        <v>0</v>
      </c>
      <c r="BF67" s="292">
        <f t="shared" si="37"/>
        <v>0</v>
      </c>
      <c r="BG67" s="292">
        <f t="shared" si="38"/>
        <v>0</v>
      </c>
    </row>
    <row r="68" spans="1:59" s="289" customFormat="1" ht="15" customHeight="1">
      <c r="A68" s="63">
        <f t="array" ref="A68">IF(C68&lt;&gt;0,SUM(($C$11:C68&lt;&gt;0)*1),"")</f>
        <v>58</v>
      </c>
      <c r="B68" s="1099">
        <v>42392</v>
      </c>
      <c r="C68" s="290" t="s">
        <v>8</v>
      </c>
      <c r="D68" s="1099">
        <v>42392</v>
      </c>
      <c r="E68" s="344" t="s">
        <v>57</v>
      </c>
      <c r="F68" s="345">
        <v>163571</v>
      </c>
      <c r="G68" s="346" t="s">
        <v>31</v>
      </c>
      <c r="H68" s="346" t="s">
        <v>58</v>
      </c>
      <c r="I68" s="63">
        <f t="shared" si="52"/>
        <v>58</v>
      </c>
      <c r="J68" s="292">
        <f t="shared" si="1"/>
        <v>0</v>
      </c>
      <c r="K68" s="292">
        <f t="shared" si="2"/>
        <v>0</v>
      </c>
      <c r="L68" s="292">
        <f t="shared" si="3"/>
        <v>163571</v>
      </c>
      <c r="M68" s="292">
        <f t="shared" si="4"/>
        <v>0</v>
      </c>
      <c r="N68" s="292">
        <f t="shared" si="39"/>
        <v>0</v>
      </c>
      <c r="O68" s="292">
        <f t="shared" si="40"/>
        <v>0</v>
      </c>
      <c r="P68" s="292">
        <f t="shared" si="5"/>
        <v>0</v>
      </c>
      <c r="Q68" s="292">
        <f t="shared" si="6"/>
        <v>0</v>
      </c>
      <c r="R68" s="292">
        <f t="shared" si="41"/>
        <v>0</v>
      </c>
      <c r="S68" s="292">
        <f t="shared" si="42"/>
        <v>0</v>
      </c>
      <c r="T68" s="292">
        <f t="shared" si="7"/>
        <v>0</v>
      </c>
      <c r="U68" s="292">
        <f t="shared" si="8"/>
        <v>0</v>
      </c>
      <c r="V68" s="292">
        <f t="shared" si="43"/>
        <v>0</v>
      </c>
      <c r="W68" s="292">
        <f t="shared" si="44"/>
        <v>0</v>
      </c>
      <c r="X68" s="292">
        <f t="shared" si="45"/>
        <v>0</v>
      </c>
      <c r="Y68" s="292">
        <f t="shared" si="46"/>
        <v>0</v>
      </c>
      <c r="Z68" s="292">
        <f t="shared" si="47"/>
        <v>0</v>
      </c>
      <c r="AA68" s="292">
        <f t="shared" si="48"/>
        <v>0</v>
      </c>
      <c r="AB68" s="292">
        <f t="shared" si="9"/>
        <v>0</v>
      </c>
      <c r="AC68" s="292">
        <f t="shared" si="10"/>
        <v>0</v>
      </c>
      <c r="AD68" s="292">
        <f t="shared" si="11"/>
        <v>0</v>
      </c>
      <c r="AE68" s="292">
        <f t="shared" si="12"/>
        <v>0</v>
      </c>
      <c r="AF68" s="292">
        <f t="shared" si="13"/>
        <v>0</v>
      </c>
      <c r="AG68" s="292">
        <f t="shared" si="14"/>
        <v>0</v>
      </c>
      <c r="AH68" s="292">
        <f t="shared" si="15"/>
        <v>0</v>
      </c>
      <c r="AI68" s="292">
        <f t="shared" si="16"/>
        <v>0</v>
      </c>
      <c r="AJ68" s="292">
        <f t="shared" si="17"/>
        <v>0</v>
      </c>
      <c r="AK68" s="292">
        <f t="shared" si="18"/>
        <v>0</v>
      </c>
      <c r="AL68" s="292">
        <f t="shared" si="49"/>
        <v>0</v>
      </c>
      <c r="AM68" s="292">
        <f t="shared" si="50"/>
        <v>0</v>
      </c>
      <c r="AN68" s="292">
        <f t="shared" si="19"/>
        <v>0</v>
      </c>
      <c r="AO68" s="292">
        <f t="shared" si="20"/>
        <v>0</v>
      </c>
      <c r="AP68" s="292">
        <f t="shared" si="21"/>
        <v>0</v>
      </c>
      <c r="AQ68" s="292">
        <f t="shared" si="22"/>
        <v>0</v>
      </c>
      <c r="AR68" s="292">
        <f t="shared" si="23"/>
        <v>0</v>
      </c>
      <c r="AS68" s="292">
        <f t="shared" si="24"/>
        <v>0</v>
      </c>
      <c r="AT68" s="292">
        <f t="shared" si="25"/>
        <v>0</v>
      </c>
      <c r="AU68" s="292">
        <f t="shared" si="26"/>
        <v>163571</v>
      </c>
      <c r="AV68" s="292">
        <f t="shared" si="27"/>
        <v>0</v>
      </c>
      <c r="AW68" s="292">
        <f t="shared" si="28"/>
        <v>0</v>
      </c>
      <c r="AX68" s="292">
        <f t="shared" si="29"/>
        <v>0</v>
      </c>
      <c r="AY68" s="292">
        <f t="shared" si="30"/>
        <v>0</v>
      </c>
      <c r="AZ68" s="292">
        <f t="shared" si="31"/>
        <v>0</v>
      </c>
      <c r="BA68" s="292">
        <f t="shared" si="32"/>
        <v>0</v>
      </c>
      <c r="BB68" s="292">
        <f t="shared" si="33"/>
        <v>0</v>
      </c>
      <c r="BC68" s="292">
        <f t="shared" si="34"/>
        <v>0</v>
      </c>
      <c r="BD68" s="292">
        <f t="shared" si="35"/>
        <v>0</v>
      </c>
      <c r="BE68" s="292">
        <f t="shared" si="36"/>
        <v>0</v>
      </c>
      <c r="BF68" s="292">
        <f t="shared" si="37"/>
        <v>0</v>
      </c>
      <c r="BG68" s="292">
        <f t="shared" si="38"/>
        <v>0</v>
      </c>
    </row>
    <row r="69" spans="1:59" s="289" customFormat="1" ht="15" customHeight="1">
      <c r="A69" s="63">
        <f t="array" ref="A69">IF(C69&lt;&gt;0,SUM(($C$11:C69&lt;&gt;0)*1),"")</f>
        <v>59</v>
      </c>
      <c r="B69" s="1099">
        <v>42395</v>
      </c>
      <c r="C69" s="290" t="s">
        <v>187</v>
      </c>
      <c r="D69" s="1099">
        <v>42395</v>
      </c>
      <c r="E69" s="344" t="s">
        <v>418</v>
      </c>
      <c r="F69" s="345">
        <v>449822</v>
      </c>
      <c r="G69" s="346" t="s">
        <v>242</v>
      </c>
      <c r="H69" s="346" t="s">
        <v>97</v>
      </c>
      <c r="I69" s="63">
        <f t="shared" si="52"/>
        <v>59</v>
      </c>
      <c r="J69" s="292">
        <f t="shared" si="1"/>
        <v>0</v>
      </c>
      <c r="K69" s="292">
        <f t="shared" si="2"/>
        <v>449822</v>
      </c>
      <c r="L69" s="292">
        <f t="shared" si="3"/>
        <v>0</v>
      </c>
      <c r="M69" s="292">
        <f t="shared" si="4"/>
        <v>0</v>
      </c>
      <c r="N69" s="292">
        <f t="shared" si="39"/>
        <v>0</v>
      </c>
      <c r="O69" s="292">
        <f t="shared" si="40"/>
        <v>0</v>
      </c>
      <c r="P69" s="292">
        <f t="shared" si="5"/>
        <v>0</v>
      </c>
      <c r="Q69" s="292">
        <f t="shared" si="6"/>
        <v>0</v>
      </c>
      <c r="R69" s="292">
        <f t="shared" si="41"/>
        <v>0</v>
      </c>
      <c r="S69" s="292">
        <f t="shared" si="42"/>
        <v>0</v>
      </c>
      <c r="T69" s="292">
        <f t="shared" si="7"/>
        <v>0</v>
      </c>
      <c r="U69" s="292">
        <f t="shared" si="8"/>
        <v>0</v>
      </c>
      <c r="V69" s="292">
        <f t="shared" si="43"/>
        <v>0</v>
      </c>
      <c r="W69" s="292">
        <f t="shared" si="44"/>
        <v>0</v>
      </c>
      <c r="X69" s="292">
        <f t="shared" si="45"/>
        <v>0</v>
      </c>
      <c r="Y69" s="292">
        <f t="shared" si="46"/>
        <v>0</v>
      </c>
      <c r="Z69" s="292">
        <f t="shared" si="47"/>
        <v>449822</v>
      </c>
      <c r="AA69" s="292">
        <f t="shared" si="48"/>
        <v>0</v>
      </c>
      <c r="AB69" s="292">
        <f t="shared" si="9"/>
        <v>0</v>
      </c>
      <c r="AC69" s="292">
        <f t="shared" si="10"/>
        <v>0</v>
      </c>
      <c r="AD69" s="292">
        <f t="shared" si="11"/>
        <v>0</v>
      </c>
      <c r="AE69" s="292">
        <f t="shared" si="12"/>
        <v>0</v>
      </c>
      <c r="AF69" s="292">
        <f t="shared" si="13"/>
        <v>0</v>
      </c>
      <c r="AG69" s="292">
        <f t="shared" si="14"/>
        <v>0</v>
      </c>
      <c r="AH69" s="292">
        <f t="shared" si="15"/>
        <v>0</v>
      </c>
      <c r="AI69" s="292">
        <f t="shared" si="16"/>
        <v>0</v>
      </c>
      <c r="AJ69" s="292">
        <f t="shared" si="17"/>
        <v>0</v>
      </c>
      <c r="AK69" s="292">
        <f t="shared" si="18"/>
        <v>0</v>
      </c>
      <c r="AL69" s="292">
        <f t="shared" si="49"/>
        <v>0</v>
      </c>
      <c r="AM69" s="292">
        <f t="shared" si="50"/>
        <v>0</v>
      </c>
      <c r="AN69" s="292">
        <f t="shared" si="19"/>
        <v>0</v>
      </c>
      <c r="AO69" s="292">
        <f t="shared" si="20"/>
        <v>0</v>
      </c>
      <c r="AP69" s="292">
        <f t="shared" si="21"/>
        <v>0</v>
      </c>
      <c r="AQ69" s="292">
        <f t="shared" si="22"/>
        <v>0</v>
      </c>
      <c r="AR69" s="292">
        <f t="shared" si="23"/>
        <v>0</v>
      </c>
      <c r="AS69" s="292">
        <f t="shared" si="24"/>
        <v>0</v>
      </c>
      <c r="AT69" s="292">
        <f t="shared" si="25"/>
        <v>0</v>
      </c>
      <c r="AU69" s="292">
        <f t="shared" si="26"/>
        <v>0</v>
      </c>
      <c r="AV69" s="292">
        <f t="shared" si="27"/>
        <v>0</v>
      </c>
      <c r="AW69" s="292">
        <f t="shared" si="28"/>
        <v>0</v>
      </c>
      <c r="AX69" s="292">
        <f t="shared" si="29"/>
        <v>0</v>
      </c>
      <c r="AY69" s="292">
        <f t="shared" si="30"/>
        <v>0</v>
      </c>
      <c r="AZ69" s="292">
        <f t="shared" si="31"/>
        <v>0</v>
      </c>
      <c r="BA69" s="292">
        <f t="shared" si="32"/>
        <v>0</v>
      </c>
      <c r="BB69" s="292">
        <f t="shared" si="33"/>
        <v>0</v>
      </c>
      <c r="BC69" s="292">
        <f t="shared" si="34"/>
        <v>0</v>
      </c>
      <c r="BD69" s="292">
        <f t="shared" si="35"/>
        <v>0</v>
      </c>
      <c r="BE69" s="292">
        <f t="shared" si="36"/>
        <v>0</v>
      </c>
      <c r="BF69" s="292">
        <f t="shared" si="37"/>
        <v>0</v>
      </c>
      <c r="BG69" s="292">
        <f t="shared" si="38"/>
        <v>0</v>
      </c>
    </row>
    <row r="70" spans="1:59" s="289" customFormat="1" ht="15" customHeight="1">
      <c r="A70" s="63">
        <f t="array" ref="A70">IF(C70&lt;&gt;0,SUM(($C$11:C70&lt;&gt;0)*1),"")</f>
        <v>60</v>
      </c>
      <c r="B70" s="1099">
        <v>42395</v>
      </c>
      <c r="C70" s="290" t="s">
        <v>1014</v>
      </c>
      <c r="D70" s="1099">
        <v>42370</v>
      </c>
      <c r="E70" s="344" t="s">
        <v>308</v>
      </c>
      <c r="F70" s="345">
        <v>10490880</v>
      </c>
      <c r="G70" s="346" t="s">
        <v>135</v>
      </c>
      <c r="H70" s="346" t="s">
        <v>9</v>
      </c>
      <c r="I70" s="63">
        <f t="shared" si="52"/>
        <v>60</v>
      </c>
      <c r="J70" s="292">
        <f t="shared" si="1"/>
        <v>0</v>
      </c>
      <c r="K70" s="292">
        <f t="shared" si="2"/>
        <v>0</v>
      </c>
      <c r="L70" s="292">
        <f t="shared" si="3"/>
        <v>0</v>
      </c>
      <c r="M70" s="292">
        <f t="shared" si="4"/>
        <v>0</v>
      </c>
      <c r="N70" s="292">
        <f t="shared" si="39"/>
        <v>0</v>
      </c>
      <c r="O70" s="292">
        <f t="shared" si="40"/>
        <v>0</v>
      </c>
      <c r="P70" s="292">
        <f t="shared" si="5"/>
        <v>0</v>
      </c>
      <c r="Q70" s="292">
        <f t="shared" si="6"/>
        <v>0</v>
      </c>
      <c r="R70" s="292">
        <f t="shared" si="41"/>
        <v>0</v>
      </c>
      <c r="S70" s="292">
        <f t="shared" si="42"/>
        <v>0</v>
      </c>
      <c r="T70" s="292">
        <f t="shared" si="7"/>
        <v>0</v>
      </c>
      <c r="U70" s="292">
        <f t="shared" si="8"/>
        <v>0</v>
      </c>
      <c r="V70" s="292">
        <f t="shared" si="43"/>
        <v>0</v>
      </c>
      <c r="W70" s="292">
        <f t="shared" si="44"/>
        <v>0</v>
      </c>
      <c r="X70" s="292">
        <f t="shared" si="45"/>
        <v>0</v>
      </c>
      <c r="Y70" s="292">
        <f t="shared" si="46"/>
        <v>0</v>
      </c>
      <c r="Z70" s="292">
        <f t="shared" si="47"/>
        <v>0</v>
      </c>
      <c r="AA70" s="292">
        <f t="shared" si="48"/>
        <v>0</v>
      </c>
      <c r="AB70" s="292">
        <f t="shared" si="9"/>
        <v>0</v>
      </c>
      <c r="AC70" s="292">
        <f t="shared" si="10"/>
        <v>10490880</v>
      </c>
      <c r="AD70" s="292">
        <f t="shared" si="11"/>
        <v>0</v>
      </c>
      <c r="AE70" s="292">
        <f t="shared" si="12"/>
        <v>0</v>
      </c>
      <c r="AF70" s="292">
        <f t="shared" si="13"/>
        <v>0</v>
      </c>
      <c r="AG70" s="292">
        <f t="shared" si="14"/>
        <v>0</v>
      </c>
      <c r="AH70" s="292">
        <f t="shared" si="15"/>
        <v>0</v>
      </c>
      <c r="AI70" s="292">
        <f t="shared" si="16"/>
        <v>0</v>
      </c>
      <c r="AJ70" s="292">
        <f t="shared" si="17"/>
        <v>0</v>
      </c>
      <c r="AK70" s="292">
        <f t="shared" si="18"/>
        <v>0</v>
      </c>
      <c r="AL70" s="292">
        <f t="shared" si="49"/>
        <v>0</v>
      </c>
      <c r="AM70" s="292">
        <f t="shared" si="50"/>
        <v>0</v>
      </c>
      <c r="AN70" s="292">
        <f t="shared" si="19"/>
        <v>0</v>
      </c>
      <c r="AO70" s="292">
        <f t="shared" si="20"/>
        <v>0</v>
      </c>
      <c r="AP70" s="292">
        <f t="shared" si="21"/>
        <v>0</v>
      </c>
      <c r="AQ70" s="292">
        <f t="shared" si="22"/>
        <v>0</v>
      </c>
      <c r="AR70" s="292">
        <f t="shared" si="23"/>
        <v>0</v>
      </c>
      <c r="AS70" s="292">
        <f t="shared" si="24"/>
        <v>0</v>
      </c>
      <c r="AT70" s="292">
        <f t="shared" si="25"/>
        <v>0</v>
      </c>
      <c r="AU70" s="292">
        <f t="shared" si="26"/>
        <v>0</v>
      </c>
      <c r="AV70" s="292">
        <f t="shared" si="27"/>
        <v>0</v>
      </c>
      <c r="AW70" s="292">
        <f t="shared" si="28"/>
        <v>0</v>
      </c>
      <c r="AX70" s="292">
        <f t="shared" si="29"/>
        <v>10490880</v>
      </c>
      <c r="AY70" s="292">
        <f t="shared" si="30"/>
        <v>0</v>
      </c>
      <c r="AZ70" s="292">
        <f t="shared" si="31"/>
        <v>0</v>
      </c>
      <c r="BA70" s="292">
        <f t="shared" si="32"/>
        <v>0</v>
      </c>
      <c r="BB70" s="292">
        <f t="shared" si="33"/>
        <v>0</v>
      </c>
      <c r="BC70" s="292">
        <f t="shared" si="34"/>
        <v>0</v>
      </c>
      <c r="BD70" s="292">
        <f t="shared" si="35"/>
        <v>0</v>
      </c>
      <c r="BE70" s="292">
        <f t="shared" si="36"/>
        <v>0</v>
      </c>
      <c r="BF70" s="292">
        <f t="shared" si="37"/>
        <v>0</v>
      </c>
      <c r="BG70" s="292">
        <f t="shared" si="38"/>
        <v>0</v>
      </c>
    </row>
    <row r="71" spans="1:59" s="289" customFormat="1" ht="15" customHeight="1">
      <c r="A71" s="63">
        <f t="array" ref="A71">IF(C71&lt;&gt;0,SUM(($C$11:C71&lt;&gt;0)*1),"")</f>
        <v>61</v>
      </c>
      <c r="B71" s="1099">
        <v>42395</v>
      </c>
      <c r="C71" s="290" t="s">
        <v>1014</v>
      </c>
      <c r="D71" s="1099">
        <v>42370</v>
      </c>
      <c r="E71" s="344" t="s">
        <v>310</v>
      </c>
      <c r="F71" s="345">
        <v>1049088</v>
      </c>
      <c r="G71" s="346" t="s">
        <v>10</v>
      </c>
      <c r="H71" s="346" t="s">
        <v>9</v>
      </c>
      <c r="I71" s="63">
        <f t="shared" si="52"/>
        <v>61</v>
      </c>
      <c r="J71" s="292">
        <f t="shared" si="1"/>
        <v>0</v>
      </c>
      <c r="K71" s="292">
        <f t="shared" si="2"/>
        <v>0</v>
      </c>
      <c r="L71" s="292">
        <f t="shared" si="3"/>
        <v>0</v>
      </c>
      <c r="M71" s="292">
        <f t="shared" si="4"/>
        <v>0</v>
      </c>
      <c r="N71" s="292">
        <f t="shared" si="39"/>
        <v>0</v>
      </c>
      <c r="O71" s="292">
        <f t="shared" si="40"/>
        <v>0</v>
      </c>
      <c r="P71" s="292">
        <f t="shared" si="5"/>
        <v>1049088</v>
      </c>
      <c r="Q71" s="292">
        <f t="shared" si="6"/>
        <v>0</v>
      </c>
      <c r="R71" s="292">
        <f t="shared" si="41"/>
        <v>0</v>
      </c>
      <c r="S71" s="292">
        <f t="shared" si="42"/>
        <v>0</v>
      </c>
      <c r="T71" s="292">
        <f t="shared" si="7"/>
        <v>0</v>
      </c>
      <c r="U71" s="292">
        <f t="shared" si="8"/>
        <v>0</v>
      </c>
      <c r="V71" s="292">
        <f t="shared" si="43"/>
        <v>0</v>
      </c>
      <c r="W71" s="292">
        <f t="shared" si="44"/>
        <v>0</v>
      </c>
      <c r="X71" s="292">
        <f t="shared" si="45"/>
        <v>0</v>
      </c>
      <c r="Y71" s="292">
        <f t="shared" si="46"/>
        <v>0</v>
      </c>
      <c r="Z71" s="292">
        <f t="shared" si="47"/>
        <v>0</v>
      </c>
      <c r="AA71" s="292">
        <f t="shared" si="48"/>
        <v>0</v>
      </c>
      <c r="AB71" s="292">
        <f t="shared" si="9"/>
        <v>0</v>
      </c>
      <c r="AC71" s="292">
        <f t="shared" si="10"/>
        <v>1049088</v>
      </c>
      <c r="AD71" s="292">
        <f t="shared" si="11"/>
        <v>0</v>
      </c>
      <c r="AE71" s="292">
        <f t="shared" si="12"/>
        <v>0</v>
      </c>
      <c r="AF71" s="292">
        <f t="shared" si="13"/>
        <v>0</v>
      </c>
      <c r="AG71" s="292">
        <f t="shared" si="14"/>
        <v>0</v>
      </c>
      <c r="AH71" s="292">
        <f t="shared" si="15"/>
        <v>0</v>
      </c>
      <c r="AI71" s="292">
        <f t="shared" si="16"/>
        <v>0</v>
      </c>
      <c r="AJ71" s="292">
        <f t="shared" si="17"/>
        <v>0</v>
      </c>
      <c r="AK71" s="292">
        <f t="shared" si="18"/>
        <v>0</v>
      </c>
      <c r="AL71" s="292">
        <f t="shared" si="49"/>
        <v>0</v>
      </c>
      <c r="AM71" s="292">
        <f t="shared" si="50"/>
        <v>0</v>
      </c>
      <c r="AN71" s="292">
        <f t="shared" si="19"/>
        <v>0</v>
      </c>
      <c r="AO71" s="292">
        <f t="shared" si="20"/>
        <v>0</v>
      </c>
      <c r="AP71" s="292">
        <f t="shared" si="21"/>
        <v>0</v>
      </c>
      <c r="AQ71" s="292">
        <f t="shared" si="22"/>
        <v>0</v>
      </c>
      <c r="AR71" s="292">
        <f t="shared" si="23"/>
        <v>0</v>
      </c>
      <c r="AS71" s="292">
        <f t="shared" si="24"/>
        <v>0</v>
      </c>
      <c r="AT71" s="292">
        <f t="shared" si="25"/>
        <v>0</v>
      </c>
      <c r="AU71" s="292">
        <f t="shared" si="26"/>
        <v>0</v>
      </c>
      <c r="AV71" s="292">
        <f t="shared" si="27"/>
        <v>0</v>
      </c>
      <c r="AW71" s="292">
        <f t="shared" si="28"/>
        <v>0</v>
      </c>
      <c r="AX71" s="292">
        <f t="shared" si="29"/>
        <v>0</v>
      </c>
      <c r="AY71" s="292">
        <f t="shared" si="30"/>
        <v>0</v>
      </c>
      <c r="AZ71" s="292">
        <f t="shared" si="31"/>
        <v>0</v>
      </c>
      <c r="BA71" s="292">
        <f t="shared" si="32"/>
        <v>0</v>
      </c>
      <c r="BB71" s="292">
        <f t="shared" si="33"/>
        <v>0</v>
      </c>
      <c r="BC71" s="292">
        <f t="shared" si="34"/>
        <v>0</v>
      </c>
      <c r="BD71" s="292">
        <f t="shared" si="35"/>
        <v>0</v>
      </c>
      <c r="BE71" s="292">
        <f t="shared" si="36"/>
        <v>0</v>
      </c>
      <c r="BF71" s="292">
        <f t="shared" si="37"/>
        <v>0</v>
      </c>
      <c r="BG71" s="292">
        <f t="shared" si="38"/>
        <v>0</v>
      </c>
    </row>
    <row r="72" spans="1:59" s="289" customFormat="1" ht="15" customHeight="1">
      <c r="A72" s="63">
        <f t="array" ref="A72">IF(C72&lt;&gt;0,SUM(($C$11:C72&lt;&gt;0)*1),"")</f>
        <v>62</v>
      </c>
      <c r="B72" s="1099">
        <v>42395</v>
      </c>
      <c r="C72" s="290" t="s">
        <v>1014</v>
      </c>
      <c r="D72" s="1099">
        <v>42374</v>
      </c>
      <c r="E72" s="344" t="s">
        <v>366</v>
      </c>
      <c r="F72" s="345">
        <v>809090909</v>
      </c>
      <c r="G72" s="346" t="s">
        <v>242</v>
      </c>
      <c r="H72" s="346" t="s">
        <v>9</v>
      </c>
      <c r="I72" s="63">
        <f t="shared" si="52"/>
        <v>62</v>
      </c>
      <c r="J72" s="292">
        <f t="shared" si="1"/>
        <v>0</v>
      </c>
      <c r="K72" s="292">
        <f t="shared" si="2"/>
        <v>0</v>
      </c>
      <c r="L72" s="292">
        <f t="shared" si="3"/>
        <v>0</v>
      </c>
      <c r="M72" s="292">
        <f t="shared" si="4"/>
        <v>0</v>
      </c>
      <c r="N72" s="292">
        <f t="shared" si="39"/>
        <v>0</v>
      </c>
      <c r="O72" s="292">
        <f t="shared" si="40"/>
        <v>0</v>
      </c>
      <c r="P72" s="292">
        <f t="shared" si="5"/>
        <v>0</v>
      </c>
      <c r="Q72" s="292">
        <f t="shared" si="6"/>
        <v>0</v>
      </c>
      <c r="R72" s="292">
        <f t="shared" si="41"/>
        <v>0</v>
      </c>
      <c r="S72" s="292">
        <f t="shared" si="42"/>
        <v>0</v>
      </c>
      <c r="T72" s="292">
        <f t="shared" si="7"/>
        <v>0</v>
      </c>
      <c r="U72" s="292">
        <f t="shared" si="8"/>
        <v>0</v>
      </c>
      <c r="V72" s="292">
        <f t="shared" si="43"/>
        <v>0</v>
      </c>
      <c r="W72" s="292">
        <f t="shared" si="44"/>
        <v>0</v>
      </c>
      <c r="X72" s="292">
        <f t="shared" si="45"/>
        <v>0</v>
      </c>
      <c r="Y72" s="292">
        <f t="shared" si="46"/>
        <v>0</v>
      </c>
      <c r="Z72" s="292">
        <f t="shared" si="47"/>
        <v>809090909</v>
      </c>
      <c r="AA72" s="292">
        <f t="shared" si="48"/>
        <v>0</v>
      </c>
      <c r="AB72" s="292">
        <f t="shared" si="9"/>
        <v>0</v>
      </c>
      <c r="AC72" s="292">
        <f t="shared" si="10"/>
        <v>809090909</v>
      </c>
      <c r="AD72" s="292">
        <f t="shared" si="11"/>
        <v>0</v>
      </c>
      <c r="AE72" s="292">
        <f t="shared" si="12"/>
        <v>0</v>
      </c>
      <c r="AF72" s="292">
        <f t="shared" si="13"/>
        <v>0</v>
      </c>
      <c r="AG72" s="292">
        <f t="shared" si="14"/>
        <v>0</v>
      </c>
      <c r="AH72" s="292">
        <f t="shared" si="15"/>
        <v>0</v>
      </c>
      <c r="AI72" s="292">
        <f t="shared" si="16"/>
        <v>0</v>
      </c>
      <c r="AJ72" s="292">
        <f t="shared" si="17"/>
        <v>0</v>
      </c>
      <c r="AK72" s="292">
        <f t="shared" si="18"/>
        <v>0</v>
      </c>
      <c r="AL72" s="292">
        <f t="shared" si="49"/>
        <v>0</v>
      </c>
      <c r="AM72" s="292">
        <f t="shared" si="50"/>
        <v>0</v>
      </c>
      <c r="AN72" s="292">
        <f t="shared" si="19"/>
        <v>0</v>
      </c>
      <c r="AO72" s="292">
        <f t="shared" si="20"/>
        <v>0</v>
      </c>
      <c r="AP72" s="292">
        <f t="shared" si="21"/>
        <v>0</v>
      </c>
      <c r="AQ72" s="292">
        <f t="shared" si="22"/>
        <v>0</v>
      </c>
      <c r="AR72" s="292">
        <f t="shared" si="23"/>
        <v>0</v>
      </c>
      <c r="AS72" s="292">
        <f t="shared" si="24"/>
        <v>0</v>
      </c>
      <c r="AT72" s="292">
        <f t="shared" si="25"/>
        <v>0</v>
      </c>
      <c r="AU72" s="292">
        <f t="shared" si="26"/>
        <v>0</v>
      </c>
      <c r="AV72" s="292">
        <f t="shared" si="27"/>
        <v>0</v>
      </c>
      <c r="AW72" s="292">
        <f t="shared" si="28"/>
        <v>0</v>
      </c>
      <c r="AX72" s="292">
        <f t="shared" si="29"/>
        <v>0</v>
      </c>
      <c r="AY72" s="292">
        <f t="shared" si="30"/>
        <v>0</v>
      </c>
      <c r="AZ72" s="292">
        <f t="shared" si="31"/>
        <v>0</v>
      </c>
      <c r="BA72" s="292">
        <f t="shared" si="32"/>
        <v>0</v>
      </c>
      <c r="BB72" s="292">
        <f t="shared" si="33"/>
        <v>0</v>
      </c>
      <c r="BC72" s="292">
        <f t="shared" si="34"/>
        <v>0</v>
      </c>
      <c r="BD72" s="292">
        <f t="shared" si="35"/>
        <v>0</v>
      </c>
      <c r="BE72" s="292">
        <f t="shared" si="36"/>
        <v>0</v>
      </c>
      <c r="BF72" s="292">
        <f t="shared" si="37"/>
        <v>0</v>
      </c>
      <c r="BG72" s="292">
        <f t="shared" si="38"/>
        <v>0</v>
      </c>
    </row>
    <row r="73" spans="1:59" s="289" customFormat="1" ht="15" customHeight="1">
      <c r="A73" s="63">
        <f t="array" ref="A73">IF(C73&lt;&gt;0,SUM(($C$11:C73&lt;&gt;0)*1),"")</f>
        <v>63</v>
      </c>
      <c r="B73" s="1099">
        <v>42395</v>
      </c>
      <c r="C73" s="290" t="s">
        <v>1014</v>
      </c>
      <c r="D73" s="1099">
        <v>42374</v>
      </c>
      <c r="E73" s="344" t="s">
        <v>368</v>
      </c>
      <c r="F73" s="345">
        <v>80909091</v>
      </c>
      <c r="G73" s="346" t="s">
        <v>981</v>
      </c>
      <c r="H73" s="346" t="s">
        <v>9</v>
      </c>
      <c r="I73" s="63">
        <f t="shared" si="52"/>
        <v>63</v>
      </c>
      <c r="J73" s="292">
        <f t="shared" si="1"/>
        <v>0</v>
      </c>
      <c r="K73" s="292">
        <f t="shared" si="2"/>
        <v>0</v>
      </c>
      <c r="L73" s="292">
        <f t="shared" si="3"/>
        <v>0</v>
      </c>
      <c r="M73" s="292">
        <f t="shared" si="4"/>
        <v>0</v>
      </c>
      <c r="N73" s="292">
        <f t="shared" si="39"/>
        <v>0</v>
      </c>
      <c r="O73" s="292">
        <f t="shared" si="40"/>
        <v>0</v>
      </c>
      <c r="P73" s="292">
        <f t="shared" si="5"/>
        <v>0</v>
      </c>
      <c r="Q73" s="292">
        <f t="shared" si="6"/>
        <v>0</v>
      </c>
      <c r="R73" s="292">
        <f t="shared" si="41"/>
        <v>80909091</v>
      </c>
      <c r="S73" s="292">
        <f t="shared" si="42"/>
        <v>0</v>
      </c>
      <c r="T73" s="292">
        <f t="shared" si="7"/>
        <v>0</v>
      </c>
      <c r="U73" s="292">
        <f t="shared" si="8"/>
        <v>0</v>
      </c>
      <c r="V73" s="292">
        <f t="shared" si="43"/>
        <v>0</v>
      </c>
      <c r="W73" s="292">
        <f t="shared" si="44"/>
        <v>0</v>
      </c>
      <c r="X73" s="292">
        <f t="shared" si="45"/>
        <v>0</v>
      </c>
      <c r="Y73" s="292">
        <f t="shared" si="46"/>
        <v>0</v>
      </c>
      <c r="Z73" s="292">
        <f t="shared" si="47"/>
        <v>0</v>
      </c>
      <c r="AA73" s="292">
        <f t="shared" si="48"/>
        <v>0</v>
      </c>
      <c r="AB73" s="292">
        <f t="shared" si="9"/>
        <v>0</v>
      </c>
      <c r="AC73" s="292">
        <f t="shared" si="10"/>
        <v>80909091</v>
      </c>
      <c r="AD73" s="292">
        <f t="shared" si="11"/>
        <v>0</v>
      </c>
      <c r="AE73" s="292">
        <f t="shared" si="12"/>
        <v>0</v>
      </c>
      <c r="AF73" s="292">
        <f t="shared" si="13"/>
        <v>0</v>
      </c>
      <c r="AG73" s="292">
        <f t="shared" si="14"/>
        <v>0</v>
      </c>
      <c r="AH73" s="292">
        <f t="shared" si="15"/>
        <v>0</v>
      </c>
      <c r="AI73" s="292">
        <f t="shared" si="16"/>
        <v>0</v>
      </c>
      <c r="AJ73" s="292">
        <f t="shared" si="17"/>
        <v>0</v>
      </c>
      <c r="AK73" s="292">
        <f t="shared" si="18"/>
        <v>0</v>
      </c>
      <c r="AL73" s="292">
        <f t="shared" si="49"/>
        <v>0</v>
      </c>
      <c r="AM73" s="292">
        <f t="shared" si="50"/>
        <v>0</v>
      </c>
      <c r="AN73" s="292">
        <f t="shared" si="19"/>
        <v>0</v>
      </c>
      <c r="AO73" s="292">
        <f t="shared" si="20"/>
        <v>0</v>
      </c>
      <c r="AP73" s="292">
        <f t="shared" si="21"/>
        <v>0</v>
      </c>
      <c r="AQ73" s="292">
        <f t="shared" si="22"/>
        <v>0</v>
      </c>
      <c r="AR73" s="292">
        <f t="shared" si="23"/>
        <v>0</v>
      </c>
      <c r="AS73" s="292">
        <f t="shared" si="24"/>
        <v>0</v>
      </c>
      <c r="AT73" s="292">
        <f t="shared" si="25"/>
        <v>0</v>
      </c>
      <c r="AU73" s="292">
        <f t="shared" si="26"/>
        <v>0</v>
      </c>
      <c r="AV73" s="292">
        <f t="shared" si="27"/>
        <v>0</v>
      </c>
      <c r="AW73" s="292">
        <f t="shared" si="28"/>
        <v>0</v>
      </c>
      <c r="AX73" s="292">
        <f t="shared" si="29"/>
        <v>0</v>
      </c>
      <c r="AY73" s="292">
        <f t="shared" si="30"/>
        <v>0</v>
      </c>
      <c r="AZ73" s="292">
        <f t="shared" si="31"/>
        <v>0</v>
      </c>
      <c r="BA73" s="292">
        <f t="shared" si="32"/>
        <v>0</v>
      </c>
      <c r="BB73" s="292">
        <f t="shared" si="33"/>
        <v>0</v>
      </c>
      <c r="BC73" s="292">
        <f t="shared" si="34"/>
        <v>0</v>
      </c>
      <c r="BD73" s="292">
        <f t="shared" si="35"/>
        <v>0</v>
      </c>
      <c r="BE73" s="292">
        <f t="shared" si="36"/>
        <v>0</v>
      </c>
      <c r="BF73" s="292">
        <f t="shared" si="37"/>
        <v>0</v>
      </c>
      <c r="BG73" s="292">
        <f t="shared" si="38"/>
        <v>0</v>
      </c>
    </row>
    <row r="74" spans="1:59" s="289" customFormat="1" ht="15" customHeight="1">
      <c r="A74" s="63">
        <f t="array" ref="A74">IF(C74&lt;&gt;0,SUM(($C$11:C74&lt;&gt;0)*1),"")</f>
        <v>64</v>
      </c>
      <c r="B74" s="1099">
        <v>42395</v>
      </c>
      <c r="C74" s="290" t="s">
        <v>1014</v>
      </c>
      <c r="D74" s="1099">
        <v>42375</v>
      </c>
      <c r="E74" s="344" t="s">
        <v>369</v>
      </c>
      <c r="F74" s="345">
        <v>155454545</v>
      </c>
      <c r="G74" s="346" t="s">
        <v>242</v>
      </c>
      <c r="H74" s="346" t="s">
        <v>9</v>
      </c>
      <c r="I74" s="63">
        <f t="shared" si="52"/>
        <v>64</v>
      </c>
      <c r="J74" s="292">
        <f t="shared" si="1"/>
        <v>0</v>
      </c>
      <c r="K74" s="292">
        <f t="shared" si="2"/>
        <v>0</v>
      </c>
      <c r="L74" s="292">
        <f t="shared" si="3"/>
        <v>0</v>
      </c>
      <c r="M74" s="292">
        <f t="shared" si="4"/>
        <v>0</v>
      </c>
      <c r="N74" s="292">
        <f t="shared" si="39"/>
        <v>0</v>
      </c>
      <c r="O74" s="292">
        <f t="shared" si="40"/>
        <v>0</v>
      </c>
      <c r="P74" s="292">
        <f t="shared" si="5"/>
        <v>0</v>
      </c>
      <c r="Q74" s="292">
        <f t="shared" si="6"/>
        <v>0</v>
      </c>
      <c r="R74" s="292">
        <f t="shared" si="41"/>
        <v>0</v>
      </c>
      <c r="S74" s="292">
        <f t="shared" si="42"/>
        <v>0</v>
      </c>
      <c r="T74" s="292">
        <f t="shared" si="7"/>
        <v>0</v>
      </c>
      <c r="U74" s="292">
        <f t="shared" si="8"/>
        <v>0</v>
      </c>
      <c r="V74" s="292">
        <f t="shared" si="43"/>
        <v>0</v>
      </c>
      <c r="W74" s="292">
        <f t="shared" si="44"/>
        <v>0</v>
      </c>
      <c r="X74" s="292">
        <f t="shared" si="45"/>
        <v>0</v>
      </c>
      <c r="Y74" s="292">
        <f t="shared" si="46"/>
        <v>0</v>
      </c>
      <c r="Z74" s="292">
        <f t="shared" si="47"/>
        <v>155454545</v>
      </c>
      <c r="AA74" s="292">
        <f t="shared" si="48"/>
        <v>0</v>
      </c>
      <c r="AB74" s="292">
        <f t="shared" si="9"/>
        <v>0</v>
      </c>
      <c r="AC74" s="292">
        <f t="shared" si="10"/>
        <v>155454545</v>
      </c>
      <c r="AD74" s="292">
        <f t="shared" si="11"/>
        <v>0</v>
      </c>
      <c r="AE74" s="292">
        <f t="shared" si="12"/>
        <v>0</v>
      </c>
      <c r="AF74" s="292">
        <f t="shared" si="13"/>
        <v>0</v>
      </c>
      <c r="AG74" s="292">
        <f t="shared" si="14"/>
        <v>0</v>
      </c>
      <c r="AH74" s="292">
        <f t="shared" si="15"/>
        <v>0</v>
      </c>
      <c r="AI74" s="292">
        <f t="shared" si="16"/>
        <v>0</v>
      </c>
      <c r="AJ74" s="292">
        <f t="shared" si="17"/>
        <v>0</v>
      </c>
      <c r="AK74" s="292">
        <f t="shared" si="18"/>
        <v>0</v>
      </c>
      <c r="AL74" s="292">
        <f t="shared" si="49"/>
        <v>0</v>
      </c>
      <c r="AM74" s="292">
        <f t="shared" si="50"/>
        <v>0</v>
      </c>
      <c r="AN74" s="292">
        <f t="shared" si="19"/>
        <v>0</v>
      </c>
      <c r="AO74" s="292">
        <f t="shared" si="20"/>
        <v>0</v>
      </c>
      <c r="AP74" s="292">
        <f t="shared" si="21"/>
        <v>0</v>
      </c>
      <c r="AQ74" s="292">
        <f t="shared" si="22"/>
        <v>0</v>
      </c>
      <c r="AR74" s="292">
        <f t="shared" si="23"/>
        <v>0</v>
      </c>
      <c r="AS74" s="292">
        <f t="shared" si="24"/>
        <v>0</v>
      </c>
      <c r="AT74" s="292">
        <f t="shared" si="25"/>
        <v>0</v>
      </c>
      <c r="AU74" s="292">
        <f t="shared" si="26"/>
        <v>0</v>
      </c>
      <c r="AV74" s="292">
        <f t="shared" si="27"/>
        <v>0</v>
      </c>
      <c r="AW74" s="292">
        <f t="shared" si="28"/>
        <v>0</v>
      </c>
      <c r="AX74" s="292">
        <f t="shared" si="29"/>
        <v>0</v>
      </c>
      <c r="AY74" s="292">
        <f t="shared" si="30"/>
        <v>0</v>
      </c>
      <c r="AZ74" s="292">
        <f t="shared" si="31"/>
        <v>0</v>
      </c>
      <c r="BA74" s="292">
        <f t="shared" si="32"/>
        <v>0</v>
      </c>
      <c r="BB74" s="292">
        <f t="shared" si="33"/>
        <v>0</v>
      </c>
      <c r="BC74" s="292">
        <f t="shared" si="34"/>
        <v>0</v>
      </c>
      <c r="BD74" s="292">
        <f t="shared" si="35"/>
        <v>0</v>
      </c>
      <c r="BE74" s="292">
        <f t="shared" si="36"/>
        <v>0</v>
      </c>
      <c r="BF74" s="292">
        <f t="shared" si="37"/>
        <v>0</v>
      </c>
      <c r="BG74" s="292">
        <f t="shared" si="38"/>
        <v>0</v>
      </c>
    </row>
    <row r="75" spans="1:59" s="289" customFormat="1" ht="15" customHeight="1">
      <c r="A75" s="63">
        <f t="array" ref="A75">IF(C75&lt;&gt;0,SUM(($C$11:C75&lt;&gt;0)*1),"")</f>
        <v>65</v>
      </c>
      <c r="B75" s="1099">
        <v>42395</v>
      </c>
      <c r="C75" s="290" t="s">
        <v>1014</v>
      </c>
      <c r="D75" s="1099">
        <v>42375</v>
      </c>
      <c r="E75" s="344" t="s">
        <v>371</v>
      </c>
      <c r="F75" s="345">
        <v>15545455</v>
      </c>
      <c r="G75" s="346" t="s">
        <v>981</v>
      </c>
      <c r="H75" s="346" t="s">
        <v>9</v>
      </c>
      <c r="I75" s="63">
        <f t="shared" si="52"/>
        <v>65</v>
      </c>
      <c r="J75" s="292">
        <f t="shared" si="1"/>
        <v>0</v>
      </c>
      <c r="K75" s="292">
        <f t="shared" si="2"/>
        <v>0</v>
      </c>
      <c r="L75" s="292">
        <f t="shared" si="3"/>
        <v>0</v>
      </c>
      <c r="M75" s="292">
        <f t="shared" si="4"/>
        <v>0</v>
      </c>
      <c r="N75" s="292">
        <f t="shared" si="39"/>
        <v>0</v>
      </c>
      <c r="O75" s="292">
        <f t="shared" si="40"/>
        <v>0</v>
      </c>
      <c r="P75" s="292">
        <f t="shared" si="5"/>
        <v>0</v>
      </c>
      <c r="Q75" s="292">
        <f t="shared" si="6"/>
        <v>0</v>
      </c>
      <c r="R75" s="292">
        <f t="shared" si="41"/>
        <v>15545455</v>
      </c>
      <c r="S75" s="292">
        <f t="shared" si="42"/>
        <v>0</v>
      </c>
      <c r="T75" s="292">
        <f t="shared" si="7"/>
        <v>0</v>
      </c>
      <c r="U75" s="292">
        <f t="shared" si="8"/>
        <v>0</v>
      </c>
      <c r="V75" s="292">
        <f t="shared" si="43"/>
        <v>0</v>
      </c>
      <c r="W75" s="292">
        <f t="shared" si="44"/>
        <v>0</v>
      </c>
      <c r="X75" s="292">
        <f t="shared" si="45"/>
        <v>0</v>
      </c>
      <c r="Y75" s="292">
        <f t="shared" si="46"/>
        <v>0</v>
      </c>
      <c r="Z75" s="292">
        <f t="shared" si="47"/>
        <v>0</v>
      </c>
      <c r="AA75" s="292">
        <f t="shared" si="48"/>
        <v>0</v>
      </c>
      <c r="AB75" s="292">
        <f t="shared" si="9"/>
        <v>0</v>
      </c>
      <c r="AC75" s="292">
        <f t="shared" si="10"/>
        <v>15545455</v>
      </c>
      <c r="AD75" s="292">
        <f t="shared" si="11"/>
        <v>0</v>
      </c>
      <c r="AE75" s="292">
        <f t="shared" si="12"/>
        <v>0</v>
      </c>
      <c r="AF75" s="292">
        <f t="shared" si="13"/>
        <v>0</v>
      </c>
      <c r="AG75" s="292">
        <f t="shared" si="14"/>
        <v>0</v>
      </c>
      <c r="AH75" s="292">
        <f t="shared" si="15"/>
        <v>0</v>
      </c>
      <c r="AI75" s="292">
        <f t="shared" si="16"/>
        <v>0</v>
      </c>
      <c r="AJ75" s="292">
        <f t="shared" si="17"/>
        <v>0</v>
      </c>
      <c r="AK75" s="292">
        <f t="shared" si="18"/>
        <v>0</v>
      </c>
      <c r="AL75" s="292">
        <f t="shared" si="49"/>
        <v>0</v>
      </c>
      <c r="AM75" s="292">
        <f t="shared" si="50"/>
        <v>0</v>
      </c>
      <c r="AN75" s="292">
        <f t="shared" si="19"/>
        <v>0</v>
      </c>
      <c r="AO75" s="292">
        <f t="shared" si="20"/>
        <v>0</v>
      </c>
      <c r="AP75" s="292">
        <f t="shared" si="21"/>
        <v>0</v>
      </c>
      <c r="AQ75" s="292">
        <f t="shared" si="22"/>
        <v>0</v>
      </c>
      <c r="AR75" s="292">
        <f t="shared" si="23"/>
        <v>0</v>
      </c>
      <c r="AS75" s="292">
        <f t="shared" si="24"/>
        <v>0</v>
      </c>
      <c r="AT75" s="292">
        <f t="shared" si="25"/>
        <v>0</v>
      </c>
      <c r="AU75" s="292">
        <f t="shared" si="26"/>
        <v>0</v>
      </c>
      <c r="AV75" s="292">
        <f t="shared" si="27"/>
        <v>0</v>
      </c>
      <c r="AW75" s="292">
        <f t="shared" si="28"/>
        <v>0</v>
      </c>
      <c r="AX75" s="292">
        <f t="shared" si="29"/>
        <v>0</v>
      </c>
      <c r="AY75" s="292">
        <f t="shared" si="30"/>
        <v>0</v>
      </c>
      <c r="AZ75" s="292">
        <f t="shared" si="31"/>
        <v>0</v>
      </c>
      <c r="BA75" s="292">
        <f t="shared" si="32"/>
        <v>0</v>
      </c>
      <c r="BB75" s="292">
        <f t="shared" si="33"/>
        <v>0</v>
      </c>
      <c r="BC75" s="292">
        <f t="shared" si="34"/>
        <v>0</v>
      </c>
      <c r="BD75" s="292">
        <f t="shared" si="35"/>
        <v>0</v>
      </c>
      <c r="BE75" s="292">
        <f t="shared" si="36"/>
        <v>0</v>
      </c>
      <c r="BF75" s="292">
        <f t="shared" si="37"/>
        <v>0</v>
      </c>
      <c r="BG75" s="292">
        <f t="shared" si="38"/>
        <v>0</v>
      </c>
    </row>
    <row r="76" spans="1:59" s="289" customFormat="1" ht="15" customHeight="1">
      <c r="A76" s="63">
        <f t="array" ref="A76">IF(C76&lt;&gt;0,SUM(($C$11:C76&lt;&gt;0)*1),"")</f>
        <v>66</v>
      </c>
      <c r="B76" s="1099">
        <v>42395</v>
      </c>
      <c r="C76" s="290" t="s">
        <v>1014</v>
      </c>
      <c r="D76" s="1099">
        <v>42380</v>
      </c>
      <c r="E76" s="344" t="s">
        <v>447</v>
      </c>
      <c r="F76" s="345">
        <v>28280100</v>
      </c>
      <c r="G76" s="346" t="s">
        <v>135</v>
      </c>
      <c r="H76" s="346" t="s">
        <v>9</v>
      </c>
      <c r="I76" s="63">
        <f t="shared" si="52"/>
        <v>66</v>
      </c>
      <c r="J76" s="292">
        <f t="shared" si="1"/>
        <v>0</v>
      </c>
      <c r="K76" s="292">
        <f t="shared" si="2"/>
        <v>0</v>
      </c>
      <c r="L76" s="292">
        <f t="shared" si="3"/>
        <v>0</v>
      </c>
      <c r="M76" s="292">
        <f t="shared" si="4"/>
        <v>0</v>
      </c>
      <c r="N76" s="292">
        <f t="shared" si="39"/>
        <v>0</v>
      </c>
      <c r="O76" s="292">
        <f t="shared" si="40"/>
        <v>0</v>
      </c>
      <c r="P76" s="292">
        <f t="shared" si="5"/>
        <v>0</v>
      </c>
      <c r="Q76" s="292">
        <f t="shared" si="6"/>
        <v>0</v>
      </c>
      <c r="R76" s="292">
        <f t="shared" ref="R76:R139" si="53">IF($G76="1332",$F76,0)</f>
        <v>0</v>
      </c>
      <c r="S76" s="292">
        <f t="shared" ref="S76:S139" si="54">IF($H76="1332",$F76,0)</f>
        <v>0</v>
      </c>
      <c r="T76" s="292">
        <f t="shared" si="7"/>
        <v>0</v>
      </c>
      <c r="U76" s="292">
        <f t="shared" si="8"/>
        <v>0</v>
      </c>
      <c r="V76" s="292">
        <f t="shared" ref="V76:V139" si="55">IF($G76="1522",$F76,0)</f>
        <v>0</v>
      </c>
      <c r="W76" s="292">
        <f t="shared" ref="W76:W139" si="56">IF($H76="1522",$F76,0)</f>
        <v>0</v>
      </c>
      <c r="X76" s="292">
        <f t="shared" ref="X76:X139" si="57">IF($G76="154",$F76,0)</f>
        <v>0</v>
      </c>
      <c r="Y76" s="292">
        <f t="shared" ref="Y76:Y139" si="58">IF($H76="154",$F76,0)</f>
        <v>0</v>
      </c>
      <c r="Z76" s="292">
        <f t="shared" si="47"/>
        <v>0</v>
      </c>
      <c r="AA76" s="292">
        <f t="shared" si="48"/>
        <v>0</v>
      </c>
      <c r="AB76" s="292">
        <f t="shared" si="9"/>
        <v>0</v>
      </c>
      <c r="AC76" s="292">
        <f t="shared" si="10"/>
        <v>28280100</v>
      </c>
      <c r="AD76" s="292">
        <f t="shared" si="11"/>
        <v>0</v>
      </c>
      <c r="AE76" s="292">
        <f t="shared" si="12"/>
        <v>0</v>
      </c>
      <c r="AF76" s="292">
        <f t="shared" si="13"/>
        <v>0</v>
      </c>
      <c r="AG76" s="292">
        <f t="shared" si="14"/>
        <v>0</v>
      </c>
      <c r="AH76" s="292">
        <f t="shared" si="15"/>
        <v>0</v>
      </c>
      <c r="AI76" s="292">
        <f t="shared" si="16"/>
        <v>0</v>
      </c>
      <c r="AJ76" s="292">
        <f t="shared" si="17"/>
        <v>0</v>
      </c>
      <c r="AK76" s="292">
        <f t="shared" si="18"/>
        <v>0</v>
      </c>
      <c r="AL76" s="292">
        <f t="shared" si="49"/>
        <v>0</v>
      </c>
      <c r="AM76" s="292">
        <f t="shared" si="50"/>
        <v>0</v>
      </c>
      <c r="AN76" s="292">
        <f t="shared" si="19"/>
        <v>0</v>
      </c>
      <c r="AO76" s="292">
        <f t="shared" si="20"/>
        <v>0</v>
      </c>
      <c r="AP76" s="292">
        <f t="shared" si="21"/>
        <v>0</v>
      </c>
      <c r="AQ76" s="292">
        <f t="shared" si="22"/>
        <v>0</v>
      </c>
      <c r="AR76" s="292">
        <f t="shared" si="23"/>
        <v>0</v>
      </c>
      <c r="AS76" s="292">
        <f t="shared" si="24"/>
        <v>0</v>
      </c>
      <c r="AT76" s="292">
        <f t="shared" si="25"/>
        <v>0</v>
      </c>
      <c r="AU76" s="292">
        <f t="shared" si="26"/>
        <v>0</v>
      </c>
      <c r="AV76" s="292">
        <f t="shared" si="27"/>
        <v>0</v>
      </c>
      <c r="AW76" s="292">
        <f t="shared" si="28"/>
        <v>0</v>
      </c>
      <c r="AX76" s="292">
        <f t="shared" si="29"/>
        <v>28280100</v>
      </c>
      <c r="AY76" s="292">
        <f t="shared" si="30"/>
        <v>0</v>
      </c>
      <c r="AZ76" s="292">
        <f t="shared" si="31"/>
        <v>0</v>
      </c>
      <c r="BA76" s="292">
        <f t="shared" si="32"/>
        <v>0</v>
      </c>
      <c r="BB76" s="292">
        <f t="shared" si="33"/>
        <v>0</v>
      </c>
      <c r="BC76" s="292">
        <f t="shared" si="34"/>
        <v>0</v>
      </c>
      <c r="BD76" s="292">
        <f t="shared" si="35"/>
        <v>0</v>
      </c>
      <c r="BE76" s="292">
        <f t="shared" si="36"/>
        <v>0</v>
      </c>
      <c r="BF76" s="292">
        <f t="shared" si="37"/>
        <v>0</v>
      </c>
      <c r="BG76" s="292">
        <f t="shared" si="38"/>
        <v>0</v>
      </c>
    </row>
    <row r="77" spans="1:59" s="289" customFormat="1" ht="15" customHeight="1">
      <c r="A77" s="63">
        <f t="array" ref="A77">IF(C77&lt;&gt;0,SUM(($C$11:C77&lt;&gt;0)*1),"")</f>
        <v>67</v>
      </c>
      <c r="B77" s="1099">
        <v>42395</v>
      </c>
      <c r="C77" s="290" t="s">
        <v>1014</v>
      </c>
      <c r="D77" s="1099">
        <v>42380</v>
      </c>
      <c r="E77" s="344" t="s">
        <v>448</v>
      </c>
      <c r="F77" s="345">
        <v>2828010</v>
      </c>
      <c r="G77" s="346" t="s">
        <v>10</v>
      </c>
      <c r="H77" s="346" t="s">
        <v>9</v>
      </c>
      <c r="I77" s="63">
        <f t="shared" si="52"/>
        <v>67</v>
      </c>
      <c r="J77" s="292">
        <f t="shared" si="1"/>
        <v>0</v>
      </c>
      <c r="K77" s="292">
        <f t="shared" si="2"/>
        <v>0</v>
      </c>
      <c r="L77" s="292">
        <f t="shared" si="3"/>
        <v>0</v>
      </c>
      <c r="M77" s="292">
        <f t="shared" si="4"/>
        <v>0</v>
      </c>
      <c r="N77" s="292">
        <f t="shared" si="39"/>
        <v>0</v>
      </c>
      <c r="O77" s="292">
        <f t="shared" si="40"/>
        <v>0</v>
      </c>
      <c r="P77" s="292">
        <f t="shared" si="5"/>
        <v>2828010</v>
      </c>
      <c r="Q77" s="292">
        <f t="shared" si="6"/>
        <v>0</v>
      </c>
      <c r="R77" s="292">
        <f t="shared" si="53"/>
        <v>0</v>
      </c>
      <c r="S77" s="292">
        <f t="shared" si="54"/>
        <v>0</v>
      </c>
      <c r="T77" s="292">
        <f t="shared" si="7"/>
        <v>0</v>
      </c>
      <c r="U77" s="292">
        <f t="shared" si="8"/>
        <v>0</v>
      </c>
      <c r="V77" s="292">
        <f t="shared" si="55"/>
        <v>0</v>
      </c>
      <c r="W77" s="292">
        <f t="shared" si="56"/>
        <v>0</v>
      </c>
      <c r="X77" s="292">
        <f t="shared" si="57"/>
        <v>0</v>
      </c>
      <c r="Y77" s="292">
        <f t="shared" si="58"/>
        <v>0</v>
      </c>
      <c r="Z77" s="292">
        <f t="shared" si="47"/>
        <v>0</v>
      </c>
      <c r="AA77" s="292">
        <f t="shared" si="48"/>
        <v>0</v>
      </c>
      <c r="AB77" s="292">
        <f t="shared" si="9"/>
        <v>0</v>
      </c>
      <c r="AC77" s="292">
        <f t="shared" si="10"/>
        <v>2828010</v>
      </c>
      <c r="AD77" s="292">
        <f t="shared" si="11"/>
        <v>0</v>
      </c>
      <c r="AE77" s="292">
        <f t="shared" si="12"/>
        <v>0</v>
      </c>
      <c r="AF77" s="292">
        <f t="shared" si="13"/>
        <v>0</v>
      </c>
      <c r="AG77" s="292">
        <f t="shared" si="14"/>
        <v>0</v>
      </c>
      <c r="AH77" s="292">
        <f t="shared" si="15"/>
        <v>0</v>
      </c>
      <c r="AI77" s="292">
        <f t="shared" si="16"/>
        <v>0</v>
      </c>
      <c r="AJ77" s="292">
        <f t="shared" si="17"/>
        <v>0</v>
      </c>
      <c r="AK77" s="292">
        <f t="shared" si="18"/>
        <v>0</v>
      </c>
      <c r="AL77" s="292">
        <f t="shared" si="49"/>
        <v>0</v>
      </c>
      <c r="AM77" s="292">
        <f t="shared" si="50"/>
        <v>0</v>
      </c>
      <c r="AN77" s="292">
        <f t="shared" si="19"/>
        <v>0</v>
      </c>
      <c r="AO77" s="292">
        <f t="shared" si="20"/>
        <v>0</v>
      </c>
      <c r="AP77" s="292">
        <f t="shared" si="21"/>
        <v>0</v>
      </c>
      <c r="AQ77" s="292">
        <f t="shared" si="22"/>
        <v>0</v>
      </c>
      <c r="AR77" s="292">
        <f t="shared" si="23"/>
        <v>0</v>
      </c>
      <c r="AS77" s="292">
        <f t="shared" si="24"/>
        <v>0</v>
      </c>
      <c r="AT77" s="292">
        <f t="shared" si="25"/>
        <v>0</v>
      </c>
      <c r="AU77" s="292">
        <f t="shared" si="26"/>
        <v>0</v>
      </c>
      <c r="AV77" s="292">
        <f t="shared" si="27"/>
        <v>0</v>
      </c>
      <c r="AW77" s="292">
        <f t="shared" si="28"/>
        <v>0</v>
      </c>
      <c r="AX77" s="292">
        <f t="shared" si="29"/>
        <v>0</v>
      </c>
      <c r="AY77" s="292">
        <f t="shared" si="30"/>
        <v>0</v>
      </c>
      <c r="AZ77" s="292">
        <f t="shared" si="31"/>
        <v>0</v>
      </c>
      <c r="BA77" s="292">
        <f t="shared" si="32"/>
        <v>0</v>
      </c>
      <c r="BB77" s="292">
        <f t="shared" si="33"/>
        <v>0</v>
      </c>
      <c r="BC77" s="292">
        <f t="shared" si="34"/>
        <v>0</v>
      </c>
      <c r="BD77" s="292">
        <f t="shared" si="35"/>
        <v>0</v>
      </c>
      <c r="BE77" s="292">
        <f t="shared" si="36"/>
        <v>0</v>
      </c>
      <c r="BF77" s="292">
        <f t="shared" si="37"/>
        <v>0</v>
      </c>
      <c r="BG77" s="292">
        <f t="shared" si="38"/>
        <v>0</v>
      </c>
    </row>
    <row r="78" spans="1:59" s="289" customFormat="1" ht="15" customHeight="1">
      <c r="A78" s="63">
        <f t="array" ref="A78">IF(C78&lt;&gt;0,SUM(($C$11:C78&lt;&gt;0)*1),"")</f>
        <v>68</v>
      </c>
      <c r="B78" s="1099">
        <v>42395</v>
      </c>
      <c r="C78" s="290" t="s">
        <v>1014</v>
      </c>
      <c r="D78" s="1099">
        <v>42381</v>
      </c>
      <c r="E78" s="344" t="s">
        <v>376</v>
      </c>
      <c r="F78" s="345">
        <v>358272727</v>
      </c>
      <c r="G78" s="346" t="s">
        <v>242</v>
      </c>
      <c r="H78" s="346" t="s">
        <v>9</v>
      </c>
      <c r="I78" s="63">
        <f t="shared" si="52"/>
        <v>68</v>
      </c>
      <c r="J78" s="292">
        <f t="shared" si="1"/>
        <v>0</v>
      </c>
      <c r="K78" s="292">
        <f t="shared" si="2"/>
        <v>0</v>
      </c>
      <c r="L78" s="292">
        <f t="shared" si="3"/>
        <v>0</v>
      </c>
      <c r="M78" s="292">
        <f t="shared" si="4"/>
        <v>0</v>
      </c>
      <c r="N78" s="292">
        <f t="shared" si="39"/>
        <v>0</v>
      </c>
      <c r="O78" s="292">
        <f t="shared" si="40"/>
        <v>0</v>
      </c>
      <c r="P78" s="292">
        <f t="shared" si="5"/>
        <v>0</v>
      </c>
      <c r="Q78" s="292">
        <f t="shared" si="6"/>
        <v>0</v>
      </c>
      <c r="R78" s="292">
        <f t="shared" si="53"/>
        <v>0</v>
      </c>
      <c r="S78" s="292">
        <f t="shared" si="54"/>
        <v>0</v>
      </c>
      <c r="T78" s="292">
        <f t="shared" si="7"/>
        <v>0</v>
      </c>
      <c r="U78" s="292">
        <f t="shared" si="8"/>
        <v>0</v>
      </c>
      <c r="V78" s="292">
        <f t="shared" si="55"/>
        <v>0</v>
      </c>
      <c r="W78" s="292">
        <f t="shared" si="56"/>
        <v>0</v>
      </c>
      <c r="X78" s="292">
        <f t="shared" si="57"/>
        <v>0</v>
      </c>
      <c r="Y78" s="292">
        <f t="shared" si="58"/>
        <v>0</v>
      </c>
      <c r="Z78" s="292">
        <f t="shared" si="47"/>
        <v>358272727</v>
      </c>
      <c r="AA78" s="292">
        <f t="shared" si="48"/>
        <v>0</v>
      </c>
      <c r="AB78" s="292">
        <f t="shared" si="9"/>
        <v>0</v>
      </c>
      <c r="AC78" s="292">
        <f t="shared" si="10"/>
        <v>358272727</v>
      </c>
      <c r="AD78" s="292">
        <f t="shared" si="11"/>
        <v>0</v>
      </c>
      <c r="AE78" s="292">
        <f t="shared" si="12"/>
        <v>0</v>
      </c>
      <c r="AF78" s="292">
        <f t="shared" si="13"/>
        <v>0</v>
      </c>
      <c r="AG78" s="292">
        <f t="shared" si="14"/>
        <v>0</v>
      </c>
      <c r="AH78" s="292">
        <f t="shared" si="15"/>
        <v>0</v>
      </c>
      <c r="AI78" s="292">
        <f t="shared" si="16"/>
        <v>0</v>
      </c>
      <c r="AJ78" s="292">
        <f t="shared" si="17"/>
        <v>0</v>
      </c>
      <c r="AK78" s="292">
        <f t="shared" si="18"/>
        <v>0</v>
      </c>
      <c r="AL78" s="292">
        <f t="shared" si="49"/>
        <v>0</v>
      </c>
      <c r="AM78" s="292">
        <f t="shared" si="50"/>
        <v>0</v>
      </c>
      <c r="AN78" s="292">
        <f t="shared" si="19"/>
        <v>0</v>
      </c>
      <c r="AO78" s="292">
        <f t="shared" si="20"/>
        <v>0</v>
      </c>
      <c r="AP78" s="292">
        <f t="shared" si="21"/>
        <v>0</v>
      </c>
      <c r="AQ78" s="292">
        <f t="shared" si="22"/>
        <v>0</v>
      </c>
      <c r="AR78" s="292">
        <f t="shared" si="23"/>
        <v>0</v>
      </c>
      <c r="AS78" s="292">
        <f t="shared" si="24"/>
        <v>0</v>
      </c>
      <c r="AT78" s="292">
        <f t="shared" si="25"/>
        <v>0</v>
      </c>
      <c r="AU78" s="292">
        <f t="shared" si="26"/>
        <v>0</v>
      </c>
      <c r="AV78" s="292">
        <f t="shared" si="27"/>
        <v>0</v>
      </c>
      <c r="AW78" s="292">
        <f t="shared" si="28"/>
        <v>0</v>
      </c>
      <c r="AX78" s="292">
        <f t="shared" si="29"/>
        <v>0</v>
      </c>
      <c r="AY78" s="292">
        <f t="shared" si="30"/>
        <v>0</v>
      </c>
      <c r="AZ78" s="292">
        <f t="shared" si="31"/>
        <v>0</v>
      </c>
      <c r="BA78" s="292">
        <f t="shared" si="32"/>
        <v>0</v>
      </c>
      <c r="BB78" s="292">
        <f t="shared" si="33"/>
        <v>0</v>
      </c>
      <c r="BC78" s="292">
        <f t="shared" si="34"/>
        <v>0</v>
      </c>
      <c r="BD78" s="292">
        <f t="shared" si="35"/>
        <v>0</v>
      </c>
      <c r="BE78" s="292">
        <f t="shared" si="36"/>
        <v>0</v>
      </c>
      <c r="BF78" s="292">
        <f t="shared" si="37"/>
        <v>0</v>
      </c>
      <c r="BG78" s="292">
        <f t="shared" si="38"/>
        <v>0</v>
      </c>
    </row>
    <row r="79" spans="1:59" s="289" customFormat="1" ht="15" customHeight="1">
      <c r="A79" s="63">
        <f t="array" ref="A79">IF(C79&lt;&gt;0,SUM(($C$11:C79&lt;&gt;0)*1),"")</f>
        <v>69</v>
      </c>
      <c r="B79" s="1099">
        <v>42395</v>
      </c>
      <c r="C79" s="290" t="s">
        <v>1014</v>
      </c>
      <c r="D79" s="1099">
        <v>42381</v>
      </c>
      <c r="E79" s="344" t="s">
        <v>378</v>
      </c>
      <c r="F79" s="345">
        <v>35827273</v>
      </c>
      <c r="G79" s="346" t="s">
        <v>981</v>
      </c>
      <c r="H79" s="346" t="s">
        <v>9</v>
      </c>
      <c r="I79" s="63">
        <f t="shared" si="52"/>
        <v>69</v>
      </c>
      <c r="J79" s="292">
        <f t="shared" si="1"/>
        <v>0</v>
      </c>
      <c r="K79" s="292">
        <f t="shared" si="2"/>
        <v>0</v>
      </c>
      <c r="L79" s="292">
        <f t="shared" si="3"/>
        <v>0</v>
      </c>
      <c r="M79" s="292">
        <f t="shared" si="4"/>
        <v>0</v>
      </c>
      <c r="N79" s="292">
        <f t="shared" si="39"/>
        <v>0</v>
      </c>
      <c r="O79" s="292">
        <f t="shared" si="40"/>
        <v>0</v>
      </c>
      <c r="P79" s="292">
        <f t="shared" si="5"/>
        <v>0</v>
      </c>
      <c r="Q79" s="292">
        <f t="shared" si="6"/>
        <v>0</v>
      </c>
      <c r="R79" s="292">
        <f t="shared" si="53"/>
        <v>35827273</v>
      </c>
      <c r="S79" s="292">
        <f t="shared" si="54"/>
        <v>0</v>
      </c>
      <c r="T79" s="292">
        <f t="shared" si="7"/>
        <v>0</v>
      </c>
      <c r="U79" s="292">
        <f t="shared" si="8"/>
        <v>0</v>
      </c>
      <c r="V79" s="292">
        <f t="shared" si="55"/>
        <v>0</v>
      </c>
      <c r="W79" s="292">
        <f t="shared" si="56"/>
        <v>0</v>
      </c>
      <c r="X79" s="292">
        <f t="shared" si="57"/>
        <v>0</v>
      </c>
      <c r="Y79" s="292">
        <f t="shared" si="58"/>
        <v>0</v>
      </c>
      <c r="Z79" s="292">
        <f t="shared" si="47"/>
        <v>0</v>
      </c>
      <c r="AA79" s="292">
        <f t="shared" si="48"/>
        <v>0</v>
      </c>
      <c r="AB79" s="292">
        <f t="shared" si="9"/>
        <v>0</v>
      </c>
      <c r="AC79" s="292">
        <f t="shared" si="10"/>
        <v>35827273</v>
      </c>
      <c r="AD79" s="292">
        <f t="shared" si="11"/>
        <v>0</v>
      </c>
      <c r="AE79" s="292">
        <f t="shared" si="12"/>
        <v>0</v>
      </c>
      <c r="AF79" s="292">
        <f t="shared" si="13"/>
        <v>0</v>
      </c>
      <c r="AG79" s="292">
        <f t="shared" si="14"/>
        <v>0</v>
      </c>
      <c r="AH79" s="292">
        <f t="shared" si="15"/>
        <v>0</v>
      </c>
      <c r="AI79" s="292">
        <f t="shared" si="16"/>
        <v>0</v>
      </c>
      <c r="AJ79" s="292">
        <f t="shared" si="17"/>
        <v>0</v>
      </c>
      <c r="AK79" s="292">
        <f t="shared" si="18"/>
        <v>0</v>
      </c>
      <c r="AL79" s="292">
        <f t="shared" si="49"/>
        <v>0</v>
      </c>
      <c r="AM79" s="292">
        <f t="shared" si="50"/>
        <v>0</v>
      </c>
      <c r="AN79" s="292">
        <f t="shared" si="19"/>
        <v>0</v>
      </c>
      <c r="AO79" s="292">
        <f t="shared" si="20"/>
        <v>0</v>
      </c>
      <c r="AP79" s="292">
        <f t="shared" si="21"/>
        <v>0</v>
      </c>
      <c r="AQ79" s="292">
        <f t="shared" si="22"/>
        <v>0</v>
      </c>
      <c r="AR79" s="292">
        <f t="shared" si="23"/>
        <v>0</v>
      </c>
      <c r="AS79" s="292">
        <f t="shared" si="24"/>
        <v>0</v>
      </c>
      <c r="AT79" s="292">
        <f t="shared" si="25"/>
        <v>0</v>
      </c>
      <c r="AU79" s="292">
        <f t="shared" si="26"/>
        <v>0</v>
      </c>
      <c r="AV79" s="292">
        <f t="shared" si="27"/>
        <v>0</v>
      </c>
      <c r="AW79" s="292">
        <f t="shared" si="28"/>
        <v>0</v>
      </c>
      <c r="AX79" s="292">
        <f t="shared" si="29"/>
        <v>0</v>
      </c>
      <c r="AY79" s="292">
        <f t="shared" si="30"/>
        <v>0</v>
      </c>
      <c r="AZ79" s="292">
        <f t="shared" si="31"/>
        <v>0</v>
      </c>
      <c r="BA79" s="292">
        <f t="shared" si="32"/>
        <v>0</v>
      </c>
      <c r="BB79" s="292">
        <f t="shared" si="33"/>
        <v>0</v>
      </c>
      <c r="BC79" s="292">
        <f t="shared" si="34"/>
        <v>0</v>
      </c>
      <c r="BD79" s="292">
        <f t="shared" si="35"/>
        <v>0</v>
      </c>
      <c r="BE79" s="292">
        <f t="shared" si="36"/>
        <v>0</v>
      </c>
      <c r="BF79" s="292">
        <f t="shared" si="37"/>
        <v>0</v>
      </c>
      <c r="BG79" s="292">
        <f t="shared" si="38"/>
        <v>0</v>
      </c>
    </row>
    <row r="80" spans="1:59" s="289" customFormat="1" ht="15" customHeight="1">
      <c r="A80" s="63">
        <f t="array" ref="A80">IF(C80&lt;&gt;0,SUM(($C$11:C80&lt;&gt;0)*1),"")</f>
        <v>70</v>
      </c>
      <c r="B80" s="1099">
        <v>42395</v>
      </c>
      <c r="C80" s="290" t="s">
        <v>1014</v>
      </c>
      <c r="D80" s="1099">
        <v>42382</v>
      </c>
      <c r="E80" s="344" t="s">
        <v>383</v>
      </c>
      <c r="F80" s="345">
        <v>389090909</v>
      </c>
      <c r="G80" s="346" t="s">
        <v>242</v>
      </c>
      <c r="H80" s="346" t="s">
        <v>9</v>
      </c>
      <c r="I80" s="63">
        <f t="shared" si="52"/>
        <v>70</v>
      </c>
      <c r="J80" s="292">
        <f t="shared" si="1"/>
        <v>0</v>
      </c>
      <c r="K80" s="292">
        <f t="shared" si="2"/>
        <v>0</v>
      </c>
      <c r="L80" s="292">
        <f t="shared" si="3"/>
        <v>0</v>
      </c>
      <c r="M80" s="292">
        <f t="shared" si="4"/>
        <v>0</v>
      </c>
      <c r="N80" s="292">
        <f t="shared" si="39"/>
        <v>0</v>
      </c>
      <c r="O80" s="292">
        <f t="shared" si="40"/>
        <v>0</v>
      </c>
      <c r="P80" s="292">
        <f t="shared" si="5"/>
        <v>0</v>
      </c>
      <c r="Q80" s="292">
        <f t="shared" si="6"/>
        <v>0</v>
      </c>
      <c r="R80" s="292">
        <f t="shared" si="53"/>
        <v>0</v>
      </c>
      <c r="S80" s="292">
        <f t="shared" si="54"/>
        <v>0</v>
      </c>
      <c r="T80" s="292">
        <f t="shared" si="7"/>
        <v>0</v>
      </c>
      <c r="U80" s="292">
        <f t="shared" si="8"/>
        <v>0</v>
      </c>
      <c r="V80" s="292">
        <f t="shared" si="55"/>
        <v>0</v>
      </c>
      <c r="W80" s="292">
        <f t="shared" si="56"/>
        <v>0</v>
      </c>
      <c r="X80" s="292">
        <f t="shared" si="57"/>
        <v>0</v>
      </c>
      <c r="Y80" s="292">
        <f t="shared" si="58"/>
        <v>0</v>
      </c>
      <c r="Z80" s="292">
        <f t="shared" si="47"/>
        <v>389090909</v>
      </c>
      <c r="AA80" s="292">
        <f t="shared" si="48"/>
        <v>0</v>
      </c>
      <c r="AB80" s="292">
        <f t="shared" si="9"/>
        <v>0</v>
      </c>
      <c r="AC80" s="292">
        <f t="shared" si="10"/>
        <v>389090909</v>
      </c>
      <c r="AD80" s="292">
        <f t="shared" si="11"/>
        <v>0</v>
      </c>
      <c r="AE80" s="292">
        <f t="shared" si="12"/>
        <v>0</v>
      </c>
      <c r="AF80" s="292">
        <f t="shared" si="13"/>
        <v>0</v>
      </c>
      <c r="AG80" s="292">
        <f t="shared" si="14"/>
        <v>0</v>
      </c>
      <c r="AH80" s="292">
        <f t="shared" si="15"/>
        <v>0</v>
      </c>
      <c r="AI80" s="292">
        <f t="shared" si="16"/>
        <v>0</v>
      </c>
      <c r="AJ80" s="292">
        <f t="shared" si="17"/>
        <v>0</v>
      </c>
      <c r="AK80" s="292">
        <f t="shared" si="18"/>
        <v>0</v>
      </c>
      <c r="AL80" s="292">
        <f t="shared" si="49"/>
        <v>0</v>
      </c>
      <c r="AM80" s="292">
        <f t="shared" si="50"/>
        <v>0</v>
      </c>
      <c r="AN80" s="292">
        <f t="shared" si="19"/>
        <v>0</v>
      </c>
      <c r="AO80" s="292">
        <f t="shared" si="20"/>
        <v>0</v>
      </c>
      <c r="AP80" s="292">
        <f t="shared" si="21"/>
        <v>0</v>
      </c>
      <c r="AQ80" s="292">
        <f t="shared" si="22"/>
        <v>0</v>
      </c>
      <c r="AR80" s="292">
        <f t="shared" si="23"/>
        <v>0</v>
      </c>
      <c r="AS80" s="292">
        <f t="shared" si="24"/>
        <v>0</v>
      </c>
      <c r="AT80" s="292">
        <f t="shared" si="25"/>
        <v>0</v>
      </c>
      <c r="AU80" s="292">
        <f t="shared" si="26"/>
        <v>0</v>
      </c>
      <c r="AV80" s="292">
        <f t="shared" si="27"/>
        <v>0</v>
      </c>
      <c r="AW80" s="292">
        <f t="shared" si="28"/>
        <v>0</v>
      </c>
      <c r="AX80" s="292">
        <f t="shared" si="29"/>
        <v>0</v>
      </c>
      <c r="AY80" s="292">
        <f t="shared" si="30"/>
        <v>0</v>
      </c>
      <c r="AZ80" s="292">
        <f t="shared" si="31"/>
        <v>0</v>
      </c>
      <c r="BA80" s="292">
        <f t="shared" si="32"/>
        <v>0</v>
      </c>
      <c r="BB80" s="292">
        <f t="shared" si="33"/>
        <v>0</v>
      </c>
      <c r="BC80" s="292">
        <f t="shared" si="34"/>
        <v>0</v>
      </c>
      <c r="BD80" s="292">
        <f t="shared" si="35"/>
        <v>0</v>
      </c>
      <c r="BE80" s="292">
        <f t="shared" si="36"/>
        <v>0</v>
      </c>
      <c r="BF80" s="292">
        <f t="shared" si="37"/>
        <v>0</v>
      </c>
      <c r="BG80" s="292">
        <f t="shared" si="38"/>
        <v>0</v>
      </c>
    </row>
    <row r="81" spans="1:59" s="289" customFormat="1" ht="15" customHeight="1">
      <c r="A81" s="63">
        <f t="array" ref="A81">IF(C81&lt;&gt;0,SUM(($C$11:C81&lt;&gt;0)*1),"")</f>
        <v>71</v>
      </c>
      <c r="B81" s="1099">
        <v>42395</v>
      </c>
      <c r="C81" s="290" t="s">
        <v>1014</v>
      </c>
      <c r="D81" s="1099">
        <v>42382</v>
      </c>
      <c r="E81" s="344" t="s">
        <v>385</v>
      </c>
      <c r="F81" s="345">
        <v>38909091</v>
      </c>
      <c r="G81" s="346" t="s">
        <v>981</v>
      </c>
      <c r="H81" s="346" t="s">
        <v>9</v>
      </c>
      <c r="I81" s="63">
        <f t="shared" si="52"/>
        <v>71</v>
      </c>
      <c r="J81" s="292">
        <f t="shared" si="1"/>
        <v>0</v>
      </c>
      <c r="K81" s="292">
        <f t="shared" si="2"/>
        <v>0</v>
      </c>
      <c r="L81" s="292">
        <f t="shared" si="3"/>
        <v>0</v>
      </c>
      <c r="M81" s="292">
        <f t="shared" si="4"/>
        <v>0</v>
      </c>
      <c r="N81" s="292">
        <f t="shared" si="39"/>
        <v>0</v>
      </c>
      <c r="O81" s="292">
        <f t="shared" si="40"/>
        <v>0</v>
      </c>
      <c r="P81" s="292">
        <f t="shared" si="5"/>
        <v>0</v>
      </c>
      <c r="Q81" s="292">
        <f t="shared" si="6"/>
        <v>0</v>
      </c>
      <c r="R81" s="292">
        <f t="shared" si="53"/>
        <v>38909091</v>
      </c>
      <c r="S81" s="292">
        <f t="shared" si="54"/>
        <v>0</v>
      </c>
      <c r="T81" s="292">
        <f t="shared" si="7"/>
        <v>0</v>
      </c>
      <c r="U81" s="292">
        <f t="shared" si="8"/>
        <v>0</v>
      </c>
      <c r="V81" s="292">
        <f t="shared" si="55"/>
        <v>0</v>
      </c>
      <c r="W81" s="292">
        <f t="shared" si="56"/>
        <v>0</v>
      </c>
      <c r="X81" s="292">
        <f t="shared" si="57"/>
        <v>0</v>
      </c>
      <c r="Y81" s="292">
        <f t="shared" si="58"/>
        <v>0</v>
      </c>
      <c r="Z81" s="292">
        <f t="shared" si="47"/>
        <v>0</v>
      </c>
      <c r="AA81" s="292">
        <f t="shared" si="48"/>
        <v>0</v>
      </c>
      <c r="AB81" s="292">
        <f t="shared" si="9"/>
        <v>0</v>
      </c>
      <c r="AC81" s="292">
        <f t="shared" si="10"/>
        <v>38909091</v>
      </c>
      <c r="AD81" s="292">
        <f t="shared" si="11"/>
        <v>0</v>
      </c>
      <c r="AE81" s="292">
        <f t="shared" si="12"/>
        <v>0</v>
      </c>
      <c r="AF81" s="292">
        <f t="shared" si="13"/>
        <v>0</v>
      </c>
      <c r="AG81" s="292">
        <f t="shared" si="14"/>
        <v>0</v>
      </c>
      <c r="AH81" s="292">
        <f t="shared" si="15"/>
        <v>0</v>
      </c>
      <c r="AI81" s="292">
        <f t="shared" si="16"/>
        <v>0</v>
      </c>
      <c r="AJ81" s="292">
        <f t="shared" si="17"/>
        <v>0</v>
      </c>
      <c r="AK81" s="292">
        <f t="shared" si="18"/>
        <v>0</v>
      </c>
      <c r="AL81" s="292">
        <f t="shared" si="49"/>
        <v>0</v>
      </c>
      <c r="AM81" s="292">
        <f t="shared" si="50"/>
        <v>0</v>
      </c>
      <c r="AN81" s="292">
        <f t="shared" si="19"/>
        <v>0</v>
      </c>
      <c r="AO81" s="292">
        <f t="shared" si="20"/>
        <v>0</v>
      </c>
      <c r="AP81" s="292">
        <f t="shared" si="21"/>
        <v>0</v>
      </c>
      <c r="AQ81" s="292">
        <f t="shared" si="22"/>
        <v>0</v>
      </c>
      <c r="AR81" s="292">
        <f t="shared" si="23"/>
        <v>0</v>
      </c>
      <c r="AS81" s="292">
        <f t="shared" si="24"/>
        <v>0</v>
      </c>
      <c r="AT81" s="292">
        <f t="shared" si="25"/>
        <v>0</v>
      </c>
      <c r="AU81" s="292">
        <f t="shared" si="26"/>
        <v>0</v>
      </c>
      <c r="AV81" s="292">
        <f t="shared" si="27"/>
        <v>0</v>
      </c>
      <c r="AW81" s="292">
        <f t="shared" si="28"/>
        <v>0</v>
      </c>
      <c r="AX81" s="292">
        <f t="shared" si="29"/>
        <v>0</v>
      </c>
      <c r="AY81" s="292">
        <f t="shared" si="30"/>
        <v>0</v>
      </c>
      <c r="AZ81" s="292">
        <f t="shared" si="31"/>
        <v>0</v>
      </c>
      <c r="BA81" s="292">
        <f t="shared" si="32"/>
        <v>0</v>
      </c>
      <c r="BB81" s="292">
        <f t="shared" si="33"/>
        <v>0</v>
      </c>
      <c r="BC81" s="292">
        <f t="shared" si="34"/>
        <v>0</v>
      </c>
      <c r="BD81" s="292">
        <f t="shared" si="35"/>
        <v>0</v>
      </c>
      <c r="BE81" s="292">
        <f t="shared" si="36"/>
        <v>0</v>
      </c>
      <c r="BF81" s="292">
        <f t="shared" si="37"/>
        <v>0</v>
      </c>
      <c r="BG81" s="292">
        <f t="shared" si="38"/>
        <v>0</v>
      </c>
    </row>
    <row r="82" spans="1:59" s="289" customFormat="1" ht="15" customHeight="1">
      <c r="A82" s="63">
        <f t="array" ref="A82">IF(C82&lt;&gt;0,SUM(($C$11:C82&lt;&gt;0)*1),"")</f>
        <v>72</v>
      </c>
      <c r="B82" s="1099">
        <v>42395</v>
      </c>
      <c r="C82" s="290" t="s">
        <v>1014</v>
      </c>
      <c r="D82" s="1099">
        <v>42383</v>
      </c>
      <c r="E82" s="344" t="s">
        <v>386</v>
      </c>
      <c r="F82" s="345">
        <v>1500000</v>
      </c>
      <c r="G82" s="346" t="s">
        <v>135</v>
      </c>
      <c r="H82" s="346" t="s">
        <v>113</v>
      </c>
      <c r="I82" s="63">
        <f t="shared" si="52"/>
        <v>72</v>
      </c>
      <c r="J82" s="292">
        <f t="shared" si="1"/>
        <v>0</v>
      </c>
      <c r="K82" s="292">
        <f t="shared" si="2"/>
        <v>0</v>
      </c>
      <c r="L82" s="292">
        <f t="shared" si="3"/>
        <v>0</v>
      </c>
      <c r="M82" s="292">
        <f t="shared" si="4"/>
        <v>0</v>
      </c>
      <c r="N82" s="292">
        <f t="shared" si="39"/>
        <v>0</v>
      </c>
      <c r="O82" s="292">
        <f t="shared" si="40"/>
        <v>0</v>
      </c>
      <c r="P82" s="292">
        <f t="shared" si="5"/>
        <v>0</v>
      </c>
      <c r="Q82" s="292">
        <f t="shared" si="6"/>
        <v>0</v>
      </c>
      <c r="R82" s="292">
        <f t="shared" si="53"/>
        <v>0</v>
      </c>
      <c r="S82" s="292">
        <f t="shared" si="54"/>
        <v>0</v>
      </c>
      <c r="T82" s="292">
        <f t="shared" si="7"/>
        <v>0</v>
      </c>
      <c r="U82" s="292">
        <f t="shared" si="8"/>
        <v>0</v>
      </c>
      <c r="V82" s="292">
        <f t="shared" si="55"/>
        <v>0</v>
      </c>
      <c r="W82" s="292">
        <f t="shared" si="56"/>
        <v>0</v>
      </c>
      <c r="X82" s="292">
        <f t="shared" si="57"/>
        <v>0</v>
      </c>
      <c r="Y82" s="292">
        <f t="shared" si="58"/>
        <v>0</v>
      </c>
      <c r="Z82" s="292">
        <f t="shared" si="47"/>
        <v>0</v>
      </c>
      <c r="AA82" s="292">
        <f t="shared" si="48"/>
        <v>0</v>
      </c>
      <c r="AB82" s="292">
        <f t="shared" si="9"/>
        <v>0</v>
      </c>
      <c r="AC82" s="292">
        <f t="shared" si="10"/>
        <v>0</v>
      </c>
      <c r="AD82" s="292">
        <f t="shared" si="11"/>
        <v>0</v>
      </c>
      <c r="AE82" s="292">
        <f t="shared" si="12"/>
        <v>0</v>
      </c>
      <c r="AF82" s="292">
        <f t="shared" si="13"/>
        <v>0</v>
      </c>
      <c r="AG82" s="292">
        <f t="shared" si="14"/>
        <v>1500000</v>
      </c>
      <c r="AH82" s="292">
        <f t="shared" si="15"/>
        <v>0</v>
      </c>
      <c r="AI82" s="292">
        <f t="shared" si="16"/>
        <v>0</v>
      </c>
      <c r="AJ82" s="292">
        <f t="shared" si="17"/>
        <v>0</v>
      </c>
      <c r="AK82" s="292">
        <f t="shared" si="18"/>
        <v>0</v>
      </c>
      <c r="AL82" s="292">
        <f t="shared" si="49"/>
        <v>0</v>
      </c>
      <c r="AM82" s="292">
        <f t="shared" si="50"/>
        <v>0</v>
      </c>
      <c r="AN82" s="292">
        <f t="shared" si="19"/>
        <v>0</v>
      </c>
      <c r="AO82" s="292">
        <f t="shared" si="20"/>
        <v>0</v>
      </c>
      <c r="AP82" s="292">
        <f t="shared" si="21"/>
        <v>0</v>
      </c>
      <c r="AQ82" s="292">
        <f t="shared" si="22"/>
        <v>0</v>
      </c>
      <c r="AR82" s="292">
        <f t="shared" si="23"/>
        <v>0</v>
      </c>
      <c r="AS82" s="292">
        <f t="shared" si="24"/>
        <v>0</v>
      </c>
      <c r="AT82" s="292">
        <f t="shared" si="25"/>
        <v>0</v>
      </c>
      <c r="AU82" s="292">
        <f t="shared" si="26"/>
        <v>0</v>
      </c>
      <c r="AV82" s="292">
        <f t="shared" si="27"/>
        <v>0</v>
      </c>
      <c r="AW82" s="292">
        <f t="shared" si="28"/>
        <v>0</v>
      </c>
      <c r="AX82" s="292">
        <f t="shared" si="29"/>
        <v>1500000</v>
      </c>
      <c r="AY82" s="292">
        <f t="shared" si="30"/>
        <v>0</v>
      </c>
      <c r="AZ82" s="292">
        <f t="shared" si="31"/>
        <v>0</v>
      </c>
      <c r="BA82" s="292">
        <f t="shared" si="32"/>
        <v>0</v>
      </c>
      <c r="BB82" s="292">
        <f t="shared" si="33"/>
        <v>0</v>
      </c>
      <c r="BC82" s="292">
        <f t="shared" si="34"/>
        <v>0</v>
      </c>
      <c r="BD82" s="292">
        <f t="shared" si="35"/>
        <v>0</v>
      </c>
      <c r="BE82" s="292">
        <f t="shared" si="36"/>
        <v>0</v>
      </c>
      <c r="BF82" s="292">
        <f t="shared" si="37"/>
        <v>0</v>
      </c>
      <c r="BG82" s="292">
        <f t="shared" si="38"/>
        <v>0</v>
      </c>
    </row>
    <row r="83" spans="1:59" s="289" customFormat="1" ht="15" customHeight="1">
      <c r="A83" s="63">
        <f t="array" ref="A83">IF(C83&lt;&gt;0,SUM(($C$11:C83&lt;&gt;0)*1),"")</f>
        <v>73</v>
      </c>
      <c r="B83" s="1099">
        <v>42395</v>
      </c>
      <c r="C83" s="290" t="s">
        <v>1014</v>
      </c>
      <c r="D83" s="1099">
        <v>42395</v>
      </c>
      <c r="E83" s="344" t="s">
        <v>450</v>
      </c>
      <c r="F83" s="345">
        <v>37562900</v>
      </c>
      <c r="G83" s="346" t="s">
        <v>135</v>
      </c>
      <c r="H83" s="346" t="s">
        <v>9</v>
      </c>
      <c r="I83" s="63">
        <f t="shared" si="52"/>
        <v>73</v>
      </c>
      <c r="J83" s="292">
        <f t="shared" si="1"/>
        <v>0</v>
      </c>
      <c r="K83" s="292">
        <f t="shared" si="2"/>
        <v>0</v>
      </c>
      <c r="L83" s="292">
        <f t="shared" si="3"/>
        <v>0</v>
      </c>
      <c r="M83" s="292">
        <f t="shared" si="4"/>
        <v>0</v>
      </c>
      <c r="N83" s="292">
        <f t="shared" si="39"/>
        <v>0</v>
      </c>
      <c r="O83" s="292">
        <f t="shared" si="40"/>
        <v>0</v>
      </c>
      <c r="P83" s="292">
        <f t="shared" si="5"/>
        <v>0</v>
      </c>
      <c r="Q83" s="292">
        <f t="shared" si="6"/>
        <v>0</v>
      </c>
      <c r="R83" s="292">
        <f t="shared" si="53"/>
        <v>0</v>
      </c>
      <c r="S83" s="292">
        <f t="shared" si="54"/>
        <v>0</v>
      </c>
      <c r="T83" s="292">
        <f t="shared" si="7"/>
        <v>0</v>
      </c>
      <c r="U83" s="292">
        <f t="shared" si="8"/>
        <v>0</v>
      </c>
      <c r="V83" s="292">
        <f t="shared" si="55"/>
        <v>0</v>
      </c>
      <c r="W83" s="292">
        <f t="shared" si="56"/>
        <v>0</v>
      </c>
      <c r="X83" s="292">
        <f t="shared" si="57"/>
        <v>0</v>
      </c>
      <c r="Y83" s="292">
        <f t="shared" si="58"/>
        <v>0</v>
      </c>
      <c r="Z83" s="292">
        <f t="shared" si="47"/>
        <v>0</v>
      </c>
      <c r="AA83" s="292">
        <f t="shared" si="48"/>
        <v>0</v>
      </c>
      <c r="AB83" s="292">
        <f t="shared" si="9"/>
        <v>0</v>
      </c>
      <c r="AC83" s="292">
        <f t="shared" si="10"/>
        <v>37562900</v>
      </c>
      <c r="AD83" s="292">
        <f t="shared" si="11"/>
        <v>0</v>
      </c>
      <c r="AE83" s="292">
        <f t="shared" si="12"/>
        <v>0</v>
      </c>
      <c r="AF83" s="292">
        <f t="shared" si="13"/>
        <v>0</v>
      </c>
      <c r="AG83" s="292">
        <f t="shared" si="14"/>
        <v>0</v>
      </c>
      <c r="AH83" s="292">
        <f t="shared" si="15"/>
        <v>0</v>
      </c>
      <c r="AI83" s="292">
        <f t="shared" si="16"/>
        <v>0</v>
      </c>
      <c r="AJ83" s="292">
        <f t="shared" si="17"/>
        <v>0</v>
      </c>
      <c r="AK83" s="292">
        <f t="shared" si="18"/>
        <v>0</v>
      </c>
      <c r="AL83" s="292">
        <f t="shared" si="49"/>
        <v>0</v>
      </c>
      <c r="AM83" s="292">
        <f t="shared" si="50"/>
        <v>0</v>
      </c>
      <c r="AN83" s="292">
        <f t="shared" si="19"/>
        <v>0</v>
      </c>
      <c r="AO83" s="292">
        <f t="shared" si="20"/>
        <v>0</v>
      </c>
      <c r="AP83" s="292">
        <f t="shared" si="21"/>
        <v>0</v>
      </c>
      <c r="AQ83" s="292">
        <f t="shared" si="22"/>
        <v>0</v>
      </c>
      <c r="AR83" s="292">
        <f t="shared" si="23"/>
        <v>0</v>
      </c>
      <c r="AS83" s="292">
        <f t="shared" si="24"/>
        <v>0</v>
      </c>
      <c r="AT83" s="292">
        <f t="shared" si="25"/>
        <v>0</v>
      </c>
      <c r="AU83" s="292">
        <f t="shared" si="26"/>
        <v>0</v>
      </c>
      <c r="AV83" s="292">
        <f t="shared" si="27"/>
        <v>0</v>
      </c>
      <c r="AW83" s="292">
        <f t="shared" si="28"/>
        <v>0</v>
      </c>
      <c r="AX83" s="292">
        <f t="shared" si="29"/>
        <v>37562900</v>
      </c>
      <c r="AY83" s="292">
        <f t="shared" si="30"/>
        <v>0</v>
      </c>
      <c r="AZ83" s="292">
        <f t="shared" si="31"/>
        <v>0</v>
      </c>
      <c r="BA83" s="292">
        <f t="shared" si="32"/>
        <v>0</v>
      </c>
      <c r="BB83" s="292">
        <f t="shared" si="33"/>
        <v>0</v>
      </c>
      <c r="BC83" s="292">
        <f t="shared" si="34"/>
        <v>0</v>
      </c>
      <c r="BD83" s="292">
        <f t="shared" si="35"/>
        <v>0</v>
      </c>
      <c r="BE83" s="292">
        <f t="shared" si="36"/>
        <v>0</v>
      </c>
      <c r="BF83" s="292">
        <f t="shared" si="37"/>
        <v>0</v>
      </c>
      <c r="BG83" s="292">
        <f t="shared" si="38"/>
        <v>0</v>
      </c>
    </row>
    <row r="84" spans="1:59" s="289" customFormat="1" ht="15" customHeight="1">
      <c r="A84" s="63">
        <f t="array" ref="A84">IF(C84&lt;&gt;0,SUM(($C$11:C84&lt;&gt;0)*1),"")</f>
        <v>74</v>
      </c>
      <c r="B84" s="1099">
        <v>42395</v>
      </c>
      <c r="C84" s="290" t="s">
        <v>1014</v>
      </c>
      <c r="D84" s="1099">
        <v>42395</v>
      </c>
      <c r="E84" s="344" t="s">
        <v>449</v>
      </c>
      <c r="F84" s="345">
        <v>3756290</v>
      </c>
      <c r="G84" s="346" t="s">
        <v>10</v>
      </c>
      <c r="H84" s="346" t="s">
        <v>9</v>
      </c>
      <c r="I84" s="63">
        <f t="shared" si="52"/>
        <v>74</v>
      </c>
      <c r="J84" s="292">
        <f t="shared" si="1"/>
        <v>0</v>
      </c>
      <c r="K84" s="292">
        <f t="shared" si="2"/>
        <v>0</v>
      </c>
      <c r="L84" s="292">
        <f t="shared" si="3"/>
        <v>0</v>
      </c>
      <c r="M84" s="292">
        <f t="shared" si="4"/>
        <v>0</v>
      </c>
      <c r="N84" s="292">
        <f t="shared" si="39"/>
        <v>0</v>
      </c>
      <c r="O84" s="292">
        <f t="shared" si="40"/>
        <v>0</v>
      </c>
      <c r="P84" s="292">
        <f t="shared" si="5"/>
        <v>3756290</v>
      </c>
      <c r="Q84" s="292">
        <f t="shared" si="6"/>
        <v>0</v>
      </c>
      <c r="R84" s="292">
        <f t="shared" si="53"/>
        <v>0</v>
      </c>
      <c r="S84" s="292">
        <f t="shared" si="54"/>
        <v>0</v>
      </c>
      <c r="T84" s="292">
        <f t="shared" si="7"/>
        <v>0</v>
      </c>
      <c r="U84" s="292">
        <f t="shared" si="8"/>
        <v>0</v>
      </c>
      <c r="V84" s="292">
        <f t="shared" si="55"/>
        <v>0</v>
      </c>
      <c r="W84" s="292">
        <f t="shared" si="56"/>
        <v>0</v>
      </c>
      <c r="X84" s="292">
        <f t="shared" si="57"/>
        <v>0</v>
      </c>
      <c r="Y84" s="292">
        <f t="shared" si="58"/>
        <v>0</v>
      </c>
      <c r="Z84" s="292">
        <f t="shared" si="47"/>
        <v>0</v>
      </c>
      <c r="AA84" s="292">
        <f t="shared" si="48"/>
        <v>0</v>
      </c>
      <c r="AB84" s="292">
        <f t="shared" si="9"/>
        <v>0</v>
      </c>
      <c r="AC84" s="292">
        <f t="shared" si="10"/>
        <v>3756290</v>
      </c>
      <c r="AD84" s="292">
        <f t="shared" si="11"/>
        <v>0</v>
      </c>
      <c r="AE84" s="292">
        <f t="shared" si="12"/>
        <v>0</v>
      </c>
      <c r="AF84" s="292">
        <f t="shared" si="13"/>
        <v>0</v>
      </c>
      <c r="AG84" s="292">
        <f t="shared" si="14"/>
        <v>0</v>
      </c>
      <c r="AH84" s="292">
        <f t="shared" si="15"/>
        <v>0</v>
      </c>
      <c r="AI84" s="292">
        <f t="shared" si="16"/>
        <v>0</v>
      </c>
      <c r="AJ84" s="292">
        <f t="shared" si="17"/>
        <v>0</v>
      </c>
      <c r="AK84" s="292">
        <f t="shared" si="18"/>
        <v>0</v>
      </c>
      <c r="AL84" s="292">
        <f t="shared" si="49"/>
        <v>0</v>
      </c>
      <c r="AM84" s="292">
        <f t="shared" si="50"/>
        <v>0</v>
      </c>
      <c r="AN84" s="292">
        <f t="shared" si="19"/>
        <v>0</v>
      </c>
      <c r="AO84" s="292">
        <f t="shared" si="20"/>
        <v>0</v>
      </c>
      <c r="AP84" s="292">
        <f t="shared" si="21"/>
        <v>0</v>
      </c>
      <c r="AQ84" s="292">
        <f t="shared" si="22"/>
        <v>0</v>
      </c>
      <c r="AR84" s="292">
        <f t="shared" si="23"/>
        <v>0</v>
      </c>
      <c r="AS84" s="292">
        <f t="shared" si="24"/>
        <v>0</v>
      </c>
      <c r="AT84" s="292">
        <f t="shared" si="25"/>
        <v>0</v>
      </c>
      <c r="AU84" s="292">
        <f t="shared" si="26"/>
        <v>0</v>
      </c>
      <c r="AV84" s="292">
        <f t="shared" si="27"/>
        <v>0</v>
      </c>
      <c r="AW84" s="292">
        <f t="shared" si="28"/>
        <v>0</v>
      </c>
      <c r="AX84" s="292">
        <f t="shared" si="29"/>
        <v>0</v>
      </c>
      <c r="AY84" s="292">
        <f t="shared" si="30"/>
        <v>0</v>
      </c>
      <c r="AZ84" s="292">
        <f t="shared" si="31"/>
        <v>0</v>
      </c>
      <c r="BA84" s="292">
        <f t="shared" si="32"/>
        <v>0</v>
      </c>
      <c r="BB84" s="292">
        <f t="shared" si="33"/>
        <v>0</v>
      </c>
      <c r="BC84" s="292">
        <f t="shared" si="34"/>
        <v>0</v>
      </c>
      <c r="BD84" s="292">
        <f t="shared" si="35"/>
        <v>0</v>
      </c>
      <c r="BE84" s="292">
        <f t="shared" si="36"/>
        <v>0</v>
      </c>
      <c r="BF84" s="292">
        <f t="shared" si="37"/>
        <v>0</v>
      </c>
      <c r="BG84" s="292">
        <f t="shared" si="38"/>
        <v>0</v>
      </c>
    </row>
    <row r="85" spans="1:59" s="289" customFormat="1" ht="15" customHeight="1">
      <c r="A85" s="63">
        <f t="array" ref="A85">IF(C85&lt;&gt;0,SUM(($C$11:C85&lt;&gt;0)*1),"")</f>
        <v>75</v>
      </c>
      <c r="B85" s="1099">
        <v>42396</v>
      </c>
      <c r="C85" s="290" t="s">
        <v>188</v>
      </c>
      <c r="D85" s="1099">
        <v>42392</v>
      </c>
      <c r="E85" s="344" t="s">
        <v>420</v>
      </c>
      <c r="F85" s="345">
        <v>15000000</v>
      </c>
      <c r="G85" s="346" t="s">
        <v>242</v>
      </c>
      <c r="H85" s="346" t="s">
        <v>97</v>
      </c>
      <c r="I85" s="63">
        <f t="shared" si="52"/>
        <v>75</v>
      </c>
      <c r="J85" s="292">
        <f t="shared" si="1"/>
        <v>0</v>
      </c>
      <c r="K85" s="292">
        <f t="shared" si="2"/>
        <v>15000000</v>
      </c>
      <c r="L85" s="292">
        <f t="shared" si="3"/>
        <v>0</v>
      </c>
      <c r="M85" s="292">
        <f t="shared" si="4"/>
        <v>0</v>
      </c>
      <c r="N85" s="292">
        <f t="shared" si="39"/>
        <v>0</v>
      </c>
      <c r="O85" s="292">
        <f t="shared" si="40"/>
        <v>0</v>
      </c>
      <c r="P85" s="292">
        <f t="shared" si="5"/>
        <v>0</v>
      </c>
      <c r="Q85" s="292">
        <f t="shared" si="6"/>
        <v>0</v>
      </c>
      <c r="R85" s="292">
        <f t="shared" si="53"/>
        <v>0</v>
      </c>
      <c r="S85" s="292">
        <f t="shared" si="54"/>
        <v>0</v>
      </c>
      <c r="T85" s="292">
        <f t="shared" si="7"/>
        <v>0</v>
      </c>
      <c r="U85" s="292">
        <f t="shared" si="8"/>
        <v>0</v>
      </c>
      <c r="V85" s="292">
        <f t="shared" si="55"/>
        <v>0</v>
      </c>
      <c r="W85" s="292">
        <f t="shared" si="56"/>
        <v>0</v>
      </c>
      <c r="X85" s="292">
        <f t="shared" si="57"/>
        <v>0</v>
      </c>
      <c r="Y85" s="292">
        <f t="shared" si="58"/>
        <v>0</v>
      </c>
      <c r="Z85" s="292">
        <f t="shared" si="47"/>
        <v>15000000</v>
      </c>
      <c r="AA85" s="292">
        <f t="shared" si="48"/>
        <v>0</v>
      </c>
      <c r="AB85" s="292">
        <f t="shared" si="9"/>
        <v>0</v>
      </c>
      <c r="AC85" s="292">
        <f t="shared" si="10"/>
        <v>0</v>
      </c>
      <c r="AD85" s="292">
        <f t="shared" si="11"/>
        <v>0</v>
      </c>
      <c r="AE85" s="292">
        <f t="shared" si="12"/>
        <v>0</v>
      </c>
      <c r="AF85" s="292">
        <f t="shared" si="13"/>
        <v>0</v>
      </c>
      <c r="AG85" s="292">
        <f t="shared" si="14"/>
        <v>0</v>
      </c>
      <c r="AH85" s="292">
        <f t="shared" si="15"/>
        <v>0</v>
      </c>
      <c r="AI85" s="292">
        <f t="shared" si="16"/>
        <v>0</v>
      </c>
      <c r="AJ85" s="292">
        <f t="shared" si="17"/>
        <v>0</v>
      </c>
      <c r="AK85" s="292">
        <f t="shared" si="18"/>
        <v>0</v>
      </c>
      <c r="AL85" s="292">
        <f t="shared" si="49"/>
        <v>0</v>
      </c>
      <c r="AM85" s="292">
        <f t="shared" si="50"/>
        <v>0</v>
      </c>
      <c r="AN85" s="292">
        <f t="shared" si="19"/>
        <v>0</v>
      </c>
      <c r="AO85" s="292">
        <f t="shared" si="20"/>
        <v>0</v>
      </c>
      <c r="AP85" s="292">
        <f t="shared" si="21"/>
        <v>0</v>
      </c>
      <c r="AQ85" s="292">
        <f t="shared" si="22"/>
        <v>0</v>
      </c>
      <c r="AR85" s="292">
        <f t="shared" si="23"/>
        <v>0</v>
      </c>
      <c r="AS85" s="292">
        <f t="shared" si="24"/>
        <v>0</v>
      </c>
      <c r="AT85" s="292">
        <f t="shared" si="25"/>
        <v>0</v>
      </c>
      <c r="AU85" s="292">
        <f t="shared" si="26"/>
        <v>0</v>
      </c>
      <c r="AV85" s="292">
        <f t="shared" si="27"/>
        <v>0</v>
      </c>
      <c r="AW85" s="292">
        <f t="shared" si="28"/>
        <v>0</v>
      </c>
      <c r="AX85" s="292">
        <f t="shared" si="29"/>
        <v>0</v>
      </c>
      <c r="AY85" s="292">
        <f t="shared" si="30"/>
        <v>0</v>
      </c>
      <c r="AZ85" s="292">
        <f t="shared" si="31"/>
        <v>0</v>
      </c>
      <c r="BA85" s="292">
        <f t="shared" si="32"/>
        <v>0</v>
      </c>
      <c r="BB85" s="292">
        <f t="shared" si="33"/>
        <v>0</v>
      </c>
      <c r="BC85" s="292">
        <f t="shared" si="34"/>
        <v>0</v>
      </c>
      <c r="BD85" s="292">
        <f t="shared" si="35"/>
        <v>0</v>
      </c>
      <c r="BE85" s="292">
        <f t="shared" si="36"/>
        <v>0</v>
      </c>
      <c r="BF85" s="292">
        <f t="shared" si="37"/>
        <v>0</v>
      </c>
      <c r="BG85" s="292">
        <f t="shared" si="38"/>
        <v>0</v>
      </c>
    </row>
    <row r="86" spans="1:59" s="289" customFormat="1" ht="15" customHeight="1">
      <c r="A86" s="63">
        <f t="array" ref="A86">IF(C86&lt;&gt;0,SUM(($C$11:C86&lt;&gt;0)*1),"")</f>
        <v>76</v>
      </c>
      <c r="B86" s="1099">
        <v>42398</v>
      </c>
      <c r="C86" s="290" t="s">
        <v>189</v>
      </c>
      <c r="D86" s="1099">
        <v>42398</v>
      </c>
      <c r="E86" s="344" t="s">
        <v>410</v>
      </c>
      <c r="F86" s="345">
        <v>370000000</v>
      </c>
      <c r="G86" s="346" t="s">
        <v>31</v>
      </c>
      <c r="H86" s="346" t="s">
        <v>97</v>
      </c>
      <c r="I86" s="63">
        <f t="shared" si="52"/>
        <v>76</v>
      </c>
      <c r="J86" s="292">
        <f t="shared" si="1"/>
        <v>0</v>
      </c>
      <c r="K86" s="292">
        <f t="shared" si="2"/>
        <v>370000000</v>
      </c>
      <c r="L86" s="292">
        <f t="shared" si="3"/>
        <v>370000000</v>
      </c>
      <c r="M86" s="292">
        <f t="shared" si="4"/>
        <v>0</v>
      </c>
      <c r="N86" s="292">
        <f t="shared" si="39"/>
        <v>0</v>
      </c>
      <c r="O86" s="292">
        <f t="shared" si="40"/>
        <v>0</v>
      </c>
      <c r="P86" s="292">
        <f t="shared" si="5"/>
        <v>0</v>
      </c>
      <c r="Q86" s="292">
        <f t="shared" si="6"/>
        <v>0</v>
      </c>
      <c r="R86" s="292">
        <f t="shared" si="53"/>
        <v>0</v>
      </c>
      <c r="S86" s="292">
        <f t="shared" si="54"/>
        <v>0</v>
      </c>
      <c r="T86" s="292">
        <f t="shared" si="7"/>
        <v>0</v>
      </c>
      <c r="U86" s="292">
        <f t="shared" si="8"/>
        <v>0</v>
      </c>
      <c r="V86" s="292">
        <f t="shared" si="55"/>
        <v>0</v>
      </c>
      <c r="W86" s="292">
        <f t="shared" si="56"/>
        <v>0</v>
      </c>
      <c r="X86" s="292">
        <f t="shared" si="57"/>
        <v>0</v>
      </c>
      <c r="Y86" s="292">
        <f t="shared" si="58"/>
        <v>0</v>
      </c>
      <c r="Z86" s="292">
        <f t="shared" si="47"/>
        <v>0</v>
      </c>
      <c r="AA86" s="292">
        <f t="shared" si="48"/>
        <v>0</v>
      </c>
      <c r="AB86" s="292">
        <f t="shared" si="9"/>
        <v>0</v>
      </c>
      <c r="AC86" s="292">
        <f t="shared" si="10"/>
        <v>0</v>
      </c>
      <c r="AD86" s="292">
        <f t="shared" si="11"/>
        <v>0</v>
      </c>
      <c r="AE86" s="292">
        <f t="shared" si="12"/>
        <v>0</v>
      </c>
      <c r="AF86" s="292">
        <f t="shared" si="13"/>
        <v>0</v>
      </c>
      <c r="AG86" s="292">
        <f t="shared" si="14"/>
        <v>0</v>
      </c>
      <c r="AH86" s="292">
        <f t="shared" si="15"/>
        <v>0</v>
      </c>
      <c r="AI86" s="292">
        <f t="shared" si="16"/>
        <v>0</v>
      </c>
      <c r="AJ86" s="292">
        <f t="shared" si="17"/>
        <v>0</v>
      </c>
      <c r="AK86" s="292">
        <f t="shared" si="18"/>
        <v>0</v>
      </c>
      <c r="AL86" s="292">
        <f t="shared" si="49"/>
        <v>0</v>
      </c>
      <c r="AM86" s="292">
        <f t="shared" si="50"/>
        <v>0</v>
      </c>
      <c r="AN86" s="292">
        <f t="shared" si="19"/>
        <v>0</v>
      </c>
      <c r="AO86" s="292">
        <f t="shared" si="20"/>
        <v>0</v>
      </c>
      <c r="AP86" s="292">
        <f t="shared" si="21"/>
        <v>0</v>
      </c>
      <c r="AQ86" s="292">
        <f t="shared" si="22"/>
        <v>0</v>
      </c>
      <c r="AR86" s="292">
        <f t="shared" si="23"/>
        <v>0</v>
      </c>
      <c r="AS86" s="292">
        <f t="shared" si="24"/>
        <v>0</v>
      </c>
      <c r="AT86" s="292">
        <f t="shared" si="25"/>
        <v>0</v>
      </c>
      <c r="AU86" s="292">
        <f t="shared" si="26"/>
        <v>0</v>
      </c>
      <c r="AV86" s="292">
        <f t="shared" si="27"/>
        <v>0</v>
      </c>
      <c r="AW86" s="292">
        <f t="shared" si="28"/>
        <v>0</v>
      </c>
      <c r="AX86" s="292">
        <f t="shared" si="29"/>
        <v>0</v>
      </c>
      <c r="AY86" s="292">
        <f t="shared" si="30"/>
        <v>0</v>
      </c>
      <c r="AZ86" s="292">
        <f t="shared" si="31"/>
        <v>0</v>
      </c>
      <c r="BA86" s="292">
        <f t="shared" si="32"/>
        <v>0</v>
      </c>
      <c r="BB86" s="292">
        <f t="shared" si="33"/>
        <v>0</v>
      </c>
      <c r="BC86" s="292">
        <f t="shared" si="34"/>
        <v>0</v>
      </c>
      <c r="BD86" s="292">
        <f t="shared" si="35"/>
        <v>0</v>
      </c>
      <c r="BE86" s="292">
        <f t="shared" si="36"/>
        <v>0</v>
      </c>
      <c r="BF86" s="292">
        <f t="shared" si="37"/>
        <v>0</v>
      </c>
      <c r="BG86" s="292">
        <f t="shared" si="38"/>
        <v>0</v>
      </c>
    </row>
    <row r="87" spans="1:59" s="289" customFormat="1" ht="15" customHeight="1">
      <c r="A87" s="63">
        <f t="array" ref="A87">IF(C87&lt;&gt;0,SUM(($C$11:C87&lt;&gt;0)*1),"")</f>
        <v>77</v>
      </c>
      <c r="B87" s="1099">
        <v>42399</v>
      </c>
      <c r="C87" s="290" t="s">
        <v>8</v>
      </c>
      <c r="D87" s="1099">
        <v>42399</v>
      </c>
      <c r="E87" s="344" t="s">
        <v>163</v>
      </c>
      <c r="F87" s="345">
        <v>171000000</v>
      </c>
      <c r="G87" s="346" t="s">
        <v>9</v>
      </c>
      <c r="H87" s="346" t="s">
        <v>31</v>
      </c>
      <c r="I87" s="63">
        <f t="shared" si="52"/>
        <v>77</v>
      </c>
      <c r="J87" s="292">
        <f t="shared" si="1"/>
        <v>0</v>
      </c>
      <c r="K87" s="292">
        <f t="shared" si="2"/>
        <v>0</v>
      </c>
      <c r="L87" s="292">
        <f t="shared" si="3"/>
        <v>0</v>
      </c>
      <c r="M87" s="292">
        <f t="shared" si="4"/>
        <v>171000000</v>
      </c>
      <c r="N87" s="292">
        <f t="shared" si="39"/>
        <v>0</v>
      </c>
      <c r="O87" s="292">
        <f t="shared" si="40"/>
        <v>0</v>
      </c>
      <c r="P87" s="292">
        <f t="shared" si="5"/>
        <v>0</v>
      </c>
      <c r="Q87" s="292">
        <f t="shared" si="6"/>
        <v>0</v>
      </c>
      <c r="R87" s="292">
        <f t="shared" si="53"/>
        <v>0</v>
      </c>
      <c r="S87" s="292">
        <f t="shared" si="54"/>
        <v>0</v>
      </c>
      <c r="T87" s="292">
        <f t="shared" si="7"/>
        <v>0</v>
      </c>
      <c r="U87" s="292">
        <f t="shared" si="8"/>
        <v>0</v>
      </c>
      <c r="V87" s="292">
        <f t="shared" si="55"/>
        <v>0</v>
      </c>
      <c r="W87" s="292">
        <f t="shared" si="56"/>
        <v>0</v>
      </c>
      <c r="X87" s="292">
        <f t="shared" si="57"/>
        <v>0</v>
      </c>
      <c r="Y87" s="292">
        <f t="shared" si="58"/>
        <v>0</v>
      </c>
      <c r="Z87" s="292">
        <f t="shared" si="47"/>
        <v>0</v>
      </c>
      <c r="AA87" s="292">
        <f t="shared" si="48"/>
        <v>0</v>
      </c>
      <c r="AB87" s="292">
        <f t="shared" si="9"/>
        <v>171000000</v>
      </c>
      <c r="AC87" s="292">
        <f t="shared" si="10"/>
        <v>0</v>
      </c>
      <c r="AD87" s="292">
        <f t="shared" si="11"/>
        <v>0</v>
      </c>
      <c r="AE87" s="292">
        <f t="shared" si="12"/>
        <v>0</v>
      </c>
      <c r="AF87" s="292">
        <f t="shared" si="13"/>
        <v>0</v>
      </c>
      <c r="AG87" s="292">
        <f t="shared" si="14"/>
        <v>0</v>
      </c>
      <c r="AH87" s="292">
        <f t="shared" si="15"/>
        <v>0</v>
      </c>
      <c r="AI87" s="292">
        <f t="shared" si="16"/>
        <v>0</v>
      </c>
      <c r="AJ87" s="292">
        <f t="shared" si="17"/>
        <v>0</v>
      </c>
      <c r="AK87" s="292">
        <f t="shared" si="18"/>
        <v>0</v>
      </c>
      <c r="AL87" s="292">
        <f t="shared" si="49"/>
        <v>0</v>
      </c>
      <c r="AM87" s="292">
        <f t="shared" si="50"/>
        <v>0</v>
      </c>
      <c r="AN87" s="292">
        <f t="shared" si="19"/>
        <v>0</v>
      </c>
      <c r="AO87" s="292">
        <f t="shared" si="20"/>
        <v>0</v>
      </c>
      <c r="AP87" s="292">
        <f t="shared" si="21"/>
        <v>0</v>
      </c>
      <c r="AQ87" s="292">
        <f t="shared" si="22"/>
        <v>0</v>
      </c>
      <c r="AR87" s="292">
        <f t="shared" si="23"/>
        <v>0</v>
      </c>
      <c r="AS87" s="292">
        <f t="shared" si="24"/>
        <v>0</v>
      </c>
      <c r="AT87" s="292">
        <f t="shared" si="25"/>
        <v>0</v>
      </c>
      <c r="AU87" s="292">
        <f t="shared" si="26"/>
        <v>0</v>
      </c>
      <c r="AV87" s="292">
        <f t="shared" si="27"/>
        <v>0</v>
      </c>
      <c r="AW87" s="292">
        <f t="shared" si="28"/>
        <v>0</v>
      </c>
      <c r="AX87" s="292">
        <f t="shared" si="29"/>
        <v>0</v>
      </c>
      <c r="AY87" s="292">
        <f t="shared" si="30"/>
        <v>0</v>
      </c>
      <c r="AZ87" s="292">
        <f t="shared" si="31"/>
        <v>0</v>
      </c>
      <c r="BA87" s="292">
        <f t="shared" si="32"/>
        <v>0</v>
      </c>
      <c r="BB87" s="292">
        <f t="shared" si="33"/>
        <v>0</v>
      </c>
      <c r="BC87" s="292">
        <f t="shared" si="34"/>
        <v>0</v>
      </c>
      <c r="BD87" s="292">
        <f t="shared" si="35"/>
        <v>0</v>
      </c>
      <c r="BE87" s="292">
        <f t="shared" si="36"/>
        <v>0</v>
      </c>
      <c r="BF87" s="292">
        <f t="shared" si="37"/>
        <v>0</v>
      </c>
      <c r="BG87" s="292">
        <f t="shared" si="38"/>
        <v>0</v>
      </c>
    </row>
    <row r="88" spans="1:59" s="289" customFormat="1" ht="15" customHeight="1">
      <c r="A88" s="63">
        <f t="array" ref="A88">IF(C88&lt;&gt;0,SUM(($C$11:C88&lt;&gt;0)*1),"")</f>
        <v>78</v>
      </c>
      <c r="B88" s="1099">
        <v>42399</v>
      </c>
      <c r="C88" s="290" t="s">
        <v>8</v>
      </c>
      <c r="D88" s="1099">
        <v>42399</v>
      </c>
      <c r="E88" s="344" t="s">
        <v>22</v>
      </c>
      <c r="F88" s="345">
        <v>126515</v>
      </c>
      <c r="G88" s="346" t="s">
        <v>135</v>
      </c>
      <c r="H88" s="346" t="s">
        <v>31</v>
      </c>
      <c r="I88" s="63">
        <f t="shared" si="52"/>
        <v>78</v>
      </c>
      <c r="J88" s="292">
        <f t="shared" si="1"/>
        <v>0</v>
      </c>
      <c r="K88" s="292">
        <f t="shared" si="2"/>
        <v>0</v>
      </c>
      <c r="L88" s="292">
        <f t="shared" si="3"/>
        <v>0</v>
      </c>
      <c r="M88" s="292">
        <f t="shared" si="4"/>
        <v>126515</v>
      </c>
      <c r="N88" s="292">
        <f t="shared" si="39"/>
        <v>0</v>
      </c>
      <c r="O88" s="292">
        <f t="shared" si="40"/>
        <v>0</v>
      </c>
      <c r="P88" s="292">
        <f t="shared" si="5"/>
        <v>0</v>
      </c>
      <c r="Q88" s="292">
        <f t="shared" si="6"/>
        <v>0</v>
      </c>
      <c r="R88" s="292">
        <f t="shared" si="53"/>
        <v>0</v>
      </c>
      <c r="S88" s="292">
        <f t="shared" si="54"/>
        <v>0</v>
      </c>
      <c r="T88" s="292">
        <f t="shared" si="7"/>
        <v>0</v>
      </c>
      <c r="U88" s="292">
        <f t="shared" si="8"/>
        <v>0</v>
      </c>
      <c r="V88" s="292">
        <f t="shared" si="55"/>
        <v>0</v>
      </c>
      <c r="W88" s="292">
        <f t="shared" si="56"/>
        <v>0</v>
      </c>
      <c r="X88" s="292">
        <f t="shared" si="57"/>
        <v>0</v>
      </c>
      <c r="Y88" s="292">
        <f t="shared" si="58"/>
        <v>0</v>
      </c>
      <c r="Z88" s="292">
        <f t="shared" si="47"/>
        <v>0</v>
      </c>
      <c r="AA88" s="292">
        <f t="shared" si="48"/>
        <v>0</v>
      </c>
      <c r="AB88" s="292">
        <f t="shared" si="9"/>
        <v>0</v>
      </c>
      <c r="AC88" s="292">
        <f t="shared" si="10"/>
        <v>0</v>
      </c>
      <c r="AD88" s="292">
        <f t="shared" si="11"/>
        <v>0</v>
      </c>
      <c r="AE88" s="292">
        <f t="shared" si="12"/>
        <v>0</v>
      </c>
      <c r="AF88" s="292">
        <f t="shared" si="13"/>
        <v>0</v>
      </c>
      <c r="AG88" s="292">
        <f t="shared" si="14"/>
        <v>0</v>
      </c>
      <c r="AH88" s="292">
        <f t="shared" si="15"/>
        <v>0</v>
      </c>
      <c r="AI88" s="292">
        <f t="shared" si="16"/>
        <v>0</v>
      </c>
      <c r="AJ88" s="292">
        <f t="shared" si="17"/>
        <v>0</v>
      </c>
      <c r="AK88" s="292">
        <f t="shared" si="18"/>
        <v>0</v>
      </c>
      <c r="AL88" s="292">
        <f t="shared" si="49"/>
        <v>0</v>
      </c>
      <c r="AM88" s="292">
        <f t="shared" si="50"/>
        <v>0</v>
      </c>
      <c r="AN88" s="292">
        <f t="shared" si="19"/>
        <v>0</v>
      </c>
      <c r="AO88" s="292">
        <f t="shared" si="20"/>
        <v>0</v>
      </c>
      <c r="AP88" s="292">
        <f t="shared" si="21"/>
        <v>0</v>
      </c>
      <c r="AQ88" s="292">
        <f t="shared" si="22"/>
        <v>0</v>
      </c>
      <c r="AR88" s="292">
        <f t="shared" si="23"/>
        <v>0</v>
      </c>
      <c r="AS88" s="292">
        <f t="shared" si="24"/>
        <v>0</v>
      </c>
      <c r="AT88" s="292">
        <f t="shared" si="25"/>
        <v>0</v>
      </c>
      <c r="AU88" s="292">
        <f t="shared" si="26"/>
        <v>0</v>
      </c>
      <c r="AV88" s="292">
        <f t="shared" si="27"/>
        <v>0</v>
      </c>
      <c r="AW88" s="292">
        <f t="shared" si="28"/>
        <v>0</v>
      </c>
      <c r="AX88" s="292">
        <f t="shared" si="29"/>
        <v>126515</v>
      </c>
      <c r="AY88" s="292">
        <f t="shared" si="30"/>
        <v>0</v>
      </c>
      <c r="AZ88" s="292">
        <f t="shared" si="31"/>
        <v>0</v>
      </c>
      <c r="BA88" s="292">
        <f t="shared" si="32"/>
        <v>0</v>
      </c>
      <c r="BB88" s="292">
        <f t="shared" si="33"/>
        <v>0</v>
      </c>
      <c r="BC88" s="292">
        <f t="shared" si="34"/>
        <v>0</v>
      </c>
      <c r="BD88" s="292">
        <f t="shared" si="35"/>
        <v>0</v>
      </c>
      <c r="BE88" s="292">
        <f t="shared" si="36"/>
        <v>0</v>
      </c>
      <c r="BF88" s="292">
        <f t="shared" si="37"/>
        <v>0</v>
      </c>
      <c r="BG88" s="292">
        <f t="shared" si="38"/>
        <v>0</v>
      </c>
    </row>
    <row r="89" spans="1:59" s="289" customFormat="1" ht="15" customHeight="1">
      <c r="A89" s="63">
        <f t="array" ref="A89">IF(C89&lt;&gt;0,SUM(($C$11:C89&lt;&gt;0)*1),"")</f>
        <v>79</v>
      </c>
      <c r="B89" s="1099">
        <v>42399</v>
      </c>
      <c r="C89" s="290" t="s">
        <v>8</v>
      </c>
      <c r="D89" s="1099">
        <v>42399</v>
      </c>
      <c r="E89" s="344" t="s">
        <v>23</v>
      </c>
      <c r="F89" s="345">
        <v>12651</v>
      </c>
      <c r="G89" s="346" t="s">
        <v>10</v>
      </c>
      <c r="H89" s="346" t="s">
        <v>31</v>
      </c>
      <c r="I89" s="63">
        <f t="shared" si="52"/>
        <v>79</v>
      </c>
      <c r="J89" s="292">
        <f t="shared" si="1"/>
        <v>0</v>
      </c>
      <c r="K89" s="292">
        <f t="shared" si="2"/>
        <v>0</v>
      </c>
      <c r="L89" s="292">
        <f t="shared" si="3"/>
        <v>0</v>
      </c>
      <c r="M89" s="292">
        <f t="shared" si="4"/>
        <v>12651</v>
      </c>
      <c r="N89" s="292">
        <f t="shared" si="39"/>
        <v>0</v>
      </c>
      <c r="O89" s="292">
        <f t="shared" si="40"/>
        <v>0</v>
      </c>
      <c r="P89" s="292">
        <f t="shared" si="5"/>
        <v>12651</v>
      </c>
      <c r="Q89" s="292">
        <f t="shared" si="6"/>
        <v>0</v>
      </c>
      <c r="R89" s="292">
        <f t="shared" si="53"/>
        <v>0</v>
      </c>
      <c r="S89" s="292">
        <f t="shared" si="54"/>
        <v>0</v>
      </c>
      <c r="T89" s="292">
        <f t="shared" si="7"/>
        <v>0</v>
      </c>
      <c r="U89" s="292">
        <f t="shared" si="8"/>
        <v>0</v>
      </c>
      <c r="V89" s="292">
        <f t="shared" si="55"/>
        <v>0</v>
      </c>
      <c r="W89" s="292">
        <f t="shared" si="56"/>
        <v>0</v>
      </c>
      <c r="X89" s="292">
        <f t="shared" si="57"/>
        <v>0</v>
      </c>
      <c r="Y89" s="292">
        <f t="shared" si="58"/>
        <v>0</v>
      </c>
      <c r="Z89" s="292">
        <f t="shared" si="47"/>
        <v>0</v>
      </c>
      <c r="AA89" s="292">
        <f t="shared" si="48"/>
        <v>0</v>
      </c>
      <c r="AB89" s="292">
        <f t="shared" si="9"/>
        <v>0</v>
      </c>
      <c r="AC89" s="292">
        <f t="shared" si="10"/>
        <v>0</v>
      </c>
      <c r="AD89" s="292">
        <f t="shared" si="11"/>
        <v>0</v>
      </c>
      <c r="AE89" s="292">
        <f t="shared" si="12"/>
        <v>0</v>
      </c>
      <c r="AF89" s="292">
        <f t="shared" si="13"/>
        <v>0</v>
      </c>
      <c r="AG89" s="292">
        <f t="shared" si="14"/>
        <v>0</v>
      </c>
      <c r="AH89" s="292">
        <f t="shared" si="15"/>
        <v>0</v>
      </c>
      <c r="AI89" s="292">
        <f t="shared" si="16"/>
        <v>0</v>
      </c>
      <c r="AJ89" s="292">
        <f t="shared" si="17"/>
        <v>0</v>
      </c>
      <c r="AK89" s="292">
        <f t="shared" si="18"/>
        <v>0</v>
      </c>
      <c r="AL89" s="292">
        <f t="shared" si="49"/>
        <v>0</v>
      </c>
      <c r="AM89" s="292">
        <f t="shared" si="50"/>
        <v>0</v>
      </c>
      <c r="AN89" s="292">
        <f t="shared" si="19"/>
        <v>0</v>
      </c>
      <c r="AO89" s="292">
        <f t="shared" si="20"/>
        <v>0</v>
      </c>
      <c r="AP89" s="292">
        <f t="shared" si="21"/>
        <v>0</v>
      </c>
      <c r="AQ89" s="292">
        <f t="shared" si="22"/>
        <v>0</v>
      </c>
      <c r="AR89" s="292">
        <f t="shared" si="23"/>
        <v>0</v>
      </c>
      <c r="AS89" s="292">
        <f t="shared" si="24"/>
        <v>0</v>
      </c>
      <c r="AT89" s="292">
        <f t="shared" si="25"/>
        <v>0</v>
      </c>
      <c r="AU89" s="292">
        <f t="shared" si="26"/>
        <v>0</v>
      </c>
      <c r="AV89" s="292">
        <f t="shared" si="27"/>
        <v>0</v>
      </c>
      <c r="AW89" s="292">
        <f t="shared" si="28"/>
        <v>0</v>
      </c>
      <c r="AX89" s="292">
        <f t="shared" si="29"/>
        <v>0</v>
      </c>
      <c r="AY89" s="292">
        <f t="shared" si="30"/>
        <v>0</v>
      </c>
      <c r="AZ89" s="292">
        <f t="shared" si="31"/>
        <v>0</v>
      </c>
      <c r="BA89" s="292">
        <f t="shared" si="32"/>
        <v>0</v>
      </c>
      <c r="BB89" s="292">
        <f t="shared" si="33"/>
        <v>0</v>
      </c>
      <c r="BC89" s="292">
        <f t="shared" si="34"/>
        <v>0</v>
      </c>
      <c r="BD89" s="292">
        <f t="shared" si="35"/>
        <v>0</v>
      </c>
      <c r="BE89" s="292">
        <f t="shared" si="36"/>
        <v>0</v>
      </c>
      <c r="BF89" s="292">
        <f t="shared" si="37"/>
        <v>0</v>
      </c>
      <c r="BG89" s="292">
        <f t="shared" si="38"/>
        <v>0</v>
      </c>
    </row>
    <row r="90" spans="1:59" s="289" customFormat="1" ht="15" customHeight="1">
      <c r="A90" s="63">
        <f t="array" ref="A90">IF(C90&lt;&gt;0,SUM(($C$11:C90&lt;&gt;0)*1),"")</f>
        <v>80</v>
      </c>
      <c r="B90" s="1099">
        <v>42399</v>
      </c>
      <c r="C90" s="290" t="s">
        <v>8</v>
      </c>
      <c r="D90" s="1099">
        <v>42399</v>
      </c>
      <c r="E90" s="344" t="s">
        <v>163</v>
      </c>
      <c r="F90" s="345">
        <v>200000000</v>
      </c>
      <c r="G90" s="346" t="s">
        <v>9</v>
      </c>
      <c r="H90" s="346" t="s">
        <v>31</v>
      </c>
      <c r="I90" s="63">
        <f t="shared" si="52"/>
        <v>80</v>
      </c>
      <c r="J90" s="292">
        <f t="shared" si="1"/>
        <v>0</v>
      </c>
      <c r="K90" s="292">
        <f t="shared" si="2"/>
        <v>0</v>
      </c>
      <c r="L90" s="292">
        <f t="shared" si="3"/>
        <v>0</v>
      </c>
      <c r="M90" s="292">
        <f t="shared" si="4"/>
        <v>200000000</v>
      </c>
      <c r="N90" s="292">
        <f t="shared" si="39"/>
        <v>0</v>
      </c>
      <c r="O90" s="292">
        <f t="shared" si="40"/>
        <v>0</v>
      </c>
      <c r="P90" s="292">
        <f t="shared" si="5"/>
        <v>0</v>
      </c>
      <c r="Q90" s="292">
        <f t="shared" si="6"/>
        <v>0</v>
      </c>
      <c r="R90" s="292">
        <f t="shared" si="53"/>
        <v>0</v>
      </c>
      <c r="S90" s="292">
        <f t="shared" si="54"/>
        <v>0</v>
      </c>
      <c r="T90" s="292">
        <f t="shared" si="7"/>
        <v>0</v>
      </c>
      <c r="U90" s="292">
        <f t="shared" si="8"/>
        <v>0</v>
      </c>
      <c r="V90" s="292">
        <f t="shared" si="55"/>
        <v>0</v>
      </c>
      <c r="W90" s="292">
        <f t="shared" si="56"/>
        <v>0</v>
      </c>
      <c r="X90" s="292">
        <f t="shared" si="57"/>
        <v>0</v>
      </c>
      <c r="Y90" s="292">
        <f t="shared" si="58"/>
        <v>0</v>
      </c>
      <c r="Z90" s="292">
        <f t="shared" si="47"/>
        <v>0</v>
      </c>
      <c r="AA90" s="292">
        <f t="shared" si="48"/>
        <v>0</v>
      </c>
      <c r="AB90" s="292">
        <f t="shared" si="9"/>
        <v>200000000</v>
      </c>
      <c r="AC90" s="292">
        <f t="shared" si="10"/>
        <v>0</v>
      </c>
      <c r="AD90" s="292">
        <f t="shared" si="11"/>
        <v>0</v>
      </c>
      <c r="AE90" s="292">
        <f t="shared" si="12"/>
        <v>0</v>
      </c>
      <c r="AF90" s="292">
        <f t="shared" si="13"/>
        <v>0</v>
      </c>
      <c r="AG90" s="292">
        <f t="shared" si="14"/>
        <v>0</v>
      </c>
      <c r="AH90" s="292">
        <f t="shared" si="15"/>
        <v>0</v>
      </c>
      <c r="AI90" s="292">
        <f t="shared" si="16"/>
        <v>0</v>
      </c>
      <c r="AJ90" s="292">
        <f t="shared" si="17"/>
        <v>0</v>
      </c>
      <c r="AK90" s="292">
        <f t="shared" si="18"/>
        <v>0</v>
      </c>
      <c r="AL90" s="292">
        <f t="shared" si="49"/>
        <v>0</v>
      </c>
      <c r="AM90" s="292">
        <f t="shared" si="50"/>
        <v>0</v>
      </c>
      <c r="AN90" s="292">
        <f t="shared" si="19"/>
        <v>0</v>
      </c>
      <c r="AO90" s="292">
        <f t="shared" si="20"/>
        <v>0</v>
      </c>
      <c r="AP90" s="292">
        <f t="shared" si="21"/>
        <v>0</v>
      </c>
      <c r="AQ90" s="292">
        <f t="shared" si="22"/>
        <v>0</v>
      </c>
      <c r="AR90" s="292">
        <f t="shared" si="23"/>
        <v>0</v>
      </c>
      <c r="AS90" s="292">
        <f t="shared" si="24"/>
        <v>0</v>
      </c>
      <c r="AT90" s="292">
        <f t="shared" si="25"/>
        <v>0</v>
      </c>
      <c r="AU90" s="292">
        <f t="shared" si="26"/>
        <v>0</v>
      </c>
      <c r="AV90" s="292">
        <f t="shared" si="27"/>
        <v>0</v>
      </c>
      <c r="AW90" s="292">
        <f t="shared" si="28"/>
        <v>0</v>
      </c>
      <c r="AX90" s="292">
        <f t="shared" si="29"/>
        <v>0</v>
      </c>
      <c r="AY90" s="292">
        <f t="shared" si="30"/>
        <v>0</v>
      </c>
      <c r="AZ90" s="292">
        <f t="shared" si="31"/>
        <v>0</v>
      </c>
      <c r="BA90" s="292">
        <f t="shared" si="32"/>
        <v>0</v>
      </c>
      <c r="BB90" s="292">
        <f t="shared" si="33"/>
        <v>0</v>
      </c>
      <c r="BC90" s="292">
        <f t="shared" si="34"/>
        <v>0</v>
      </c>
      <c r="BD90" s="292">
        <f t="shared" si="35"/>
        <v>0</v>
      </c>
      <c r="BE90" s="292">
        <f t="shared" si="36"/>
        <v>0</v>
      </c>
      <c r="BF90" s="292">
        <f t="shared" si="37"/>
        <v>0</v>
      </c>
      <c r="BG90" s="292">
        <f t="shared" si="38"/>
        <v>0</v>
      </c>
    </row>
    <row r="91" spans="1:59" s="289" customFormat="1" ht="15" customHeight="1">
      <c r="A91" s="63">
        <f t="array" ref="A91">IF(C91&lt;&gt;0,SUM(($C$11:C91&lt;&gt;0)*1),"")</f>
        <v>81</v>
      </c>
      <c r="B91" s="1099">
        <v>42399</v>
      </c>
      <c r="C91" s="290" t="s">
        <v>8</v>
      </c>
      <c r="D91" s="1099">
        <v>42399</v>
      </c>
      <c r="E91" s="344" t="s">
        <v>22</v>
      </c>
      <c r="F91" s="345">
        <v>160000</v>
      </c>
      <c r="G91" s="346" t="s">
        <v>135</v>
      </c>
      <c r="H91" s="346" t="s">
        <v>31</v>
      </c>
      <c r="I91" s="63">
        <f t="shared" si="52"/>
        <v>81</v>
      </c>
      <c r="J91" s="292">
        <f t="shared" si="1"/>
        <v>0</v>
      </c>
      <c r="K91" s="292">
        <f t="shared" si="2"/>
        <v>0</v>
      </c>
      <c r="L91" s="292">
        <f t="shared" si="3"/>
        <v>0</v>
      </c>
      <c r="M91" s="292">
        <f t="shared" si="4"/>
        <v>160000</v>
      </c>
      <c r="N91" s="292">
        <f t="shared" si="39"/>
        <v>0</v>
      </c>
      <c r="O91" s="292">
        <f t="shared" si="40"/>
        <v>0</v>
      </c>
      <c r="P91" s="292">
        <f t="shared" si="5"/>
        <v>0</v>
      </c>
      <c r="Q91" s="292">
        <f t="shared" si="6"/>
        <v>0</v>
      </c>
      <c r="R91" s="292">
        <f t="shared" si="53"/>
        <v>0</v>
      </c>
      <c r="S91" s="292">
        <f t="shared" si="54"/>
        <v>0</v>
      </c>
      <c r="T91" s="292">
        <f t="shared" si="7"/>
        <v>0</v>
      </c>
      <c r="U91" s="292">
        <f t="shared" si="8"/>
        <v>0</v>
      </c>
      <c r="V91" s="292">
        <f t="shared" si="55"/>
        <v>0</v>
      </c>
      <c r="W91" s="292">
        <f t="shared" si="56"/>
        <v>0</v>
      </c>
      <c r="X91" s="292">
        <f t="shared" si="57"/>
        <v>0</v>
      </c>
      <c r="Y91" s="292">
        <f t="shared" si="58"/>
        <v>0</v>
      </c>
      <c r="Z91" s="292">
        <f t="shared" si="47"/>
        <v>0</v>
      </c>
      <c r="AA91" s="292">
        <f t="shared" si="48"/>
        <v>0</v>
      </c>
      <c r="AB91" s="292">
        <f t="shared" si="9"/>
        <v>0</v>
      </c>
      <c r="AC91" s="292">
        <f t="shared" si="10"/>
        <v>0</v>
      </c>
      <c r="AD91" s="292">
        <f t="shared" si="11"/>
        <v>0</v>
      </c>
      <c r="AE91" s="292">
        <f t="shared" si="12"/>
        <v>0</v>
      </c>
      <c r="AF91" s="292">
        <f t="shared" si="13"/>
        <v>0</v>
      </c>
      <c r="AG91" s="292">
        <f t="shared" si="14"/>
        <v>0</v>
      </c>
      <c r="AH91" s="292">
        <f t="shared" si="15"/>
        <v>0</v>
      </c>
      <c r="AI91" s="292">
        <f t="shared" si="16"/>
        <v>0</v>
      </c>
      <c r="AJ91" s="292">
        <f t="shared" si="17"/>
        <v>0</v>
      </c>
      <c r="AK91" s="292">
        <f t="shared" si="18"/>
        <v>0</v>
      </c>
      <c r="AL91" s="292">
        <f t="shared" si="49"/>
        <v>0</v>
      </c>
      <c r="AM91" s="292">
        <f t="shared" si="50"/>
        <v>0</v>
      </c>
      <c r="AN91" s="292">
        <f t="shared" si="19"/>
        <v>0</v>
      </c>
      <c r="AO91" s="292">
        <f t="shared" si="20"/>
        <v>0</v>
      </c>
      <c r="AP91" s="292">
        <f t="shared" si="21"/>
        <v>0</v>
      </c>
      <c r="AQ91" s="292">
        <f t="shared" si="22"/>
        <v>0</v>
      </c>
      <c r="AR91" s="292">
        <f t="shared" si="23"/>
        <v>0</v>
      </c>
      <c r="AS91" s="292">
        <f t="shared" si="24"/>
        <v>0</v>
      </c>
      <c r="AT91" s="292">
        <f t="shared" si="25"/>
        <v>0</v>
      </c>
      <c r="AU91" s="292">
        <f t="shared" si="26"/>
        <v>0</v>
      </c>
      <c r="AV91" s="292">
        <f t="shared" si="27"/>
        <v>0</v>
      </c>
      <c r="AW91" s="292">
        <f t="shared" si="28"/>
        <v>0</v>
      </c>
      <c r="AX91" s="292">
        <f t="shared" si="29"/>
        <v>160000</v>
      </c>
      <c r="AY91" s="292">
        <f t="shared" si="30"/>
        <v>0</v>
      </c>
      <c r="AZ91" s="292">
        <f t="shared" si="31"/>
        <v>0</v>
      </c>
      <c r="BA91" s="292">
        <f t="shared" si="32"/>
        <v>0</v>
      </c>
      <c r="BB91" s="292">
        <f t="shared" si="33"/>
        <v>0</v>
      </c>
      <c r="BC91" s="292">
        <f t="shared" si="34"/>
        <v>0</v>
      </c>
      <c r="BD91" s="292">
        <f t="shared" si="35"/>
        <v>0</v>
      </c>
      <c r="BE91" s="292">
        <f t="shared" si="36"/>
        <v>0</v>
      </c>
      <c r="BF91" s="292">
        <f t="shared" si="37"/>
        <v>0</v>
      </c>
      <c r="BG91" s="292">
        <f t="shared" si="38"/>
        <v>0</v>
      </c>
    </row>
    <row r="92" spans="1:59" s="289" customFormat="1" ht="15" customHeight="1">
      <c r="A92" s="63">
        <f t="array" ref="A92">IF(C92&lt;&gt;0,SUM(($C$11:C92&lt;&gt;0)*1),"")</f>
        <v>82</v>
      </c>
      <c r="B92" s="1099">
        <v>42399</v>
      </c>
      <c r="C92" s="290" t="s">
        <v>8</v>
      </c>
      <c r="D92" s="1099">
        <v>42399</v>
      </c>
      <c r="E92" s="344" t="s">
        <v>23</v>
      </c>
      <c r="F92" s="345">
        <v>16000</v>
      </c>
      <c r="G92" s="346" t="s">
        <v>10</v>
      </c>
      <c r="H92" s="346" t="s">
        <v>31</v>
      </c>
      <c r="I92" s="63">
        <f t="shared" si="52"/>
        <v>82</v>
      </c>
      <c r="J92" s="292">
        <f t="shared" si="1"/>
        <v>0</v>
      </c>
      <c r="K92" s="292">
        <f t="shared" si="2"/>
        <v>0</v>
      </c>
      <c r="L92" s="292">
        <f t="shared" si="3"/>
        <v>0</v>
      </c>
      <c r="M92" s="292">
        <f t="shared" si="4"/>
        <v>16000</v>
      </c>
      <c r="N92" s="292">
        <f t="shared" si="39"/>
        <v>0</v>
      </c>
      <c r="O92" s="292">
        <f t="shared" si="40"/>
        <v>0</v>
      </c>
      <c r="P92" s="292">
        <f t="shared" si="5"/>
        <v>16000</v>
      </c>
      <c r="Q92" s="292">
        <f t="shared" si="6"/>
        <v>0</v>
      </c>
      <c r="R92" s="292">
        <f t="shared" si="53"/>
        <v>0</v>
      </c>
      <c r="S92" s="292">
        <f t="shared" si="54"/>
        <v>0</v>
      </c>
      <c r="T92" s="292">
        <f t="shared" si="7"/>
        <v>0</v>
      </c>
      <c r="U92" s="292">
        <f t="shared" si="8"/>
        <v>0</v>
      </c>
      <c r="V92" s="292">
        <f t="shared" si="55"/>
        <v>0</v>
      </c>
      <c r="W92" s="292">
        <f t="shared" si="56"/>
        <v>0</v>
      </c>
      <c r="X92" s="292">
        <f t="shared" si="57"/>
        <v>0</v>
      </c>
      <c r="Y92" s="292">
        <f t="shared" si="58"/>
        <v>0</v>
      </c>
      <c r="Z92" s="292">
        <f t="shared" si="47"/>
        <v>0</v>
      </c>
      <c r="AA92" s="292">
        <f t="shared" si="48"/>
        <v>0</v>
      </c>
      <c r="AB92" s="292">
        <f t="shared" si="9"/>
        <v>0</v>
      </c>
      <c r="AC92" s="292">
        <f t="shared" si="10"/>
        <v>0</v>
      </c>
      <c r="AD92" s="292">
        <f t="shared" si="11"/>
        <v>0</v>
      </c>
      <c r="AE92" s="292">
        <f t="shared" si="12"/>
        <v>0</v>
      </c>
      <c r="AF92" s="292">
        <f t="shared" si="13"/>
        <v>0</v>
      </c>
      <c r="AG92" s="292">
        <f t="shared" si="14"/>
        <v>0</v>
      </c>
      <c r="AH92" s="292">
        <f t="shared" si="15"/>
        <v>0</v>
      </c>
      <c r="AI92" s="292">
        <f t="shared" si="16"/>
        <v>0</v>
      </c>
      <c r="AJ92" s="292">
        <f t="shared" si="17"/>
        <v>0</v>
      </c>
      <c r="AK92" s="292">
        <f t="shared" si="18"/>
        <v>0</v>
      </c>
      <c r="AL92" s="292">
        <f t="shared" si="49"/>
        <v>0</v>
      </c>
      <c r="AM92" s="292">
        <f t="shared" si="50"/>
        <v>0</v>
      </c>
      <c r="AN92" s="292">
        <f t="shared" si="19"/>
        <v>0</v>
      </c>
      <c r="AO92" s="292">
        <f t="shared" si="20"/>
        <v>0</v>
      </c>
      <c r="AP92" s="292">
        <f t="shared" si="21"/>
        <v>0</v>
      </c>
      <c r="AQ92" s="292">
        <f t="shared" si="22"/>
        <v>0</v>
      </c>
      <c r="AR92" s="292">
        <f t="shared" si="23"/>
        <v>0</v>
      </c>
      <c r="AS92" s="292">
        <f t="shared" si="24"/>
        <v>0</v>
      </c>
      <c r="AT92" s="292">
        <f t="shared" si="25"/>
        <v>0</v>
      </c>
      <c r="AU92" s="292">
        <f t="shared" si="26"/>
        <v>0</v>
      </c>
      <c r="AV92" s="292">
        <f t="shared" si="27"/>
        <v>0</v>
      </c>
      <c r="AW92" s="292">
        <f t="shared" si="28"/>
        <v>0</v>
      </c>
      <c r="AX92" s="292">
        <f t="shared" si="29"/>
        <v>0</v>
      </c>
      <c r="AY92" s="292">
        <f t="shared" si="30"/>
        <v>0</v>
      </c>
      <c r="AZ92" s="292">
        <f t="shared" si="31"/>
        <v>0</v>
      </c>
      <c r="BA92" s="292">
        <f t="shared" si="32"/>
        <v>0</v>
      </c>
      <c r="BB92" s="292">
        <f t="shared" si="33"/>
        <v>0</v>
      </c>
      <c r="BC92" s="292">
        <f t="shared" si="34"/>
        <v>0</v>
      </c>
      <c r="BD92" s="292">
        <f t="shared" si="35"/>
        <v>0</v>
      </c>
      <c r="BE92" s="292">
        <f t="shared" si="36"/>
        <v>0</v>
      </c>
      <c r="BF92" s="292">
        <f t="shared" si="37"/>
        <v>0</v>
      </c>
      <c r="BG92" s="292">
        <f t="shared" si="38"/>
        <v>0</v>
      </c>
    </row>
    <row r="93" spans="1:59" s="289" customFormat="1" ht="15" customHeight="1">
      <c r="A93" s="63">
        <f t="array" ref="A93">IF(C93&lt;&gt;0,SUM(($C$11:C93&lt;&gt;0)*1),"")</f>
        <v>83</v>
      </c>
      <c r="B93" s="1099">
        <v>42399</v>
      </c>
      <c r="C93" s="290" t="s">
        <v>8</v>
      </c>
      <c r="D93" s="1099">
        <v>42399</v>
      </c>
      <c r="E93" s="344" t="s">
        <v>422</v>
      </c>
      <c r="F93" s="345">
        <v>31108110</v>
      </c>
      <c r="G93" s="346" t="s">
        <v>9</v>
      </c>
      <c r="H93" s="346" t="s">
        <v>31</v>
      </c>
      <c r="I93" s="63">
        <f t="shared" si="52"/>
        <v>83</v>
      </c>
      <c r="J93" s="292">
        <f t="shared" si="1"/>
        <v>0</v>
      </c>
      <c r="K93" s="292">
        <f t="shared" si="2"/>
        <v>0</v>
      </c>
      <c r="L93" s="292">
        <f t="shared" si="3"/>
        <v>0</v>
      </c>
      <c r="M93" s="292">
        <f t="shared" si="4"/>
        <v>31108110</v>
      </c>
      <c r="N93" s="292">
        <f t="shared" si="39"/>
        <v>0</v>
      </c>
      <c r="O93" s="292">
        <f t="shared" si="40"/>
        <v>0</v>
      </c>
      <c r="P93" s="292">
        <f t="shared" si="5"/>
        <v>0</v>
      </c>
      <c r="Q93" s="292">
        <f t="shared" si="6"/>
        <v>0</v>
      </c>
      <c r="R93" s="292">
        <f t="shared" si="53"/>
        <v>0</v>
      </c>
      <c r="S93" s="292">
        <f t="shared" si="54"/>
        <v>0</v>
      </c>
      <c r="T93" s="292">
        <f t="shared" si="7"/>
        <v>0</v>
      </c>
      <c r="U93" s="292">
        <f t="shared" si="8"/>
        <v>0</v>
      </c>
      <c r="V93" s="292">
        <f t="shared" si="55"/>
        <v>0</v>
      </c>
      <c r="W93" s="292">
        <f t="shared" si="56"/>
        <v>0</v>
      </c>
      <c r="X93" s="292">
        <f t="shared" si="57"/>
        <v>0</v>
      </c>
      <c r="Y93" s="292">
        <f t="shared" si="58"/>
        <v>0</v>
      </c>
      <c r="Z93" s="292">
        <f t="shared" si="47"/>
        <v>0</v>
      </c>
      <c r="AA93" s="292">
        <f t="shared" si="48"/>
        <v>0</v>
      </c>
      <c r="AB93" s="292">
        <f t="shared" si="9"/>
        <v>31108110</v>
      </c>
      <c r="AC93" s="292">
        <f t="shared" si="10"/>
        <v>0</v>
      </c>
      <c r="AD93" s="292">
        <f t="shared" si="11"/>
        <v>0</v>
      </c>
      <c r="AE93" s="292">
        <f t="shared" si="12"/>
        <v>0</v>
      </c>
      <c r="AF93" s="292">
        <f t="shared" si="13"/>
        <v>0</v>
      </c>
      <c r="AG93" s="292">
        <f t="shared" si="14"/>
        <v>0</v>
      </c>
      <c r="AH93" s="292">
        <f t="shared" si="15"/>
        <v>0</v>
      </c>
      <c r="AI93" s="292">
        <f t="shared" si="16"/>
        <v>0</v>
      </c>
      <c r="AJ93" s="292">
        <f t="shared" si="17"/>
        <v>0</v>
      </c>
      <c r="AK93" s="292">
        <f t="shared" si="18"/>
        <v>0</v>
      </c>
      <c r="AL93" s="292">
        <f t="shared" si="49"/>
        <v>0</v>
      </c>
      <c r="AM93" s="292">
        <f t="shared" si="50"/>
        <v>0</v>
      </c>
      <c r="AN93" s="292">
        <f t="shared" si="19"/>
        <v>0</v>
      </c>
      <c r="AO93" s="292">
        <f t="shared" si="20"/>
        <v>0</v>
      </c>
      <c r="AP93" s="292">
        <f t="shared" si="21"/>
        <v>0</v>
      </c>
      <c r="AQ93" s="292">
        <f t="shared" si="22"/>
        <v>0</v>
      </c>
      <c r="AR93" s="292">
        <f t="shared" si="23"/>
        <v>0</v>
      </c>
      <c r="AS93" s="292">
        <f t="shared" si="24"/>
        <v>0</v>
      </c>
      <c r="AT93" s="292">
        <f t="shared" si="25"/>
        <v>0</v>
      </c>
      <c r="AU93" s="292">
        <f t="shared" si="26"/>
        <v>0</v>
      </c>
      <c r="AV93" s="292">
        <f t="shared" si="27"/>
        <v>0</v>
      </c>
      <c r="AW93" s="292">
        <f t="shared" si="28"/>
        <v>0</v>
      </c>
      <c r="AX93" s="292">
        <f t="shared" si="29"/>
        <v>0</v>
      </c>
      <c r="AY93" s="292">
        <f t="shared" si="30"/>
        <v>0</v>
      </c>
      <c r="AZ93" s="292">
        <f t="shared" si="31"/>
        <v>0</v>
      </c>
      <c r="BA93" s="292">
        <f t="shared" si="32"/>
        <v>0</v>
      </c>
      <c r="BB93" s="292">
        <f t="shared" si="33"/>
        <v>0</v>
      </c>
      <c r="BC93" s="292">
        <f t="shared" si="34"/>
        <v>0</v>
      </c>
      <c r="BD93" s="292">
        <f t="shared" si="35"/>
        <v>0</v>
      </c>
      <c r="BE93" s="292">
        <f t="shared" si="36"/>
        <v>0</v>
      </c>
      <c r="BF93" s="292">
        <f t="shared" si="37"/>
        <v>0</v>
      </c>
      <c r="BG93" s="292">
        <f t="shared" si="38"/>
        <v>0</v>
      </c>
    </row>
    <row r="94" spans="1:59" s="289" customFormat="1" ht="15" customHeight="1">
      <c r="A94" s="63">
        <f t="array" ref="A94">IF(C94&lt;&gt;0,SUM(($C$11:C94&lt;&gt;0)*1),"")</f>
        <v>84</v>
      </c>
      <c r="B94" s="1099">
        <v>42399</v>
      </c>
      <c r="C94" s="290" t="s">
        <v>8</v>
      </c>
      <c r="D94" s="1099">
        <v>42399</v>
      </c>
      <c r="E94" s="344" t="s">
        <v>22</v>
      </c>
      <c r="F94" s="345">
        <v>45000</v>
      </c>
      <c r="G94" s="346" t="s">
        <v>135</v>
      </c>
      <c r="H94" s="346" t="s">
        <v>31</v>
      </c>
      <c r="I94" s="63">
        <f t="shared" si="52"/>
        <v>84</v>
      </c>
      <c r="J94" s="292">
        <f t="shared" si="1"/>
        <v>0</v>
      </c>
      <c r="K94" s="292">
        <f t="shared" si="2"/>
        <v>0</v>
      </c>
      <c r="L94" s="292">
        <f t="shared" si="3"/>
        <v>0</v>
      </c>
      <c r="M94" s="292">
        <f t="shared" si="4"/>
        <v>45000</v>
      </c>
      <c r="N94" s="292">
        <f t="shared" si="39"/>
        <v>0</v>
      </c>
      <c r="O94" s="292">
        <f t="shared" si="40"/>
        <v>0</v>
      </c>
      <c r="P94" s="292">
        <f t="shared" si="5"/>
        <v>0</v>
      </c>
      <c r="Q94" s="292">
        <f t="shared" si="6"/>
        <v>0</v>
      </c>
      <c r="R94" s="292">
        <f t="shared" si="53"/>
        <v>0</v>
      </c>
      <c r="S94" s="292">
        <f t="shared" si="54"/>
        <v>0</v>
      </c>
      <c r="T94" s="292">
        <f t="shared" si="7"/>
        <v>0</v>
      </c>
      <c r="U94" s="292">
        <f t="shared" si="8"/>
        <v>0</v>
      </c>
      <c r="V94" s="292">
        <f t="shared" si="55"/>
        <v>0</v>
      </c>
      <c r="W94" s="292">
        <f t="shared" si="56"/>
        <v>0</v>
      </c>
      <c r="X94" s="292">
        <f t="shared" si="57"/>
        <v>0</v>
      </c>
      <c r="Y94" s="292">
        <f t="shared" si="58"/>
        <v>0</v>
      </c>
      <c r="Z94" s="292">
        <f t="shared" si="47"/>
        <v>0</v>
      </c>
      <c r="AA94" s="292">
        <f t="shared" si="48"/>
        <v>0</v>
      </c>
      <c r="AB94" s="292">
        <f t="shared" si="9"/>
        <v>0</v>
      </c>
      <c r="AC94" s="292">
        <f t="shared" si="10"/>
        <v>0</v>
      </c>
      <c r="AD94" s="292">
        <f t="shared" si="11"/>
        <v>0</v>
      </c>
      <c r="AE94" s="292">
        <f t="shared" si="12"/>
        <v>0</v>
      </c>
      <c r="AF94" s="292">
        <f t="shared" si="13"/>
        <v>0</v>
      </c>
      <c r="AG94" s="292">
        <f t="shared" si="14"/>
        <v>0</v>
      </c>
      <c r="AH94" s="292">
        <f t="shared" si="15"/>
        <v>0</v>
      </c>
      <c r="AI94" s="292">
        <f t="shared" si="16"/>
        <v>0</v>
      </c>
      <c r="AJ94" s="292">
        <f t="shared" si="17"/>
        <v>0</v>
      </c>
      <c r="AK94" s="292">
        <f t="shared" si="18"/>
        <v>0</v>
      </c>
      <c r="AL94" s="292">
        <f t="shared" si="49"/>
        <v>0</v>
      </c>
      <c r="AM94" s="292">
        <f t="shared" si="50"/>
        <v>0</v>
      </c>
      <c r="AN94" s="292">
        <f t="shared" si="19"/>
        <v>0</v>
      </c>
      <c r="AO94" s="292">
        <f t="shared" si="20"/>
        <v>0</v>
      </c>
      <c r="AP94" s="292">
        <f t="shared" si="21"/>
        <v>0</v>
      </c>
      <c r="AQ94" s="292">
        <f t="shared" si="22"/>
        <v>0</v>
      </c>
      <c r="AR94" s="292">
        <f t="shared" si="23"/>
        <v>0</v>
      </c>
      <c r="AS94" s="292">
        <f t="shared" si="24"/>
        <v>0</v>
      </c>
      <c r="AT94" s="292">
        <f t="shared" si="25"/>
        <v>0</v>
      </c>
      <c r="AU94" s="292">
        <f t="shared" si="26"/>
        <v>0</v>
      </c>
      <c r="AV94" s="292">
        <f t="shared" si="27"/>
        <v>0</v>
      </c>
      <c r="AW94" s="292">
        <f t="shared" si="28"/>
        <v>0</v>
      </c>
      <c r="AX94" s="292">
        <f t="shared" si="29"/>
        <v>45000</v>
      </c>
      <c r="AY94" s="292">
        <f t="shared" si="30"/>
        <v>0</v>
      </c>
      <c r="AZ94" s="292">
        <f t="shared" si="31"/>
        <v>0</v>
      </c>
      <c r="BA94" s="292">
        <f t="shared" si="32"/>
        <v>0</v>
      </c>
      <c r="BB94" s="292">
        <f t="shared" si="33"/>
        <v>0</v>
      </c>
      <c r="BC94" s="292">
        <f t="shared" si="34"/>
        <v>0</v>
      </c>
      <c r="BD94" s="292">
        <f t="shared" si="35"/>
        <v>0</v>
      </c>
      <c r="BE94" s="292">
        <f t="shared" si="36"/>
        <v>0</v>
      </c>
      <c r="BF94" s="292">
        <f t="shared" si="37"/>
        <v>0</v>
      </c>
      <c r="BG94" s="292">
        <f t="shared" si="38"/>
        <v>0</v>
      </c>
    </row>
    <row r="95" spans="1:59" s="289" customFormat="1" ht="15" customHeight="1">
      <c r="A95" s="63">
        <f t="array" ref="A95">IF(C95&lt;&gt;0,SUM(($C$11:C95&lt;&gt;0)*1),"")</f>
        <v>85</v>
      </c>
      <c r="B95" s="1099">
        <v>42399</v>
      </c>
      <c r="C95" s="290" t="s">
        <v>8</v>
      </c>
      <c r="D95" s="1099">
        <v>42399</v>
      </c>
      <c r="E95" s="344" t="s">
        <v>23</v>
      </c>
      <c r="F95" s="345">
        <v>4500</v>
      </c>
      <c r="G95" s="346" t="s">
        <v>10</v>
      </c>
      <c r="H95" s="346" t="s">
        <v>31</v>
      </c>
      <c r="I95" s="63">
        <f t="shared" si="52"/>
        <v>85</v>
      </c>
      <c r="J95" s="292">
        <f t="shared" si="1"/>
        <v>0</v>
      </c>
      <c r="K95" s="292">
        <f t="shared" si="2"/>
        <v>0</v>
      </c>
      <c r="L95" s="292">
        <f t="shared" si="3"/>
        <v>0</v>
      </c>
      <c r="M95" s="292">
        <f t="shared" si="4"/>
        <v>4500</v>
      </c>
      <c r="N95" s="292">
        <f t="shared" si="39"/>
        <v>0</v>
      </c>
      <c r="O95" s="292">
        <f t="shared" si="40"/>
        <v>0</v>
      </c>
      <c r="P95" s="292">
        <f t="shared" si="5"/>
        <v>4500</v>
      </c>
      <c r="Q95" s="292">
        <f t="shared" si="6"/>
        <v>0</v>
      </c>
      <c r="R95" s="292">
        <f t="shared" si="53"/>
        <v>0</v>
      </c>
      <c r="S95" s="292">
        <f t="shared" si="54"/>
        <v>0</v>
      </c>
      <c r="T95" s="292">
        <f t="shared" si="7"/>
        <v>0</v>
      </c>
      <c r="U95" s="292">
        <f t="shared" si="8"/>
        <v>0</v>
      </c>
      <c r="V95" s="292">
        <f t="shared" si="55"/>
        <v>0</v>
      </c>
      <c r="W95" s="292">
        <f t="shared" si="56"/>
        <v>0</v>
      </c>
      <c r="X95" s="292">
        <f t="shared" si="57"/>
        <v>0</v>
      </c>
      <c r="Y95" s="292">
        <f t="shared" si="58"/>
        <v>0</v>
      </c>
      <c r="Z95" s="292">
        <f t="shared" si="47"/>
        <v>0</v>
      </c>
      <c r="AA95" s="292">
        <f t="shared" si="48"/>
        <v>0</v>
      </c>
      <c r="AB95" s="292">
        <f t="shared" si="9"/>
        <v>0</v>
      </c>
      <c r="AC95" s="292">
        <f t="shared" si="10"/>
        <v>0</v>
      </c>
      <c r="AD95" s="292">
        <f t="shared" si="11"/>
        <v>0</v>
      </c>
      <c r="AE95" s="292">
        <f t="shared" si="12"/>
        <v>0</v>
      </c>
      <c r="AF95" s="292">
        <f t="shared" si="13"/>
        <v>0</v>
      </c>
      <c r="AG95" s="292">
        <f t="shared" si="14"/>
        <v>0</v>
      </c>
      <c r="AH95" s="292">
        <f t="shared" si="15"/>
        <v>0</v>
      </c>
      <c r="AI95" s="292">
        <f t="shared" si="16"/>
        <v>0</v>
      </c>
      <c r="AJ95" s="292">
        <f t="shared" si="17"/>
        <v>0</v>
      </c>
      <c r="AK95" s="292">
        <f t="shared" si="18"/>
        <v>0</v>
      </c>
      <c r="AL95" s="292">
        <f t="shared" si="49"/>
        <v>0</v>
      </c>
      <c r="AM95" s="292">
        <f t="shared" si="50"/>
        <v>0</v>
      </c>
      <c r="AN95" s="292">
        <f t="shared" si="19"/>
        <v>0</v>
      </c>
      <c r="AO95" s="292">
        <f t="shared" si="20"/>
        <v>0</v>
      </c>
      <c r="AP95" s="292">
        <f t="shared" si="21"/>
        <v>0</v>
      </c>
      <c r="AQ95" s="292">
        <f t="shared" si="22"/>
        <v>0</v>
      </c>
      <c r="AR95" s="292">
        <f t="shared" si="23"/>
        <v>0</v>
      </c>
      <c r="AS95" s="292">
        <f t="shared" si="24"/>
        <v>0</v>
      </c>
      <c r="AT95" s="292">
        <f t="shared" si="25"/>
        <v>0</v>
      </c>
      <c r="AU95" s="292">
        <f t="shared" si="26"/>
        <v>0</v>
      </c>
      <c r="AV95" s="292">
        <f t="shared" si="27"/>
        <v>0</v>
      </c>
      <c r="AW95" s="292">
        <f t="shared" si="28"/>
        <v>0</v>
      </c>
      <c r="AX95" s="292">
        <f t="shared" si="29"/>
        <v>0</v>
      </c>
      <c r="AY95" s="292">
        <f t="shared" si="30"/>
        <v>0</v>
      </c>
      <c r="AZ95" s="292">
        <f t="shared" si="31"/>
        <v>0</v>
      </c>
      <c r="BA95" s="292">
        <f t="shared" si="32"/>
        <v>0</v>
      </c>
      <c r="BB95" s="292">
        <f t="shared" si="33"/>
        <v>0</v>
      </c>
      <c r="BC95" s="292">
        <f t="shared" si="34"/>
        <v>0</v>
      </c>
      <c r="BD95" s="292">
        <f t="shared" si="35"/>
        <v>0</v>
      </c>
      <c r="BE95" s="292">
        <f t="shared" si="36"/>
        <v>0</v>
      </c>
      <c r="BF95" s="292">
        <f t="shared" si="37"/>
        <v>0</v>
      </c>
      <c r="BG95" s="292">
        <f t="shared" si="38"/>
        <v>0</v>
      </c>
    </row>
    <row r="96" spans="1:59" s="289" customFormat="1" ht="15" customHeight="1">
      <c r="A96" s="63">
        <f t="array" ref="A96">IF(C96&lt;&gt;0,SUM(($C$11:C96&lt;&gt;0)*1),"")</f>
        <v>86</v>
      </c>
      <c r="B96" s="1099">
        <v>42400</v>
      </c>
      <c r="C96" s="290" t="s">
        <v>190</v>
      </c>
      <c r="D96" s="1099">
        <v>42400</v>
      </c>
      <c r="E96" s="344" t="s">
        <v>320</v>
      </c>
      <c r="F96" s="345">
        <v>1454545</v>
      </c>
      <c r="G96" s="346" t="s">
        <v>242</v>
      </c>
      <c r="H96" s="346" t="s">
        <v>97</v>
      </c>
      <c r="I96" s="63">
        <f t="shared" si="52"/>
        <v>86</v>
      </c>
      <c r="J96" s="292">
        <f t="shared" si="1"/>
        <v>0</v>
      </c>
      <c r="K96" s="292">
        <f t="shared" si="2"/>
        <v>1454545</v>
      </c>
      <c r="L96" s="292">
        <f t="shared" si="3"/>
        <v>0</v>
      </c>
      <c r="M96" s="292">
        <f t="shared" si="4"/>
        <v>0</v>
      </c>
      <c r="N96" s="292">
        <f t="shared" si="39"/>
        <v>0</v>
      </c>
      <c r="O96" s="292">
        <f t="shared" si="40"/>
        <v>0</v>
      </c>
      <c r="P96" s="292">
        <f t="shared" si="5"/>
        <v>0</v>
      </c>
      <c r="Q96" s="292">
        <f t="shared" si="6"/>
        <v>0</v>
      </c>
      <c r="R96" s="292">
        <f t="shared" si="53"/>
        <v>0</v>
      </c>
      <c r="S96" s="292">
        <f t="shared" si="54"/>
        <v>0</v>
      </c>
      <c r="T96" s="292">
        <f t="shared" si="7"/>
        <v>0</v>
      </c>
      <c r="U96" s="292">
        <f t="shared" si="8"/>
        <v>0</v>
      </c>
      <c r="V96" s="292">
        <f t="shared" si="55"/>
        <v>0</v>
      </c>
      <c r="W96" s="292">
        <f t="shared" si="56"/>
        <v>0</v>
      </c>
      <c r="X96" s="292">
        <f t="shared" si="57"/>
        <v>0</v>
      </c>
      <c r="Y96" s="292">
        <f t="shared" si="58"/>
        <v>0</v>
      </c>
      <c r="Z96" s="292">
        <f t="shared" si="47"/>
        <v>1454545</v>
      </c>
      <c r="AA96" s="292">
        <f t="shared" si="48"/>
        <v>0</v>
      </c>
      <c r="AB96" s="292">
        <f t="shared" si="9"/>
        <v>0</v>
      </c>
      <c r="AC96" s="292">
        <f t="shared" si="10"/>
        <v>0</v>
      </c>
      <c r="AD96" s="292">
        <f t="shared" si="11"/>
        <v>0</v>
      </c>
      <c r="AE96" s="292">
        <f t="shared" si="12"/>
        <v>0</v>
      </c>
      <c r="AF96" s="292">
        <f t="shared" si="13"/>
        <v>0</v>
      </c>
      <c r="AG96" s="292">
        <f t="shared" si="14"/>
        <v>0</v>
      </c>
      <c r="AH96" s="292">
        <f t="shared" si="15"/>
        <v>0</v>
      </c>
      <c r="AI96" s="292">
        <f t="shared" si="16"/>
        <v>0</v>
      </c>
      <c r="AJ96" s="292">
        <f t="shared" si="17"/>
        <v>0</v>
      </c>
      <c r="AK96" s="292">
        <f t="shared" si="18"/>
        <v>0</v>
      </c>
      <c r="AL96" s="292">
        <f t="shared" si="49"/>
        <v>0</v>
      </c>
      <c r="AM96" s="292">
        <f t="shared" si="50"/>
        <v>0</v>
      </c>
      <c r="AN96" s="292">
        <f t="shared" si="19"/>
        <v>0</v>
      </c>
      <c r="AO96" s="292">
        <f t="shared" si="20"/>
        <v>0</v>
      </c>
      <c r="AP96" s="292">
        <f t="shared" si="21"/>
        <v>0</v>
      </c>
      <c r="AQ96" s="292">
        <f t="shared" si="22"/>
        <v>0</v>
      </c>
      <c r="AR96" s="292">
        <f t="shared" si="23"/>
        <v>0</v>
      </c>
      <c r="AS96" s="292">
        <f t="shared" si="24"/>
        <v>0</v>
      </c>
      <c r="AT96" s="292">
        <f t="shared" si="25"/>
        <v>0</v>
      </c>
      <c r="AU96" s="292">
        <f t="shared" si="26"/>
        <v>0</v>
      </c>
      <c r="AV96" s="292">
        <f t="shared" si="27"/>
        <v>0</v>
      </c>
      <c r="AW96" s="292">
        <f t="shared" si="28"/>
        <v>0</v>
      </c>
      <c r="AX96" s="292">
        <f t="shared" si="29"/>
        <v>0</v>
      </c>
      <c r="AY96" s="292">
        <f t="shared" si="30"/>
        <v>0</v>
      </c>
      <c r="AZ96" s="292">
        <f t="shared" si="31"/>
        <v>0</v>
      </c>
      <c r="BA96" s="292">
        <f t="shared" si="32"/>
        <v>0</v>
      </c>
      <c r="BB96" s="292">
        <f t="shared" si="33"/>
        <v>0</v>
      </c>
      <c r="BC96" s="292">
        <f t="shared" si="34"/>
        <v>0</v>
      </c>
      <c r="BD96" s="292">
        <f t="shared" si="35"/>
        <v>0</v>
      </c>
      <c r="BE96" s="292">
        <f t="shared" si="36"/>
        <v>0</v>
      </c>
      <c r="BF96" s="292">
        <f t="shared" si="37"/>
        <v>0</v>
      </c>
      <c r="BG96" s="292">
        <f t="shared" si="38"/>
        <v>0</v>
      </c>
    </row>
    <row r="97" spans="1:59" s="289" customFormat="1" ht="15" customHeight="1">
      <c r="A97" s="63">
        <f t="array" ref="A97">IF(C97&lt;&gt;0,SUM(($C$11:C97&lt;&gt;0)*1),"")</f>
        <v>87</v>
      </c>
      <c r="B97" s="1099">
        <v>42400</v>
      </c>
      <c r="C97" s="290" t="s">
        <v>190</v>
      </c>
      <c r="D97" s="1099">
        <v>42400</v>
      </c>
      <c r="E97" s="344" t="s">
        <v>321</v>
      </c>
      <c r="F97" s="345">
        <v>145455</v>
      </c>
      <c r="G97" s="346" t="s">
        <v>981</v>
      </c>
      <c r="H97" s="346" t="s">
        <v>97</v>
      </c>
      <c r="I97" s="63">
        <f t="shared" si="52"/>
        <v>87</v>
      </c>
      <c r="J97" s="292">
        <f t="shared" si="1"/>
        <v>0</v>
      </c>
      <c r="K97" s="292">
        <f t="shared" si="2"/>
        <v>145455</v>
      </c>
      <c r="L97" s="292">
        <f t="shared" si="3"/>
        <v>0</v>
      </c>
      <c r="M97" s="292">
        <f t="shared" si="4"/>
        <v>0</v>
      </c>
      <c r="N97" s="292">
        <f t="shared" si="39"/>
        <v>0</v>
      </c>
      <c r="O97" s="292">
        <f t="shared" si="40"/>
        <v>0</v>
      </c>
      <c r="P97" s="292">
        <f t="shared" si="5"/>
        <v>0</v>
      </c>
      <c r="Q97" s="292">
        <f t="shared" si="6"/>
        <v>0</v>
      </c>
      <c r="R97" s="292">
        <f t="shared" si="53"/>
        <v>145455</v>
      </c>
      <c r="S97" s="292">
        <f t="shared" si="54"/>
        <v>0</v>
      </c>
      <c r="T97" s="292">
        <f t="shared" si="7"/>
        <v>0</v>
      </c>
      <c r="U97" s="292">
        <f t="shared" si="8"/>
        <v>0</v>
      </c>
      <c r="V97" s="292">
        <f t="shared" si="55"/>
        <v>0</v>
      </c>
      <c r="W97" s="292">
        <f t="shared" si="56"/>
        <v>0</v>
      </c>
      <c r="X97" s="292">
        <f t="shared" si="57"/>
        <v>0</v>
      </c>
      <c r="Y97" s="292">
        <f t="shared" si="58"/>
        <v>0</v>
      </c>
      <c r="Z97" s="292">
        <f t="shared" si="47"/>
        <v>0</v>
      </c>
      <c r="AA97" s="292">
        <f t="shared" si="48"/>
        <v>0</v>
      </c>
      <c r="AB97" s="292">
        <f t="shared" si="9"/>
        <v>0</v>
      </c>
      <c r="AC97" s="292">
        <f t="shared" si="10"/>
        <v>0</v>
      </c>
      <c r="AD97" s="292">
        <f t="shared" si="11"/>
        <v>0</v>
      </c>
      <c r="AE97" s="292">
        <f t="shared" si="12"/>
        <v>0</v>
      </c>
      <c r="AF97" s="292">
        <f t="shared" si="13"/>
        <v>0</v>
      </c>
      <c r="AG97" s="292">
        <f t="shared" si="14"/>
        <v>0</v>
      </c>
      <c r="AH97" s="292">
        <f t="shared" si="15"/>
        <v>0</v>
      </c>
      <c r="AI97" s="292">
        <f t="shared" si="16"/>
        <v>0</v>
      </c>
      <c r="AJ97" s="292">
        <f t="shared" si="17"/>
        <v>0</v>
      </c>
      <c r="AK97" s="292">
        <f t="shared" si="18"/>
        <v>0</v>
      </c>
      <c r="AL97" s="292">
        <f t="shared" si="49"/>
        <v>0</v>
      </c>
      <c r="AM97" s="292">
        <f t="shared" si="50"/>
        <v>0</v>
      </c>
      <c r="AN97" s="292">
        <f t="shared" si="19"/>
        <v>0</v>
      </c>
      <c r="AO97" s="292">
        <f t="shared" si="20"/>
        <v>0</v>
      </c>
      <c r="AP97" s="292">
        <f t="shared" si="21"/>
        <v>0</v>
      </c>
      <c r="AQ97" s="292">
        <f t="shared" si="22"/>
        <v>0</v>
      </c>
      <c r="AR97" s="292">
        <f t="shared" si="23"/>
        <v>0</v>
      </c>
      <c r="AS97" s="292">
        <f t="shared" si="24"/>
        <v>0</v>
      </c>
      <c r="AT97" s="292">
        <f t="shared" si="25"/>
        <v>0</v>
      </c>
      <c r="AU97" s="292">
        <f t="shared" si="26"/>
        <v>0</v>
      </c>
      <c r="AV97" s="292">
        <f t="shared" si="27"/>
        <v>0</v>
      </c>
      <c r="AW97" s="292">
        <f t="shared" si="28"/>
        <v>0</v>
      </c>
      <c r="AX97" s="292">
        <f t="shared" si="29"/>
        <v>0</v>
      </c>
      <c r="AY97" s="292">
        <f t="shared" si="30"/>
        <v>0</v>
      </c>
      <c r="AZ97" s="292">
        <f t="shared" si="31"/>
        <v>0</v>
      </c>
      <c r="BA97" s="292">
        <f t="shared" si="32"/>
        <v>0</v>
      </c>
      <c r="BB97" s="292">
        <f t="shared" si="33"/>
        <v>0</v>
      </c>
      <c r="BC97" s="292">
        <f t="shared" si="34"/>
        <v>0</v>
      </c>
      <c r="BD97" s="292">
        <f t="shared" si="35"/>
        <v>0</v>
      </c>
      <c r="BE97" s="292">
        <f t="shared" si="36"/>
        <v>0</v>
      </c>
      <c r="BF97" s="292">
        <f t="shared" si="37"/>
        <v>0</v>
      </c>
      <c r="BG97" s="292">
        <f t="shared" si="38"/>
        <v>0</v>
      </c>
    </row>
    <row r="98" spans="1:59" s="289" customFormat="1" ht="15" customHeight="1">
      <c r="A98" s="63">
        <f t="array" ref="A98">IF(C98&lt;&gt;0,SUM(($C$11:C98&lt;&gt;0)*1),"")</f>
        <v>88</v>
      </c>
      <c r="B98" s="1099">
        <v>42401</v>
      </c>
      <c r="C98" s="290" t="s">
        <v>191</v>
      </c>
      <c r="D98" s="1099">
        <v>42401</v>
      </c>
      <c r="E98" s="344" t="s">
        <v>399</v>
      </c>
      <c r="F98" s="345">
        <v>3228000</v>
      </c>
      <c r="G98" s="346" t="s">
        <v>242</v>
      </c>
      <c r="H98" s="346" t="s">
        <v>97</v>
      </c>
      <c r="I98" s="63">
        <f t="shared" si="52"/>
        <v>88</v>
      </c>
      <c r="J98" s="292">
        <f t="shared" si="1"/>
        <v>0</v>
      </c>
      <c r="K98" s="292">
        <f t="shared" si="2"/>
        <v>3228000</v>
      </c>
      <c r="L98" s="292">
        <f t="shared" si="3"/>
        <v>0</v>
      </c>
      <c r="M98" s="292">
        <f t="shared" si="4"/>
        <v>0</v>
      </c>
      <c r="N98" s="292">
        <f t="shared" si="39"/>
        <v>0</v>
      </c>
      <c r="O98" s="292">
        <f t="shared" si="40"/>
        <v>0</v>
      </c>
      <c r="P98" s="292">
        <f t="shared" si="5"/>
        <v>0</v>
      </c>
      <c r="Q98" s="292">
        <f t="shared" si="6"/>
        <v>0</v>
      </c>
      <c r="R98" s="292">
        <f t="shared" si="53"/>
        <v>0</v>
      </c>
      <c r="S98" s="292">
        <f t="shared" si="54"/>
        <v>0</v>
      </c>
      <c r="T98" s="292">
        <f t="shared" si="7"/>
        <v>0</v>
      </c>
      <c r="U98" s="292">
        <f t="shared" si="8"/>
        <v>0</v>
      </c>
      <c r="V98" s="292">
        <f t="shared" si="55"/>
        <v>0</v>
      </c>
      <c r="W98" s="292">
        <f t="shared" si="56"/>
        <v>0</v>
      </c>
      <c r="X98" s="292">
        <f t="shared" si="57"/>
        <v>0</v>
      </c>
      <c r="Y98" s="292">
        <f t="shared" si="58"/>
        <v>0</v>
      </c>
      <c r="Z98" s="292">
        <f t="shared" si="47"/>
        <v>3228000</v>
      </c>
      <c r="AA98" s="292">
        <f t="shared" si="48"/>
        <v>0</v>
      </c>
      <c r="AB98" s="292">
        <f t="shared" si="9"/>
        <v>0</v>
      </c>
      <c r="AC98" s="292">
        <f t="shared" si="10"/>
        <v>0</v>
      </c>
      <c r="AD98" s="292">
        <f t="shared" si="11"/>
        <v>0</v>
      </c>
      <c r="AE98" s="292">
        <f t="shared" si="12"/>
        <v>0</v>
      </c>
      <c r="AF98" s="292">
        <f t="shared" si="13"/>
        <v>0</v>
      </c>
      <c r="AG98" s="292">
        <f t="shared" si="14"/>
        <v>0</v>
      </c>
      <c r="AH98" s="292">
        <f t="shared" si="15"/>
        <v>0</v>
      </c>
      <c r="AI98" s="292">
        <f t="shared" si="16"/>
        <v>0</v>
      </c>
      <c r="AJ98" s="292">
        <f t="shared" si="17"/>
        <v>0</v>
      </c>
      <c r="AK98" s="292">
        <f t="shared" si="18"/>
        <v>0</v>
      </c>
      <c r="AL98" s="292">
        <f t="shared" si="49"/>
        <v>0</v>
      </c>
      <c r="AM98" s="292">
        <f t="shared" si="50"/>
        <v>0</v>
      </c>
      <c r="AN98" s="292">
        <f t="shared" si="19"/>
        <v>0</v>
      </c>
      <c r="AO98" s="292">
        <f t="shared" si="20"/>
        <v>0</v>
      </c>
      <c r="AP98" s="292">
        <f t="shared" si="21"/>
        <v>0</v>
      </c>
      <c r="AQ98" s="292">
        <f t="shared" si="22"/>
        <v>0</v>
      </c>
      <c r="AR98" s="292">
        <f t="shared" si="23"/>
        <v>0</v>
      </c>
      <c r="AS98" s="292">
        <f t="shared" si="24"/>
        <v>0</v>
      </c>
      <c r="AT98" s="292">
        <f t="shared" si="25"/>
        <v>0</v>
      </c>
      <c r="AU98" s="292">
        <f t="shared" si="26"/>
        <v>0</v>
      </c>
      <c r="AV98" s="292">
        <f t="shared" si="27"/>
        <v>0</v>
      </c>
      <c r="AW98" s="292">
        <f t="shared" si="28"/>
        <v>0</v>
      </c>
      <c r="AX98" s="292">
        <f t="shared" si="29"/>
        <v>0</v>
      </c>
      <c r="AY98" s="292">
        <f t="shared" si="30"/>
        <v>0</v>
      </c>
      <c r="AZ98" s="292">
        <f t="shared" si="31"/>
        <v>0</v>
      </c>
      <c r="BA98" s="292">
        <f t="shared" si="32"/>
        <v>0</v>
      </c>
      <c r="BB98" s="292">
        <f t="shared" si="33"/>
        <v>0</v>
      </c>
      <c r="BC98" s="292">
        <f t="shared" si="34"/>
        <v>0</v>
      </c>
      <c r="BD98" s="292">
        <f t="shared" si="35"/>
        <v>0</v>
      </c>
      <c r="BE98" s="292">
        <f t="shared" si="36"/>
        <v>0</v>
      </c>
      <c r="BF98" s="292">
        <f t="shared" si="37"/>
        <v>0</v>
      </c>
      <c r="BG98" s="292">
        <f t="shared" si="38"/>
        <v>0</v>
      </c>
    </row>
    <row r="99" spans="1:59" s="289" customFormat="1" ht="15" customHeight="1">
      <c r="A99" s="63">
        <f t="array" ref="A99">IF(C99&lt;&gt;0,SUM(($C$11:C99&lt;&gt;0)*1),"")</f>
        <v>89</v>
      </c>
      <c r="B99" s="1099">
        <v>42403</v>
      </c>
      <c r="C99" s="290" t="s">
        <v>192</v>
      </c>
      <c r="D99" s="1099">
        <v>42403</v>
      </c>
      <c r="E99" s="344" t="s">
        <v>410</v>
      </c>
      <c r="F99" s="345">
        <v>600000000</v>
      </c>
      <c r="G99" s="346" t="s">
        <v>31</v>
      </c>
      <c r="H99" s="346" t="s">
        <v>97</v>
      </c>
      <c r="I99" s="63">
        <f t="shared" si="52"/>
        <v>89</v>
      </c>
      <c r="J99" s="292">
        <f t="shared" si="1"/>
        <v>0</v>
      </c>
      <c r="K99" s="292">
        <f t="shared" si="2"/>
        <v>600000000</v>
      </c>
      <c r="L99" s="292">
        <f t="shared" si="3"/>
        <v>600000000</v>
      </c>
      <c r="M99" s="292">
        <f t="shared" si="4"/>
        <v>0</v>
      </c>
      <c r="N99" s="292">
        <f t="shared" si="39"/>
        <v>0</v>
      </c>
      <c r="O99" s="292">
        <f t="shared" si="40"/>
        <v>0</v>
      </c>
      <c r="P99" s="292">
        <f t="shared" si="5"/>
        <v>0</v>
      </c>
      <c r="Q99" s="292">
        <f t="shared" si="6"/>
        <v>0</v>
      </c>
      <c r="R99" s="292">
        <f t="shared" si="53"/>
        <v>0</v>
      </c>
      <c r="S99" s="292">
        <f t="shared" si="54"/>
        <v>0</v>
      </c>
      <c r="T99" s="292">
        <f t="shared" si="7"/>
        <v>0</v>
      </c>
      <c r="U99" s="292">
        <f t="shared" si="8"/>
        <v>0</v>
      </c>
      <c r="V99" s="292">
        <f t="shared" si="55"/>
        <v>0</v>
      </c>
      <c r="W99" s="292">
        <f t="shared" si="56"/>
        <v>0</v>
      </c>
      <c r="X99" s="292">
        <f t="shared" si="57"/>
        <v>0</v>
      </c>
      <c r="Y99" s="292">
        <f t="shared" si="58"/>
        <v>0</v>
      </c>
      <c r="Z99" s="292">
        <f t="shared" si="47"/>
        <v>0</v>
      </c>
      <c r="AA99" s="292">
        <f t="shared" si="48"/>
        <v>0</v>
      </c>
      <c r="AB99" s="292">
        <f t="shared" si="9"/>
        <v>0</v>
      </c>
      <c r="AC99" s="292">
        <f t="shared" si="10"/>
        <v>0</v>
      </c>
      <c r="AD99" s="292">
        <f t="shared" si="11"/>
        <v>0</v>
      </c>
      <c r="AE99" s="292">
        <f t="shared" si="12"/>
        <v>0</v>
      </c>
      <c r="AF99" s="292">
        <f t="shared" si="13"/>
        <v>0</v>
      </c>
      <c r="AG99" s="292">
        <f t="shared" si="14"/>
        <v>0</v>
      </c>
      <c r="AH99" s="292">
        <f t="shared" si="15"/>
        <v>0</v>
      </c>
      <c r="AI99" s="292">
        <f t="shared" si="16"/>
        <v>0</v>
      </c>
      <c r="AJ99" s="292">
        <f t="shared" si="17"/>
        <v>0</v>
      </c>
      <c r="AK99" s="292">
        <f t="shared" si="18"/>
        <v>0</v>
      </c>
      <c r="AL99" s="292">
        <f t="shared" si="49"/>
        <v>0</v>
      </c>
      <c r="AM99" s="292">
        <f t="shared" si="50"/>
        <v>0</v>
      </c>
      <c r="AN99" s="292">
        <f t="shared" si="19"/>
        <v>0</v>
      </c>
      <c r="AO99" s="292">
        <f t="shared" si="20"/>
        <v>0</v>
      </c>
      <c r="AP99" s="292">
        <f t="shared" si="21"/>
        <v>0</v>
      </c>
      <c r="AQ99" s="292">
        <f t="shared" si="22"/>
        <v>0</v>
      </c>
      <c r="AR99" s="292">
        <f t="shared" si="23"/>
        <v>0</v>
      </c>
      <c r="AS99" s="292">
        <f t="shared" si="24"/>
        <v>0</v>
      </c>
      <c r="AT99" s="292">
        <f t="shared" si="25"/>
        <v>0</v>
      </c>
      <c r="AU99" s="292">
        <f t="shared" si="26"/>
        <v>0</v>
      </c>
      <c r="AV99" s="292">
        <f t="shared" si="27"/>
        <v>0</v>
      </c>
      <c r="AW99" s="292">
        <f t="shared" si="28"/>
        <v>0</v>
      </c>
      <c r="AX99" s="292">
        <f t="shared" si="29"/>
        <v>0</v>
      </c>
      <c r="AY99" s="292">
        <f t="shared" si="30"/>
        <v>0</v>
      </c>
      <c r="AZ99" s="292">
        <f t="shared" si="31"/>
        <v>0</v>
      </c>
      <c r="BA99" s="292">
        <f t="shared" si="32"/>
        <v>0</v>
      </c>
      <c r="BB99" s="292">
        <f t="shared" si="33"/>
        <v>0</v>
      </c>
      <c r="BC99" s="292">
        <f t="shared" si="34"/>
        <v>0</v>
      </c>
      <c r="BD99" s="292">
        <f t="shared" si="35"/>
        <v>0</v>
      </c>
      <c r="BE99" s="292">
        <f t="shared" si="36"/>
        <v>0</v>
      </c>
      <c r="BF99" s="292">
        <f t="shared" si="37"/>
        <v>0</v>
      </c>
      <c r="BG99" s="292">
        <f t="shared" si="38"/>
        <v>0</v>
      </c>
    </row>
    <row r="100" spans="1:59" s="289" customFormat="1" ht="15" customHeight="1">
      <c r="A100" s="63">
        <f t="array" ref="A100">IF(C100&lt;&gt;0,SUM(($C$11:C100&lt;&gt;0)*1),"")</f>
        <v>90</v>
      </c>
      <c r="B100" s="1099">
        <v>42403</v>
      </c>
      <c r="C100" s="290" t="s">
        <v>8</v>
      </c>
      <c r="D100" s="1099">
        <v>42403</v>
      </c>
      <c r="E100" s="344" t="s">
        <v>426</v>
      </c>
      <c r="F100" s="345">
        <v>41319190</v>
      </c>
      <c r="G100" s="346" t="s">
        <v>9</v>
      </c>
      <c r="H100" s="346" t="s">
        <v>31</v>
      </c>
      <c r="I100" s="63">
        <f t="shared" si="52"/>
        <v>90</v>
      </c>
      <c r="J100" s="292">
        <f t="shared" si="1"/>
        <v>0</v>
      </c>
      <c r="K100" s="292">
        <f t="shared" si="2"/>
        <v>0</v>
      </c>
      <c r="L100" s="292">
        <f t="shared" si="3"/>
        <v>0</v>
      </c>
      <c r="M100" s="292">
        <f t="shared" si="4"/>
        <v>41319190</v>
      </c>
      <c r="N100" s="292">
        <f t="shared" si="39"/>
        <v>0</v>
      </c>
      <c r="O100" s="292">
        <f t="shared" si="40"/>
        <v>0</v>
      </c>
      <c r="P100" s="292">
        <f t="shared" si="5"/>
        <v>0</v>
      </c>
      <c r="Q100" s="292">
        <f t="shared" si="6"/>
        <v>0</v>
      </c>
      <c r="R100" s="292">
        <f t="shared" si="53"/>
        <v>0</v>
      </c>
      <c r="S100" s="292">
        <f t="shared" si="54"/>
        <v>0</v>
      </c>
      <c r="T100" s="292">
        <f t="shared" si="7"/>
        <v>0</v>
      </c>
      <c r="U100" s="292">
        <f t="shared" si="8"/>
        <v>0</v>
      </c>
      <c r="V100" s="292">
        <f t="shared" si="55"/>
        <v>0</v>
      </c>
      <c r="W100" s="292">
        <f t="shared" si="56"/>
        <v>0</v>
      </c>
      <c r="X100" s="292">
        <f t="shared" si="57"/>
        <v>0</v>
      </c>
      <c r="Y100" s="292">
        <f t="shared" si="58"/>
        <v>0</v>
      </c>
      <c r="Z100" s="292">
        <f t="shared" si="47"/>
        <v>0</v>
      </c>
      <c r="AA100" s="292">
        <f t="shared" si="48"/>
        <v>0</v>
      </c>
      <c r="AB100" s="292">
        <f t="shared" si="9"/>
        <v>41319190</v>
      </c>
      <c r="AC100" s="292">
        <f t="shared" si="10"/>
        <v>0</v>
      </c>
      <c r="AD100" s="292">
        <f t="shared" si="11"/>
        <v>0</v>
      </c>
      <c r="AE100" s="292">
        <f t="shared" si="12"/>
        <v>0</v>
      </c>
      <c r="AF100" s="292">
        <f t="shared" si="13"/>
        <v>0</v>
      </c>
      <c r="AG100" s="292">
        <f t="shared" si="14"/>
        <v>0</v>
      </c>
      <c r="AH100" s="292">
        <f t="shared" si="15"/>
        <v>0</v>
      </c>
      <c r="AI100" s="292">
        <f t="shared" si="16"/>
        <v>0</v>
      </c>
      <c r="AJ100" s="292">
        <f t="shared" si="17"/>
        <v>0</v>
      </c>
      <c r="AK100" s="292">
        <f t="shared" si="18"/>
        <v>0</v>
      </c>
      <c r="AL100" s="292">
        <f t="shared" si="49"/>
        <v>0</v>
      </c>
      <c r="AM100" s="292">
        <f t="shared" si="50"/>
        <v>0</v>
      </c>
      <c r="AN100" s="292">
        <f t="shared" si="19"/>
        <v>0</v>
      </c>
      <c r="AO100" s="292">
        <f t="shared" si="20"/>
        <v>0</v>
      </c>
      <c r="AP100" s="292">
        <f t="shared" si="21"/>
        <v>0</v>
      </c>
      <c r="AQ100" s="292">
        <f t="shared" si="22"/>
        <v>0</v>
      </c>
      <c r="AR100" s="292">
        <f t="shared" si="23"/>
        <v>0</v>
      </c>
      <c r="AS100" s="292">
        <f t="shared" si="24"/>
        <v>0</v>
      </c>
      <c r="AT100" s="292">
        <f t="shared" si="25"/>
        <v>0</v>
      </c>
      <c r="AU100" s="292">
        <f t="shared" si="26"/>
        <v>0</v>
      </c>
      <c r="AV100" s="292">
        <f t="shared" si="27"/>
        <v>0</v>
      </c>
      <c r="AW100" s="292">
        <f t="shared" si="28"/>
        <v>0</v>
      </c>
      <c r="AX100" s="292">
        <f t="shared" si="29"/>
        <v>0</v>
      </c>
      <c r="AY100" s="292">
        <f t="shared" si="30"/>
        <v>0</v>
      </c>
      <c r="AZ100" s="292">
        <f t="shared" si="31"/>
        <v>0</v>
      </c>
      <c r="BA100" s="292">
        <f t="shared" si="32"/>
        <v>0</v>
      </c>
      <c r="BB100" s="292">
        <f t="shared" si="33"/>
        <v>0</v>
      </c>
      <c r="BC100" s="292">
        <f t="shared" si="34"/>
        <v>0</v>
      </c>
      <c r="BD100" s="292">
        <f t="shared" si="35"/>
        <v>0</v>
      </c>
      <c r="BE100" s="292">
        <f t="shared" si="36"/>
        <v>0</v>
      </c>
      <c r="BF100" s="292">
        <f t="shared" si="37"/>
        <v>0</v>
      </c>
      <c r="BG100" s="292">
        <f t="shared" si="38"/>
        <v>0</v>
      </c>
    </row>
    <row r="101" spans="1:59" s="289" customFormat="1" ht="15" customHeight="1">
      <c r="A101" s="63">
        <f t="array" ref="A101">IF(C101&lt;&gt;0,SUM(($C$11:C101&lt;&gt;0)*1),"")</f>
        <v>91</v>
      </c>
      <c r="B101" s="1099">
        <v>42403</v>
      </c>
      <c r="C101" s="290" t="s">
        <v>8</v>
      </c>
      <c r="D101" s="1099">
        <v>42403</v>
      </c>
      <c r="E101" s="344" t="s">
        <v>22</v>
      </c>
      <c r="F101" s="345">
        <v>45000</v>
      </c>
      <c r="G101" s="346" t="s">
        <v>135</v>
      </c>
      <c r="H101" s="346" t="s">
        <v>31</v>
      </c>
      <c r="I101" s="63">
        <f t="shared" si="52"/>
        <v>91</v>
      </c>
      <c r="J101" s="292">
        <f t="shared" si="1"/>
        <v>0</v>
      </c>
      <c r="K101" s="292">
        <f t="shared" si="2"/>
        <v>0</v>
      </c>
      <c r="L101" s="292">
        <f t="shared" si="3"/>
        <v>0</v>
      </c>
      <c r="M101" s="292">
        <f t="shared" si="4"/>
        <v>45000</v>
      </c>
      <c r="N101" s="292">
        <f t="shared" si="39"/>
        <v>0</v>
      </c>
      <c r="O101" s="292">
        <f t="shared" si="40"/>
        <v>0</v>
      </c>
      <c r="P101" s="292">
        <f t="shared" si="5"/>
        <v>0</v>
      </c>
      <c r="Q101" s="292">
        <f t="shared" si="6"/>
        <v>0</v>
      </c>
      <c r="R101" s="292">
        <f t="shared" si="53"/>
        <v>0</v>
      </c>
      <c r="S101" s="292">
        <f t="shared" si="54"/>
        <v>0</v>
      </c>
      <c r="T101" s="292">
        <f t="shared" si="7"/>
        <v>0</v>
      </c>
      <c r="U101" s="292">
        <f t="shared" si="8"/>
        <v>0</v>
      </c>
      <c r="V101" s="292">
        <f t="shared" si="55"/>
        <v>0</v>
      </c>
      <c r="W101" s="292">
        <f t="shared" si="56"/>
        <v>0</v>
      </c>
      <c r="X101" s="292">
        <f t="shared" si="57"/>
        <v>0</v>
      </c>
      <c r="Y101" s="292">
        <f t="shared" si="58"/>
        <v>0</v>
      </c>
      <c r="Z101" s="292">
        <f t="shared" si="47"/>
        <v>0</v>
      </c>
      <c r="AA101" s="292">
        <f t="shared" si="48"/>
        <v>0</v>
      </c>
      <c r="AB101" s="292">
        <f t="shared" si="9"/>
        <v>0</v>
      </c>
      <c r="AC101" s="292">
        <f t="shared" si="10"/>
        <v>0</v>
      </c>
      <c r="AD101" s="292">
        <f t="shared" si="11"/>
        <v>0</v>
      </c>
      <c r="AE101" s="292">
        <f t="shared" si="12"/>
        <v>0</v>
      </c>
      <c r="AF101" s="292">
        <f t="shared" si="13"/>
        <v>0</v>
      </c>
      <c r="AG101" s="292">
        <f t="shared" si="14"/>
        <v>0</v>
      </c>
      <c r="AH101" s="292">
        <f t="shared" si="15"/>
        <v>0</v>
      </c>
      <c r="AI101" s="292">
        <f t="shared" si="16"/>
        <v>0</v>
      </c>
      <c r="AJ101" s="292">
        <f t="shared" si="17"/>
        <v>0</v>
      </c>
      <c r="AK101" s="292">
        <f t="shared" si="18"/>
        <v>0</v>
      </c>
      <c r="AL101" s="292">
        <f t="shared" si="49"/>
        <v>0</v>
      </c>
      <c r="AM101" s="292">
        <f t="shared" si="50"/>
        <v>0</v>
      </c>
      <c r="AN101" s="292">
        <f t="shared" si="19"/>
        <v>0</v>
      </c>
      <c r="AO101" s="292">
        <f t="shared" si="20"/>
        <v>0</v>
      </c>
      <c r="AP101" s="292">
        <f t="shared" si="21"/>
        <v>0</v>
      </c>
      <c r="AQ101" s="292">
        <f t="shared" si="22"/>
        <v>0</v>
      </c>
      <c r="AR101" s="292">
        <f t="shared" si="23"/>
        <v>0</v>
      </c>
      <c r="AS101" s="292">
        <f t="shared" si="24"/>
        <v>0</v>
      </c>
      <c r="AT101" s="292">
        <f t="shared" si="25"/>
        <v>0</v>
      </c>
      <c r="AU101" s="292">
        <f t="shared" si="26"/>
        <v>0</v>
      </c>
      <c r="AV101" s="292">
        <f t="shared" si="27"/>
        <v>0</v>
      </c>
      <c r="AW101" s="292">
        <f t="shared" si="28"/>
        <v>0</v>
      </c>
      <c r="AX101" s="292">
        <f t="shared" si="29"/>
        <v>45000</v>
      </c>
      <c r="AY101" s="292">
        <f t="shared" si="30"/>
        <v>0</v>
      </c>
      <c r="AZ101" s="292">
        <f t="shared" si="31"/>
        <v>0</v>
      </c>
      <c r="BA101" s="292">
        <f t="shared" si="32"/>
        <v>0</v>
      </c>
      <c r="BB101" s="292">
        <f t="shared" si="33"/>
        <v>0</v>
      </c>
      <c r="BC101" s="292">
        <f t="shared" si="34"/>
        <v>0</v>
      </c>
      <c r="BD101" s="292">
        <f t="shared" si="35"/>
        <v>0</v>
      </c>
      <c r="BE101" s="292">
        <f t="shared" si="36"/>
        <v>0</v>
      </c>
      <c r="BF101" s="292">
        <f t="shared" si="37"/>
        <v>0</v>
      </c>
      <c r="BG101" s="292">
        <f t="shared" si="38"/>
        <v>0</v>
      </c>
    </row>
    <row r="102" spans="1:59" s="289" customFormat="1" ht="15" customHeight="1">
      <c r="A102" s="63">
        <f t="array" ref="A102">IF(C102&lt;&gt;0,SUM(($C$11:C102&lt;&gt;0)*1),"")</f>
        <v>92</v>
      </c>
      <c r="B102" s="1099">
        <v>42403</v>
      </c>
      <c r="C102" s="290" t="s">
        <v>8</v>
      </c>
      <c r="D102" s="1099">
        <v>42403</v>
      </c>
      <c r="E102" s="344" t="s">
        <v>23</v>
      </c>
      <c r="F102" s="345">
        <v>4500</v>
      </c>
      <c r="G102" s="346" t="s">
        <v>10</v>
      </c>
      <c r="H102" s="346" t="s">
        <v>31</v>
      </c>
      <c r="I102" s="63">
        <f t="shared" si="52"/>
        <v>92</v>
      </c>
      <c r="J102" s="292">
        <f t="shared" si="1"/>
        <v>0</v>
      </c>
      <c r="K102" s="292">
        <f t="shared" si="2"/>
        <v>0</v>
      </c>
      <c r="L102" s="292">
        <f t="shared" si="3"/>
        <v>0</v>
      </c>
      <c r="M102" s="292">
        <f t="shared" si="4"/>
        <v>4500</v>
      </c>
      <c r="N102" s="292">
        <f t="shared" si="39"/>
        <v>0</v>
      </c>
      <c r="O102" s="292">
        <f t="shared" si="40"/>
        <v>0</v>
      </c>
      <c r="P102" s="292">
        <f t="shared" si="5"/>
        <v>4500</v>
      </c>
      <c r="Q102" s="292">
        <f t="shared" si="6"/>
        <v>0</v>
      </c>
      <c r="R102" s="292">
        <f t="shared" si="53"/>
        <v>0</v>
      </c>
      <c r="S102" s="292">
        <f t="shared" si="54"/>
        <v>0</v>
      </c>
      <c r="T102" s="292">
        <f t="shared" si="7"/>
        <v>0</v>
      </c>
      <c r="U102" s="292">
        <f t="shared" si="8"/>
        <v>0</v>
      </c>
      <c r="V102" s="292">
        <f t="shared" si="55"/>
        <v>0</v>
      </c>
      <c r="W102" s="292">
        <f t="shared" si="56"/>
        <v>0</v>
      </c>
      <c r="X102" s="292">
        <f t="shared" si="57"/>
        <v>0</v>
      </c>
      <c r="Y102" s="292">
        <f t="shared" si="58"/>
        <v>0</v>
      </c>
      <c r="Z102" s="292">
        <f t="shared" si="47"/>
        <v>0</v>
      </c>
      <c r="AA102" s="292">
        <f t="shared" si="48"/>
        <v>0</v>
      </c>
      <c r="AB102" s="292">
        <f t="shared" si="9"/>
        <v>0</v>
      </c>
      <c r="AC102" s="292">
        <f t="shared" si="10"/>
        <v>0</v>
      </c>
      <c r="AD102" s="292">
        <f t="shared" si="11"/>
        <v>0</v>
      </c>
      <c r="AE102" s="292">
        <f t="shared" si="12"/>
        <v>0</v>
      </c>
      <c r="AF102" s="292">
        <f t="shared" si="13"/>
        <v>0</v>
      </c>
      <c r="AG102" s="292">
        <f t="shared" si="14"/>
        <v>0</v>
      </c>
      <c r="AH102" s="292">
        <f t="shared" si="15"/>
        <v>0</v>
      </c>
      <c r="AI102" s="292">
        <f t="shared" si="16"/>
        <v>0</v>
      </c>
      <c r="AJ102" s="292">
        <f t="shared" si="17"/>
        <v>0</v>
      </c>
      <c r="AK102" s="292">
        <f t="shared" si="18"/>
        <v>0</v>
      </c>
      <c r="AL102" s="292">
        <f t="shared" si="49"/>
        <v>0</v>
      </c>
      <c r="AM102" s="292">
        <f t="shared" si="50"/>
        <v>0</v>
      </c>
      <c r="AN102" s="292">
        <f t="shared" si="19"/>
        <v>0</v>
      </c>
      <c r="AO102" s="292">
        <f t="shared" si="20"/>
        <v>0</v>
      </c>
      <c r="AP102" s="292">
        <f t="shared" si="21"/>
        <v>0</v>
      </c>
      <c r="AQ102" s="292">
        <f t="shared" si="22"/>
        <v>0</v>
      </c>
      <c r="AR102" s="292">
        <f t="shared" si="23"/>
        <v>0</v>
      </c>
      <c r="AS102" s="292">
        <f t="shared" si="24"/>
        <v>0</v>
      </c>
      <c r="AT102" s="292">
        <f t="shared" si="25"/>
        <v>0</v>
      </c>
      <c r="AU102" s="292">
        <f t="shared" si="26"/>
        <v>0</v>
      </c>
      <c r="AV102" s="292">
        <f t="shared" si="27"/>
        <v>0</v>
      </c>
      <c r="AW102" s="292">
        <f t="shared" si="28"/>
        <v>0</v>
      </c>
      <c r="AX102" s="292">
        <f t="shared" si="29"/>
        <v>0</v>
      </c>
      <c r="AY102" s="292">
        <f t="shared" si="30"/>
        <v>0</v>
      </c>
      <c r="AZ102" s="292">
        <f t="shared" si="31"/>
        <v>0</v>
      </c>
      <c r="BA102" s="292">
        <f t="shared" si="32"/>
        <v>0</v>
      </c>
      <c r="BB102" s="292">
        <f t="shared" si="33"/>
        <v>0</v>
      </c>
      <c r="BC102" s="292">
        <f t="shared" si="34"/>
        <v>0</v>
      </c>
      <c r="BD102" s="292">
        <f t="shared" si="35"/>
        <v>0</v>
      </c>
      <c r="BE102" s="292">
        <f t="shared" si="36"/>
        <v>0</v>
      </c>
      <c r="BF102" s="292">
        <f t="shared" si="37"/>
        <v>0</v>
      </c>
      <c r="BG102" s="292">
        <f t="shared" si="38"/>
        <v>0</v>
      </c>
    </row>
    <row r="103" spans="1:59" s="289" customFormat="1" ht="15" customHeight="1">
      <c r="A103" s="63">
        <f t="array" ref="A103">IF(C103&lt;&gt;0,SUM(($C$11:C103&lt;&gt;0)*1),"")</f>
        <v>93</v>
      </c>
      <c r="B103" s="1099">
        <v>42403</v>
      </c>
      <c r="C103" s="290" t="s">
        <v>8</v>
      </c>
      <c r="D103" s="1099">
        <v>42403</v>
      </c>
      <c r="E103" s="344" t="s">
        <v>427</v>
      </c>
      <c r="F103" s="345">
        <v>37981566</v>
      </c>
      <c r="G103" s="346" t="s">
        <v>9</v>
      </c>
      <c r="H103" s="346" t="s">
        <v>31</v>
      </c>
      <c r="I103" s="63">
        <f t="shared" si="52"/>
        <v>93</v>
      </c>
      <c r="J103" s="292">
        <f t="shared" si="1"/>
        <v>0</v>
      </c>
      <c r="K103" s="292">
        <f t="shared" si="2"/>
        <v>0</v>
      </c>
      <c r="L103" s="292">
        <f t="shared" si="3"/>
        <v>0</v>
      </c>
      <c r="M103" s="292">
        <f t="shared" si="4"/>
        <v>37981566</v>
      </c>
      <c r="N103" s="292">
        <f t="shared" si="39"/>
        <v>0</v>
      </c>
      <c r="O103" s="292">
        <f t="shared" si="40"/>
        <v>0</v>
      </c>
      <c r="P103" s="292">
        <f t="shared" si="5"/>
        <v>0</v>
      </c>
      <c r="Q103" s="292">
        <f t="shared" si="6"/>
        <v>0</v>
      </c>
      <c r="R103" s="292">
        <f t="shared" si="53"/>
        <v>0</v>
      </c>
      <c r="S103" s="292">
        <f t="shared" si="54"/>
        <v>0</v>
      </c>
      <c r="T103" s="292">
        <f t="shared" si="7"/>
        <v>0</v>
      </c>
      <c r="U103" s="292">
        <f t="shared" si="8"/>
        <v>0</v>
      </c>
      <c r="V103" s="292">
        <f t="shared" si="55"/>
        <v>0</v>
      </c>
      <c r="W103" s="292">
        <f t="shared" si="56"/>
        <v>0</v>
      </c>
      <c r="X103" s="292">
        <f t="shared" si="57"/>
        <v>0</v>
      </c>
      <c r="Y103" s="292">
        <f t="shared" si="58"/>
        <v>0</v>
      </c>
      <c r="Z103" s="292">
        <f t="shared" si="47"/>
        <v>0</v>
      </c>
      <c r="AA103" s="292">
        <f t="shared" si="48"/>
        <v>0</v>
      </c>
      <c r="AB103" s="292">
        <f t="shared" si="9"/>
        <v>37981566</v>
      </c>
      <c r="AC103" s="292">
        <f t="shared" si="10"/>
        <v>0</v>
      </c>
      <c r="AD103" s="292">
        <f t="shared" si="11"/>
        <v>0</v>
      </c>
      <c r="AE103" s="292">
        <f t="shared" si="12"/>
        <v>0</v>
      </c>
      <c r="AF103" s="292">
        <f t="shared" si="13"/>
        <v>0</v>
      </c>
      <c r="AG103" s="292">
        <f t="shared" si="14"/>
        <v>0</v>
      </c>
      <c r="AH103" s="292">
        <f t="shared" si="15"/>
        <v>0</v>
      </c>
      <c r="AI103" s="292">
        <f t="shared" si="16"/>
        <v>0</v>
      </c>
      <c r="AJ103" s="292">
        <f t="shared" si="17"/>
        <v>0</v>
      </c>
      <c r="AK103" s="292">
        <f t="shared" si="18"/>
        <v>0</v>
      </c>
      <c r="AL103" s="292">
        <f t="shared" si="49"/>
        <v>0</v>
      </c>
      <c r="AM103" s="292">
        <f t="shared" si="50"/>
        <v>0</v>
      </c>
      <c r="AN103" s="292">
        <f t="shared" si="19"/>
        <v>0</v>
      </c>
      <c r="AO103" s="292">
        <f t="shared" si="20"/>
        <v>0</v>
      </c>
      <c r="AP103" s="292">
        <f t="shared" si="21"/>
        <v>0</v>
      </c>
      <c r="AQ103" s="292">
        <f t="shared" si="22"/>
        <v>0</v>
      </c>
      <c r="AR103" s="292">
        <f t="shared" si="23"/>
        <v>0</v>
      </c>
      <c r="AS103" s="292">
        <f t="shared" si="24"/>
        <v>0</v>
      </c>
      <c r="AT103" s="292">
        <f t="shared" si="25"/>
        <v>0</v>
      </c>
      <c r="AU103" s="292">
        <f t="shared" si="26"/>
        <v>0</v>
      </c>
      <c r="AV103" s="292">
        <f t="shared" si="27"/>
        <v>0</v>
      </c>
      <c r="AW103" s="292">
        <f t="shared" si="28"/>
        <v>0</v>
      </c>
      <c r="AX103" s="292">
        <f t="shared" si="29"/>
        <v>0</v>
      </c>
      <c r="AY103" s="292">
        <f t="shared" si="30"/>
        <v>0</v>
      </c>
      <c r="AZ103" s="292">
        <f t="shared" si="31"/>
        <v>0</v>
      </c>
      <c r="BA103" s="292">
        <f t="shared" si="32"/>
        <v>0</v>
      </c>
      <c r="BB103" s="292">
        <f t="shared" si="33"/>
        <v>0</v>
      </c>
      <c r="BC103" s="292">
        <f t="shared" si="34"/>
        <v>0</v>
      </c>
      <c r="BD103" s="292">
        <f t="shared" si="35"/>
        <v>0</v>
      </c>
      <c r="BE103" s="292">
        <f t="shared" si="36"/>
        <v>0</v>
      </c>
      <c r="BF103" s="292">
        <f t="shared" si="37"/>
        <v>0</v>
      </c>
      <c r="BG103" s="292">
        <f t="shared" si="38"/>
        <v>0</v>
      </c>
    </row>
    <row r="104" spans="1:59" s="289" customFormat="1" ht="15" customHeight="1">
      <c r="A104" s="63">
        <f t="array" ref="A104">IF(C104&lt;&gt;0,SUM(($C$11:C104&lt;&gt;0)*1),"")</f>
        <v>94</v>
      </c>
      <c r="B104" s="1099">
        <v>42403</v>
      </c>
      <c r="C104" s="290" t="s">
        <v>8</v>
      </c>
      <c r="D104" s="1099">
        <v>42403</v>
      </c>
      <c r="E104" s="344" t="s">
        <v>22</v>
      </c>
      <c r="F104" s="345">
        <v>45000</v>
      </c>
      <c r="G104" s="346" t="s">
        <v>135</v>
      </c>
      <c r="H104" s="346" t="s">
        <v>31</v>
      </c>
      <c r="I104" s="63">
        <f t="shared" si="52"/>
        <v>94</v>
      </c>
      <c r="J104" s="292">
        <f t="shared" si="1"/>
        <v>0</v>
      </c>
      <c r="K104" s="292">
        <f t="shared" si="2"/>
        <v>0</v>
      </c>
      <c r="L104" s="292">
        <f t="shared" si="3"/>
        <v>0</v>
      </c>
      <c r="M104" s="292">
        <f t="shared" si="4"/>
        <v>45000</v>
      </c>
      <c r="N104" s="292">
        <f t="shared" si="39"/>
        <v>0</v>
      </c>
      <c r="O104" s="292">
        <f t="shared" si="40"/>
        <v>0</v>
      </c>
      <c r="P104" s="292">
        <f t="shared" si="5"/>
        <v>0</v>
      </c>
      <c r="Q104" s="292">
        <f t="shared" si="6"/>
        <v>0</v>
      </c>
      <c r="R104" s="292">
        <f t="shared" si="53"/>
        <v>0</v>
      </c>
      <c r="S104" s="292">
        <f t="shared" si="54"/>
        <v>0</v>
      </c>
      <c r="T104" s="292">
        <f t="shared" si="7"/>
        <v>0</v>
      </c>
      <c r="U104" s="292">
        <f t="shared" si="8"/>
        <v>0</v>
      </c>
      <c r="V104" s="292">
        <f t="shared" si="55"/>
        <v>0</v>
      </c>
      <c r="W104" s="292">
        <f t="shared" si="56"/>
        <v>0</v>
      </c>
      <c r="X104" s="292">
        <f t="shared" si="57"/>
        <v>0</v>
      </c>
      <c r="Y104" s="292">
        <f t="shared" si="58"/>
        <v>0</v>
      </c>
      <c r="Z104" s="292">
        <f t="shared" si="47"/>
        <v>0</v>
      </c>
      <c r="AA104" s="292">
        <f t="shared" si="48"/>
        <v>0</v>
      </c>
      <c r="AB104" s="292">
        <f t="shared" si="9"/>
        <v>0</v>
      </c>
      <c r="AC104" s="292">
        <f t="shared" si="10"/>
        <v>0</v>
      </c>
      <c r="AD104" s="292">
        <f t="shared" si="11"/>
        <v>0</v>
      </c>
      <c r="AE104" s="292">
        <f t="shared" si="12"/>
        <v>0</v>
      </c>
      <c r="AF104" s="292">
        <f t="shared" si="13"/>
        <v>0</v>
      </c>
      <c r="AG104" s="292">
        <f t="shared" si="14"/>
        <v>0</v>
      </c>
      <c r="AH104" s="292">
        <f t="shared" si="15"/>
        <v>0</v>
      </c>
      <c r="AI104" s="292">
        <f t="shared" si="16"/>
        <v>0</v>
      </c>
      <c r="AJ104" s="292">
        <f t="shared" si="17"/>
        <v>0</v>
      </c>
      <c r="AK104" s="292">
        <f t="shared" si="18"/>
        <v>0</v>
      </c>
      <c r="AL104" s="292">
        <f t="shared" si="49"/>
        <v>0</v>
      </c>
      <c r="AM104" s="292">
        <f t="shared" si="50"/>
        <v>0</v>
      </c>
      <c r="AN104" s="292">
        <f t="shared" si="19"/>
        <v>0</v>
      </c>
      <c r="AO104" s="292">
        <f t="shared" si="20"/>
        <v>0</v>
      </c>
      <c r="AP104" s="292">
        <f t="shared" si="21"/>
        <v>0</v>
      </c>
      <c r="AQ104" s="292">
        <f t="shared" si="22"/>
        <v>0</v>
      </c>
      <c r="AR104" s="292">
        <f t="shared" si="23"/>
        <v>0</v>
      </c>
      <c r="AS104" s="292">
        <f t="shared" si="24"/>
        <v>0</v>
      </c>
      <c r="AT104" s="292">
        <f t="shared" si="25"/>
        <v>0</v>
      </c>
      <c r="AU104" s="292">
        <f t="shared" si="26"/>
        <v>0</v>
      </c>
      <c r="AV104" s="292">
        <f t="shared" si="27"/>
        <v>0</v>
      </c>
      <c r="AW104" s="292">
        <f t="shared" si="28"/>
        <v>0</v>
      </c>
      <c r="AX104" s="292">
        <f t="shared" si="29"/>
        <v>45000</v>
      </c>
      <c r="AY104" s="292">
        <f t="shared" si="30"/>
        <v>0</v>
      </c>
      <c r="AZ104" s="292">
        <f t="shared" si="31"/>
        <v>0</v>
      </c>
      <c r="BA104" s="292">
        <f t="shared" si="32"/>
        <v>0</v>
      </c>
      <c r="BB104" s="292">
        <f t="shared" si="33"/>
        <v>0</v>
      </c>
      <c r="BC104" s="292">
        <f t="shared" si="34"/>
        <v>0</v>
      </c>
      <c r="BD104" s="292">
        <f t="shared" si="35"/>
        <v>0</v>
      </c>
      <c r="BE104" s="292">
        <f t="shared" si="36"/>
        <v>0</v>
      </c>
      <c r="BF104" s="292">
        <f t="shared" si="37"/>
        <v>0</v>
      </c>
      <c r="BG104" s="292">
        <f t="shared" si="38"/>
        <v>0</v>
      </c>
    </row>
    <row r="105" spans="1:59" s="289" customFormat="1" ht="15" customHeight="1">
      <c r="A105" s="63">
        <f t="array" ref="A105">IF(C105&lt;&gt;0,SUM(($C$11:C105&lt;&gt;0)*1),"")</f>
        <v>95</v>
      </c>
      <c r="B105" s="1099">
        <v>42403</v>
      </c>
      <c r="C105" s="290" t="s">
        <v>8</v>
      </c>
      <c r="D105" s="1099">
        <v>42403</v>
      </c>
      <c r="E105" s="344" t="s">
        <v>23</v>
      </c>
      <c r="F105" s="345">
        <v>4500</v>
      </c>
      <c r="G105" s="346" t="s">
        <v>10</v>
      </c>
      <c r="H105" s="346" t="s">
        <v>31</v>
      </c>
      <c r="I105" s="63">
        <f t="shared" si="52"/>
        <v>95</v>
      </c>
      <c r="J105" s="292">
        <f t="shared" si="1"/>
        <v>0</v>
      </c>
      <c r="K105" s="292">
        <f t="shared" si="2"/>
        <v>0</v>
      </c>
      <c r="L105" s="292">
        <f t="shared" si="3"/>
        <v>0</v>
      </c>
      <c r="M105" s="292">
        <f t="shared" si="4"/>
        <v>4500</v>
      </c>
      <c r="N105" s="292">
        <f t="shared" si="39"/>
        <v>0</v>
      </c>
      <c r="O105" s="292">
        <f t="shared" si="40"/>
        <v>0</v>
      </c>
      <c r="P105" s="292">
        <f t="shared" si="5"/>
        <v>4500</v>
      </c>
      <c r="Q105" s="292">
        <f t="shared" si="6"/>
        <v>0</v>
      </c>
      <c r="R105" s="292">
        <f t="shared" si="53"/>
        <v>0</v>
      </c>
      <c r="S105" s="292">
        <f t="shared" si="54"/>
        <v>0</v>
      </c>
      <c r="T105" s="292">
        <f t="shared" si="7"/>
        <v>0</v>
      </c>
      <c r="U105" s="292">
        <f t="shared" si="8"/>
        <v>0</v>
      </c>
      <c r="V105" s="292">
        <f t="shared" si="55"/>
        <v>0</v>
      </c>
      <c r="W105" s="292">
        <f t="shared" si="56"/>
        <v>0</v>
      </c>
      <c r="X105" s="292">
        <f t="shared" si="57"/>
        <v>0</v>
      </c>
      <c r="Y105" s="292">
        <f t="shared" si="58"/>
        <v>0</v>
      </c>
      <c r="Z105" s="292">
        <f t="shared" si="47"/>
        <v>0</v>
      </c>
      <c r="AA105" s="292">
        <f t="shared" si="48"/>
        <v>0</v>
      </c>
      <c r="AB105" s="292">
        <f t="shared" si="9"/>
        <v>0</v>
      </c>
      <c r="AC105" s="292">
        <f t="shared" si="10"/>
        <v>0</v>
      </c>
      <c r="AD105" s="292">
        <f t="shared" si="11"/>
        <v>0</v>
      </c>
      <c r="AE105" s="292">
        <f t="shared" si="12"/>
        <v>0</v>
      </c>
      <c r="AF105" s="292">
        <f t="shared" si="13"/>
        <v>0</v>
      </c>
      <c r="AG105" s="292">
        <f t="shared" si="14"/>
        <v>0</v>
      </c>
      <c r="AH105" s="292">
        <f t="shared" si="15"/>
        <v>0</v>
      </c>
      <c r="AI105" s="292">
        <f t="shared" si="16"/>
        <v>0</v>
      </c>
      <c r="AJ105" s="292">
        <f t="shared" si="17"/>
        <v>0</v>
      </c>
      <c r="AK105" s="292">
        <f t="shared" si="18"/>
        <v>0</v>
      </c>
      <c r="AL105" s="292">
        <f t="shared" si="49"/>
        <v>0</v>
      </c>
      <c r="AM105" s="292">
        <f t="shared" si="50"/>
        <v>0</v>
      </c>
      <c r="AN105" s="292">
        <f t="shared" si="19"/>
        <v>0</v>
      </c>
      <c r="AO105" s="292">
        <f t="shared" si="20"/>
        <v>0</v>
      </c>
      <c r="AP105" s="292">
        <f t="shared" si="21"/>
        <v>0</v>
      </c>
      <c r="AQ105" s="292">
        <f t="shared" si="22"/>
        <v>0</v>
      </c>
      <c r="AR105" s="292">
        <f t="shared" si="23"/>
        <v>0</v>
      </c>
      <c r="AS105" s="292">
        <f t="shared" si="24"/>
        <v>0</v>
      </c>
      <c r="AT105" s="292">
        <f t="shared" si="25"/>
        <v>0</v>
      </c>
      <c r="AU105" s="292">
        <f t="shared" si="26"/>
        <v>0</v>
      </c>
      <c r="AV105" s="292">
        <f t="shared" si="27"/>
        <v>0</v>
      </c>
      <c r="AW105" s="292">
        <f t="shared" si="28"/>
        <v>0</v>
      </c>
      <c r="AX105" s="292">
        <f t="shared" si="29"/>
        <v>0</v>
      </c>
      <c r="AY105" s="292">
        <f t="shared" si="30"/>
        <v>0</v>
      </c>
      <c r="AZ105" s="292">
        <f t="shared" si="31"/>
        <v>0</v>
      </c>
      <c r="BA105" s="292">
        <f t="shared" si="32"/>
        <v>0</v>
      </c>
      <c r="BB105" s="292">
        <f t="shared" si="33"/>
        <v>0</v>
      </c>
      <c r="BC105" s="292">
        <f t="shared" si="34"/>
        <v>0</v>
      </c>
      <c r="BD105" s="292">
        <f t="shared" si="35"/>
        <v>0</v>
      </c>
      <c r="BE105" s="292">
        <f t="shared" si="36"/>
        <v>0</v>
      </c>
      <c r="BF105" s="292">
        <f t="shared" si="37"/>
        <v>0</v>
      </c>
      <c r="BG105" s="292">
        <f t="shared" si="38"/>
        <v>0</v>
      </c>
    </row>
    <row r="106" spans="1:59" s="289" customFormat="1" ht="15" customHeight="1">
      <c r="A106" s="63">
        <f t="array" ref="A106">IF(C106&lt;&gt;0,SUM(($C$11:C106&lt;&gt;0)*1),"")</f>
        <v>96</v>
      </c>
      <c r="B106" s="1099">
        <v>42403</v>
      </c>
      <c r="C106" s="290" t="s">
        <v>8</v>
      </c>
      <c r="D106" s="1099">
        <v>42403</v>
      </c>
      <c r="E106" s="344" t="s">
        <v>428</v>
      </c>
      <c r="F106" s="345">
        <v>50000000</v>
      </c>
      <c r="G106" s="346" t="s">
        <v>9</v>
      </c>
      <c r="H106" s="346" t="s">
        <v>31</v>
      </c>
      <c r="I106" s="63">
        <f t="shared" si="52"/>
        <v>96</v>
      </c>
      <c r="J106" s="292">
        <f t="shared" si="1"/>
        <v>0</v>
      </c>
      <c r="K106" s="292">
        <f t="shared" si="2"/>
        <v>0</v>
      </c>
      <c r="L106" s="292">
        <f t="shared" si="3"/>
        <v>0</v>
      </c>
      <c r="M106" s="292">
        <f t="shared" si="4"/>
        <v>50000000</v>
      </c>
      <c r="N106" s="292">
        <f t="shared" si="39"/>
        <v>0</v>
      </c>
      <c r="O106" s="292">
        <f t="shared" si="40"/>
        <v>0</v>
      </c>
      <c r="P106" s="292">
        <f t="shared" si="5"/>
        <v>0</v>
      </c>
      <c r="Q106" s="292">
        <f t="shared" si="6"/>
        <v>0</v>
      </c>
      <c r="R106" s="292">
        <f t="shared" si="53"/>
        <v>0</v>
      </c>
      <c r="S106" s="292">
        <f t="shared" si="54"/>
        <v>0</v>
      </c>
      <c r="T106" s="292">
        <f t="shared" si="7"/>
        <v>0</v>
      </c>
      <c r="U106" s="292">
        <f t="shared" si="8"/>
        <v>0</v>
      </c>
      <c r="V106" s="292">
        <f t="shared" si="55"/>
        <v>0</v>
      </c>
      <c r="W106" s="292">
        <f t="shared" si="56"/>
        <v>0</v>
      </c>
      <c r="X106" s="292">
        <f t="shared" si="57"/>
        <v>0</v>
      </c>
      <c r="Y106" s="292">
        <f t="shared" si="58"/>
        <v>0</v>
      </c>
      <c r="Z106" s="292">
        <f t="shared" si="47"/>
        <v>0</v>
      </c>
      <c r="AA106" s="292">
        <f t="shared" si="48"/>
        <v>0</v>
      </c>
      <c r="AB106" s="292">
        <f t="shared" si="9"/>
        <v>50000000</v>
      </c>
      <c r="AC106" s="292">
        <f t="shared" si="10"/>
        <v>0</v>
      </c>
      <c r="AD106" s="292">
        <f t="shared" si="11"/>
        <v>0</v>
      </c>
      <c r="AE106" s="292">
        <f t="shared" si="12"/>
        <v>0</v>
      </c>
      <c r="AF106" s="292">
        <f t="shared" si="13"/>
        <v>0</v>
      </c>
      <c r="AG106" s="292">
        <f t="shared" si="14"/>
        <v>0</v>
      </c>
      <c r="AH106" s="292">
        <f t="shared" si="15"/>
        <v>0</v>
      </c>
      <c r="AI106" s="292">
        <f t="shared" si="16"/>
        <v>0</v>
      </c>
      <c r="AJ106" s="292">
        <f t="shared" si="17"/>
        <v>0</v>
      </c>
      <c r="AK106" s="292">
        <f t="shared" si="18"/>
        <v>0</v>
      </c>
      <c r="AL106" s="292">
        <f t="shared" si="49"/>
        <v>0</v>
      </c>
      <c r="AM106" s="292">
        <f t="shared" si="50"/>
        <v>0</v>
      </c>
      <c r="AN106" s="292">
        <f t="shared" si="19"/>
        <v>0</v>
      </c>
      <c r="AO106" s="292">
        <f t="shared" si="20"/>
        <v>0</v>
      </c>
      <c r="AP106" s="292">
        <f t="shared" si="21"/>
        <v>0</v>
      </c>
      <c r="AQ106" s="292">
        <f t="shared" si="22"/>
        <v>0</v>
      </c>
      <c r="AR106" s="292">
        <f t="shared" si="23"/>
        <v>0</v>
      </c>
      <c r="AS106" s="292">
        <f t="shared" si="24"/>
        <v>0</v>
      </c>
      <c r="AT106" s="292">
        <f t="shared" si="25"/>
        <v>0</v>
      </c>
      <c r="AU106" s="292">
        <f t="shared" si="26"/>
        <v>0</v>
      </c>
      <c r="AV106" s="292">
        <f t="shared" si="27"/>
        <v>0</v>
      </c>
      <c r="AW106" s="292">
        <f t="shared" si="28"/>
        <v>0</v>
      </c>
      <c r="AX106" s="292">
        <f t="shared" si="29"/>
        <v>0</v>
      </c>
      <c r="AY106" s="292">
        <f t="shared" si="30"/>
        <v>0</v>
      </c>
      <c r="AZ106" s="292">
        <f t="shared" si="31"/>
        <v>0</v>
      </c>
      <c r="BA106" s="292">
        <f t="shared" si="32"/>
        <v>0</v>
      </c>
      <c r="BB106" s="292">
        <f t="shared" si="33"/>
        <v>0</v>
      </c>
      <c r="BC106" s="292">
        <f t="shared" si="34"/>
        <v>0</v>
      </c>
      <c r="BD106" s="292">
        <f t="shared" si="35"/>
        <v>0</v>
      </c>
      <c r="BE106" s="292">
        <f t="shared" si="36"/>
        <v>0</v>
      </c>
      <c r="BF106" s="292">
        <f t="shared" si="37"/>
        <v>0</v>
      </c>
      <c r="BG106" s="292">
        <f t="shared" si="38"/>
        <v>0</v>
      </c>
    </row>
    <row r="107" spans="1:59" s="289" customFormat="1" ht="15" customHeight="1">
      <c r="A107" s="63">
        <f t="array" ref="A107">IF(C107&lt;&gt;0,SUM(($C$11:C107&lt;&gt;0)*1),"")</f>
        <v>97</v>
      </c>
      <c r="B107" s="1099">
        <v>42403</v>
      </c>
      <c r="C107" s="290" t="s">
        <v>8</v>
      </c>
      <c r="D107" s="1099">
        <v>42403</v>
      </c>
      <c r="E107" s="344" t="s">
        <v>22</v>
      </c>
      <c r="F107" s="345">
        <v>45000</v>
      </c>
      <c r="G107" s="346" t="s">
        <v>135</v>
      </c>
      <c r="H107" s="346" t="s">
        <v>31</v>
      </c>
      <c r="I107" s="63">
        <f t="shared" si="52"/>
        <v>97</v>
      </c>
      <c r="J107" s="292">
        <f t="shared" si="1"/>
        <v>0</v>
      </c>
      <c r="K107" s="292">
        <f t="shared" si="2"/>
        <v>0</v>
      </c>
      <c r="L107" s="292">
        <f t="shared" si="3"/>
        <v>0</v>
      </c>
      <c r="M107" s="292">
        <f t="shared" si="4"/>
        <v>45000</v>
      </c>
      <c r="N107" s="292">
        <f t="shared" si="39"/>
        <v>0</v>
      </c>
      <c r="O107" s="292">
        <f t="shared" si="40"/>
        <v>0</v>
      </c>
      <c r="P107" s="292">
        <f t="shared" si="5"/>
        <v>0</v>
      </c>
      <c r="Q107" s="292">
        <f t="shared" si="6"/>
        <v>0</v>
      </c>
      <c r="R107" s="292">
        <f t="shared" si="53"/>
        <v>0</v>
      </c>
      <c r="S107" s="292">
        <f t="shared" si="54"/>
        <v>0</v>
      </c>
      <c r="T107" s="292">
        <f t="shared" si="7"/>
        <v>0</v>
      </c>
      <c r="U107" s="292">
        <f t="shared" si="8"/>
        <v>0</v>
      </c>
      <c r="V107" s="292">
        <f t="shared" si="55"/>
        <v>0</v>
      </c>
      <c r="W107" s="292">
        <f t="shared" si="56"/>
        <v>0</v>
      </c>
      <c r="X107" s="292">
        <f t="shared" si="57"/>
        <v>0</v>
      </c>
      <c r="Y107" s="292">
        <f t="shared" si="58"/>
        <v>0</v>
      </c>
      <c r="Z107" s="292">
        <f t="shared" si="47"/>
        <v>0</v>
      </c>
      <c r="AA107" s="292">
        <f t="shared" si="48"/>
        <v>0</v>
      </c>
      <c r="AB107" s="292">
        <f t="shared" si="9"/>
        <v>0</v>
      </c>
      <c r="AC107" s="292">
        <f t="shared" si="10"/>
        <v>0</v>
      </c>
      <c r="AD107" s="292">
        <f t="shared" si="11"/>
        <v>0</v>
      </c>
      <c r="AE107" s="292">
        <f t="shared" si="12"/>
        <v>0</v>
      </c>
      <c r="AF107" s="292">
        <f t="shared" si="13"/>
        <v>0</v>
      </c>
      <c r="AG107" s="292">
        <f t="shared" si="14"/>
        <v>0</v>
      </c>
      <c r="AH107" s="292">
        <f t="shared" si="15"/>
        <v>0</v>
      </c>
      <c r="AI107" s="292">
        <f t="shared" si="16"/>
        <v>0</v>
      </c>
      <c r="AJ107" s="292">
        <f t="shared" si="17"/>
        <v>0</v>
      </c>
      <c r="AK107" s="292">
        <f t="shared" si="18"/>
        <v>0</v>
      </c>
      <c r="AL107" s="292">
        <f t="shared" si="49"/>
        <v>0</v>
      </c>
      <c r="AM107" s="292">
        <f t="shared" si="50"/>
        <v>0</v>
      </c>
      <c r="AN107" s="292">
        <f t="shared" si="19"/>
        <v>0</v>
      </c>
      <c r="AO107" s="292">
        <f t="shared" si="20"/>
        <v>0</v>
      </c>
      <c r="AP107" s="292">
        <f t="shared" si="21"/>
        <v>0</v>
      </c>
      <c r="AQ107" s="292">
        <f t="shared" si="22"/>
        <v>0</v>
      </c>
      <c r="AR107" s="292">
        <f t="shared" si="23"/>
        <v>0</v>
      </c>
      <c r="AS107" s="292">
        <f t="shared" si="24"/>
        <v>0</v>
      </c>
      <c r="AT107" s="292">
        <f t="shared" si="25"/>
        <v>0</v>
      </c>
      <c r="AU107" s="292">
        <f t="shared" si="26"/>
        <v>0</v>
      </c>
      <c r="AV107" s="292">
        <f t="shared" si="27"/>
        <v>0</v>
      </c>
      <c r="AW107" s="292">
        <f t="shared" si="28"/>
        <v>0</v>
      </c>
      <c r="AX107" s="292">
        <f t="shared" si="29"/>
        <v>45000</v>
      </c>
      <c r="AY107" s="292">
        <f t="shared" si="30"/>
        <v>0</v>
      </c>
      <c r="AZ107" s="292">
        <f t="shared" si="31"/>
        <v>0</v>
      </c>
      <c r="BA107" s="292">
        <f t="shared" si="32"/>
        <v>0</v>
      </c>
      <c r="BB107" s="292">
        <f t="shared" si="33"/>
        <v>0</v>
      </c>
      <c r="BC107" s="292">
        <f t="shared" si="34"/>
        <v>0</v>
      </c>
      <c r="BD107" s="292">
        <f t="shared" si="35"/>
        <v>0</v>
      </c>
      <c r="BE107" s="292">
        <f t="shared" si="36"/>
        <v>0</v>
      </c>
      <c r="BF107" s="292">
        <f t="shared" si="37"/>
        <v>0</v>
      </c>
      <c r="BG107" s="292">
        <f t="shared" si="38"/>
        <v>0</v>
      </c>
    </row>
    <row r="108" spans="1:59" s="289" customFormat="1" ht="15" customHeight="1">
      <c r="A108" s="63">
        <f t="array" ref="A108">IF(C108&lt;&gt;0,SUM(($C$11:C108&lt;&gt;0)*1),"")</f>
        <v>98</v>
      </c>
      <c r="B108" s="1099">
        <v>42403</v>
      </c>
      <c r="C108" s="290" t="s">
        <v>8</v>
      </c>
      <c r="D108" s="1099">
        <v>42403</v>
      </c>
      <c r="E108" s="344" t="s">
        <v>23</v>
      </c>
      <c r="F108" s="345">
        <v>4500</v>
      </c>
      <c r="G108" s="346" t="s">
        <v>10</v>
      </c>
      <c r="H108" s="346" t="s">
        <v>31</v>
      </c>
      <c r="I108" s="63">
        <f t="shared" si="52"/>
        <v>98</v>
      </c>
      <c r="J108" s="292">
        <f t="shared" si="1"/>
        <v>0</v>
      </c>
      <c r="K108" s="292">
        <f t="shared" si="2"/>
        <v>0</v>
      </c>
      <c r="L108" s="292">
        <f t="shared" si="3"/>
        <v>0</v>
      </c>
      <c r="M108" s="292">
        <f t="shared" si="4"/>
        <v>4500</v>
      </c>
      <c r="N108" s="292">
        <f t="shared" si="39"/>
        <v>0</v>
      </c>
      <c r="O108" s="292">
        <f t="shared" si="40"/>
        <v>0</v>
      </c>
      <c r="P108" s="292">
        <f t="shared" si="5"/>
        <v>4500</v>
      </c>
      <c r="Q108" s="292">
        <f t="shared" si="6"/>
        <v>0</v>
      </c>
      <c r="R108" s="292">
        <f t="shared" si="53"/>
        <v>0</v>
      </c>
      <c r="S108" s="292">
        <f t="shared" si="54"/>
        <v>0</v>
      </c>
      <c r="T108" s="292">
        <f t="shared" si="7"/>
        <v>0</v>
      </c>
      <c r="U108" s="292">
        <f t="shared" si="8"/>
        <v>0</v>
      </c>
      <c r="V108" s="292">
        <f t="shared" si="55"/>
        <v>0</v>
      </c>
      <c r="W108" s="292">
        <f t="shared" si="56"/>
        <v>0</v>
      </c>
      <c r="X108" s="292">
        <f t="shared" si="57"/>
        <v>0</v>
      </c>
      <c r="Y108" s="292">
        <f t="shared" si="58"/>
        <v>0</v>
      </c>
      <c r="Z108" s="292">
        <f t="shared" si="47"/>
        <v>0</v>
      </c>
      <c r="AA108" s="292">
        <f t="shared" si="48"/>
        <v>0</v>
      </c>
      <c r="AB108" s="292">
        <f t="shared" si="9"/>
        <v>0</v>
      </c>
      <c r="AC108" s="292">
        <f t="shared" si="10"/>
        <v>0</v>
      </c>
      <c r="AD108" s="292">
        <f t="shared" si="11"/>
        <v>0</v>
      </c>
      <c r="AE108" s="292">
        <f t="shared" si="12"/>
        <v>0</v>
      </c>
      <c r="AF108" s="292">
        <f t="shared" si="13"/>
        <v>0</v>
      </c>
      <c r="AG108" s="292">
        <f t="shared" si="14"/>
        <v>0</v>
      </c>
      <c r="AH108" s="292">
        <f t="shared" si="15"/>
        <v>0</v>
      </c>
      <c r="AI108" s="292">
        <f t="shared" si="16"/>
        <v>0</v>
      </c>
      <c r="AJ108" s="292">
        <f t="shared" si="17"/>
        <v>0</v>
      </c>
      <c r="AK108" s="292">
        <f t="shared" si="18"/>
        <v>0</v>
      </c>
      <c r="AL108" s="292">
        <f t="shared" si="49"/>
        <v>0</v>
      </c>
      <c r="AM108" s="292">
        <f t="shared" si="50"/>
        <v>0</v>
      </c>
      <c r="AN108" s="292">
        <f t="shared" si="19"/>
        <v>0</v>
      </c>
      <c r="AO108" s="292">
        <f t="shared" si="20"/>
        <v>0</v>
      </c>
      <c r="AP108" s="292">
        <f t="shared" si="21"/>
        <v>0</v>
      </c>
      <c r="AQ108" s="292">
        <f t="shared" si="22"/>
        <v>0</v>
      </c>
      <c r="AR108" s="292">
        <f t="shared" si="23"/>
        <v>0</v>
      </c>
      <c r="AS108" s="292">
        <f t="shared" si="24"/>
        <v>0</v>
      </c>
      <c r="AT108" s="292">
        <f t="shared" si="25"/>
        <v>0</v>
      </c>
      <c r="AU108" s="292">
        <f t="shared" si="26"/>
        <v>0</v>
      </c>
      <c r="AV108" s="292">
        <f t="shared" si="27"/>
        <v>0</v>
      </c>
      <c r="AW108" s="292">
        <f t="shared" si="28"/>
        <v>0</v>
      </c>
      <c r="AX108" s="292">
        <f t="shared" si="29"/>
        <v>0</v>
      </c>
      <c r="AY108" s="292">
        <f t="shared" si="30"/>
        <v>0</v>
      </c>
      <c r="AZ108" s="292">
        <f t="shared" si="31"/>
        <v>0</v>
      </c>
      <c r="BA108" s="292">
        <f t="shared" si="32"/>
        <v>0</v>
      </c>
      <c r="BB108" s="292">
        <f t="shared" si="33"/>
        <v>0</v>
      </c>
      <c r="BC108" s="292">
        <f t="shared" si="34"/>
        <v>0</v>
      </c>
      <c r="BD108" s="292">
        <f t="shared" si="35"/>
        <v>0</v>
      </c>
      <c r="BE108" s="292">
        <f t="shared" si="36"/>
        <v>0</v>
      </c>
      <c r="BF108" s="292">
        <f t="shared" si="37"/>
        <v>0</v>
      </c>
      <c r="BG108" s="292">
        <f t="shared" si="38"/>
        <v>0</v>
      </c>
    </row>
    <row r="109" spans="1:59" s="289" customFormat="1" ht="15" customHeight="1">
      <c r="A109" s="63">
        <f t="array" ref="A109">IF(C109&lt;&gt;0,SUM(($C$11:C109&lt;&gt;0)*1),"")</f>
        <v>99</v>
      </c>
      <c r="B109" s="1099">
        <v>42403</v>
      </c>
      <c r="C109" s="290" t="s">
        <v>8</v>
      </c>
      <c r="D109" s="1099">
        <v>42403</v>
      </c>
      <c r="E109" s="344" t="s">
        <v>163</v>
      </c>
      <c r="F109" s="345">
        <v>60000000</v>
      </c>
      <c r="G109" s="346" t="s">
        <v>9</v>
      </c>
      <c r="H109" s="346" t="s">
        <v>31</v>
      </c>
      <c r="I109" s="63">
        <f t="shared" si="52"/>
        <v>99</v>
      </c>
      <c r="J109" s="292">
        <f t="shared" si="1"/>
        <v>0</v>
      </c>
      <c r="K109" s="292">
        <f t="shared" si="2"/>
        <v>0</v>
      </c>
      <c r="L109" s="292">
        <f t="shared" si="3"/>
        <v>0</v>
      </c>
      <c r="M109" s="292">
        <f t="shared" si="4"/>
        <v>60000000</v>
      </c>
      <c r="N109" s="292">
        <f t="shared" si="39"/>
        <v>0</v>
      </c>
      <c r="O109" s="292">
        <f t="shared" si="40"/>
        <v>0</v>
      </c>
      <c r="P109" s="292">
        <f t="shared" si="5"/>
        <v>0</v>
      </c>
      <c r="Q109" s="292">
        <f t="shared" si="6"/>
        <v>0</v>
      </c>
      <c r="R109" s="292">
        <f t="shared" si="53"/>
        <v>0</v>
      </c>
      <c r="S109" s="292">
        <f t="shared" si="54"/>
        <v>0</v>
      </c>
      <c r="T109" s="292">
        <f t="shared" si="7"/>
        <v>0</v>
      </c>
      <c r="U109" s="292">
        <f t="shared" si="8"/>
        <v>0</v>
      </c>
      <c r="V109" s="292">
        <f t="shared" si="55"/>
        <v>0</v>
      </c>
      <c r="W109" s="292">
        <f t="shared" si="56"/>
        <v>0</v>
      </c>
      <c r="X109" s="292">
        <f t="shared" si="57"/>
        <v>0</v>
      </c>
      <c r="Y109" s="292">
        <f t="shared" si="58"/>
        <v>0</v>
      </c>
      <c r="Z109" s="292">
        <f t="shared" si="47"/>
        <v>0</v>
      </c>
      <c r="AA109" s="292">
        <f t="shared" si="48"/>
        <v>0</v>
      </c>
      <c r="AB109" s="292">
        <f t="shared" si="9"/>
        <v>60000000</v>
      </c>
      <c r="AC109" s="292">
        <f t="shared" si="10"/>
        <v>0</v>
      </c>
      <c r="AD109" s="292">
        <f t="shared" si="11"/>
        <v>0</v>
      </c>
      <c r="AE109" s="292">
        <f t="shared" si="12"/>
        <v>0</v>
      </c>
      <c r="AF109" s="292">
        <f t="shared" si="13"/>
        <v>0</v>
      </c>
      <c r="AG109" s="292">
        <f t="shared" si="14"/>
        <v>0</v>
      </c>
      <c r="AH109" s="292">
        <f t="shared" si="15"/>
        <v>0</v>
      </c>
      <c r="AI109" s="292">
        <f t="shared" si="16"/>
        <v>0</v>
      </c>
      <c r="AJ109" s="292">
        <f t="shared" si="17"/>
        <v>0</v>
      </c>
      <c r="AK109" s="292">
        <f t="shared" si="18"/>
        <v>0</v>
      </c>
      <c r="AL109" s="292">
        <f t="shared" si="49"/>
        <v>0</v>
      </c>
      <c r="AM109" s="292">
        <f t="shared" si="50"/>
        <v>0</v>
      </c>
      <c r="AN109" s="292">
        <f t="shared" si="19"/>
        <v>0</v>
      </c>
      <c r="AO109" s="292">
        <f t="shared" si="20"/>
        <v>0</v>
      </c>
      <c r="AP109" s="292">
        <f t="shared" si="21"/>
        <v>0</v>
      </c>
      <c r="AQ109" s="292">
        <f t="shared" si="22"/>
        <v>0</v>
      </c>
      <c r="AR109" s="292">
        <f t="shared" si="23"/>
        <v>0</v>
      </c>
      <c r="AS109" s="292">
        <f t="shared" si="24"/>
        <v>0</v>
      </c>
      <c r="AT109" s="292">
        <f t="shared" si="25"/>
        <v>0</v>
      </c>
      <c r="AU109" s="292">
        <f t="shared" si="26"/>
        <v>0</v>
      </c>
      <c r="AV109" s="292">
        <f t="shared" si="27"/>
        <v>0</v>
      </c>
      <c r="AW109" s="292">
        <f t="shared" si="28"/>
        <v>0</v>
      </c>
      <c r="AX109" s="292">
        <f t="shared" si="29"/>
        <v>0</v>
      </c>
      <c r="AY109" s="292">
        <f t="shared" si="30"/>
        <v>0</v>
      </c>
      <c r="AZ109" s="292">
        <f t="shared" si="31"/>
        <v>0</v>
      </c>
      <c r="BA109" s="292">
        <f t="shared" si="32"/>
        <v>0</v>
      </c>
      <c r="BB109" s="292">
        <f t="shared" si="33"/>
        <v>0</v>
      </c>
      <c r="BC109" s="292">
        <f t="shared" si="34"/>
        <v>0</v>
      </c>
      <c r="BD109" s="292">
        <f t="shared" si="35"/>
        <v>0</v>
      </c>
      <c r="BE109" s="292">
        <f t="shared" si="36"/>
        <v>0</v>
      </c>
      <c r="BF109" s="292">
        <f t="shared" si="37"/>
        <v>0</v>
      </c>
      <c r="BG109" s="292">
        <f t="shared" si="38"/>
        <v>0</v>
      </c>
    </row>
    <row r="110" spans="1:59" s="289" customFormat="1" ht="15" customHeight="1">
      <c r="A110" s="63">
        <f t="array" ref="A110">IF(C110&lt;&gt;0,SUM(($C$11:C110&lt;&gt;0)*1),"")</f>
        <v>100</v>
      </c>
      <c r="B110" s="1099">
        <v>42403</v>
      </c>
      <c r="C110" s="290" t="s">
        <v>8</v>
      </c>
      <c r="D110" s="1099">
        <v>42403</v>
      </c>
      <c r="E110" s="344" t="s">
        <v>22</v>
      </c>
      <c r="F110" s="345">
        <v>50000</v>
      </c>
      <c r="G110" s="346" t="s">
        <v>135</v>
      </c>
      <c r="H110" s="346" t="s">
        <v>31</v>
      </c>
      <c r="I110" s="63">
        <f t="shared" si="52"/>
        <v>100</v>
      </c>
      <c r="J110" s="292">
        <f t="shared" si="1"/>
        <v>0</v>
      </c>
      <c r="K110" s="292">
        <f t="shared" si="2"/>
        <v>0</v>
      </c>
      <c r="L110" s="292">
        <f t="shared" si="3"/>
        <v>0</v>
      </c>
      <c r="M110" s="292">
        <f t="shared" si="4"/>
        <v>50000</v>
      </c>
      <c r="N110" s="292">
        <f t="shared" si="39"/>
        <v>0</v>
      </c>
      <c r="O110" s="292">
        <f t="shared" si="40"/>
        <v>0</v>
      </c>
      <c r="P110" s="292">
        <f t="shared" si="5"/>
        <v>0</v>
      </c>
      <c r="Q110" s="292">
        <f t="shared" si="6"/>
        <v>0</v>
      </c>
      <c r="R110" s="292">
        <f t="shared" si="53"/>
        <v>0</v>
      </c>
      <c r="S110" s="292">
        <f t="shared" si="54"/>
        <v>0</v>
      </c>
      <c r="T110" s="292">
        <f t="shared" si="7"/>
        <v>0</v>
      </c>
      <c r="U110" s="292">
        <f t="shared" si="8"/>
        <v>0</v>
      </c>
      <c r="V110" s="292">
        <f t="shared" si="55"/>
        <v>0</v>
      </c>
      <c r="W110" s="292">
        <f t="shared" si="56"/>
        <v>0</v>
      </c>
      <c r="X110" s="292">
        <f t="shared" si="57"/>
        <v>0</v>
      </c>
      <c r="Y110" s="292">
        <f t="shared" si="58"/>
        <v>0</v>
      </c>
      <c r="Z110" s="292">
        <f t="shared" si="47"/>
        <v>0</v>
      </c>
      <c r="AA110" s="292">
        <f t="shared" si="48"/>
        <v>0</v>
      </c>
      <c r="AB110" s="292">
        <f t="shared" si="9"/>
        <v>0</v>
      </c>
      <c r="AC110" s="292">
        <f t="shared" si="10"/>
        <v>0</v>
      </c>
      <c r="AD110" s="292">
        <f t="shared" si="11"/>
        <v>0</v>
      </c>
      <c r="AE110" s="292">
        <f t="shared" si="12"/>
        <v>0</v>
      </c>
      <c r="AF110" s="292">
        <f t="shared" si="13"/>
        <v>0</v>
      </c>
      <c r="AG110" s="292">
        <f t="shared" si="14"/>
        <v>0</v>
      </c>
      <c r="AH110" s="292">
        <f t="shared" si="15"/>
        <v>0</v>
      </c>
      <c r="AI110" s="292">
        <f t="shared" si="16"/>
        <v>0</v>
      </c>
      <c r="AJ110" s="292">
        <f t="shared" si="17"/>
        <v>0</v>
      </c>
      <c r="AK110" s="292">
        <f t="shared" si="18"/>
        <v>0</v>
      </c>
      <c r="AL110" s="292">
        <f t="shared" si="49"/>
        <v>0</v>
      </c>
      <c r="AM110" s="292">
        <f t="shared" si="50"/>
        <v>0</v>
      </c>
      <c r="AN110" s="292">
        <f t="shared" si="19"/>
        <v>0</v>
      </c>
      <c r="AO110" s="292">
        <f t="shared" si="20"/>
        <v>0</v>
      </c>
      <c r="AP110" s="292">
        <f t="shared" si="21"/>
        <v>0</v>
      </c>
      <c r="AQ110" s="292">
        <f t="shared" si="22"/>
        <v>0</v>
      </c>
      <c r="AR110" s="292">
        <f t="shared" si="23"/>
        <v>0</v>
      </c>
      <c r="AS110" s="292">
        <f t="shared" si="24"/>
        <v>0</v>
      </c>
      <c r="AT110" s="292">
        <f t="shared" si="25"/>
        <v>0</v>
      </c>
      <c r="AU110" s="292">
        <f t="shared" si="26"/>
        <v>0</v>
      </c>
      <c r="AV110" s="292">
        <f t="shared" si="27"/>
        <v>0</v>
      </c>
      <c r="AW110" s="292">
        <f t="shared" si="28"/>
        <v>0</v>
      </c>
      <c r="AX110" s="292">
        <f t="shared" si="29"/>
        <v>50000</v>
      </c>
      <c r="AY110" s="292">
        <f t="shared" si="30"/>
        <v>0</v>
      </c>
      <c r="AZ110" s="292">
        <f t="shared" si="31"/>
        <v>0</v>
      </c>
      <c r="BA110" s="292">
        <f t="shared" si="32"/>
        <v>0</v>
      </c>
      <c r="BB110" s="292">
        <f t="shared" si="33"/>
        <v>0</v>
      </c>
      <c r="BC110" s="292">
        <f t="shared" si="34"/>
        <v>0</v>
      </c>
      <c r="BD110" s="292">
        <f t="shared" si="35"/>
        <v>0</v>
      </c>
      <c r="BE110" s="292">
        <f t="shared" si="36"/>
        <v>0</v>
      </c>
      <c r="BF110" s="292">
        <f t="shared" si="37"/>
        <v>0</v>
      </c>
      <c r="BG110" s="292">
        <f t="shared" si="38"/>
        <v>0</v>
      </c>
    </row>
    <row r="111" spans="1:59" s="289" customFormat="1" ht="15" customHeight="1">
      <c r="A111" s="63">
        <f t="array" ref="A111">IF(C111&lt;&gt;0,SUM(($C$11:C111&lt;&gt;0)*1),"")</f>
        <v>101</v>
      </c>
      <c r="B111" s="1099">
        <v>42403</v>
      </c>
      <c r="C111" s="290" t="s">
        <v>8</v>
      </c>
      <c r="D111" s="1099">
        <v>42403</v>
      </c>
      <c r="E111" s="344" t="s">
        <v>23</v>
      </c>
      <c r="F111" s="345">
        <v>5000</v>
      </c>
      <c r="G111" s="346" t="s">
        <v>10</v>
      </c>
      <c r="H111" s="346" t="s">
        <v>31</v>
      </c>
      <c r="I111" s="63">
        <f t="shared" si="52"/>
        <v>101</v>
      </c>
      <c r="J111" s="292">
        <f t="shared" si="1"/>
        <v>0</v>
      </c>
      <c r="K111" s="292">
        <f t="shared" si="2"/>
        <v>0</v>
      </c>
      <c r="L111" s="292">
        <f t="shared" si="3"/>
        <v>0</v>
      </c>
      <c r="M111" s="292">
        <f t="shared" si="4"/>
        <v>5000</v>
      </c>
      <c r="N111" s="292">
        <f t="shared" si="39"/>
        <v>0</v>
      </c>
      <c r="O111" s="292">
        <f t="shared" si="40"/>
        <v>0</v>
      </c>
      <c r="P111" s="292">
        <f t="shared" si="5"/>
        <v>5000</v>
      </c>
      <c r="Q111" s="292">
        <f t="shared" si="6"/>
        <v>0</v>
      </c>
      <c r="R111" s="292">
        <f t="shared" si="53"/>
        <v>0</v>
      </c>
      <c r="S111" s="292">
        <f t="shared" si="54"/>
        <v>0</v>
      </c>
      <c r="T111" s="292">
        <f t="shared" si="7"/>
        <v>0</v>
      </c>
      <c r="U111" s="292">
        <f t="shared" si="8"/>
        <v>0</v>
      </c>
      <c r="V111" s="292">
        <f t="shared" si="55"/>
        <v>0</v>
      </c>
      <c r="W111" s="292">
        <f t="shared" si="56"/>
        <v>0</v>
      </c>
      <c r="X111" s="292">
        <f t="shared" si="57"/>
        <v>0</v>
      </c>
      <c r="Y111" s="292">
        <f t="shared" si="58"/>
        <v>0</v>
      </c>
      <c r="Z111" s="292">
        <f t="shared" si="47"/>
        <v>0</v>
      </c>
      <c r="AA111" s="292">
        <f t="shared" si="48"/>
        <v>0</v>
      </c>
      <c r="AB111" s="292">
        <f t="shared" si="9"/>
        <v>0</v>
      </c>
      <c r="AC111" s="292">
        <f t="shared" si="10"/>
        <v>0</v>
      </c>
      <c r="AD111" s="292">
        <f t="shared" si="11"/>
        <v>0</v>
      </c>
      <c r="AE111" s="292">
        <f t="shared" si="12"/>
        <v>0</v>
      </c>
      <c r="AF111" s="292">
        <f t="shared" si="13"/>
        <v>0</v>
      </c>
      <c r="AG111" s="292">
        <f t="shared" si="14"/>
        <v>0</v>
      </c>
      <c r="AH111" s="292">
        <f t="shared" si="15"/>
        <v>0</v>
      </c>
      <c r="AI111" s="292">
        <f t="shared" si="16"/>
        <v>0</v>
      </c>
      <c r="AJ111" s="292">
        <f t="shared" si="17"/>
        <v>0</v>
      </c>
      <c r="AK111" s="292">
        <f t="shared" si="18"/>
        <v>0</v>
      </c>
      <c r="AL111" s="292">
        <f t="shared" si="49"/>
        <v>0</v>
      </c>
      <c r="AM111" s="292">
        <f t="shared" si="50"/>
        <v>0</v>
      </c>
      <c r="AN111" s="292">
        <f t="shared" si="19"/>
        <v>0</v>
      </c>
      <c r="AO111" s="292">
        <f t="shared" si="20"/>
        <v>0</v>
      </c>
      <c r="AP111" s="292">
        <f t="shared" si="21"/>
        <v>0</v>
      </c>
      <c r="AQ111" s="292">
        <f t="shared" si="22"/>
        <v>0</v>
      </c>
      <c r="AR111" s="292">
        <f t="shared" si="23"/>
        <v>0</v>
      </c>
      <c r="AS111" s="292">
        <f t="shared" si="24"/>
        <v>0</v>
      </c>
      <c r="AT111" s="292">
        <f t="shared" si="25"/>
        <v>0</v>
      </c>
      <c r="AU111" s="292">
        <f t="shared" si="26"/>
        <v>0</v>
      </c>
      <c r="AV111" s="292">
        <f t="shared" si="27"/>
        <v>0</v>
      </c>
      <c r="AW111" s="292">
        <f t="shared" si="28"/>
        <v>0</v>
      </c>
      <c r="AX111" s="292">
        <f t="shared" si="29"/>
        <v>0</v>
      </c>
      <c r="AY111" s="292">
        <f t="shared" si="30"/>
        <v>0</v>
      </c>
      <c r="AZ111" s="292">
        <f t="shared" si="31"/>
        <v>0</v>
      </c>
      <c r="BA111" s="292">
        <f t="shared" si="32"/>
        <v>0</v>
      </c>
      <c r="BB111" s="292">
        <f t="shared" si="33"/>
        <v>0</v>
      </c>
      <c r="BC111" s="292">
        <f t="shared" si="34"/>
        <v>0</v>
      </c>
      <c r="BD111" s="292">
        <f t="shared" si="35"/>
        <v>0</v>
      </c>
      <c r="BE111" s="292">
        <f t="shared" si="36"/>
        <v>0</v>
      </c>
      <c r="BF111" s="292">
        <f t="shared" si="37"/>
        <v>0</v>
      </c>
      <c r="BG111" s="292">
        <f t="shared" si="38"/>
        <v>0</v>
      </c>
    </row>
    <row r="112" spans="1:59" s="289" customFormat="1" ht="15" customHeight="1">
      <c r="A112" s="63">
        <f t="array" ref="A112">IF(C112&lt;&gt;0,SUM(($C$11:C112&lt;&gt;0)*1),"")</f>
        <v>102</v>
      </c>
      <c r="B112" s="1099">
        <v>42403</v>
      </c>
      <c r="C112" s="290" t="s">
        <v>8</v>
      </c>
      <c r="D112" s="1099">
        <v>42403</v>
      </c>
      <c r="E112" s="344" t="s">
        <v>163</v>
      </c>
      <c r="F112" s="345">
        <v>300000000</v>
      </c>
      <c r="G112" s="346" t="s">
        <v>9</v>
      </c>
      <c r="H112" s="346" t="s">
        <v>31</v>
      </c>
      <c r="I112" s="63">
        <f t="shared" si="52"/>
        <v>102</v>
      </c>
      <c r="J112" s="292">
        <f t="shared" si="1"/>
        <v>0</v>
      </c>
      <c r="K112" s="292">
        <f t="shared" si="2"/>
        <v>0</v>
      </c>
      <c r="L112" s="292">
        <f t="shared" si="3"/>
        <v>0</v>
      </c>
      <c r="M112" s="292">
        <f t="shared" si="4"/>
        <v>300000000</v>
      </c>
      <c r="N112" s="292">
        <f t="shared" si="39"/>
        <v>0</v>
      </c>
      <c r="O112" s="292">
        <f t="shared" si="40"/>
        <v>0</v>
      </c>
      <c r="P112" s="292">
        <f t="shared" si="5"/>
        <v>0</v>
      </c>
      <c r="Q112" s="292">
        <f t="shared" si="6"/>
        <v>0</v>
      </c>
      <c r="R112" s="292">
        <f t="shared" si="53"/>
        <v>0</v>
      </c>
      <c r="S112" s="292">
        <f t="shared" si="54"/>
        <v>0</v>
      </c>
      <c r="T112" s="292">
        <f t="shared" si="7"/>
        <v>0</v>
      </c>
      <c r="U112" s="292">
        <f t="shared" si="8"/>
        <v>0</v>
      </c>
      <c r="V112" s="292">
        <f t="shared" si="55"/>
        <v>0</v>
      </c>
      <c r="W112" s="292">
        <f t="shared" si="56"/>
        <v>0</v>
      </c>
      <c r="X112" s="292">
        <f t="shared" si="57"/>
        <v>0</v>
      </c>
      <c r="Y112" s="292">
        <f t="shared" si="58"/>
        <v>0</v>
      </c>
      <c r="Z112" s="292">
        <f t="shared" si="47"/>
        <v>0</v>
      </c>
      <c r="AA112" s="292">
        <f t="shared" si="48"/>
        <v>0</v>
      </c>
      <c r="AB112" s="292">
        <f t="shared" si="9"/>
        <v>300000000</v>
      </c>
      <c r="AC112" s="292">
        <f t="shared" si="10"/>
        <v>0</v>
      </c>
      <c r="AD112" s="292">
        <f t="shared" si="11"/>
        <v>0</v>
      </c>
      <c r="AE112" s="292">
        <f t="shared" si="12"/>
        <v>0</v>
      </c>
      <c r="AF112" s="292">
        <f t="shared" si="13"/>
        <v>0</v>
      </c>
      <c r="AG112" s="292">
        <f t="shared" si="14"/>
        <v>0</v>
      </c>
      <c r="AH112" s="292">
        <f t="shared" si="15"/>
        <v>0</v>
      </c>
      <c r="AI112" s="292">
        <f t="shared" si="16"/>
        <v>0</v>
      </c>
      <c r="AJ112" s="292">
        <f t="shared" si="17"/>
        <v>0</v>
      </c>
      <c r="AK112" s="292">
        <f t="shared" si="18"/>
        <v>0</v>
      </c>
      <c r="AL112" s="292">
        <f t="shared" si="49"/>
        <v>0</v>
      </c>
      <c r="AM112" s="292">
        <f t="shared" si="50"/>
        <v>0</v>
      </c>
      <c r="AN112" s="292">
        <f t="shared" si="19"/>
        <v>0</v>
      </c>
      <c r="AO112" s="292">
        <f t="shared" si="20"/>
        <v>0</v>
      </c>
      <c r="AP112" s="292">
        <f t="shared" si="21"/>
        <v>0</v>
      </c>
      <c r="AQ112" s="292">
        <f t="shared" si="22"/>
        <v>0</v>
      </c>
      <c r="AR112" s="292">
        <f t="shared" si="23"/>
        <v>0</v>
      </c>
      <c r="AS112" s="292">
        <f t="shared" si="24"/>
        <v>0</v>
      </c>
      <c r="AT112" s="292">
        <f t="shared" si="25"/>
        <v>0</v>
      </c>
      <c r="AU112" s="292">
        <f t="shared" si="26"/>
        <v>0</v>
      </c>
      <c r="AV112" s="292">
        <f t="shared" si="27"/>
        <v>0</v>
      </c>
      <c r="AW112" s="292">
        <f t="shared" si="28"/>
        <v>0</v>
      </c>
      <c r="AX112" s="292">
        <f t="shared" si="29"/>
        <v>0</v>
      </c>
      <c r="AY112" s="292">
        <f t="shared" si="30"/>
        <v>0</v>
      </c>
      <c r="AZ112" s="292">
        <f t="shared" si="31"/>
        <v>0</v>
      </c>
      <c r="BA112" s="292">
        <f t="shared" si="32"/>
        <v>0</v>
      </c>
      <c r="BB112" s="292">
        <f t="shared" si="33"/>
        <v>0</v>
      </c>
      <c r="BC112" s="292">
        <f t="shared" si="34"/>
        <v>0</v>
      </c>
      <c r="BD112" s="292">
        <f t="shared" si="35"/>
        <v>0</v>
      </c>
      <c r="BE112" s="292">
        <f t="shared" si="36"/>
        <v>0</v>
      </c>
      <c r="BF112" s="292">
        <f t="shared" si="37"/>
        <v>0</v>
      </c>
      <c r="BG112" s="292">
        <f t="shared" si="38"/>
        <v>0</v>
      </c>
    </row>
    <row r="113" spans="1:59" s="289" customFormat="1" ht="15" customHeight="1">
      <c r="A113" s="63">
        <f t="array" ref="A113">IF(C113&lt;&gt;0,SUM(($C$11:C113&lt;&gt;0)*1),"")</f>
        <v>103</v>
      </c>
      <c r="B113" s="1099">
        <v>42403</v>
      </c>
      <c r="C113" s="290" t="s">
        <v>8</v>
      </c>
      <c r="D113" s="1099">
        <v>42403</v>
      </c>
      <c r="E113" s="344" t="s">
        <v>22</v>
      </c>
      <c r="F113" s="345">
        <v>240000</v>
      </c>
      <c r="G113" s="346" t="s">
        <v>135</v>
      </c>
      <c r="H113" s="346" t="s">
        <v>31</v>
      </c>
      <c r="I113" s="63">
        <f t="shared" si="52"/>
        <v>103</v>
      </c>
      <c r="J113" s="292">
        <f t="shared" si="1"/>
        <v>0</v>
      </c>
      <c r="K113" s="292">
        <f t="shared" si="2"/>
        <v>0</v>
      </c>
      <c r="L113" s="292">
        <f t="shared" si="3"/>
        <v>0</v>
      </c>
      <c r="M113" s="292">
        <f t="shared" si="4"/>
        <v>240000</v>
      </c>
      <c r="N113" s="292">
        <f t="shared" si="39"/>
        <v>0</v>
      </c>
      <c r="O113" s="292">
        <f t="shared" si="40"/>
        <v>0</v>
      </c>
      <c r="P113" s="292">
        <f t="shared" si="5"/>
        <v>0</v>
      </c>
      <c r="Q113" s="292">
        <f t="shared" si="6"/>
        <v>0</v>
      </c>
      <c r="R113" s="292">
        <f t="shared" si="53"/>
        <v>0</v>
      </c>
      <c r="S113" s="292">
        <f t="shared" si="54"/>
        <v>0</v>
      </c>
      <c r="T113" s="292">
        <f t="shared" si="7"/>
        <v>0</v>
      </c>
      <c r="U113" s="292">
        <f t="shared" si="8"/>
        <v>0</v>
      </c>
      <c r="V113" s="292">
        <f t="shared" si="55"/>
        <v>0</v>
      </c>
      <c r="W113" s="292">
        <f t="shared" si="56"/>
        <v>0</v>
      </c>
      <c r="X113" s="292">
        <f t="shared" si="57"/>
        <v>0</v>
      </c>
      <c r="Y113" s="292">
        <f t="shared" si="58"/>
        <v>0</v>
      </c>
      <c r="Z113" s="292">
        <f t="shared" si="47"/>
        <v>0</v>
      </c>
      <c r="AA113" s="292">
        <f t="shared" si="48"/>
        <v>0</v>
      </c>
      <c r="AB113" s="292">
        <f t="shared" si="9"/>
        <v>0</v>
      </c>
      <c r="AC113" s="292">
        <f t="shared" si="10"/>
        <v>0</v>
      </c>
      <c r="AD113" s="292">
        <f t="shared" si="11"/>
        <v>0</v>
      </c>
      <c r="AE113" s="292">
        <f t="shared" si="12"/>
        <v>0</v>
      </c>
      <c r="AF113" s="292">
        <f t="shared" si="13"/>
        <v>0</v>
      </c>
      <c r="AG113" s="292">
        <f t="shared" si="14"/>
        <v>0</v>
      </c>
      <c r="AH113" s="292">
        <f t="shared" si="15"/>
        <v>0</v>
      </c>
      <c r="AI113" s="292">
        <f t="shared" si="16"/>
        <v>0</v>
      </c>
      <c r="AJ113" s="292">
        <f t="shared" si="17"/>
        <v>0</v>
      </c>
      <c r="AK113" s="292">
        <f t="shared" si="18"/>
        <v>0</v>
      </c>
      <c r="AL113" s="292">
        <f t="shared" si="49"/>
        <v>0</v>
      </c>
      <c r="AM113" s="292">
        <f t="shared" si="50"/>
        <v>0</v>
      </c>
      <c r="AN113" s="292">
        <f t="shared" si="19"/>
        <v>0</v>
      </c>
      <c r="AO113" s="292">
        <f t="shared" si="20"/>
        <v>0</v>
      </c>
      <c r="AP113" s="292">
        <f t="shared" si="21"/>
        <v>0</v>
      </c>
      <c r="AQ113" s="292">
        <f t="shared" si="22"/>
        <v>0</v>
      </c>
      <c r="AR113" s="292">
        <f t="shared" si="23"/>
        <v>0</v>
      </c>
      <c r="AS113" s="292">
        <f t="shared" si="24"/>
        <v>0</v>
      </c>
      <c r="AT113" s="292">
        <f t="shared" si="25"/>
        <v>0</v>
      </c>
      <c r="AU113" s="292">
        <f t="shared" si="26"/>
        <v>0</v>
      </c>
      <c r="AV113" s="292">
        <f t="shared" si="27"/>
        <v>0</v>
      </c>
      <c r="AW113" s="292">
        <f t="shared" si="28"/>
        <v>0</v>
      </c>
      <c r="AX113" s="292">
        <f t="shared" si="29"/>
        <v>240000</v>
      </c>
      <c r="AY113" s="292">
        <f t="shared" si="30"/>
        <v>0</v>
      </c>
      <c r="AZ113" s="292">
        <f t="shared" si="31"/>
        <v>0</v>
      </c>
      <c r="BA113" s="292">
        <f t="shared" si="32"/>
        <v>0</v>
      </c>
      <c r="BB113" s="292">
        <f t="shared" si="33"/>
        <v>0</v>
      </c>
      <c r="BC113" s="292">
        <f t="shared" si="34"/>
        <v>0</v>
      </c>
      <c r="BD113" s="292">
        <f t="shared" si="35"/>
        <v>0</v>
      </c>
      <c r="BE113" s="292">
        <f t="shared" si="36"/>
        <v>0</v>
      </c>
      <c r="BF113" s="292">
        <f t="shared" si="37"/>
        <v>0</v>
      </c>
      <c r="BG113" s="292">
        <f t="shared" si="38"/>
        <v>0</v>
      </c>
    </row>
    <row r="114" spans="1:59" s="289" customFormat="1" ht="15" customHeight="1">
      <c r="A114" s="63">
        <f t="array" ref="A114">IF(C114&lt;&gt;0,SUM(($C$11:C114&lt;&gt;0)*1),"")</f>
        <v>104</v>
      </c>
      <c r="B114" s="1099">
        <v>42403</v>
      </c>
      <c r="C114" s="290" t="s">
        <v>8</v>
      </c>
      <c r="D114" s="1099">
        <v>42403</v>
      </c>
      <c r="E114" s="344" t="s">
        <v>23</v>
      </c>
      <c r="F114" s="345">
        <v>24000</v>
      </c>
      <c r="G114" s="346" t="s">
        <v>10</v>
      </c>
      <c r="H114" s="346" t="s">
        <v>31</v>
      </c>
      <c r="I114" s="63">
        <f t="shared" si="52"/>
        <v>104</v>
      </c>
      <c r="J114" s="292">
        <f t="shared" si="1"/>
        <v>0</v>
      </c>
      <c r="K114" s="292">
        <f t="shared" si="2"/>
        <v>0</v>
      </c>
      <c r="L114" s="292">
        <f t="shared" si="3"/>
        <v>0</v>
      </c>
      <c r="M114" s="292">
        <f t="shared" si="4"/>
        <v>24000</v>
      </c>
      <c r="N114" s="292">
        <f t="shared" si="39"/>
        <v>0</v>
      </c>
      <c r="O114" s="292">
        <f t="shared" si="40"/>
        <v>0</v>
      </c>
      <c r="P114" s="292">
        <f t="shared" si="5"/>
        <v>24000</v>
      </c>
      <c r="Q114" s="292">
        <f t="shared" si="6"/>
        <v>0</v>
      </c>
      <c r="R114" s="292">
        <f t="shared" si="53"/>
        <v>0</v>
      </c>
      <c r="S114" s="292">
        <f t="shared" si="54"/>
        <v>0</v>
      </c>
      <c r="T114" s="292">
        <f t="shared" si="7"/>
        <v>0</v>
      </c>
      <c r="U114" s="292">
        <f t="shared" si="8"/>
        <v>0</v>
      </c>
      <c r="V114" s="292">
        <f t="shared" si="55"/>
        <v>0</v>
      </c>
      <c r="W114" s="292">
        <f t="shared" si="56"/>
        <v>0</v>
      </c>
      <c r="X114" s="292">
        <f t="shared" si="57"/>
        <v>0</v>
      </c>
      <c r="Y114" s="292">
        <f t="shared" si="58"/>
        <v>0</v>
      </c>
      <c r="Z114" s="292">
        <f t="shared" si="47"/>
        <v>0</v>
      </c>
      <c r="AA114" s="292">
        <f t="shared" si="48"/>
        <v>0</v>
      </c>
      <c r="AB114" s="292">
        <f t="shared" si="9"/>
        <v>0</v>
      </c>
      <c r="AC114" s="292">
        <f t="shared" si="10"/>
        <v>0</v>
      </c>
      <c r="AD114" s="292">
        <f t="shared" si="11"/>
        <v>0</v>
      </c>
      <c r="AE114" s="292">
        <f t="shared" si="12"/>
        <v>0</v>
      </c>
      <c r="AF114" s="292">
        <f t="shared" si="13"/>
        <v>0</v>
      </c>
      <c r="AG114" s="292">
        <f t="shared" si="14"/>
        <v>0</v>
      </c>
      <c r="AH114" s="292">
        <f t="shared" si="15"/>
        <v>0</v>
      </c>
      <c r="AI114" s="292">
        <f t="shared" si="16"/>
        <v>0</v>
      </c>
      <c r="AJ114" s="292">
        <f t="shared" si="17"/>
        <v>0</v>
      </c>
      <c r="AK114" s="292">
        <f t="shared" si="18"/>
        <v>0</v>
      </c>
      <c r="AL114" s="292">
        <f t="shared" si="49"/>
        <v>0</v>
      </c>
      <c r="AM114" s="292">
        <f t="shared" si="50"/>
        <v>0</v>
      </c>
      <c r="AN114" s="292">
        <f t="shared" si="19"/>
        <v>0</v>
      </c>
      <c r="AO114" s="292">
        <f t="shared" si="20"/>
        <v>0</v>
      </c>
      <c r="AP114" s="292">
        <f t="shared" si="21"/>
        <v>0</v>
      </c>
      <c r="AQ114" s="292">
        <f t="shared" si="22"/>
        <v>0</v>
      </c>
      <c r="AR114" s="292">
        <f t="shared" si="23"/>
        <v>0</v>
      </c>
      <c r="AS114" s="292">
        <f t="shared" si="24"/>
        <v>0</v>
      </c>
      <c r="AT114" s="292">
        <f t="shared" si="25"/>
        <v>0</v>
      </c>
      <c r="AU114" s="292">
        <f t="shared" si="26"/>
        <v>0</v>
      </c>
      <c r="AV114" s="292">
        <f t="shared" si="27"/>
        <v>0</v>
      </c>
      <c r="AW114" s="292">
        <f t="shared" si="28"/>
        <v>0</v>
      </c>
      <c r="AX114" s="292">
        <f t="shared" si="29"/>
        <v>0</v>
      </c>
      <c r="AY114" s="292">
        <f t="shared" si="30"/>
        <v>0</v>
      </c>
      <c r="AZ114" s="292">
        <f t="shared" si="31"/>
        <v>0</v>
      </c>
      <c r="BA114" s="292">
        <f t="shared" si="32"/>
        <v>0</v>
      </c>
      <c r="BB114" s="292">
        <f t="shared" si="33"/>
        <v>0</v>
      </c>
      <c r="BC114" s="292">
        <f t="shared" si="34"/>
        <v>0</v>
      </c>
      <c r="BD114" s="292">
        <f t="shared" si="35"/>
        <v>0</v>
      </c>
      <c r="BE114" s="292">
        <f t="shared" si="36"/>
        <v>0</v>
      </c>
      <c r="BF114" s="292">
        <f t="shared" si="37"/>
        <v>0</v>
      </c>
      <c r="BG114" s="292">
        <f t="shared" si="38"/>
        <v>0</v>
      </c>
    </row>
    <row r="115" spans="1:59" s="289" customFormat="1" ht="15" customHeight="1">
      <c r="A115" s="63">
        <f t="array" ref="A115">IF(C115&lt;&gt;0,SUM(($C$11:C115&lt;&gt;0)*1),"")</f>
        <v>105</v>
      </c>
      <c r="B115" s="1099">
        <v>42403</v>
      </c>
      <c r="C115" s="290" t="s">
        <v>8</v>
      </c>
      <c r="D115" s="1099">
        <v>42403</v>
      </c>
      <c r="E115" s="344" t="s">
        <v>788</v>
      </c>
      <c r="F115" s="345">
        <v>110000000</v>
      </c>
      <c r="G115" s="346" t="s">
        <v>24</v>
      </c>
      <c r="H115" s="346" t="s">
        <v>31</v>
      </c>
      <c r="I115" s="63">
        <f t="shared" si="52"/>
        <v>105</v>
      </c>
      <c r="J115" s="292">
        <f t="shared" si="1"/>
        <v>0</v>
      </c>
      <c r="K115" s="292">
        <f t="shared" si="2"/>
        <v>0</v>
      </c>
      <c r="L115" s="292">
        <f t="shared" si="3"/>
        <v>0</v>
      </c>
      <c r="M115" s="292">
        <f t="shared" si="4"/>
        <v>110000000</v>
      </c>
      <c r="N115" s="292">
        <f t="shared" si="39"/>
        <v>0</v>
      </c>
      <c r="O115" s="292">
        <f t="shared" si="40"/>
        <v>0</v>
      </c>
      <c r="P115" s="292">
        <f t="shared" si="5"/>
        <v>0</v>
      </c>
      <c r="Q115" s="292">
        <f t="shared" si="6"/>
        <v>0</v>
      </c>
      <c r="R115" s="292">
        <f t="shared" si="53"/>
        <v>0</v>
      </c>
      <c r="S115" s="292">
        <f t="shared" si="54"/>
        <v>0</v>
      </c>
      <c r="T115" s="292">
        <f t="shared" si="7"/>
        <v>0</v>
      </c>
      <c r="U115" s="292">
        <f t="shared" si="8"/>
        <v>0</v>
      </c>
      <c r="V115" s="292">
        <f t="shared" si="55"/>
        <v>0</v>
      </c>
      <c r="W115" s="292">
        <f t="shared" si="56"/>
        <v>0</v>
      </c>
      <c r="X115" s="292">
        <f t="shared" si="57"/>
        <v>0</v>
      </c>
      <c r="Y115" s="292">
        <f t="shared" si="58"/>
        <v>0</v>
      </c>
      <c r="Z115" s="292">
        <f t="shared" si="47"/>
        <v>0</v>
      </c>
      <c r="AA115" s="292">
        <f t="shared" si="48"/>
        <v>0</v>
      </c>
      <c r="AB115" s="292">
        <f t="shared" si="9"/>
        <v>0</v>
      </c>
      <c r="AC115" s="292">
        <f t="shared" si="10"/>
        <v>0</v>
      </c>
      <c r="AD115" s="292">
        <f t="shared" si="11"/>
        <v>0</v>
      </c>
      <c r="AE115" s="292">
        <f t="shared" si="12"/>
        <v>0</v>
      </c>
      <c r="AF115" s="292">
        <f t="shared" si="13"/>
        <v>0</v>
      </c>
      <c r="AG115" s="292">
        <f t="shared" si="14"/>
        <v>0</v>
      </c>
      <c r="AH115" s="292">
        <f t="shared" si="15"/>
        <v>110000000</v>
      </c>
      <c r="AI115" s="292">
        <f t="shared" si="16"/>
        <v>0</v>
      </c>
      <c r="AJ115" s="292">
        <f t="shared" si="17"/>
        <v>0</v>
      </c>
      <c r="AK115" s="292">
        <f t="shared" si="18"/>
        <v>0</v>
      </c>
      <c r="AL115" s="292">
        <f t="shared" si="49"/>
        <v>0</v>
      </c>
      <c r="AM115" s="292">
        <f t="shared" si="50"/>
        <v>0</v>
      </c>
      <c r="AN115" s="292">
        <f t="shared" si="19"/>
        <v>0</v>
      </c>
      <c r="AO115" s="292">
        <f t="shared" si="20"/>
        <v>0</v>
      </c>
      <c r="AP115" s="292">
        <f t="shared" si="21"/>
        <v>0</v>
      </c>
      <c r="AQ115" s="292">
        <f t="shared" si="22"/>
        <v>0</v>
      </c>
      <c r="AR115" s="292">
        <f t="shared" si="23"/>
        <v>0</v>
      </c>
      <c r="AS115" s="292">
        <f t="shared" si="24"/>
        <v>0</v>
      </c>
      <c r="AT115" s="292">
        <f t="shared" si="25"/>
        <v>0</v>
      </c>
      <c r="AU115" s="292">
        <f t="shared" si="26"/>
        <v>0</v>
      </c>
      <c r="AV115" s="292">
        <f t="shared" si="27"/>
        <v>0</v>
      </c>
      <c r="AW115" s="292">
        <f t="shared" si="28"/>
        <v>0</v>
      </c>
      <c r="AX115" s="292">
        <f t="shared" si="29"/>
        <v>0</v>
      </c>
      <c r="AY115" s="292">
        <f t="shared" si="30"/>
        <v>0</v>
      </c>
      <c r="AZ115" s="292">
        <f t="shared" si="31"/>
        <v>0</v>
      </c>
      <c r="BA115" s="292">
        <f t="shared" si="32"/>
        <v>0</v>
      </c>
      <c r="BB115" s="292">
        <f t="shared" si="33"/>
        <v>0</v>
      </c>
      <c r="BC115" s="292">
        <f t="shared" si="34"/>
        <v>0</v>
      </c>
      <c r="BD115" s="292">
        <f t="shared" si="35"/>
        <v>0</v>
      </c>
      <c r="BE115" s="292">
        <f t="shared" si="36"/>
        <v>0</v>
      </c>
      <c r="BF115" s="292">
        <f t="shared" si="37"/>
        <v>0</v>
      </c>
      <c r="BG115" s="292">
        <f t="shared" si="38"/>
        <v>0</v>
      </c>
    </row>
    <row r="116" spans="1:59" s="289" customFormat="1" ht="15" customHeight="1">
      <c r="A116" s="63">
        <f t="array" ref="A116">IF(C116&lt;&gt;0,SUM(($C$11:C116&lt;&gt;0)*1),"")</f>
        <v>106</v>
      </c>
      <c r="B116" s="1099">
        <v>42403</v>
      </c>
      <c r="C116" s="290" t="s">
        <v>8</v>
      </c>
      <c r="D116" s="1099">
        <v>42403</v>
      </c>
      <c r="E116" s="344" t="s">
        <v>22</v>
      </c>
      <c r="F116" s="345">
        <v>33000</v>
      </c>
      <c r="G116" s="346" t="s">
        <v>135</v>
      </c>
      <c r="H116" s="346" t="s">
        <v>31</v>
      </c>
      <c r="I116" s="63">
        <f t="shared" si="52"/>
        <v>106</v>
      </c>
      <c r="J116" s="292">
        <f t="shared" si="1"/>
        <v>0</v>
      </c>
      <c r="K116" s="292">
        <f t="shared" si="2"/>
        <v>0</v>
      </c>
      <c r="L116" s="292">
        <f t="shared" si="3"/>
        <v>0</v>
      </c>
      <c r="M116" s="292">
        <f t="shared" si="4"/>
        <v>33000</v>
      </c>
      <c r="N116" s="292">
        <f t="shared" si="39"/>
        <v>0</v>
      </c>
      <c r="O116" s="292">
        <f t="shared" si="40"/>
        <v>0</v>
      </c>
      <c r="P116" s="292">
        <f t="shared" si="5"/>
        <v>0</v>
      </c>
      <c r="Q116" s="292">
        <f t="shared" si="6"/>
        <v>0</v>
      </c>
      <c r="R116" s="292">
        <f t="shared" si="53"/>
        <v>0</v>
      </c>
      <c r="S116" s="292">
        <f t="shared" si="54"/>
        <v>0</v>
      </c>
      <c r="T116" s="292">
        <f t="shared" si="7"/>
        <v>0</v>
      </c>
      <c r="U116" s="292">
        <f t="shared" si="8"/>
        <v>0</v>
      </c>
      <c r="V116" s="292">
        <f t="shared" si="55"/>
        <v>0</v>
      </c>
      <c r="W116" s="292">
        <f t="shared" si="56"/>
        <v>0</v>
      </c>
      <c r="X116" s="292">
        <f t="shared" si="57"/>
        <v>0</v>
      </c>
      <c r="Y116" s="292">
        <f t="shared" si="58"/>
        <v>0</v>
      </c>
      <c r="Z116" s="292">
        <f t="shared" si="47"/>
        <v>0</v>
      </c>
      <c r="AA116" s="292">
        <f t="shared" si="48"/>
        <v>0</v>
      </c>
      <c r="AB116" s="292">
        <f t="shared" si="9"/>
        <v>0</v>
      </c>
      <c r="AC116" s="292">
        <f t="shared" si="10"/>
        <v>0</v>
      </c>
      <c r="AD116" s="292">
        <f t="shared" si="11"/>
        <v>0</v>
      </c>
      <c r="AE116" s="292">
        <f t="shared" si="12"/>
        <v>0</v>
      </c>
      <c r="AF116" s="292">
        <f t="shared" si="13"/>
        <v>0</v>
      </c>
      <c r="AG116" s="292">
        <f t="shared" si="14"/>
        <v>0</v>
      </c>
      <c r="AH116" s="292">
        <f t="shared" si="15"/>
        <v>0</v>
      </c>
      <c r="AI116" s="292">
        <f t="shared" si="16"/>
        <v>0</v>
      </c>
      <c r="AJ116" s="292">
        <f t="shared" si="17"/>
        <v>0</v>
      </c>
      <c r="AK116" s="292">
        <f t="shared" si="18"/>
        <v>0</v>
      </c>
      <c r="AL116" s="292">
        <f t="shared" si="49"/>
        <v>0</v>
      </c>
      <c r="AM116" s="292">
        <f t="shared" si="50"/>
        <v>0</v>
      </c>
      <c r="AN116" s="292">
        <f t="shared" si="19"/>
        <v>0</v>
      </c>
      <c r="AO116" s="292">
        <f t="shared" si="20"/>
        <v>0</v>
      </c>
      <c r="AP116" s="292">
        <f t="shared" si="21"/>
        <v>0</v>
      </c>
      <c r="AQ116" s="292">
        <f t="shared" si="22"/>
        <v>0</v>
      </c>
      <c r="AR116" s="292">
        <f t="shared" si="23"/>
        <v>0</v>
      </c>
      <c r="AS116" s="292">
        <f t="shared" si="24"/>
        <v>0</v>
      </c>
      <c r="AT116" s="292">
        <f t="shared" si="25"/>
        <v>0</v>
      </c>
      <c r="AU116" s="292">
        <f t="shared" si="26"/>
        <v>0</v>
      </c>
      <c r="AV116" s="292">
        <f t="shared" si="27"/>
        <v>0</v>
      </c>
      <c r="AW116" s="292">
        <f t="shared" si="28"/>
        <v>0</v>
      </c>
      <c r="AX116" s="292">
        <f t="shared" si="29"/>
        <v>33000</v>
      </c>
      <c r="AY116" s="292">
        <f t="shared" si="30"/>
        <v>0</v>
      </c>
      <c r="AZ116" s="292">
        <f t="shared" si="31"/>
        <v>0</v>
      </c>
      <c r="BA116" s="292">
        <f t="shared" si="32"/>
        <v>0</v>
      </c>
      <c r="BB116" s="292">
        <f t="shared" si="33"/>
        <v>0</v>
      </c>
      <c r="BC116" s="292">
        <f t="shared" si="34"/>
        <v>0</v>
      </c>
      <c r="BD116" s="292">
        <f t="shared" si="35"/>
        <v>0</v>
      </c>
      <c r="BE116" s="292">
        <f t="shared" si="36"/>
        <v>0</v>
      </c>
      <c r="BF116" s="292">
        <f t="shared" si="37"/>
        <v>0</v>
      </c>
      <c r="BG116" s="292">
        <f t="shared" si="38"/>
        <v>0</v>
      </c>
    </row>
    <row r="117" spans="1:59" s="289" customFormat="1" ht="15" customHeight="1">
      <c r="A117" s="63">
        <f t="array" ref="A117">IF(C117&lt;&gt;0,SUM(($C$11:C117&lt;&gt;0)*1),"")</f>
        <v>107</v>
      </c>
      <c r="B117" s="1099">
        <v>42403</v>
      </c>
      <c r="C117" s="290" t="s">
        <v>8</v>
      </c>
      <c r="D117" s="1099">
        <v>42403</v>
      </c>
      <c r="E117" s="344" t="s">
        <v>23</v>
      </c>
      <c r="F117" s="345">
        <v>3300</v>
      </c>
      <c r="G117" s="346" t="s">
        <v>10</v>
      </c>
      <c r="H117" s="346" t="s">
        <v>31</v>
      </c>
      <c r="I117" s="63">
        <f t="shared" si="52"/>
        <v>107</v>
      </c>
      <c r="J117" s="292">
        <f t="shared" si="1"/>
        <v>0</v>
      </c>
      <c r="K117" s="292">
        <f t="shared" si="2"/>
        <v>0</v>
      </c>
      <c r="L117" s="292">
        <f t="shared" si="3"/>
        <v>0</v>
      </c>
      <c r="M117" s="292">
        <f t="shared" si="4"/>
        <v>3300</v>
      </c>
      <c r="N117" s="292">
        <f t="shared" si="39"/>
        <v>0</v>
      </c>
      <c r="O117" s="292">
        <f t="shared" si="40"/>
        <v>0</v>
      </c>
      <c r="P117" s="292">
        <f t="shared" si="5"/>
        <v>3300</v>
      </c>
      <c r="Q117" s="292">
        <f t="shared" si="6"/>
        <v>0</v>
      </c>
      <c r="R117" s="292">
        <f t="shared" si="53"/>
        <v>0</v>
      </c>
      <c r="S117" s="292">
        <f t="shared" si="54"/>
        <v>0</v>
      </c>
      <c r="T117" s="292">
        <f t="shared" si="7"/>
        <v>0</v>
      </c>
      <c r="U117" s="292">
        <f t="shared" si="8"/>
        <v>0</v>
      </c>
      <c r="V117" s="292">
        <f t="shared" si="55"/>
        <v>0</v>
      </c>
      <c r="W117" s="292">
        <f t="shared" si="56"/>
        <v>0</v>
      </c>
      <c r="X117" s="292">
        <f t="shared" si="57"/>
        <v>0</v>
      </c>
      <c r="Y117" s="292">
        <f t="shared" si="58"/>
        <v>0</v>
      </c>
      <c r="Z117" s="292">
        <f t="shared" si="47"/>
        <v>0</v>
      </c>
      <c r="AA117" s="292">
        <f t="shared" si="48"/>
        <v>0</v>
      </c>
      <c r="AB117" s="292">
        <f t="shared" si="9"/>
        <v>0</v>
      </c>
      <c r="AC117" s="292">
        <f t="shared" si="10"/>
        <v>0</v>
      </c>
      <c r="AD117" s="292">
        <f t="shared" si="11"/>
        <v>0</v>
      </c>
      <c r="AE117" s="292">
        <f t="shared" si="12"/>
        <v>0</v>
      </c>
      <c r="AF117" s="292">
        <f t="shared" si="13"/>
        <v>0</v>
      </c>
      <c r="AG117" s="292">
        <f t="shared" si="14"/>
        <v>0</v>
      </c>
      <c r="AH117" s="292">
        <f t="shared" si="15"/>
        <v>0</v>
      </c>
      <c r="AI117" s="292">
        <f t="shared" si="16"/>
        <v>0</v>
      </c>
      <c r="AJ117" s="292">
        <f t="shared" si="17"/>
        <v>0</v>
      </c>
      <c r="AK117" s="292">
        <f t="shared" si="18"/>
        <v>0</v>
      </c>
      <c r="AL117" s="292">
        <f t="shared" si="49"/>
        <v>0</v>
      </c>
      <c r="AM117" s="292">
        <f t="shared" si="50"/>
        <v>0</v>
      </c>
      <c r="AN117" s="292">
        <f t="shared" si="19"/>
        <v>0</v>
      </c>
      <c r="AO117" s="292">
        <f t="shared" si="20"/>
        <v>0</v>
      </c>
      <c r="AP117" s="292">
        <f t="shared" si="21"/>
        <v>0</v>
      </c>
      <c r="AQ117" s="292">
        <f t="shared" si="22"/>
        <v>0</v>
      </c>
      <c r="AR117" s="292">
        <f t="shared" si="23"/>
        <v>0</v>
      </c>
      <c r="AS117" s="292">
        <f t="shared" si="24"/>
        <v>0</v>
      </c>
      <c r="AT117" s="292">
        <f t="shared" si="25"/>
        <v>0</v>
      </c>
      <c r="AU117" s="292">
        <f t="shared" si="26"/>
        <v>0</v>
      </c>
      <c r="AV117" s="292">
        <f t="shared" si="27"/>
        <v>0</v>
      </c>
      <c r="AW117" s="292">
        <f t="shared" si="28"/>
        <v>0</v>
      </c>
      <c r="AX117" s="292">
        <f t="shared" si="29"/>
        <v>0</v>
      </c>
      <c r="AY117" s="292">
        <f t="shared" si="30"/>
        <v>0</v>
      </c>
      <c r="AZ117" s="292">
        <f t="shared" si="31"/>
        <v>0</v>
      </c>
      <c r="BA117" s="292">
        <f t="shared" si="32"/>
        <v>0</v>
      </c>
      <c r="BB117" s="292">
        <f t="shared" si="33"/>
        <v>0</v>
      </c>
      <c r="BC117" s="292">
        <f t="shared" si="34"/>
        <v>0</v>
      </c>
      <c r="BD117" s="292">
        <f t="shared" si="35"/>
        <v>0</v>
      </c>
      <c r="BE117" s="292">
        <f t="shared" si="36"/>
        <v>0</v>
      </c>
      <c r="BF117" s="292">
        <f t="shared" si="37"/>
        <v>0</v>
      </c>
      <c r="BG117" s="292">
        <f t="shared" si="38"/>
        <v>0</v>
      </c>
    </row>
    <row r="118" spans="1:59" s="289" customFormat="1" ht="15" customHeight="1">
      <c r="A118" s="63">
        <f t="array" ref="A118">IF(C118&lt;&gt;0,SUM(($C$11:C118&lt;&gt;0)*1),"")</f>
        <v>108</v>
      </c>
      <c r="B118" s="1099">
        <v>42403</v>
      </c>
      <c r="C118" s="290" t="s">
        <v>314</v>
      </c>
      <c r="D118" s="1099">
        <v>42403</v>
      </c>
      <c r="E118" s="344" t="s">
        <v>430</v>
      </c>
      <c r="F118" s="345">
        <v>110000000</v>
      </c>
      <c r="G118" s="346" t="s">
        <v>97</v>
      </c>
      <c r="H118" s="346" t="s">
        <v>24</v>
      </c>
      <c r="I118" s="63">
        <f t="shared" si="52"/>
        <v>108</v>
      </c>
      <c r="J118" s="292">
        <f t="shared" si="1"/>
        <v>110000000</v>
      </c>
      <c r="K118" s="292">
        <f t="shared" si="2"/>
        <v>0</v>
      </c>
      <c r="L118" s="292">
        <f t="shared" si="3"/>
        <v>0</v>
      </c>
      <c r="M118" s="292">
        <f t="shared" si="4"/>
        <v>0</v>
      </c>
      <c r="N118" s="292">
        <f t="shared" si="39"/>
        <v>0</v>
      </c>
      <c r="O118" s="292">
        <f t="shared" si="40"/>
        <v>0</v>
      </c>
      <c r="P118" s="292">
        <f t="shared" si="5"/>
        <v>0</v>
      </c>
      <c r="Q118" s="292">
        <f t="shared" si="6"/>
        <v>0</v>
      </c>
      <c r="R118" s="292">
        <f t="shared" si="53"/>
        <v>0</v>
      </c>
      <c r="S118" s="292">
        <f t="shared" si="54"/>
        <v>0</v>
      </c>
      <c r="T118" s="292">
        <f t="shared" si="7"/>
        <v>0</v>
      </c>
      <c r="U118" s="292">
        <f t="shared" si="8"/>
        <v>0</v>
      </c>
      <c r="V118" s="292">
        <f t="shared" si="55"/>
        <v>0</v>
      </c>
      <c r="W118" s="292">
        <f t="shared" si="56"/>
        <v>0</v>
      </c>
      <c r="X118" s="292">
        <f t="shared" si="57"/>
        <v>0</v>
      </c>
      <c r="Y118" s="292">
        <f t="shared" si="58"/>
        <v>0</v>
      </c>
      <c r="Z118" s="292">
        <f t="shared" si="47"/>
        <v>0</v>
      </c>
      <c r="AA118" s="292">
        <f t="shared" si="48"/>
        <v>0</v>
      </c>
      <c r="AB118" s="292">
        <f t="shared" si="9"/>
        <v>0</v>
      </c>
      <c r="AC118" s="292">
        <f t="shared" si="10"/>
        <v>0</v>
      </c>
      <c r="AD118" s="292">
        <f t="shared" si="11"/>
        <v>0</v>
      </c>
      <c r="AE118" s="292">
        <f t="shared" si="12"/>
        <v>0</v>
      </c>
      <c r="AF118" s="292">
        <f t="shared" si="13"/>
        <v>0</v>
      </c>
      <c r="AG118" s="292">
        <f t="shared" si="14"/>
        <v>0</v>
      </c>
      <c r="AH118" s="292">
        <f t="shared" si="15"/>
        <v>0</v>
      </c>
      <c r="AI118" s="292">
        <f t="shared" si="16"/>
        <v>110000000</v>
      </c>
      <c r="AJ118" s="292">
        <f t="shared" si="17"/>
        <v>0</v>
      </c>
      <c r="AK118" s="292">
        <f t="shared" si="18"/>
        <v>0</v>
      </c>
      <c r="AL118" s="292">
        <f t="shared" si="49"/>
        <v>0</v>
      </c>
      <c r="AM118" s="292">
        <f t="shared" si="50"/>
        <v>0</v>
      </c>
      <c r="AN118" s="292">
        <f t="shared" si="19"/>
        <v>0</v>
      </c>
      <c r="AO118" s="292">
        <f t="shared" si="20"/>
        <v>0</v>
      </c>
      <c r="AP118" s="292">
        <f t="shared" si="21"/>
        <v>0</v>
      </c>
      <c r="AQ118" s="292">
        <f t="shared" si="22"/>
        <v>0</v>
      </c>
      <c r="AR118" s="292">
        <f t="shared" si="23"/>
        <v>0</v>
      </c>
      <c r="AS118" s="292">
        <f t="shared" si="24"/>
        <v>0</v>
      </c>
      <c r="AT118" s="292">
        <f t="shared" si="25"/>
        <v>0</v>
      </c>
      <c r="AU118" s="292">
        <f t="shared" si="26"/>
        <v>0</v>
      </c>
      <c r="AV118" s="292">
        <f t="shared" si="27"/>
        <v>0</v>
      </c>
      <c r="AW118" s="292">
        <f t="shared" si="28"/>
        <v>0</v>
      </c>
      <c r="AX118" s="292">
        <f t="shared" si="29"/>
        <v>0</v>
      </c>
      <c r="AY118" s="292">
        <f t="shared" si="30"/>
        <v>0</v>
      </c>
      <c r="AZ118" s="292">
        <f t="shared" si="31"/>
        <v>0</v>
      </c>
      <c r="BA118" s="292">
        <f t="shared" si="32"/>
        <v>0</v>
      </c>
      <c r="BB118" s="292">
        <f t="shared" si="33"/>
        <v>0</v>
      </c>
      <c r="BC118" s="292">
        <f t="shared" si="34"/>
        <v>0</v>
      </c>
      <c r="BD118" s="292">
        <f t="shared" si="35"/>
        <v>0</v>
      </c>
      <c r="BE118" s="292">
        <f t="shared" si="36"/>
        <v>0</v>
      </c>
      <c r="BF118" s="292">
        <f t="shared" si="37"/>
        <v>0</v>
      </c>
      <c r="BG118" s="292">
        <f t="shared" si="38"/>
        <v>0</v>
      </c>
    </row>
    <row r="119" spans="1:59" s="289" customFormat="1" ht="15" customHeight="1">
      <c r="A119" s="63">
        <f t="array" ref="A119">IF(C119&lt;&gt;0,SUM(($C$11:C119&lt;&gt;0)*1),"")</f>
        <v>109</v>
      </c>
      <c r="B119" s="1099">
        <v>42410</v>
      </c>
      <c r="C119" s="290" t="s">
        <v>193</v>
      </c>
      <c r="D119" s="1099">
        <v>42410</v>
      </c>
      <c r="E119" s="344" t="s">
        <v>431</v>
      </c>
      <c r="F119" s="345">
        <v>6818182</v>
      </c>
      <c r="G119" s="346" t="s">
        <v>135</v>
      </c>
      <c r="H119" s="346" t="s">
        <v>97</v>
      </c>
      <c r="I119" s="63">
        <f t="shared" si="52"/>
        <v>109</v>
      </c>
      <c r="J119" s="292">
        <f t="shared" si="1"/>
        <v>0</v>
      </c>
      <c r="K119" s="292">
        <f t="shared" si="2"/>
        <v>6818182</v>
      </c>
      <c r="L119" s="292">
        <f t="shared" si="3"/>
        <v>0</v>
      </c>
      <c r="M119" s="292">
        <f t="shared" si="4"/>
        <v>0</v>
      </c>
      <c r="N119" s="292">
        <f t="shared" si="39"/>
        <v>0</v>
      </c>
      <c r="O119" s="292">
        <f t="shared" si="40"/>
        <v>0</v>
      </c>
      <c r="P119" s="292">
        <f t="shared" si="5"/>
        <v>0</v>
      </c>
      <c r="Q119" s="292">
        <f t="shared" si="6"/>
        <v>0</v>
      </c>
      <c r="R119" s="292">
        <f t="shared" si="53"/>
        <v>0</v>
      </c>
      <c r="S119" s="292">
        <f t="shared" si="54"/>
        <v>0</v>
      </c>
      <c r="T119" s="292">
        <f t="shared" si="7"/>
        <v>0</v>
      </c>
      <c r="U119" s="292">
        <f t="shared" si="8"/>
        <v>0</v>
      </c>
      <c r="V119" s="292">
        <f t="shared" si="55"/>
        <v>0</v>
      </c>
      <c r="W119" s="292">
        <f t="shared" si="56"/>
        <v>0</v>
      </c>
      <c r="X119" s="292">
        <f t="shared" si="57"/>
        <v>0</v>
      </c>
      <c r="Y119" s="292">
        <f t="shared" si="58"/>
        <v>0</v>
      </c>
      <c r="Z119" s="292">
        <f t="shared" si="47"/>
        <v>0</v>
      </c>
      <c r="AA119" s="292">
        <f t="shared" si="48"/>
        <v>0</v>
      </c>
      <c r="AB119" s="292">
        <f t="shared" si="9"/>
        <v>0</v>
      </c>
      <c r="AC119" s="292">
        <f t="shared" si="10"/>
        <v>0</v>
      </c>
      <c r="AD119" s="292">
        <f t="shared" si="11"/>
        <v>0</v>
      </c>
      <c r="AE119" s="292">
        <f t="shared" si="12"/>
        <v>0</v>
      </c>
      <c r="AF119" s="292">
        <f t="shared" si="13"/>
        <v>0</v>
      </c>
      <c r="AG119" s="292">
        <f t="shared" si="14"/>
        <v>0</v>
      </c>
      <c r="AH119" s="292">
        <f t="shared" si="15"/>
        <v>0</v>
      </c>
      <c r="AI119" s="292">
        <f t="shared" si="16"/>
        <v>0</v>
      </c>
      <c r="AJ119" s="292">
        <f t="shared" si="17"/>
        <v>0</v>
      </c>
      <c r="AK119" s="292">
        <f t="shared" si="18"/>
        <v>0</v>
      </c>
      <c r="AL119" s="292">
        <f t="shared" si="49"/>
        <v>0</v>
      </c>
      <c r="AM119" s="292">
        <f t="shared" si="50"/>
        <v>0</v>
      </c>
      <c r="AN119" s="292">
        <f t="shared" si="19"/>
        <v>0</v>
      </c>
      <c r="AO119" s="292">
        <f t="shared" si="20"/>
        <v>0</v>
      </c>
      <c r="AP119" s="292">
        <f t="shared" si="21"/>
        <v>0</v>
      </c>
      <c r="AQ119" s="292">
        <f t="shared" si="22"/>
        <v>0</v>
      </c>
      <c r="AR119" s="292">
        <f t="shared" si="23"/>
        <v>0</v>
      </c>
      <c r="AS119" s="292">
        <f t="shared" si="24"/>
        <v>0</v>
      </c>
      <c r="AT119" s="292">
        <f t="shared" si="25"/>
        <v>0</v>
      </c>
      <c r="AU119" s="292">
        <f t="shared" si="26"/>
        <v>0</v>
      </c>
      <c r="AV119" s="292">
        <f t="shared" si="27"/>
        <v>0</v>
      </c>
      <c r="AW119" s="292">
        <f t="shared" si="28"/>
        <v>0</v>
      </c>
      <c r="AX119" s="292">
        <f t="shared" si="29"/>
        <v>6818182</v>
      </c>
      <c r="AY119" s="292">
        <f t="shared" si="30"/>
        <v>0</v>
      </c>
      <c r="AZ119" s="292">
        <f t="shared" si="31"/>
        <v>0</v>
      </c>
      <c r="BA119" s="292">
        <f t="shared" si="32"/>
        <v>0</v>
      </c>
      <c r="BB119" s="292">
        <f t="shared" si="33"/>
        <v>0</v>
      </c>
      <c r="BC119" s="292">
        <f t="shared" si="34"/>
        <v>0</v>
      </c>
      <c r="BD119" s="292">
        <f t="shared" si="35"/>
        <v>0</v>
      </c>
      <c r="BE119" s="292">
        <f t="shared" si="36"/>
        <v>0</v>
      </c>
      <c r="BF119" s="292">
        <f t="shared" si="37"/>
        <v>0</v>
      </c>
      <c r="BG119" s="292">
        <f t="shared" si="38"/>
        <v>0</v>
      </c>
    </row>
    <row r="120" spans="1:59" s="289" customFormat="1" ht="15" customHeight="1">
      <c r="A120" s="63">
        <f t="array" ref="A120">IF(C120&lt;&gt;0,SUM(($C$11:C120&lt;&gt;0)*1),"")</f>
        <v>110</v>
      </c>
      <c r="B120" s="1099">
        <v>42410</v>
      </c>
      <c r="C120" s="290" t="s">
        <v>193</v>
      </c>
      <c r="D120" s="1099">
        <v>42410</v>
      </c>
      <c r="E120" s="344" t="s">
        <v>433</v>
      </c>
      <c r="F120" s="345">
        <v>681818</v>
      </c>
      <c r="G120" s="346" t="s">
        <v>10</v>
      </c>
      <c r="H120" s="346" t="s">
        <v>97</v>
      </c>
      <c r="I120" s="63">
        <f t="shared" si="52"/>
        <v>110</v>
      </c>
      <c r="J120" s="292">
        <f t="shared" si="1"/>
        <v>0</v>
      </c>
      <c r="K120" s="292">
        <f t="shared" si="2"/>
        <v>681818</v>
      </c>
      <c r="L120" s="292">
        <f t="shared" si="3"/>
        <v>0</v>
      </c>
      <c r="M120" s="292">
        <f t="shared" si="4"/>
        <v>0</v>
      </c>
      <c r="N120" s="292">
        <f t="shared" si="39"/>
        <v>0</v>
      </c>
      <c r="O120" s="292">
        <f t="shared" si="40"/>
        <v>0</v>
      </c>
      <c r="P120" s="292">
        <f t="shared" si="5"/>
        <v>681818</v>
      </c>
      <c r="Q120" s="292">
        <f t="shared" si="6"/>
        <v>0</v>
      </c>
      <c r="R120" s="292">
        <f t="shared" si="53"/>
        <v>0</v>
      </c>
      <c r="S120" s="292">
        <f t="shared" si="54"/>
        <v>0</v>
      </c>
      <c r="T120" s="292">
        <f t="shared" si="7"/>
        <v>0</v>
      </c>
      <c r="U120" s="292">
        <f t="shared" si="8"/>
        <v>0</v>
      </c>
      <c r="V120" s="292">
        <f t="shared" si="55"/>
        <v>0</v>
      </c>
      <c r="W120" s="292">
        <f t="shared" si="56"/>
        <v>0</v>
      </c>
      <c r="X120" s="292">
        <f t="shared" si="57"/>
        <v>0</v>
      </c>
      <c r="Y120" s="292">
        <f t="shared" si="58"/>
        <v>0</v>
      </c>
      <c r="Z120" s="292">
        <f t="shared" si="47"/>
        <v>0</v>
      </c>
      <c r="AA120" s="292">
        <f t="shared" si="48"/>
        <v>0</v>
      </c>
      <c r="AB120" s="292">
        <f t="shared" si="9"/>
        <v>0</v>
      </c>
      <c r="AC120" s="292">
        <f t="shared" si="10"/>
        <v>0</v>
      </c>
      <c r="AD120" s="292">
        <f t="shared" si="11"/>
        <v>0</v>
      </c>
      <c r="AE120" s="292">
        <f t="shared" si="12"/>
        <v>0</v>
      </c>
      <c r="AF120" s="292">
        <f t="shared" si="13"/>
        <v>0</v>
      </c>
      <c r="AG120" s="292">
        <f t="shared" si="14"/>
        <v>0</v>
      </c>
      <c r="AH120" s="292">
        <f t="shared" si="15"/>
        <v>0</v>
      </c>
      <c r="AI120" s="292">
        <f t="shared" si="16"/>
        <v>0</v>
      </c>
      <c r="AJ120" s="292">
        <f t="shared" si="17"/>
        <v>0</v>
      </c>
      <c r="AK120" s="292">
        <f t="shared" si="18"/>
        <v>0</v>
      </c>
      <c r="AL120" s="292">
        <f t="shared" si="49"/>
        <v>0</v>
      </c>
      <c r="AM120" s="292">
        <f t="shared" si="50"/>
        <v>0</v>
      </c>
      <c r="AN120" s="292">
        <f t="shared" si="19"/>
        <v>0</v>
      </c>
      <c r="AO120" s="292">
        <f t="shared" si="20"/>
        <v>0</v>
      </c>
      <c r="AP120" s="292">
        <f t="shared" si="21"/>
        <v>0</v>
      </c>
      <c r="AQ120" s="292">
        <f t="shared" si="22"/>
        <v>0</v>
      </c>
      <c r="AR120" s="292">
        <f t="shared" si="23"/>
        <v>0</v>
      </c>
      <c r="AS120" s="292">
        <f t="shared" si="24"/>
        <v>0</v>
      </c>
      <c r="AT120" s="292">
        <f t="shared" si="25"/>
        <v>0</v>
      </c>
      <c r="AU120" s="292">
        <f t="shared" si="26"/>
        <v>0</v>
      </c>
      <c r="AV120" s="292">
        <f t="shared" si="27"/>
        <v>0</v>
      </c>
      <c r="AW120" s="292">
        <f t="shared" si="28"/>
        <v>0</v>
      </c>
      <c r="AX120" s="292">
        <f t="shared" si="29"/>
        <v>0</v>
      </c>
      <c r="AY120" s="292">
        <f t="shared" si="30"/>
        <v>0</v>
      </c>
      <c r="AZ120" s="292">
        <f t="shared" si="31"/>
        <v>0</v>
      </c>
      <c r="BA120" s="292">
        <f t="shared" si="32"/>
        <v>0</v>
      </c>
      <c r="BB120" s="292">
        <f t="shared" si="33"/>
        <v>0</v>
      </c>
      <c r="BC120" s="292">
        <f t="shared" si="34"/>
        <v>0</v>
      </c>
      <c r="BD120" s="292">
        <f t="shared" si="35"/>
        <v>0</v>
      </c>
      <c r="BE120" s="292">
        <f t="shared" si="36"/>
        <v>0</v>
      </c>
      <c r="BF120" s="292">
        <f t="shared" si="37"/>
        <v>0</v>
      </c>
      <c r="BG120" s="292">
        <f t="shared" si="38"/>
        <v>0</v>
      </c>
    </row>
    <row r="121" spans="1:59" s="289" customFormat="1" ht="15" customHeight="1">
      <c r="A121" s="63">
        <f t="array" ref="A121">IF(C121&lt;&gt;0,SUM(($C$11:C121&lt;&gt;0)*1),"")</f>
        <v>111</v>
      </c>
      <c r="B121" s="1099">
        <v>42419</v>
      </c>
      <c r="C121" s="290" t="s">
        <v>194</v>
      </c>
      <c r="D121" s="1099">
        <v>42419</v>
      </c>
      <c r="E121" s="344" t="s">
        <v>434</v>
      </c>
      <c r="F121" s="345">
        <v>514077</v>
      </c>
      <c r="G121" s="346" t="s">
        <v>135</v>
      </c>
      <c r="H121" s="346" t="s">
        <v>97</v>
      </c>
      <c r="I121" s="63">
        <f t="shared" si="52"/>
        <v>111</v>
      </c>
      <c r="J121" s="292">
        <f t="shared" si="1"/>
        <v>0</v>
      </c>
      <c r="K121" s="292">
        <f t="shared" si="2"/>
        <v>514077</v>
      </c>
      <c r="L121" s="292">
        <f t="shared" si="3"/>
        <v>0</v>
      </c>
      <c r="M121" s="292">
        <f t="shared" si="4"/>
        <v>0</v>
      </c>
      <c r="N121" s="292">
        <f t="shared" si="39"/>
        <v>0</v>
      </c>
      <c r="O121" s="292">
        <f t="shared" si="40"/>
        <v>0</v>
      </c>
      <c r="P121" s="292">
        <f t="shared" si="5"/>
        <v>0</v>
      </c>
      <c r="Q121" s="292">
        <f t="shared" si="6"/>
        <v>0</v>
      </c>
      <c r="R121" s="292">
        <f t="shared" si="53"/>
        <v>0</v>
      </c>
      <c r="S121" s="292">
        <f t="shared" si="54"/>
        <v>0</v>
      </c>
      <c r="T121" s="292">
        <f t="shared" si="7"/>
        <v>0</v>
      </c>
      <c r="U121" s="292">
        <f t="shared" si="8"/>
        <v>0</v>
      </c>
      <c r="V121" s="292">
        <f t="shared" si="55"/>
        <v>0</v>
      </c>
      <c r="W121" s="292">
        <f t="shared" si="56"/>
        <v>0</v>
      </c>
      <c r="X121" s="292">
        <f t="shared" si="57"/>
        <v>0</v>
      </c>
      <c r="Y121" s="292">
        <f t="shared" si="58"/>
        <v>0</v>
      </c>
      <c r="Z121" s="292">
        <f t="shared" si="47"/>
        <v>0</v>
      </c>
      <c r="AA121" s="292">
        <f t="shared" si="48"/>
        <v>0</v>
      </c>
      <c r="AB121" s="292">
        <f t="shared" si="9"/>
        <v>0</v>
      </c>
      <c r="AC121" s="292">
        <f t="shared" si="10"/>
        <v>0</v>
      </c>
      <c r="AD121" s="292">
        <f t="shared" si="11"/>
        <v>0</v>
      </c>
      <c r="AE121" s="292">
        <f t="shared" si="12"/>
        <v>0</v>
      </c>
      <c r="AF121" s="292">
        <f t="shared" si="13"/>
        <v>0</v>
      </c>
      <c r="AG121" s="292">
        <f t="shared" si="14"/>
        <v>0</v>
      </c>
      <c r="AH121" s="292">
        <f t="shared" si="15"/>
        <v>0</v>
      </c>
      <c r="AI121" s="292">
        <f t="shared" si="16"/>
        <v>0</v>
      </c>
      <c r="AJ121" s="292">
        <f t="shared" si="17"/>
        <v>0</v>
      </c>
      <c r="AK121" s="292">
        <f t="shared" si="18"/>
        <v>0</v>
      </c>
      <c r="AL121" s="292">
        <f t="shared" si="49"/>
        <v>0</v>
      </c>
      <c r="AM121" s="292">
        <f t="shared" si="50"/>
        <v>0</v>
      </c>
      <c r="AN121" s="292">
        <f t="shared" si="19"/>
        <v>0</v>
      </c>
      <c r="AO121" s="292">
        <f t="shared" si="20"/>
        <v>0</v>
      </c>
      <c r="AP121" s="292">
        <f t="shared" si="21"/>
        <v>0</v>
      </c>
      <c r="AQ121" s="292">
        <f t="shared" si="22"/>
        <v>0</v>
      </c>
      <c r="AR121" s="292">
        <f t="shared" si="23"/>
        <v>0</v>
      </c>
      <c r="AS121" s="292">
        <f t="shared" si="24"/>
        <v>0</v>
      </c>
      <c r="AT121" s="292">
        <f t="shared" si="25"/>
        <v>0</v>
      </c>
      <c r="AU121" s="292">
        <f t="shared" si="26"/>
        <v>0</v>
      </c>
      <c r="AV121" s="292">
        <f t="shared" si="27"/>
        <v>0</v>
      </c>
      <c r="AW121" s="292">
        <f t="shared" si="28"/>
        <v>0</v>
      </c>
      <c r="AX121" s="292">
        <f t="shared" si="29"/>
        <v>514077</v>
      </c>
      <c r="AY121" s="292">
        <f t="shared" si="30"/>
        <v>0</v>
      </c>
      <c r="AZ121" s="292">
        <f t="shared" si="31"/>
        <v>0</v>
      </c>
      <c r="BA121" s="292">
        <f t="shared" si="32"/>
        <v>0</v>
      </c>
      <c r="BB121" s="292">
        <f t="shared" si="33"/>
        <v>0</v>
      </c>
      <c r="BC121" s="292">
        <f t="shared" si="34"/>
        <v>0</v>
      </c>
      <c r="BD121" s="292">
        <f t="shared" si="35"/>
        <v>0</v>
      </c>
      <c r="BE121" s="292">
        <f t="shared" si="36"/>
        <v>0</v>
      </c>
      <c r="BF121" s="292">
        <f t="shared" si="37"/>
        <v>0</v>
      </c>
      <c r="BG121" s="292">
        <f t="shared" si="38"/>
        <v>0</v>
      </c>
    </row>
    <row r="122" spans="1:59" s="289" customFormat="1" ht="15" customHeight="1">
      <c r="A122" s="63">
        <f t="array" ref="A122">IF(C122&lt;&gt;0,SUM(($C$11:C122&lt;&gt;0)*1),"")</f>
        <v>112</v>
      </c>
      <c r="B122" s="1099">
        <v>42419</v>
      </c>
      <c r="C122" s="290" t="s">
        <v>194</v>
      </c>
      <c r="D122" s="1099">
        <v>42419</v>
      </c>
      <c r="E122" s="344" t="s">
        <v>436</v>
      </c>
      <c r="F122" s="345">
        <v>51408</v>
      </c>
      <c r="G122" s="346" t="s">
        <v>10</v>
      </c>
      <c r="H122" s="346" t="s">
        <v>97</v>
      </c>
      <c r="I122" s="63">
        <f t="shared" si="52"/>
        <v>112</v>
      </c>
      <c r="J122" s="292">
        <f t="shared" si="1"/>
        <v>0</v>
      </c>
      <c r="K122" s="292">
        <f t="shared" si="2"/>
        <v>51408</v>
      </c>
      <c r="L122" s="292">
        <f t="shared" si="3"/>
        <v>0</v>
      </c>
      <c r="M122" s="292">
        <f t="shared" si="4"/>
        <v>0</v>
      </c>
      <c r="N122" s="292">
        <f t="shared" si="39"/>
        <v>0</v>
      </c>
      <c r="O122" s="292">
        <f t="shared" si="40"/>
        <v>0</v>
      </c>
      <c r="P122" s="292">
        <f t="shared" si="5"/>
        <v>51408</v>
      </c>
      <c r="Q122" s="292">
        <f t="shared" si="6"/>
        <v>0</v>
      </c>
      <c r="R122" s="292">
        <f t="shared" si="53"/>
        <v>0</v>
      </c>
      <c r="S122" s="292">
        <f t="shared" si="54"/>
        <v>0</v>
      </c>
      <c r="T122" s="292">
        <f t="shared" si="7"/>
        <v>0</v>
      </c>
      <c r="U122" s="292">
        <f t="shared" si="8"/>
        <v>0</v>
      </c>
      <c r="V122" s="292">
        <f t="shared" si="55"/>
        <v>0</v>
      </c>
      <c r="W122" s="292">
        <f t="shared" si="56"/>
        <v>0</v>
      </c>
      <c r="X122" s="292">
        <f t="shared" si="57"/>
        <v>0</v>
      </c>
      <c r="Y122" s="292">
        <f t="shared" si="58"/>
        <v>0</v>
      </c>
      <c r="Z122" s="292">
        <f t="shared" si="47"/>
        <v>0</v>
      </c>
      <c r="AA122" s="292">
        <f t="shared" si="48"/>
        <v>0</v>
      </c>
      <c r="AB122" s="292">
        <f t="shared" si="9"/>
        <v>0</v>
      </c>
      <c r="AC122" s="292">
        <f t="shared" si="10"/>
        <v>0</v>
      </c>
      <c r="AD122" s="292">
        <f t="shared" si="11"/>
        <v>0</v>
      </c>
      <c r="AE122" s="292">
        <f t="shared" si="12"/>
        <v>0</v>
      </c>
      <c r="AF122" s="292">
        <f t="shared" si="13"/>
        <v>0</v>
      </c>
      <c r="AG122" s="292">
        <f t="shared" si="14"/>
        <v>0</v>
      </c>
      <c r="AH122" s="292">
        <f t="shared" si="15"/>
        <v>0</v>
      </c>
      <c r="AI122" s="292">
        <f t="shared" si="16"/>
        <v>0</v>
      </c>
      <c r="AJ122" s="292">
        <f t="shared" si="17"/>
        <v>0</v>
      </c>
      <c r="AK122" s="292">
        <f t="shared" si="18"/>
        <v>0</v>
      </c>
      <c r="AL122" s="292">
        <f t="shared" si="49"/>
        <v>0</v>
      </c>
      <c r="AM122" s="292">
        <f t="shared" si="50"/>
        <v>0</v>
      </c>
      <c r="AN122" s="292">
        <f t="shared" si="19"/>
        <v>0</v>
      </c>
      <c r="AO122" s="292">
        <f t="shared" si="20"/>
        <v>0</v>
      </c>
      <c r="AP122" s="292">
        <f t="shared" si="21"/>
        <v>0</v>
      </c>
      <c r="AQ122" s="292">
        <f t="shared" si="22"/>
        <v>0</v>
      </c>
      <c r="AR122" s="292">
        <f t="shared" si="23"/>
        <v>0</v>
      </c>
      <c r="AS122" s="292">
        <f t="shared" si="24"/>
        <v>0</v>
      </c>
      <c r="AT122" s="292">
        <f t="shared" si="25"/>
        <v>0</v>
      </c>
      <c r="AU122" s="292">
        <f t="shared" si="26"/>
        <v>0</v>
      </c>
      <c r="AV122" s="292">
        <f t="shared" si="27"/>
        <v>0</v>
      </c>
      <c r="AW122" s="292">
        <f t="shared" si="28"/>
        <v>0</v>
      </c>
      <c r="AX122" s="292">
        <f t="shared" si="29"/>
        <v>0</v>
      </c>
      <c r="AY122" s="292">
        <f t="shared" si="30"/>
        <v>0</v>
      </c>
      <c r="AZ122" s="292">
        <f t="shared" si="31"/>
        <v>0</v>
      </c>
      <c r="BA122" s="292">
        <f t="shared" si="32"/>
        <v>0</v>
      </c>
      <c r="BB122" s="292">
        <f t="shared" si="33"/>
        <v>0</v>
      </c>
      <c r="BC122" s="292">
        <f t="shared" si="34"/>
        <v>0</v>
      </c>
      <c r="BD122" s="292">
        <f t="shared" si="35"/>
        <v>0</v>
      </c>
      <c r="BE122" s="292">
        <f t="shared" si="36"/>
        <v>0</v>
      </c>
      <c r="BF122" s="292">
        <f t="shared" si="37"/>
        <v>0</v>
      </c>
      <c r="BG122" s="292">
        <f t="shared" si="38"/>
        <v>0</v>
      </c>
    </row>
    <row r="123" spans="1:59" s="289" customFormat="1" ht="15" customHeight="1">
      <c r="A123" s="63">
        <f t="array" ref="A123">IF(C123&lt;&gt;0,SUM(($C$11:C123&lt;&gt;0)*1),"")</f>
        <v>113</v>
      </c>
      <c r="B123" s="1099">
        <v>42424</v>
      </c>
      <c r="C123" s="290" t="s">
        <v>195</v>
      </c>
      <c r="D123" s="1099">
        <v>42424</v>
      </c>
      <c r="E123" s="344" t="s">
        <v>410</v>
      </c>
      <c r="F123" s="345">
        <v>170000000</v>
      </c>
      <c r="G123" s="346" t="s">
        <v>31</v>
      </c>
      <c r="H123" s="346" t="s">
        <v>97</v>
      </c>
      <c r="I123" s="63">
        <f t="shared" si="52"/>
        <v>113</v>
      </c>
      <c r="J123" s="292">
        <f t="shared" si="1"/>
        <v>0</v>
      </c>
      <c r="K123" s="292">
        <f t="shared" si="2"/>
        <v>170000000</v>
      </c>
      <c r="L123" s="292">
        <f t="shared" si="3"/>
        <v>170000000</v>
      </c>
      <c r="M123" s="292">
        <f t="shared" si="4"/>
        <v>0</v>
      </c>
      <c r="N123" s="292">
        <f t="shared" si="39"/>
        <v>0</v>
      </c>
      <c r="O123" s="292">
        <f t="shared" si="40"/>
        <v>0</v>
      </c>
      <c r="P123" s="292">
        <f t="shared" si="5"/>
        <v>0</v>
      </c>
      <c r="Q123" s="292">
        <f t="shared" si="6"/>
        <v>0</v>
      </c>
      <c r="R123" s="292">
        <f t="shared" si="53"/>
        <v>0</v>
      </c>
      <c r="S123" s="292">
        <f t="shared" si="54"/>
        <v>0</v>
      </c>
      <c r="T123" s="292">
        <f t="shared" si="7"/>
        <v>0</v>
      </c>
      <c r="U123" s="292">
        <f t="shared" si="8"/>
        <v>0</v>
      </c>
      <c r="V123" s="292">
        <f t="shared" si="55"/>
        <v>0</v>
      </c>
      <c r="W123" s="292">
        <f t="shared" si="56"/>
        <v>0</v>
      </c>
      <c r="X123" s="292">
        <f t="shared" si="57"/>
        <v>0</v>
      </c>
      <c r="Y123" s="292">
        <f t="shared" si="58"/>
        <v>0</v>
      </c>
      <c r="Z123" s="292">
        <f t="shared" si="47"/>
        <v>0</v>
      </c>
      <c r="AA123" s="292">
        <f t="shared" si="48"/>
        <v>0</v>
      </c>
      <c r="AB123" s="292">
        <f t="shared" si="9"/>
        <v>0</v>
      </c>
      <c r="AC123" s="292">
        <f t="shared" si="10"/>
        <v>0</v>
      </c>
      <c r="AD123" s="292">
        <f t="shared" si="11"/>
        <v>0</v>
      </c>
      <c r="AE123" s="292">
        <f t="shared" si="12"/>
        <v>0</v>
      </c>
      <c r="AF123" s="292">
        <f t="shared" si="13"/>
        <v>0</v>
      </c>
      <c r="AG123" s="292">
        <f t="shared" si="14"/>
        <v>0</v>
      </c>
      <c r="AH123" s="292">
        <f t="shared" si="15"/>
        <v>0</v>
      </c>
      <c r="AI123" s="292">
        <f t="shared" si="16"/>
        <v>0</v>
      </c>
      <c r="AJ123" s="292">
        <f t="shared" si="17"/>
        <v>0</v>
      </c>
      <c r="AK123" s="292">
        <f t="shared" si="18"/>
        <v>0</v>
      </c>
      <c r="AL123" s="292">
        <f t="shared" si="49"/>
        <v>0</v>
      </c>
      <c r="AM123" s="292">
        <f t="shared" si="50"/>
        <v>0</v>
      </c>
      <c r="AN123" s="292">
        <f t="shared" si="19"/>
        <v>0</v>
      </c>
      <c r="AO123" s="292">
        <f t="shared" si="20"/>
        <v>0</v>
      </c>
      <c r="AP123" s="292">
        <f t="shared" si="21"/>
        <v>0</v>
      </c>
      <c r="AQ123" s="292">
        <f t="shared" si="22"/>
        <v>0</v>
      </c>
      <c r="AR123" s="292">
        <f t="shared" si="23"/>
        <v>0</v>
      </c>
      <c r="AS123" s="292">
        <f t="shared" si="24"/>
        <v>0</v>
      </c>
      <c r="AT123" s="292">
        <f t="shared" si="25"/>
        <v>0</v>
      </c>
      <c r="AU123" s="292">
        <f t="shared" si="26"/>
        <v>0</v>
      </c>
      <c r="AV123" s="292">
        <f t="shared" si="27"/>
        <v>0</v>
      </c>
      <c r="AW123" s="292">
        <f t="shared" si="28"/>
        <v>0</v>
      </c>
      <c r="AX123" s="292">
        <f t="shared" si="29"/>
        <v>0</v>
      </c>
      <c r="AY123" s="292">
        <f t="shared" si="30"/>
        <v>0</v>
      </c>
      <c r="AZ123" s="292">
        <f t="shared" si="31"/>
        <v>0</v>
      </c>
      <c r="BA123" s="292">
        <f t="shared" si="32"/>
        <v>0</v>
      </c>
      <c r="BB123" s="292">
        <f t="shared" si="33"/>
        <v>0</v>
      </c>
      <c r="BC123" s="292">
        <f t="shared" si="34"/>
        <v>0</v>
      </c>
      <c r="BD123" s="292">
        <f t="shared" si="35"/>
        <v>0</v>
      </c>
      <c r="BE123" s="292">
        <f t="shared" si="36"/>
        <v>0</v>
      </c>
      <c r="BF123" s="292">
        <f t="shared" si="37"/>
        <v>0</v>
      </c>
      <c r="BG123" s="292">
        <f t="shared" si="38"/>
        <v>0</v>
      </c>
    </row>
    <row r="124" spans="1:59" s="289" customFormat="1" ht="15" customHeight="1">
      <c r="A124" s="63">
        <f t="array" ref="A124">IF(C124&lt;&gt;0,SUM(($C$11:C124&lt;&gt;0)*1),"")</f>
        <v>114</v>
      </c>
      <c r="B124" s="1099">
        <v>42424</v>
      </c>
      <c r="C124" s="290" t="s">
        <v>12</v>
      </c>
      <c r="D124" s="1099">
        <v>42424</v>
      </c>
      <c r="E124" s="344" t="s">
        <v>57</v>
      </c>
      <c r="F124" s="345">
        <v>5248</v>
      </c>
      <c r="G124" s="346" t="s">
        <v>31</v>
      </c>
      <c r="H124" s="346" t="s">
        <v>58</v>
      </c>
      <c r="I124" s="63">
        <f t="shared" ref="I124:I134" si="59">A124</f>
        <v>114</v>
      </c>
      <c r="J124" s="292">
        <f t="shared" si="1"/>
        <v>0</v>
      </c>
      <c r="K124" s="292">
        <f t="shared" si="2"/>
        <v>0</v>
      </c>
      <c r="L124" s="292">
        <f t="shared" si="3"/>
        <v>5248</v>
      </c>
      <c r="M124" s="292">
        <f t="shared" si="4"/>
        <v>0</v>
      </c>
      <c r="N124" s="292">
        <f t="shared" si="39"/>
        <v>0</v>
      </c>
      <c r="O124" s="292">
        <f t="shared" si="40"/>
        <v>0</v>
      </c>
      <c r="P124" s="292">
        <f t="shared" si="5"/>
        <v>0</v>
      </c>
      <c r="Q124" s="292">
        <f t="shared" si="6"/>
        <v>0</v>
      </c>
      <c r="R124" s="292">
        <f t="shared" si="53"/>
        <v>0</v>
      </c>
      <c r="S124" s="292">
        <f t="shared" si="54"/>
        <v>0</v>
      </c>
      <c r="T124" s="292">
        <f t="shared" si="7"/>
        <v>0</v>
      </c>
      <c r="U124" s="292">
        <f t="shared" si="8"/>
        <v>0</v>
      </c>
      <c r="V124" s="292">
        <f t="shared" si="55"/>
        <v>0</v>
      </c>
      <c r="W124" s="292">
        <f t="shared" si="56"/>
        <v>0</v>
      </c>
      <c r="X124" s="292">
        <f t="shared" si="57"/>
        <v>0</v>
      </c>
      <c r="Y124" s="292">
        <f t="shared" si="58"/>
        <v>0</v>
      </c>
      <c r="Z124" s="292">
        <f t="shared" si="47"/>
        <v>0</v>
      </c>
      <c r="AA124" s="292">
        <f t="shared" si="48"/>
        <v>0</v>
      </c>
      <c r="AB124" s="292">
        <f t="shared" si="9"/>
        <v>0</v>
      </c>
      <c r="AC124" s="292">
        <f t="shared" si="10"/>
        <v>0</v>
      </c>
      <c r="AD124" s="292">
        <f t="shared" si="11"/>
        <v>0</v>
      </c>
      <c r="AE124" s="292">
        <f t="shared" si="12"/>
        <v>0</v>
      </c>
      <c r="AF124" s="292">
        <f t="shared" si="13"/>
        <v>0</v>
      </c>
      <c r="AG124" s="292">
        <f t="shared" si="14"/>
        <v>0</v>
      </c>
      <c r="AH124" s="292">
        <f t="shared" si="15"/>
        <v>0</v>
      </c>
      <c r="AI124" s="292">
        <f t="shared" si="16"/>
        <v>0</v>
      </c>
      <c r="AJ124" s="292">
        <f t="shared" si="17"/>
        <v>0</v>
      </c>
      <c r="AK124" s="292">
        <f t="shared" si="18"/>
        <v>0</v>
      </c>
      <c r="AL124" s="292">
        <f t="shared" si="49"/>
        <v>0</v>
      </c>
      <c r="AM124" s="292">
        <f t="shared" si="50"/>
        <v>0</v>
      </c>
      <c r="AN124" s="292">
        <f t="shared" si="19"/>
        <v>0</v>
      </c>
      <c r="AO124" s="292">
        <f t="shared" si="20"/>
        <v>0</v>
      </c>
      <c r="AP124" s="292">
        <f t="shared" si="21"/>
        <v>0</v>
      </c>
      <c r="AQ124" s="292">
        <f t="shared" si="22"/>
        <v>0</v>
      </c>
      <c r="AR124" s="292">
        <f t="shared" si="23"/>
        <v>0</v>
      </c>
      <c r="AS124" s="292">
        <f t="shared" si="24"/>
        <v>0</v>
      </c>
      <c r="AT124" s="292">
        <f t="shared" si="25"/>
        <v>0</v>
      </c>
      <c r="AU124" s="292">
        <f t="shared" si="26"/>
        <v>5248</v>
      </c>
      <c r="AV124" s="292">
        <f t="shared" si="27"/>
        <v>0</v>
      </c>
      <c r="AW124" s="292">
        <f t="shared" si="28"/>
        <v>0</v>
      </c>
      <c r="AX124" s="292">
        <f t="shared" si="29"/>
        <v>0</v>
      </c>
      <c r="AY124" s="292">
        <f t="shared" si="30"/>
        <v>0</v>
      </c>
      <c r="AZ124" s="292">
        <f t="shared" si="31"/>
        <v>0</v>
      </c>
      <c r="BA124" s="292">
        <f t="shared" si="32"/>
        <v>0</v>
      </c>
      <c r="BB124" s="292">
        <f t="shared" si="33"/>
        <v>0</v>
      </c>
      <c r="BC124" s="292">
        <f t="shared" si="34"/>
        <v>0</v>
      </c>
      <c r="BD124" s="292">
        <f t="shared" si="35"/>
        <v>0</v>
      </c>
      <c r="BE124" s="292">
        <f t="shared" si="36"/>
        <v>0</v>
      </c>
      <c r="BF124" s="292">
        <f t="shared" si="37"/>
        <v>0</v>
      </c>
      <c r="BG124" s="292">
        <f t="shared" si="38"/>
        <v>0</v>
      </c>
    </row>
    <row r="125" spans="1:59" s="289" customFormat="1" ht="15" customHeight="1">
      <c r="A125" s="63">
        <f t="array" ref="A125">IF(C125&lt;&gt;0,SUM(($C$11:C125&lt;&gt;0)*1),"")</f>
        <v>115</v>
      </c>
      <c r="B125" s="1099">
        <v>42424</v>
      </c>
      <c r="C125" s="290" t="s">
        <v>8</v>
      </c>
      <c r="D125" s="1099">
        <v>42424</v>
      </c>
      <c r="E125" s="344" t="s">
        <v>405</v>
      </c>
      <c r="F125" s="345">
        <v>8196747</v>
      </c>
      <c r="G125" s="346" t="s">
        <v>133</v>
      </c>
      <c r="H125" s="346" t="s">
        <v>31</v>
      </c>
      <c r="I125" s="63">
        <f t="shared" si="59"/>
        <v>115</v>
      </c>
      <c r="J125" s="292">
        <f t="shared" si="1"/>
        <v>0</v>
      </c>
      <c r="K125" s="292">
        <f t="shared" si="2"/>
        <v>0</v>
      </c>
      <c r="L125" s="292">
        <f t="shared" si="3"/>
        <v>0</v>
      </c>
      <c r="M125" s="292">
        <f t="shared" si="4"/>
        <v>8196747</v>
      </c>
      <c r="N125" s="292">
        <f t="shared" si="39"/>
        <v>0</v>
      </c>
      <c r="O125" s="292">
        <f t="shared" si="40"/>
        <v>0</v>
      </c>
      <c r="P125" s="292">
        <f t="shared" si="5"/>
        <v>0</v>
      </c>
      <c r="Q125" s="292">
        <f t="shared" si="6"/>
        <v>0</v>
      </c>
      <c r="R125" s="292">
        <f t="shared" si="53"/>
        <v>0</v>
      </c>
      <c r="S125" s="292">
        <f t="shared" si="54"/>
        <v>0</v>
      </c>
      <c r="T125" s="292">
        <f t="shared" si="7"/>
        <v>0</v>
      </c>
      <c r="U125" s="292">
        <f t="shared" si="8"/>
        <v>0</v>
      </c>
      <c r="V125" s="292">
        <f t="shared" si="55"/>
        <v>0</v>
      </c>
      <c r="W125" s="292">
        <f t="shared" si="56"/>
        <v>0</v>
      </c>
      <c r="X125" s="292">
        <f t="shared" si="57"/>
        <v>0</v>
      </c>
      <c r="Y125" s="292">
        <f t="shared" si="58"/>
        <v>0</v>
      </c>
      <c r="Z125" s="292">
        <f t="shared" si="47"/>
        <v>0</v>
      </c>
      <c r="AA125" s="292">
        <f t="shared" si="48"/>
        <v>0</v>
      </c>
      <c r="AB125" s="292">
        <f t="shared" si="9"/>
        <v>0</v>
      </c>
      <c r="AC125" s="292">
        <f t="shared" si="10"/>
        <v>0</v>
      </c>
      <c r="AD125" s="292">
        <f t="shared" si="11"/>
        <v>0</v>
      </c>
      <c r="AE125" s="292">
        <f t="shared" si="12"/>
        <v>0</v>
      </c>
      <c r="AF125" s="292">
        <f t="shared" si="13"/>
        <v>0</v>
      </c>
      <c r="AG125" s="292">
        <f t="shared" si="14"/>
        <v>0</v>
      </c>
      <c r="AH125" s="292">
        <f t="shared" si="15"/>
        <v>0</v>
      </c>
      <c r="AI125" s="292">
        <f t="shared" si="16"/>
        <v>0</v>
      </c>
      <c r="AJ125" s="292">
        <f t="shared" si="17"/>
        <v>0</v>
      </c>
      <c r="AK125" s="292">
        <f t="shared" si="18"/>
        <v>0</v>
      </c>
      <c r="AL125" s="292">
        <f t="shared" si="49"/>
        <v>0</v>
      </c>
      <c r="AM125" s="292">
        <f t="shared" si="50"/>
        <v>0</v>
      </c>
      <c r="AN125" s="292">
        <f t="shared" si="19"/>
        <v>0</v>
      </c>
      <c r="AO125" s="292">
        <f t="shared" si="20"/>
        <v>0</v>
      </c>
      <c r="AP125" s="292">
        <f t="shared" si="21"/>
        <v>0</v>
      </c>
      <c r="AQ125" s="292">
        <f t="shared" si="22"/>
        <v>0</v>
      </c>
      <c r="AR125" s="292">
        <f t="shared" si="23"/>
        <v>0</v>
      </c>
      <c r="AS125" s="292">
        <f t="shared" si="24"/>
        <v>0</v>
      </c>
      <c r="AT125" s="292">
        <f t="shared" si="25"/>
        <v>0</v>
      </c>
      <c r="AU125" s="292">
        <f t="shared" si="26"/>
        <v>0</v>
      </c>
      <c r="AV125" s="292">
        <f t="shared" si="27"/>
        <v>8196747</v>
      </c>
      <c r="AW125" s="292">
        <f t="shared" si="28"/>
        <v>0</v>
      </c>
      <c r="AX125" s="292">
        <f t="shared" si="29"/>
        <v>0</v>
      </c>
      <c r="AY125" s="292">
        <f t="shared" si="30"/>
        <v>0</v>
      </c>
      <c r="AZ125" s="292">
        <f t="shared" si="31"/>
        <v>0</v>
      </c>
      <c r="BA125" s="292">
        <f t="shared" si="32"/>
        <v>0</v>
      </c>
      <c r="BB125" s="292">
        <f t="shared" si="33"/>
        <v>0</v>
      </c>
      <c r="BC125" s="292">
        <f t="shared" si="34"/>
        <v>0</v>
      </c>
      <c r="BD125" s="292">
        <f t="shared" si="35"/>
        <v>0</v>
      </c>
      <c r="BE125" s="292">
        <f t="shared" si="36"/>
        <v>0</v>
      </c>
      <c r="BF125" s="292">
        <f t="shared" si="37"/>
        <v>0</v>
      </c>
      <c r="BG125" s="292">
        <f t="shared" si="38"/>
        <v>0</v>
      </c>
    </row>
    <row r="126" spans="1:59" s="289" customFormat="1" ht="15" customHeight="1">
      <c r="A126" s="63">
        <f t="array" ref="A126">IF(C126&lt;&gt;0,SUM(($C$11:C126&lt;&gt;0)*1),"")</f>
        <v>116</v>
      </c>
      <c r="B126" s="1099">
        <v>42424</v>
      </c>
      <c r="C126" s="290" t="s">
        <v>8</v>
      </c>
      <c r="D126" s="1099">
        <v>42424</v>
      </c>
      <c r="E126" s="344" t="s">
        <v>405</v>
      </c>
      <c r="F126" s="345">
        <v>16393492</v>
      </c>
      <c r="G126" s="346" t="s">
        <v>133</v>
      </c>
      <c r="H126" s="346" t="s">
        <v>31</v>
      </c>
      <c r="I126" s="63">
        <f t="shared" si="59"/>
        <v>116</v>
      </c>
      <c r="J126" s="292">
        <f t="shared" si="1"/>
        <v>0</v>
      </c>
      <c r="K126" s="292">
        <f t="shared" si="2"/>
        <v>0</v>
      </c>
      <c r="L126" s="292">
        <f t="shared" si="3"/>
        <v>0</v>
      </c>
      <c r="M126" s="292">
        <f t="shared" si="4"/>
        <v>16393492</v>
      </c>
      <c r="N126" s="292">
        <f t="shared" si="39"/>
        <v>0</v>
      </c>
      <c r="O126" s="292">
        <f t="shared" si="40"/>
        <v>0</v>
      </c>
      <c r="P126" s="292">
        <f t="shared" si="5"/>
        <v>0</v>
      </c>
      <c r="Q126" s="292">
        <f t="shared" si="6"/>
        <v>0</v>
      </c>
      <c r="R126" s="292">
        <f t="shared" si="53"/>
        <v>0</v>
      </c>
      <c r="S126" s="292">
        <f t="shared" si="54"/>
        <v>0</v>
      </c>
      <c r="T126" s="292">
        <f t="shared" si="7"/>
        <v>0</v>
      </c>
      <c r="U126" s="292">
        <f t="shared" si="8"/>
        <v>0</v>
      </c>
      <c r="V126" s="292">
        <f t="shared" si="55"/>
        <v>0</v>
      </c>
      <c r="W126" s="292">
        <f t="shared" si="56"/>
        <v>0</v>
      </c>
      <c r="X126" s="292">
        <f t="shared" si="57"/>
        <v>0</v>
      </c>
      <c r="Y126" s="292">
        <f t="shared" si="58"/>
        <v>0</v>
      </c>
      <c r="Z126" s="292">
        <f t="shared" si="47"/>
        <v>0</v>
      </c>
      <c r="AA126" s="292">
        <f t="shared" si="48"/>
        <v>0</v>
      </c>
      <c r="AB126" s="292">
        <f t="shared" si="9"/>
        <v>0</v>
      </c>
      <c r="AC126" s="292">
        <f t="shared" si="10"/>
        <v>0</v>
      </c>
      <c r="AD126" s="292">
        <f t="shared" si="11"/>
        <v>0</v>
      </c>
      <c r="AE126" s="292">
        <f t="shared" si="12"/>
        <v>0</v>
      </c>
      <c r="AF126" s="292">
        <f t="shared" si="13"/>
        <v>0</v>
      </c>
      <c r="AG126" s="292">
        <f t="shared" si="14"/>
        <v>0</v>
      </c>
      <c r="AH126" s="292">
        <f t="shared" si="15"/>
        <v>0</v>
      </c>
      <c r="AI126" s="292">
        <f t="shared" si="16"/>
        <v>0</v>
      </c>
      <c r="AJ126" s="292">
        <f t="shared" si="17"/>
        <v>0</v>
      </c>
      <c r="AK126" s="292">
        <f t="shared" si="18"/>
        <v>0</v>
      </c>
      <c r="AL126" s="292">
        <f t="shared" si="49"/>
        <v>0</v>
      </c>
      <c r="AM126" s="292">
        <f t="shared" si="50"/>
        <v>0</v>
      </c>
      <c r="AN126" s="292">
        <f t="shared" si="19"/>
        <v>0</v>
      </c>
      <c r="AO126" s="292">
        <f t="shared" si="20"/>
        <v>0</v>
      </c>
      <c r="AP126" s="292">
        <f t="shared" si="21"/>
        <v>0</v>
      </c>
      <c r="AQ126" s="292">
        <f t="shared" si="22"/>
        <v>0</v>
      </c>
      <c r="AR126" s="292">
        <f t="shared" si="23"/>
        <v>0</v>
      </c>
      <c r="AS126" s="292">
        <f t="shared" si="24"/>
        <v>0</v>
      </c>
      <c r="AT126" s="292">
        <f t="shared" si="25"/>
        <v>0</v>
      </c>
      <c r="AU126" s="292">
        <f t="shared" si="26"/>
        <v>0</v>
      </c>
      <c r="AV126" s="292">
        <f t="shared" si="27"/>
        <v>16393492</v>
      </c>
      <c r="AW126" s="292">
        <f t="shared" si="28"/>
        <v>0</v>
      </c>
      <c r="AX126" s="292">
        <f t="shared" si="29"/>
        <v>0</v>
      </c>
      <c r="AY126" s="292">
        <f t="shared" si="30"/>
        <v>0</v>
      </c>
      <c r="AZ126" s="292">
        <f t="shared" si="31"/>
        <v>0</v>
      </c>
      <c r="BA126" s="292">
        <f t="shared" si="32"/>
        <v>0</v>
      </c>
      <c r="BB126" s="292">
        <f t="shared" si="33"/>
        <v>0</v>
      </c>
      <c r="BC126" s="292">
        <f t="shared" si="34"/>
        <v>0</v>
      </c>
      <c r="BD126" s="292">
        <f t="shared" si="35"/>
        <v>0</v>
      </c>
      <c r="BE126" s="292">
        <f t="shared" si="36"/>
        <v>0</v>
      </c>
      <c r="BF126" s="292">
        <f t="shared" si="37"/>
        <v>0</v>
      </c>
      <c r="BG126" s="292">
        <f t="shared" si="38"/>
        <v>0</v>
      </c>
    </row>
    <row r="127" spans="1:59" s="289" customFormat="1" ht="15" customHeight="1">
      <c r="A127" s="63">
        <f t="array" ref="A127">IF(C127&lt;&gt;0,SUM(($C$11:C127&lt;&gt;0)*1),"")</f>
        <v>117</v>
      </c>
      <c r="B127" s="1099">
        <v>42424</v>
      </c>
      <c r="C127" s="290" t="s">
        <v>8</v>
      </c>
      <c r="D127" s="1099">
        <v>42424</v>
      </c>
      <c r="E127" s="344" t="s">
        <v>405</v>
      </c>
      <c r="F127" s="345">
        <v>13114794</v>
      </c>
      <c r="G127" s="346" t="s">
        <v>133</v>
      </c>
      <c r="H127" s="346" t="s">
        <v>31</v>
      </c>
      <c r="I127" s="63">
        <f t="shared" si="59"/>
        <v>117</v>
      </c>
      <c r="J127" s="292">
        <f t="shared" si="1"/>
        <v>0</v>
      </c>
      <c r="K127" s="292">
        <f t="shared" si="2"/>
        <v>0</v>
      </c>
      <c r="L127" s="292">
        <f t="shared" si="3"/>
        <v>0</v>
      </c>
      <c r="M127" s="292">
        <f t="shared" si="4"/>
        <v>13114794</v>
      </c>
      <c r="N127" s="292">
        <f t="shared" si="39"/>
        <v>0</v>
      </c>
      <c r="O127" s="292">
        <f t="shared" si="40"/>
        <v>0</v>
      </c>
      <c r="P127" s="292">
        <f t="shared" si="5"/>
        <v>0</v>
      </c>
      <c r="Q127" s="292">
        <f t="shared" si="6"/>
        <v>0</v>
      </c>
      <c r="R127" s="292">
        <f t="shared" si="53"/>
        <v>0</v>
      </c>
      <c r="S127" s="292">
        <f t="shared" si="54"/>
        <v>0</v>
      </c>
      <c r="T127" s="292">
        <f t="shared" si="7"/>
        <v>0</v>
      </c>
      <c r="U127" s="292">
        <f t="shared" si="8"/>
        <v>0</v>
      </c>
      <c r="V127" s="292">
        <f t="shared" si="55"/>
        <v>0</v>
      </c>
      <c r="W127" s="292">
        <f t="shared" si="56"/>
        <v>0</v>
      </c>
      <c r="X127" s="292">
        <f t="shared" si="57"/>
        <v>0</v>
      </c>
      <c r="Y127" s="292">
        <f t="shared" si="58"/>
        <v>0</v>
      </c>
      <c r="Z127" s="292">
        <f t="shared" si="47"/>
        <v>0</v>
      </c>
      <c r="AA127" s="292">
        <f t="shared" si="48"/>
        <v>0</v>
      </c>
      <c r="AB127" s="292">
        <f t="shared" si="9"/>
        <v>0</v>
      </c>
      <c r="AC127" s="292">
        <f t="shared" si="10"/>
        <v>0</v>
      </c>
      <c r="AD127" s="292">
        <f t="shared" si="11"/>
        <v>0</v>
      </c>
      <c r="AE127" s="292">
        <f t="shared" si="12"/>
        <v>0</v>
      </c>
      <c r="AF127" s="292">
        <f t="shared" si="13"/>
        <v>0</v>
      </c>
      <c r="AG127" s="292">
        <f t="shared" si="14"/>
        <v>0</v>
      </c>
      <c r="AH127" s="292">
        <f t="shared" si="15"/>
        <v>0</v>
      </c>
      <c r="AI127" s="292">
        <f t="shared" si="16"/>
        <v>0</v>
      </c>
      <c r="AJ127" s="292">
        <f t="shared" si="17"/>
        <v>0</v>
      </c>
      <c r="AK127" s="292">
        <f t="shared" si="18"/>
        <v>0</v>
      </c>
      <c r="AL127" s="292">
        <f t="shared" si="49"/>
        <v>0</v>
      </c>
      <c r="AM127" s="292">
        <f t="shared" si="50"/>
        <v>0</v>
      </c>
      <c r="AN127" s="292">
        <f t="shared" si="19"/>
        <v>0</v>
      </c>
      <c r="AO127" s="292">
        <f t="shared" si="20"/>
        <v>0</v>
      </c>
      <c r="AP127" s="292">
        <f t="shared" si="21"/>
        <v>0</v>
      </c>
      <c r="AQ127" s="292">
        <f t="shared" si="22"/>
        <v>0</v>
      </c>
      <c r="AR127" s="292">
        <f t="shared" si="23"/>
        <v>0</v>
      </c>
      <c r="AS127" s="292">
        <f t="shared" si="24"/>
        <v>0</v>
      </c>
      <c r="AT127" s="292">
        <f t="shared" si="25"/>
        <v>0</v>
      </c>
      <c r="AU127" s="292">
        <f t="shared" si="26"/>
        <v>0</v>
      </c>
      <c r="AV127" s="292">
        <f t="shared" si="27"/>
        <v>13114794</v>
      </c>
      <c r="AW127" s="292">
        <f t="shared" si="28"/>
        <v>0</v>
      </c>
      <c r="AX127" s="292">
        <f t="shared" si="29"/>
        <v>0</v>
      </c>
      <c r="AY127" s="292">
        <f t="shared" si="30"/>
        <v>0</v>
      </c>
      <c r="AZ127" s="292">
        <f t="shared" si="31"/>
        <v>0</v>
      </c>
      <c r="BA127" s="292">
        <f t="shared" si="32"/>
        <v>0</v>
      </c>
      <c r="BB127" s="292">
        <f t="shared" si="33"/>
        <v>0</v>
      </c>
      <c r="BC127" s="292">
        <f t="shared" si="34"/>
        <v>0</v>
      </c>
      <c r="BD127" s="292">
        <f t="shared" si="35"/>
        <v>0</v>
      </c>
      <c r="BE127" s="292">
        <f t="shared" si="36"/>
        <v>0</v>
      </c>
      <c r="BF127" s="292">
        <f t="shared" si="37"/>
        <v>0</v>
      </c>
      <c r="BG127" s="292">
        <f t="shared" si="38"/>
        <v>0</v>
      </c>
    </row>
    <row r="128" spans="1:59" s="289" customFormat="1" ht="15" customHeight="1">
      <c r="A128" s="63">
        <f t="array" ref="A128">IF(C128&lt;&gt;0,SUM(($C$11:C128&lt;&gt;0)*1),"")</f>
        <v>118</v>
      </c>
      <c r="B128" s="1099">
        <v>42424</v>
      </c>
      <c r="C128" s="290" t="s">
        <v>8</v>
      </c>
      <c r="D128" s="1099">
        <v>42424</v>
      </c>
      <c r="E128" s="344" t="s">
        <v>405</v>
      </c>
      <c r="F128" s="345">
        <v>12295119</v>
      </c>
      <c r="G128" s="346" t="s">
        <v>133</v>
      </c>
      <c r="H128" s="346" t="s">
        <v>31</v>
      </c>
      <c r="I128" s="63">
        <f t="shared" si="59"/>
        <v>118</v>
      </c>
      <c r="J128" s="292">
        <f t="shared" si="1"/>
        <v>0</v>
      </c>
      <c r="K128" s="292">
        <f t="shared" si="2"/>
        <v>0</v>
      </c>
      <c r="L128" s="292">
        <f t="shared" si="3"/>
        <v>0</v>
      </c>
      <c r="M128" s="292">
        <f t="shared" si="4"/>
        <v>12295119</v>
      </c>
      <c r="N128" s="292">
        <f t="shared" si="39"/>
        <v>0</v>
      </c>
      <c r="O128" s="292">
        <f t="shared" si="40"/>
        <v>0</v>
      </c>
      <c r="P128" s="292">
        <f t="shared" si="5"/>
        <v>0</v>
      </c>
      <c r="Q128" s="292">
        <f t="shared" si="6"/>
        <v>0</v>
      </c>
      <c r="R128" s="292">
        <f t="shared" si="53"/>
        <v>0</v>
      </c>
      <c r="S128" s="292">
        <f t="shared" si="54"/>
        <v>0</v>
      </c>
      <c r="T128" s="292">
        <f t="shared" si="7"/>
        <v>0</v>
      </c>
      <c r="U128" s="292">
        <f t="shared" si="8"/>
        <v>0</v>
      </c>
      <c r="V128" s="292">
        <f t="shared" si="55"/>
        <v>0</v>
      </c>
      <c r="W128" s="292">
        <f t="shared" si="56"/>
        <v>0</v>
      </c>
      <c r="X128" s="292">
        <f t="shared" si="57"/>
        <v>0</v>
      </c>
      <c r="Y128" s="292">
        <f t="shared" si="58"/>
        <v>0</v>
      </c>
      <c r="Z128" s="292">
        <f t="shared" si="47"/>
        <v>0</v>
      </c>
      <c r="AA128" s="292">
        <f t="shared" si="48"/>
        <v>0</v>
      </c>
      <c r="AB128" s="292">
        <f t="shared" si="9"/>
        <v>0</v>
      </c>
      <c r="AC128" s="292">
        <f t="shared" si="10"/>
        <v>0</v>
      </c>
      <c r="AD128" s="292">
        <f t="shared" si="11"/>
        <v>0</v>
      </c>
      <c r="AE128" s="292">
        <f t="shared" si="12"/>
        <v>0</v>
      </c>
      <c r="AF128" s="292">
        <f t="shared" si="13"/>
        <v>0</v>
      </c>
      <c r="AG128" s="292">
        <f t="shared" si="14"/>
        <v>0</v>
      </c>
      <c r="AH128" s="292">
        <f t="shared" si="15"/>
        <v>0</v>
      </c>
      <c r="AI128" s="292">
        <f t="shared" si="16"/>
        <v>0</v>
      </c>
      <c r="AJ128" s="292">
        <f t="shared" si="17"/>
        <v>0</v>
      </c>
      <c r="AK128" s="292">
        <f t="shared" si="18"/>
        <v>0</v>
      </c>
      <c r="AL128" s="292">
        <f t="shared" si="49"/>
        <v>0</v>
      </c>
      <c r="AM128" s="292">
        <f t="shared" si="50"/>
        <v>0</v>
      </c>
      <c r="AN128" s="292">
        <f t="shared" si="19"/>
        <v>0</v>
      </c>
      <c r="AO128" s="292">
        <f t="shared" si="20"/>
        <v>0</v>
      </c>
      <c r="AP128" s="292">
        <f t="shared" si="21"/>
        <v>0</v>
      </c>
      <c r="AQ128" s="292">
        <f t="shared" si="22"/>
        <v>0</v>
      </c>
      <c r="AR128" s="292">
        <f t="shared" si="23"/>
        <v>0</v>
      </c>
      <c r="AS128" s="292">
        <f t="shared" si="24"/>
        <v>0</v>
      </c>
      <c r="AT128" s="292">
        <f t="shared" si="25"/>
        <v>0</v>
      </c>
      <c r="AU128" s="292">
        <f t="shared" si="26"/>
        <v>0</v>
      </c>
      <c r="AV128" s="292">
        <f t="shared" si="27"/>
        <v>12295119</v>
      </c>
      <c r="AW128" s="292">
        <f t="shared" si="28"/>
        <v>0</v>
      </c>
      <c r="AX128" s="292">
        <f t="shared" si="29"/>
        <v>0</v>
      </c>
      <c r="AY128" s="292">
        <f t="shared" si="30"/>
        <v>0</v>
      </c>
      <c r="AZ128" s="292">
        <f t="shared" si="31"/>
        <v>0</v>
      </c>
      <c r="BA128" s="292">
        <f t="shared" si="32"/>
        <v>0</v>
      </c>
      <c r="BB128" s="292">
        <f t="shared" si="33"/>
        <v>0</v>
      </c>
      <c r="BC128" s="292">
        <f t="shared" si="34"/>
        <v>0</v>
      </c>
      <c r="BD128" s="292">
        <f t="shared" si="35"/>
        <v>0</v>
      </c>
      <c r="BE128" s="292">
        <f t="shared" si="36"/>
        <v>0</v>
      </c>
      <c r="BF128" s="292">
        <f t="shared" si="37"/>
        <v>0</v>
      </c>
      <c r="BG128" s="292">
        <f t="shared" si="38"/>
        <v>0</v>
      </c>
    </row>
    <row r="129" spans="1:59" s="289" customFormat="1" ht="15" customHeight="1">
      <c r="A129" s="63">
        <f t="array" ref="A129">IF(C129&lt;&gt;0,SUM(($C$11:C129&lt;&gt;0)*1),"")</f>
        <v>119</v>
      </c>
      <c r="B129" s="1099">
        <v>42424</v>
      </c>
      <c r="C129" s="290" t="s">
        <v>8</v>
      </c>
      <c r="D129" s="1099">
        <v>42424</v>
      </c>
      <c r="E129" s="344" t="s">
        <v>405</v>
      </c>
      <c r="F129" s="345">
        <v>8196747</v>
      </c>
      <c r="G129" s="346" t="s">
        <v>133</v>
      </c>
      <c r="H129" s="346" t="s">
        <v>31</v>
      </c>
      <c r="I129" s="63">
        <f t="shared" si="59"/>
        <v>119</v>
      </c>
      <c r="J129" s="292">
        <f t="shared" si="1"/>
        <v>0</v>
      </c>
      <c r="K129" s="292">
        <f t="shared" si="2"/>
        <v>0</v>
      </c>
      <c r="L129" s="292">
        <f t="shared" si="3"/>
        <v>0</v>
      </c>
      <c r="M129" s="292">
        <f t="shared" si="4"/>
        <v>8196747</v>
      </c>
      <c r="N129" s="292">
        <f t="shared" si="39"/>
        <v>0</v>
      </c>
      <c r="O129" s="292">
        <f t="shared" si="40"/>
        <v>0</v>
      </c>
      <c r="P129" s="292">
        <f t="shared" si="5"/>
        <v>0</v>
      </c>
      <c r="Q129" s="292">
        <f t="shared" si="6"/>
        <v>0</v>
      </c>
      <c r="R129" s="292">
        <f t="shared" si="53"/>
        <v>0</v>
      </c>
      <c r="S129" s="292">
        <f t="shared" si="54"/>
        <v>0</v>
      </c>
      <c r="T129" s="292">
        <f t="shared" si="7"/>
        <v>0</v>
      </c>
      <c r="U129" s="292">
        <f t="shared" si="8"/>
        <v>0</v>
      </c>
      <c r="V129" s="292">
        <f t="shared" si="55"/>
        <v>0</v>
      </c>
      <c r="W129" s="292">
        <f t="shared" si="56"/>
        <v>0</v>
      </c>
      <c r="X129" s="292">
        <f t="shared" si="57"/>
        <v>0</v>
      </c>
      <c r="Y129" s="292">
        <f t="shared" si="58"/>
        <v>0</v>
      </c>
      <c r="Z129" s="292">
        <f t="shared" si="47"/>
        <v>0</v>
      </c>
      <c r="AA129" s="292">
        <f t="shared" si="48"/>
        <v>0</v>
      </c>
      <c r="AB129" s="292">
        <f t="shared" si="9"/>
        <v>0</v>
      </c>
      <c r="AC129" s="292">
        <f t="shared" si="10"/>
        <v>0</v>
      </c>
      <c r="AD129" s="292">
        <f t="shared" si="11"/>
        <v>0</v>
      </c>
      <c r="AE129" s="292">
        <f t="shared" si="12"/>
        <v>0</v>
      </c>
      <c r="AF129" s="292">
        <f t="shared" si="13"/>
        <v>0</v>
      </c>
      <c r="AG129" s="292">
        <f t="shared" si="14"/>
        <v>0</v>
      </c>
      <c r="AH129" s="292">
        <f t="shared" si="15"/>
        <v>0</v>
      </c>
      <c r="AI129" s="292">
        <f t="shared" si="16"/>
        <v>0</v>
      </c>
      <c r="AJ129" s="292">
        <f t="shared" si="17"/>
        <v>0</v>
      </c>
      <c r="AK129" s="292">
        <f t="shared" si="18"/>
        <v>0</v>
      </c>
      <c r="AL129" s="292">
        <f t="shared" si="49"/>
        <v>0</v>
      </c>
      <c r="AM129" s="292">
        <f t="shared" si="50"/>
        <v>0</v>
      </c>
      <c r="AN129" s="292">
        <f t="shared" si="19"/>
        <v>0</v>
      </c>
      <c r="AO129" s="292">
        <f t="shared" si="20"/>
        <v>0</v>
      </c>
      <c r="AP129" s="292">
        <f t="shared" si="21"/>
        <v>0</v>
      </c>
      <c r="AQ129" s="292">
        <f t="shared" si="22"/>
        <v>0</v>
      </c>
      <c r="AR129" s="292">
        <f t="shared" si="23"/>
        <v>0</v>
      </c>
      <c r="AS129" s="292">
        <f t="shared" si="24"/>
        <v>0</v>
      </c>
      <c r="AT129" s="292">
        <f t="shared" si="25"/>
        <v>0</v>
      </c>
      <c r="AU129" s="292">
        <f t="shared" si="26"/>
        <v>0</v>
      </c>
      <c r="AV129" s="292">
        <f t="shared" si="27"/>
        <v>8196747</v>
      </c>
      <c r="AW129" s="292">
        <f t="shared" si="28"/>
        <v>0</v>
      </c>
      <c r="AX129" s="292">
        <f t="shared" si="29"/>
        <v>0</v>
      </c>
      <c r="AY129" s="292">
        <f t="shared" si="30"/>
        <v>0</v>
      </c>
      <c r="AZ129" s="292">
        <f t="shared" si="31"/>
        <v>0</v>
      </c>
      <c r="BA129" s="292">
        <f t="shared" si="32"/>
        <v>0</v>
      </c>
      <c r="BB129" s="292">
        <f t="shared" si="33"/>
        <v>0</v>
      </c>
      <c r="BC129" s="292">
        <f t="shared" si="34"/>
        <v>0</v>
      </c>
      <c r="BD129" s="292">
        <f t="shared" si="35"/>
        <v>0</v>
      </c>
      <c r="BE129" s="292">
        <f t="shared" si="36"/>
        <v>0</v>
      </c>
      <c r="BF129" s="292">
        <f t="shared" si="37"/>
        <v>0</v>
      </c>
      <c r="BG129" s="292">
        <f t="shared" si="38"/>
        <v>0</v>
      </c>
    </row>
    <row r="130" spans="1:59" s="289" customFormat="1" ht="15" customHeight="1">
      <c r="A130" s="63">
        <f t="array" ref="A130">IF(C130&lt;&gt;0,SUM(($C$11:C130&lt;&gt;0)*1),"")</f>
        <v>120</v>
      </c>
      <c r="B130" s="1099">
        <v>42424</v>
      </c>
      <c r="C130" s="290" t="s">
        <v>8</v>
      </c>
      <c r="D130" s="1099">
        <v>42424</v>
      </c>
      <c r="E130" s="344" t="s">
        <v>405</v>
      </c>
      <c r="F130" s="345">
        <v>11615220</v>
      </c>
      <c r="G130" s="346" t="s">
        <v>133</v>
      </c>
      <c r="H130" s="346" t="s">
        <v>31</v>
      </c>
      <c r="I130" s="63">
        <f t="shared" si="59"/>
        <v>120</v>
      </c>
      <c r="J130" s="292">
        <f t="shared" si="1"/>
        <v>0</v>
      </c>
      <c r="K130" s="292">
        <f t="shared" si="2"/>
        <v>0</v>
      </c>
      <c r="L130" s="292">
        <f t="shared" si="3"/>
        <v>0</v>
      </c>
      <c r="M130" s="292">
        <f t="shared" si="4"/>
        <v>11615220</v>
      </c>
      <c r="N130" s="292">
        <f t="shared" si="39"/>
        <v>0</v>
      </c>
      <c r="O130" s="292">
        <f t="shared" si="40"/>
        <v>0</v>
      </c>
      <c r="P130" s="292">
        <f t="shared" si="5"/>
        <v>0</v>
      </c>
      <c r="Q130" s="292">
        <f t="shared" si="6"/>
        <v>0</v>
      </c>
      <c r="R130" s="292">
        <f t="shared" si="53"/>
        <v>0</v>
      </c>
      <c r="S130" s="292">
        <f t="shared" si="54"/>
        <v>0</v>
      </c>
      <c r="T130" s="292">
        <f t="shared" si="7"/>
        <v>0</v>
      </c>
      <c r="U130" s="292">
        <f t="shared" si="8"/>
        <v>0</v>
      </c>
      <c r="V130" s="292">
        <f t="shared" si="55"/>
        <v>0</v>
      </c>
      <c r="W130" s="292">
        <f t="shared" si="56"/>
        <v>0</v>
      </c>
      <c r="X130" s="292">
        <f t="shared" si="57"/>
        <v>0</v>
      </c>
      <c r="Y130" s="292">
        <f t="shared" si="58"/>
        <v>0</v>
      </c>
      <c r="Z130" s="292">
        <f t="shared" si="47"/>
        <v>0</v>
      </c>
      <c r="AA130" s="292">
        <f t="shared" si="48"/>
        <v>0</v>
      </c>
      <c r="AB130" s="292">
        <f t="shared" si="9"/>
        <v>0</v>
      </c>
      <c r="AC130" s="292">
        <f t="shared" si="10"/>
        <v>0</v>
      </c>
      <c r="AD130" s="292">
        <f t="shared" si="11"/>
        <v>0</v>
      </c>
      <c r="AE130" s="292">
        <f t="shared" si="12"/>
        <v>0</v>
      </c>
      <c r="AF130" s="292">
        <f t="shared" si="13"/>
        <v>0</v>
      </c>
      <c r="AG130" s="292">
        <f t="shared" si="14"/>
        <v>0</v>
      </c>
      <c r="AH130" s="292">
        <f t="shared" si="15"/>
        <v>0</v>
      </c>
      <c r="AI130" s="292">
        <f t="shared" si="16"/>
        <v>0</v>
      </c>
      <c r="AJ130" s="292">
        <f t="shared" si="17"/>
        <v>0</v>
      </c>
      <c r="AK130" s="292">
        <f t="shared" si="18"/>
        <v>0</v>
      </c>
      <c r="AL130" s="292">
        <f t="shared" si="49"/>
        <v>0</v>
      </c>
      <c r="AM130" s="292">
        <f t="shared" si="50"/>
        <v>0</v>
      </c>
      <c r="AN130" s="292">
        <f t="shared" si="19"/>
        <v>0</v>
      </c>
      <c r="AO130" s="292">
        <f t="shared" si="20"/>
        <v>0</v>
      </c>
      <c r="AP130" s="292">
        <f t="shared" si="21"/>
        <v>0</v>
      </c>
      <c r="AQ130" s="292">
        <f t="shared" si="22"/>
        <v>0</v>
      </c>
      <c r="AR130" s="292">
        <f t="shared" si="23"/>
        <v>0</v>
      </c>
      <c r="AS130" s="292">
        <f t="shared" si="24"/>
        <v>0</v>
      </c>
      <c r="AT130" s="292">
        <f t="shared" si="25"/>
        <v>0</v>
      </c>
      <c r="AU130" s="292">
        <f t="shared" si="26"/>
        <v>0</v>
      </c>
      <c r="AV130" s="292">
        <f t="shared" si="27"/>
        <v>11615220</v>
      </c>
      <c r="AW130" s="292">
        <f t="shared" si="28"/>
        <v>0</v>
      </c>
      <c r="AX130" s="292">
        <f t="shared" si="29"/>
        <v>0</v>
      </c>
      <c r="AY130" s="292">
        <f t="shared" si="30"/>
        <v>0</v>
      </c>
      <c r="AZ130" s="292">
        <f t="shared" si="31"/>
        <v>0</v>
      </c>
      <c r="BA130" s="292">
        <f t="shared" si="32"/>
        <v>0</v>
      </c>
      <c r="BB130" s="292">
        <f t="shared" si="33"/>
        <v>0</v>
      </c>
      <c r="BC130" s="292">
        <f t="shared" si="34"/>
        <v>0</v>
      </c>
      <c r="BD130" s="292">
        <f t="shared" si="35"/>
        <v>0</v>
      </c>
      <c r="BE130" s="292">
        <f t="shared" si="36"/>
        <v>0</v>
      </c>
      <c r="BF130" s="292">
        <f t="shared" si="37"/>
        <v>0</v>
      </c>
      <c r="BG130" s="292">
        <f t="shared" si="38"/>
        <v>0</v>
      </c>
    </row>
    <row r="131" spans="1:59" s="289" customFormat="1" ht="15" customHeight="1">
      <c r="A131" s="63">
        <f t="array" ref="A131">IF(C131&lt;&gt;0,SUM(($C$11:C131&lt;&gt;0)*1),"")</f>
        <v>121</v>
      </c>
      <c r="B131" s="1099">
        <v>42424</v>
      </c>
      <c r="C131" s="290" t="s">
        <v>8</v>
      </c>
      <c r="D131" s="1099">
        <v>42424</v>
      </c>
      <c r="E131" s="344" t="s">
        <v>405</v>
      </c>
      <c r="F131" s="345">
        <v>12295119</v>
      </c>
      <c r="G131" s="346" t="s">
        <v>133</v>
      </c>
      <c r="H131" s="346" t="s">
        <v>31</v>
      </c>
      <c r="I131" s="63">
        <f t="shared" si="59"/>
        <v>121</v>
      </c>
      <c r="J131" s="292">
        <f t="shared" si="1"/>
        <v>0</v>
      </c>
      <c r="K131" s="292">
        <f t="shared" si="2"/>
        <v>0</v>
      </c>
      <c r="L131" s="292">
        <f t="shared" si="3"/>
        <v>0</v>
      </c>
      <c r="M131" s="292">
        <f t="shared" si="4"/>
        <v>12295119</v>
      </c>
      <c r="N131" s="292">
        <f t="shared" si="39"/>
        <v>0</v>
      </c>
      <c r="O131" s="292">
        <f t="shared" si="40"/>
        <v>0</v>
      </c>
      <c r="P131" s="292">
        <f t="shared" si="5"/>
        <v>0</v>
      </c>
      <c r="Q131" s="292">
        <f t="shared" si="6"/>
        <v>0</v>
      </c>
      <c r="R131" s="292">
        <f t="shared" si="53"/>
        <v>0</v>
      </c>
      <c r="S131" s="292">
        <f t="shared" si="54"/>
        <v>0</v>
      </c>
      <c r="T131" s="292">
        <f t="shared" si="7"/>
        <v>0</v>
      </c>
      <c r="U131" s="292">
        <f t="shared" si="8"/>
        <v>0</v>
      </c>
      <c r="V131" s="292">
        <f t="shared" si="55"/>
        <v>0</v>
      </c>
      <c r="W131" s="292">
        <f t="shared" si="56"/>
        <v>0</v>
      </c>
      <c r="X131" s="292">
        <f t="shared" si="57"/>
        <v>0</v>
      </c>
      <c r="Y131" s="292">
        <f t="shared" si="58"/>
        <v>0</v>
      </c>
      <c r="Z131" s="292">
        <f t="shared" si="47"/>
        <v>0</v>
      </c>
      <c r="AA131" s="292">
        <f t="shared" si="48"/>
        <v>0</v>
      </c>
      <c r="AB131" s="292">
        <f t="shared" si="9"/>
        <v>0</v>
      </c>
      <c r="AC131" s="292">
        <f t="shared" si="10"/>
        <v>0</v>
      </c>
      <c r="AD131" s="292">
        <f t="shared" si="11"/>
        <v>0</v>
      </c>
      <c r="AE131" s="292">
        <f t="shared" si="12"/>
        <v>0</v>
      </c>
      <c r="AF131" s="292">
        <f t="shared" si="13"/>
        <v>0</v>
      </c>
      <c r="AG131" s="292">
        <f t="shared" si="14"/>
        <v>0</v>
      </c>
      <c r="AH131" s="292">
        <f t="shared" si="15"/>
        <v>0</v>
      </c>
      <c r="AI131" s="292">
        <f t="shared" si="16"/>
        <v>0</v>
      </c>
      <c r="AJ131" s="292">
        <f t="shared" si="17"/>
        <v>0</v>
      </c>
      <c r="AK131" s="292">
        <f t="shared" si="18"/>
        <v>0</v>
      </c>
      <c r="AL131" s="292">
        <f t="shared" si="49"/>
        <v>0</v>
      </c>
      <c r="AM131" s="292">
        <f t="shared" si="50"/>
        <v>0</v>
      </c>
      <c r="AN131" s="292">
        <f t="shared" si="19"/>
        <v>0</v>
      </c>
      <c r="AO131" s="292">
        <f t="shared" si="20"/>
        <v>0</v>
      </c>
      <c r="AP131" s="292">
        <f t="shared" si="21"/>
        <v>0</v>
      </c>
      <c r="AQ131" s="292">
        <f t="shared" si="22"/>
        <v>0</v>
      </c>
      <c r="AR131" s="292">
        <f t="shared" si="23"/>
        <v>0</v>
      </c>
      <c r="AS131" s="292">
        <f t="shared" si="24"/>
        <v>0</v>
      </c>
      <c r="AT131" s="292">
        <f t="shared" si="25"/>
        <v>0</v>
      </c>
      <c r="AU131" s="292">
        <f t="shared" si="26"/>
        <v>0</v>
      </c>
      <c r="AV131" s="292">
        <f t="shared" si="27"/>
        <v>12295119</v>
      </c>
      <c r="AW131" s="292">
        <f t="shared" si="28"/>
        <v>0</v>
      </c>
      <c r="AX131" s="292">
        <f t="shared" si="29"/>
        <v>0</v>
      </c>
      <c r="AY131" s="292">
        <f t="shared" si="30"/>
        <v>0</v>
      </c>
      <c r="AZ131" s="292">
        <f t="shared" si="31"/>
        <v>0</v>
      </c>
      <c r="BA131" s="292">
        <f t="shared" si="32"/>
        <v>0</v>
      </c>
      <c r="BB131" s="292">
        <f t="shared" si="33"/>
        <v>0</v>
      </c>
      <c r="BC131" s="292">
        <f t="shared" si="34"/>
        <v>0</v>
      </c>
      <c r="BD131" s="292">
        <f t="shared" si="35"/>
        <v>0</v>
      </c>
      <c r="BE131" s="292">
        <f t="shared" si="36"/>
        <v>0</v>
      </c>
      <c r="BF131" s="292">
        <f t="shared" si="37"/>
        <v>0</v>
      </c>
      <c r="BG131" s="292">
        <f t="shared" si="38"/>
        <v>0</v>
      </c>
    </row>
    <row r="132" spans="1:59" s="289" customFormat="1" ht="15" customHeight="1">
      <c r="A132" s="63">
        <f t="array" ref="A132">IF(C132&lt;&gt;0,SUM(($C$11:C132&lt;&gt;0)*1),"")</f>
        <v>122</v>
      </c>
      <c r="B132" s="1099">
        <v>42424</v>
      </c>
      <c r="C132" s="290" t="s">
        <v>8</v>
      </c>
      <c r="D132" s="1099">
        <v>42424</v>
      </c>
      <c r="E132" s="344" t="s">
        <v>405</v>
      </c>
      <c r="F132" s="345">
        <v>16393492</v>
      </c>
      <c r="G132" s="346" t="s">
        <v>133</v>
      </c>
      <c r="H132" s="346" t="s">
        <v>31</v>
      </c>
      <c r="I132" s="63">
        <f t="shared" si="59"/>
        <v>122</v>
      </c>
      <c r="J132" s="292">
        <f t="shared" si="1"/>
        <v>0</v>
      </c>
      <c r="K132" s="292">
        <f t="shared" si="2"/>
        <v>0</v>
      </c>
      <c r="L132" s="292">
        <f t="shared" si="3"/>
        <v>0</v>
      </c>
      <c r="M132" s="292">
        <f t="shared" si="4"/>
        <v>16393492</v>
      </c>
      <c r="N132" s="292">
        <f t="shared" si="39"/>
        <v>0</v>
      </c>
      <c r="O132" s="292">
        <f t="shared" si="40"/>
        <v>0</v>
      </c>
      <c r="P132" s="292">
        <f t="shared" si="5"/>
        <v>0</v>
      </c>
      <c r="Q132" s="292">
        <f t="shared" si="6"/>
        <v>0</v>
      </c>
      <c r="R132" s="292">
        <f t="shared" si="53"/>
        <v>0</v>
      </c>
      <c r="S132" s="292">
        <f t="shared" si="54"/>
        <v>0</v>
      </c>
      <c r="T132" s="292">
        <f t="shared" si="7"/>
        <v>0</v>
      </c>
      <c r="U132" s="292">
        <f t="shared" si="8"/>
        <v>0</v>
      </c>
      <c r="V132" s="292">
        <f t="shared" si="55"/>
        <v>0</v>
      </c>
      <c r="W132" s="292">
        <f t="shared" si="56"/>
        <v>0</v>
      </c>
      <c r="X132" s="292">
        <f t="shared" si="57"/>
        <v>0</v>
      </c>
      <c r="Y132" s="292">
        <f t="shared" si="58"/>
        <v>0</v>
      </c>
      <c r="Z132" s="292">
        <f t="shared" si="47"/>
        <v>0</v>
      </c>
      <c r="AA132" s="292">
        <f t="shared" si="48"/>
        <v>0</v>
      </c>
      <c r="AB132" s="292">
        <f t="shared" si="9"/>
        <v>0</v>
      </c>
      <c r="AC132" s="292">
        <f t="shared" si="10"/>
        <v>0</v>
      </c>
      <c r="AD132" s="292">
        <f t="shared" si="11"/>
        <v>0</v>
      </c>
      <c r="AE132" s="292">
        <f t="shared" si="12"/>
        <v>0</v>
      </c>
      <c r="AF132" s="292">
        <f t="shared" si="13"/>
        <v>0</v>
      </c>
      <c r="AG132" s="292">
        <f t="shared" si="14"/>
        <v>0</v>
      </c>
      <c r="AH132" s="292">
        <f t="shared" si="15"/>
        <v>0</v>
      </c>
      <c r="AI132" s="292">
        <f t="shared" si="16"/>
        <v>0</v>
      </c>
      <c r="AJ132" s="292">
        <f t="shared" si="17"/>
        <v>0</v>
      </c>
      <c r="AK132" s="292">
        <f t="shared" si="18"/>
        <v>0</v>
      </c>
      <c r="AL132" s="292">
        <f t="shared" si="49"/>
        <v>0</v>
      </c>
      <c r="AM132" s="292">
        <f t="shared" si="50"/>
        <v>0</v>
      </c>
      <c r="AN132" s="292">
        <f t="shared" si="19"/>
        <v>0</v>
      </c>
      <c r="AO132" s="292">
        <f t="shared" si="20"/>
        <v>0</v>
      </c>
      <c r="AP132" s="292">
        <f t="shared" si="21"/>
        <v>0</v>
      </c>
      <c r="AQ132" s="292">
        <f t="shared" si="22"/>
        <v>0</v>
      </c>
      <c r="AR132" s="292">
        <f t="shared" si="23"/>
        <v>0</v>
      </c>
      <c r="AS132" s="292">
        <f t="shared" si="24"/>
        <v>0</v>
      </c>
      <c r="AT132" s="292">
        <f t="shared" si="25"/>
        <v>0</v>
      </c>
      <c r="AU132" s="292">
        <f t="shared" si="26"/>
        <v>0</v>
      </c>
      <c r="AV132" s="292">
        <f t="shared" si="27"/>
        <v>16393492</v>
      </c>
      <c r="AW132" s="292">
        <f t="shared" si="28"/>
        <v>0</v>
      </c>
      <c r="AX132" s="292">
        <f t="shared" si="29"/>
        <v>0</v>
      </c>
      <c r="AY132" s="292">
        <f t="shared" si="30"/>
        <v>0</v>
      </c>
      <c r="AZ132" s="292">
        <f t="shared" si="31"/>
        <v>0</v>
      </c>
      <c r="BA132" s="292">
        <f t="shared" si="32"/>
        <v>0</v>
      </c>
      <c r="BB132" s="292">
        <f t="shared" si="33"/>
        <v>0</v>
      </c>
      <c r="BC132" s="292">
        <f t="shared" si="34"/>
        <v>0</v>
      </c>
      <c r="BD132" s="292">
        <f t="shared" si="35"/>
        <v>0</v>
      </c>
      <c r="BE132" s="292">
        <f t="shared" si="36"/>
        <v>0</v>
      </c>
      <c r="BF132" s="292">
        <f t="shared" si="37"/>
        <v>0</v>
      </c>
      <c r="BG132" s="292">
        <f t="shared" si="38"/>
        <v>0</v>
      </c>
    </row>
    <row r="133" spans="1:59" s="289" customFormat="1" ht="15" customHeight="1">
      <c r="A133" s="63">
        <f t="array" ref="A133">IF(C133&lt;&gt;0,SUM(($C$11:C133&lt;&gt;0)*1),"")</f>
        <v>123</v>
      </c>
      <c r="B133" s="1099">
        <v>42424</v>
      </c>
      <c r="C133" s="290" t="s">
        <v>8</v>
      </c>
      <c r="D133" s="1099">
        <v>42424</v>
      </c>
      <c r="E133" s="344" t="s">
        <v>405</v>
      </c>
      <c r="F133" s="345">
        <v>11475445</v>
      </c>
      <c r="G133" s="346" t="s">
        <v>133</v>
      </c>
      <c r="H133" s="346" t="s">
        <v>31</v>
      </c>
      <c r="I133" s="63">
        <f t="shared" si="59"/>
        <v>123</v>
      </c>
      <c r="J133" s="292">
        <f t="shared" si="1"/>
        <v>0</v>
      </c>
      <c r="K133" s="292">
        <f t="shared" si="2"/>
        <v>0</v>
      </c>
      <c r="L133" s="292">
        <f t="shared" si="3"/>
        <v>0</v>
      </c>
      <c r="M133" s="292">
        <f t="shared" si="4"/>
        <v>11475445</v>
      </c>
      <c r="N133" s="292">
        <f t="shared" si="39"/>
        <v>0</v>
      </c>
      <c r="O133" s="292">
        <f t="shared" si="40"/>
        <v>0</v>
      </c>
      <c r="P133" s="292">
        <f t="shared" si="5"/>
        <v>0</v>
      </c>
      <c r="Q133" s="292">
        <f t="shared" si="6"/>
        <v>0</v>
      </c>
      <c r="R133" s="292">
        <f t="shared" si="53"/>
        <v>0</v>
      </c>
      <c r="S133" s="292">
        <f t="shared" si="54"/>
        <v>0</v>
      </c>
      <c r="T133" s="292">
        <f t="shared" si="7"/>
        <v>0</v>
      </c>
      <c r="U133" s="292">
        <f t="shared" si="8"/>
        <v>0</v>
      </c>
      <c r="V133" s="292">
        <f t="shared" si="55"/>
        <v>0</v>
      </c>
      <c r="W133" s="292">
        <f t="shared" si="56"/>
        <v>0</v>
      </c>
      <c r="X133" s="292">
        <f t="shared" si="57"/>
        <v>0</v>
      </c>
      <c r="Y133" s="292">
        <f t="shared" si="58"/>
        <v>0</v>
      </c>
      <c r="Z133" s="292">
        <f t="shared" si="47"/>
        <v>0</v>
      </c>
      <c r="AA133" s="292">
        <f t="shared" si="48"/>
        <v>0</v>
      </c>
      <c r="AB133" s="292">
        <f t="shared" si="9"/>
        <v>0</v>
      </c>
      <c r="AC133" s="292">
        <f t="shared" si="10"/>
        <v>0</v>
      </c>
      <c r="AD133" s="292">
        <f t="shared" si="11"/>
        <v>0</v>
      </c>
      <c r="AE133" s="292">
        <f t="shared" si="12"/>
        <v>0</v>
      </c>
      <c r="AF133" s="292">
        <f t="shared" si="13"/>
        <v>0</v>
      </c>
      <c r="AG133" s="292">
        <f t="shared" si="14"/>
        <v>0</v>
      </c>
      <c r="AH133" s="292">
        <f t="shared" si="15"/>
        <v>0</v>
      </c>
      <c r="AI133" s="292">
        <f t="shared" si="16"/>
        <v>0</v>
      </c>
      <c r="AJ133" s="292">
        <f t="shared" si="17"/>
        <v>0</v>
      </c>
      <c r="AK133" s="292">
        <f t="shared" si="18"/>
        <v>0</v>
      </c>
      <c r="AL133" s="292">
        <f t="shared" si="49"/>
        <v>0</v>
      </c>
      <c r="AM133" s="292">
        <f t="shared" si="50"/>
        <v>0</v>
      </c>
      <c r="AN133" s="292">
        <f t="shared" si="19"/>
        <v>0</v>
      </c>
      <c r="AO133" s="292">
        <f t="shared" si="20"/>
        <v>0</v>
      </c>
      <c r="AP133" s="292">
        <f t="shared" si="21"/>
        <v>0</v>
      </c>
      <c r="AQ133" s="292">
        <f t="shared" si="22"/>
        <v>0</v>
      </c>
      <c r="AR133" s="292">
        <f t="shared" si="23"/>
        <v>0</v>
      </c>
      <c r="AS133" s="292">
        <f t="shared" si="24"/>
        <v>0</v>
      </c>
      <c r="AT133" s="292">
        <f t="shared" si="25"/>
        <v>0</v>
      </c>
      <c r="AU133" s="292">
        <f t="shared" si="26"/>
        <v>0</v>
      </c>
      <c r="AV133" s="292">
        <f t="shared" si="27"/>
        <v>11475445</v>
      </c>
      <c r="AW133" s="292">
        <f t="shared" si="28"/>
        <v>0</v>
      </c>
      <c r="AX133" s="292">
        <f t="shared" si="29"/>
        <v>0</v>
      </c>
      <c r="AY133" s="292">
        <f t="shared" si="30"/>
        <v>0</v>
      </c>
      <c r="AZ133" s="292">
        <f t="shared" si="31"/>
        <v>0</v>
      </c>
      <c r="BA133" s="292">
        <f t="shared" si="32"/>
        <v>0</v>
      </c>
      <c r="BB133" s="292">
        <f t="shared" si="33"/>
        <v>0</v>
      </c>
      <c r="BC133" s="292">
        <f t="shared" si="34"/>
        <v>0</v>
      </c>
      <c r="BD133" s="292">
        <f t="shared" si="35"/>
        <v>0</v>
      </c>
      <c r="BE133" s="292">
        <f t="shared" si="36"/>
        <v>0</v>
      </c>
      <c r="BF133" s="292">
        <f t="shared" si="37"/>
        <v>0</v>
      </c>
      <c r="BG133" s="292">
        <f t="shared" si="38"/>
        <v>0</v>
      </c>
    </row>
    <row r="134" spans="1:59" s="289" customFormat="1" ht="15" customHeight="1">
      <c r="A134" s="63">
        <f t="array" ref="A134">IF(C134&lt;&gt;0,SUM(($C$11:C134&lt;&gt;0)*1),"")</f>
        <v>124</v>
      </c>
      <c r="B134" s="1099">
        <v>42424</v>
      </c>
      <c r="C134" s="290" t="s">
        <v>8</v>
      </c>
      <c r="D134" s="1099">
        <v>42424</v>
      </c>
      <c r="E134" s="344" t="s">
        <v>405</v>
      </c>
      <c r="F134" s="345">
        <v>12295119</v>
      </c>
      <c r="G134" s="346" t="s">
        <v>133</v>
      </c>
      <c r="H134" s="346" t="s">
        <v>31</v>
      </c>
      <c r="I134" s="63">
        <f t="shared" si="59"/>
        <v>124</v>
      </c>
      <c r="J134" s="292">
        <f t="shared" si="1"/>
        <v>0</v>
      </c>
      <c r="K134" s="292">
        <f t="shared" si="2"/>
        <v>0</v>
      </c>
      <c r="L134" s="292">
        <f t="shared" si="3"/>
        <v>0</v>
      </c>
      <c r="M134" s="292">
        <f t="shared" si="4"/>
        <v>12295119</v>
      </c>
      <c r="N134" s="292">
        <f t="shared" si="39"/>
        <v>0</v>
      </c>
      <c r="O134" s="292">
        <f t="shared" si="40"/>
        <v>0</v>
      </c>
      <c r="P134" s="292">
        <f t="shared" si="5"/>
        <v>0</v>
      </c>
      <c r="Q134" s="292">
        <f t="shared" si="6"/>
        <v>0</v>
      </c>
      <c r="R134" s="292">
        <f t="shared" si="53"/>
        <v>0</v>
      </c>
      <c r="S134" s="292">
        <f t="shared" si="54"/>
        <v>0</v>
      </c>
      <c r="T134" s="292">
        <f t="shared" si="7"/>
        <v>0</v>
      </c>
      <c r="U134" s="292">
        <f t="shared" si="8"/>
        <v>0</v>
      </c>
      <c r="V134" s="292">
        <f t="shared" si="55"/>
        <v>0</v>
      </c>
      <c r="W134" s="292">
        <f t="shared" si="56"/>
        <v>0</v>
      </c>
      <c r="X134" s="292">
        <f t="shared" si="57"/>
        <v>0</v>
      </c>
      <c r="Y134" s="292">
        <f t="shared" si="58"/>
        <v>0</v>
      </c>
      <c r="Z134" s="292">
        <f t="shared" si="47"/>
        <v>0</v>
      </c>
      <c r="AA134" s="292">
        <f t="shared" si="48"/>
        <v>0</v>
      </c>
      <c r="AB134" s="292">
        <f t="shared" si="9"/>
        <v>0</v>
      </c>
      <c r="AC134" s="292">
        <f t="shared" si="10"/>
        <v>0</v>
      </c>
      <c r="AD134" s="292">
        <f t="shared" si="11"/>
        <v>0</v>
      </c>
      <c r="AE134" s="292">
        <f t="shared" si="12"/>
        <v>0</v>
      </c>
      <c r="AF134" s="292">
        <f t="shared" si="13"/>
        <v>0</v>
      </c>
      <c r="AG134" s="292">
        <f t="shared" si="14"/>
        <v>0</v>
      </c>
      <c r="AH134" s="292">
        <f t="shared" si="15"/>
        <v>0</v>
      </c>
      <c r="AI134" s="292">
        <f t="shared" si="16"/>
        <v>0</v>
      </c>
      <c r="AJ134" s="292">
        <f t="shared" si="17"/>
        <v>0</v>
      </c>
      <c r="AK134" s="292">
        <f t="shared" si="18"/>
        <v>0</v>
      </c>
      <c r="AL134" s="292">
        <f t="shared" si="49"/>
        <v>0</v>
      </c>
      <c r="AM134" s="292">
        <f t="shared" si="50"/>
        <v>0</v>
      </c>
      <c r="AN134" s="292">
        <f t="shared" si="19"/>
        <v>0</v>
      </c>
      <c r="AO134" s="292">
        <f t="shared" si="20"/>
        <v>0</v>
      </c>
      <c r="AP134" s="292">
        <f t="shared" si="21"/>
        <v>0</v>
      </c>
      <c r="AQ134" s="292">
        <f t="shared" si="22"/>
        <v>0</v>
      </c>
      <c r="AR134" s="292">
        <f t="shared" si="23"/>
        <v>0</v>
      </c>
      <c r="AS134" s="292">
        <f t="shared" si="24"/>
        <v>0</v>
      </c>
      <c r="AT134" s="292">
        <f t="shared" si="25"/>
        <v>0</v>
      </c>
      <c r="AU134" s="292">
        <f t="shared" si="26"/>
        <v>0</v>
      </c>
      <c r="AV134" s="292">
        <f t="shared" si="27"/>
        <v>12295119</v>
      </c>
      <c r="AW134" s="292">
        <f t="shared" si="28"/>
        <v>0</v>
      </c>
      <c r="AX134" s="292">
        <f t="shared" si="29"/>
        <v>0</v>
      </c>
      <c r="AY134" s="292">
        <f t="shared" si="30"/>
        <v>0</v>
      </c>
      <c r="AZ134" s="292">
        <f t="shared" si="31"/>
        <v>0</v>
      </c>
      <c r="BA134" s="292">
        <f t="shared" si="32"/>
        <v>0</v>
      </c>
      <c r="BB134" s="292">
        <f t="shared" si="33"/>
        <v>0</v>
      </c>
      <c r="BC134" s="292">
        <f t="shared" si="34"/>
        <v>0</v>
      </c>
      <c r="BD134" s="292">
        <f t="shared" si="35"/>
        <v>0</v>
      </c>
      <c r="BE134" s="292">
        <f t="shared" si="36"/>
        <v>0</v>
      </c>
      <c r="BF134" s="292">
        <f t="shared" si="37"/>
        <v>0</v>
      </c>
      <c r="BG134" s="292">
        <f t="shared" si="38"/>
        <v>0</v>
      </c>
    </row>
    <row r="135" spans="1:59" s="289" customFormat="1" ht="15" customHeight="1">
      <c r="A135" s="63">
        <f t="array" ref="A135">IF(C135&lt;&gt;0,SUM(($C$11:C135&lt;&gt;0)*1),"")</f>
        <v>125</v>
      </c>
      <c r="B135" s="1099">
        <v>42424</v>
      </c>
      <c r="C135" s="290" t="s">
        <v>8</v>
      </c>
      <c r="D135" s="1099">
        <v>42424</v>
      </c>
      <c r="E135" s="344" t="s">
        <v>405</v>
      </c>
      <c r="F135" s="345">
        <v>12295119</v>
      </c>
      <c r="G135" s="346" t="s">
        <v>133</v>
      </c>
      <c r="H135" s="346" t="s">
        <v>31</v>
      </c>
      <c r="I135" s="63">
        <f t="shared" si="51"/>
        <v>125</v>
      </c>
      <c r="J135" s="292">
        <f t="shared" si="1"/>
        <v>0</v>
      </c>
      <c r="K135" s="292">
        <f t="shared" si="2"/>
        <v>0</v>
      </c>
      <c r="L135" s="292">
        <f t="shared" si="3"/>
        <v>0</v>
      </c>
      <c r="M135" s="292">
        <f t="shared" si="4"/>
        <v>12295119</v>
      </c>
      <c r="N135" s="292">
        <f t="shared" si="39"/>
        <v>0</v>
      </c>
      <c r="O135" s="292">
        <f t="shared" si="40"/>
        <v>0</v>
      </c>
      <c r="P135" s="292">
        <f t="shared" si="5"/>
        <v>0</v>
      </c>
      <c r="Q135" s="292">
        <f t="shared" si="6"/>
        <v>0</v>
      </c>
      <c r="R135" s="292">
        <f t="shared" si="53"/>
        <v>0</v>
      </c>
      <c r="S135" s="292">
        <f t="shared" si="54"/>
        <v>0</v>
      </c>
      <c r="T135" s="292">
        <f t="shared" si="7"/>
        <v>0</v>
      </c>
      <c r="U135" s="292">
        <f t="shared" si="8"/>
        <v>0</v>
      </c>
      <c r="V135" s="292">
        <f t="shared" si="55"/>
        <v>0</v>
      </c>
      <c r="W135" s="292">
        <f t="shared" si="56"/>
        <v>0</v>
      </c>
      <c r="X135" s="292">
        <f t="shared" si="57"/>
        <v>0</v>
      </c>
      <c r="Y135" s="292">
        <f t="shared" si="58"/>
        <v>0</v>
      </c>
      <c r="Z135" s="292">
        <f t="shared" si="47"/>
        <v>0</v>
      </c>
      <c r="AA135" s="292">
        <f t="shared" si="48"/>
        <v>0</v>
      </c>
      <c r="AB135" s="292">
        <f t="shared" si="9"/>
        <v>0</v>
      </c>
      <c r="AC135" s="292">
        <f t="shared" si="10"/>
        <v>0</v>
      </c>
      <c r="AD135" s="292">
        <f t="shared" si="11"/>
        <v>0</v>
      </c>
      <c r="AE135" s="292">
        <f t="shared" si="12"/>
        <v>0</v>
      </c>
      <c r="AF135" s="292">
        <f t="shared" si="13"/>
        <v>0</v>
      </c>
      <c r="AG135" s="292">
        <f t="shared" si="14"/>
        <v>0</v>
      </c>
      <c r="AH135" s="292">
        <f t="shared" si="15"/>
        <v>0</v>
      </c>
      <c r="AI135" s="292">
        <f t="shared" si="16"/>
        <v>0</v>
      </c>
      <c r="AJ135" s="292">
        <f t="shared" si="17"/>
        <v>0</v>
      </c>
      <c r="AK135" s="292">
        <f t="shared" si="18"/>
        <v>0</v>
      </c>
      <c r="AL135" s="292">
        <f t="shared" si="49"/>
        <v>0</v>
      </c>
      <c r="AM135" s="292">
        <f t="shared" si="50"/>
        <v>0</v>
      </c>
      <c r="AN135" s="292">
        <f t="shared" si="19"/>
        <v>0</v>
      </c>
      <c r="AO135" s="292">
        <f t="shared" si="20"/>
        <v>0</v>
      </c>
      <c r="AP135" s="292">
        <f t="shared" si="21"/>
        <v>0</v>
      </c>
      <c r="AQ135" s="292">
        <f t="shared" si="22"/>
        <v>0</v>
      </c>
      <c r="AR135" s="292">
        <f t="shared" si="23"/>
        <v>0</v>
      </c>
      <c r="AS135" s="292">
        <f t="shared" si="24"/>
        <v>0</v>
      </c>
      <c r="AT135" s="292">
        <f t="shared" si="25"/>
        <v>0</v>
      </c>
      <c r="AU135" s="292">
        <f t="shared" si="26"/>
        <v>0</v>
      </c>
      <c r="AV135" s="292">
        <f t="shared" si="27"/>
        <v>12295119</v>
      </c>
      <c r="AW135" s="292">
        <f t="shared" si="28"/>
        <v>0</v>
      </c>
      <c r="AX135" s="292">
        <f t="shared" si="29"/>
        <v>0</v>
      </c>
      <c r="AY135" s="292">
        <f t="shared" si="30"/>
        <v>0</v>
      </c>
      <c r="AZ135" s="292">
        <f t="shared" si="31"/>
        <v>0</v>
      </c>
      <c r="BA135" s="292">
        <f t="shared" si="32"/>
        <v>0</v>
      </c>
      <c r="BB135" s="292">
        <f t="shared" si="33"/>
        <v>0</v>
      </c>
      <c r="BC135" s="292">
        <f t="shared" si="34"/>
        <v>0</v>
      </c>
      <c r="BD135" s="292">
        <f t="shared" si="35"/>
        <v>0</v>
      </c>
      <c r="BE135" s="292">
        <f t="shared" si="36"/>
        <v>0</v>
      </c>
      <c r="BF135" s="292">
        <f t="shared" si="37"/>
        <v>0</v>
      </c>
      <c r="BG135" s="292">
        <f t="shared" si="38"/>
        <v>0</v>
      </c>
    </row>
    <row r="136" spans="1:59" s="289" customFormat="1" ht="15" customHeight="1">
      <c r="A136" s="63">
        <f t="array" ref="A136">IF(C136&lt;&gt;0,SUM(($C$11:C136&lt;&gt;0)*1),"")</f>
        <v>126</v>
      </c>
      <c r="B136" s="1099">
        <v>42424</v>
      </c>
      <c r="C136" s="290" t="s">
        <v>8</v>
      </c>
      <c r="D136" s="1099">
        <v>42424</v>
      </c>
      <c r="E136" s="344" t="s">
        <v>405</v>
      </c>
      <c r="F136" s="345">
        <v>12295119</v>
      </c>
      <c r="G136" s="346" t="s">
        <v>133</v>
      </c>
      <c r="H136" s="346" t="s">
        <v>31</v>
      </c>
      <c r="I136" s="63">
        <f t="shared" si="51"/>
        <v>126</v>
      </c>
      <c r="J136" s="292">
        <f t="shared" si="1"/>
        <v>0</v>
      </c>
      <c r="K136" s="292">
        <f t="shared" si="2"/>
        <v>0</v>
      </c>
      <c r="L136" s="292">
        <f t="shared" si="3"/>
        <v>0</v>
      </c>
      <c r="M136" s="292">
        <f t="shared" si="4"/>
        <v>12295119</v>
      </c>
      <c r="N136" s="292">
        <f t="shared" si="39"/>
        <v>0</v>
      </c>
      <c r="O136" s="292">
        <f t="shared" si="40"/>
        <v>0</v>
      </c>
      <c r="P136" s="292">
        <f t="shared" si="5"/>
        <v>0</v>
      </c>
      <c r="Q136" s="292">
        <f t="shared" si="6"/>
        <v>0</v>
      </c>
      <c r="R136" s="292">
        <f t="shared" si="53"/>
        <v>0</v>
      </c>
      <c r="S136" s="292">
        <f t="shared" si="54"/>
        <v>0</v>
      </c>
      <c r="T136" s="292">
        <f t="shared" si="7"/>
        <v>0</v>
      </c>
      <c r="U136" s="292">
        <f t="shared" si="8"/>
        <v>0</v>
      </c>
      <c r="V136" s="292">
        <f t="shared" si="55"/>
        <v>0</v>
      </c>
      <c r="W136" s="292">
        <f t="shared" si="56"/>
        <v>0</v>
      </c>
      <c r="X136" s="292">
        <f t="shared" si="57"/>
        <v>0</v>
      </c>
      <c r="Y136" s="292">
        <f t="shared" si="58"/>
        <v>0</v>
      </c>
      <c r="Z136" s="292">
        <f t="shared" si="47"/>
        <v>0</v>
      </c>
      <c r="AA136" s="292">
        <f t="shared" si="48"/>
        <v>0</v>
      </c>
      <c r="AB136" s="292">
        <f t="shared" si="9"/>
        <v>0</v>
      </c>
      <c r="AC136" s="292">
        <f t="shared" si="10"/>
        <v>0</v>
      </c>
      <c r="AD136" s="292">
        <f t="shared" si="11"/>
        <v>0</v>
      </c>
      <c r="AE136" s="292">
        <f t="shared" si="12"/>
        <v>0</v>
      </c>
      <c r="AF136" s="292">
        <f t="shared" si="13"/>
        <v>0</v>
      </c>
      <c r="AG136" s="292">
        <f t="shared" si="14"/>
        <v>0</v>
      </c>
      <c r="AH136" s="292">
        <f t="shared" si="15"/>
        <v>0</v>
      </c>
      <c r="AI136" s="292">
        <f t="shared" si="16"/>
        <v>0</v>
      </c>
      <c r="AJ136" s="292">
        <f t="shared" si="17"/>
        <v>0</v>
      </c>
      <c r="AK136" s="292">
        <f t="shared" si="18"/>
        <v>0</v>
      </c>
      <c r="AL136" s="292">
        <f t="shared" si="49"/>
        <v>0</v>
      </c>
      <c r="AM136" s="292">
        <f t="shared" si="50"/>
        <v>0</v>
      </c>
      <c r="AN136" s="292">
        <f t="shared" si="19"/>
        <v>0</v>
      </c>
      <c r="AO136" s="292">
        <f t="shared" si="20"/>
        <v>0</v>
      </c>
      <c r="AP136" s="292">
        <f t="shared" si="21"/>
        <v>0</v>
      </c>
      <c r="AQ136" s="292">
        <f t="shared" si="22"/>
        <v>0</v>
      </c>
      <c r="AR136" s="292">
        <f t="shared" si="23"/>
        <v>0</v>
      </c>
      <c r="AS136" s="292">
        <f t="shared" si="24"/>
        <v>0</v>
      </c>
      <c r="AT136" s="292">
        <f t="shared" si="25"/>
        <v>0</v>
      </c>
      <c r="AU136" s="292">
        <f t="shared" si="26"/>
        <v>0</v>
      </c>
      <c r="AV136" s="292">
        <f t="shared" si="27"/>
        <v>12295119</v>
      </c>
      <c r="AW136" s="292">
        <f t="shared" si="28"/>
        <v>0</v>
      </c>
      <c r="AX136" s="292">
        <f t="shared" si="29"/>
        <v>0</v>
      </c>
      <c r="AY136" s="292">
        <f t="shared" si="30"/>
        <v>0</v>
      </c>
      <c r="AZ136" s="292">
        <f t="shared" si="31"/>
        <v>0</v>
      </c>
      <c r="BA136" s="292">
        <f t="shared" si="32"/>
        <v>0</v>
      </c>
      <c r="BB136" s="292">
        <f t="shared" si="33"/>
        <v>0</v>
      </c>
      <c r="BC136" s="292">
        <f t="shared" si="34"/>
        <v>0</v>
      </c>
      <c r="BD136" s="292">
        <f t="shared" si="35"/>
        <v>0</v>
      </c>
      <c r="BE136" s="292">
        <f t="shared" si="36"/>
        <v>0</v>
      </c>
      <c r="BF136" s="292">
        <f t="shared" si="37"/>
        <v>0</v>
      </c>
      <c r="BG136" s="292">
        <f t="shared" si="38"/>
        <v>0</v>
      </c>
    </row>
    <row r="137" spans="1:59" s="289" customFormat="1" ht="15" customHeight="1">
      <c r="A137" s="63">
        <f t="array" ref="A137">IF(C137&lt;&gt;0,SUM(($C$11:C137&lt;&gt;0)*1),"")</f>
        <v>127</v>
      </c>
      <c r="B137" s="1099">
        <v>42424</v>
      </c>
      <c r="C137" s="290" t="s">
        <v>8</v>
      </c>
      <c r="D137" s="1099">
        <v>42424</v>
      </c>
      <c r="E137" s="344" t="s">
        <v>405</v>
      </c>
      <c r="F137" s="345">
        <v>12295119</v>
      </c>
      <c r="G137" s="346" t="s">
        <v>133</v>
      </c>
      <c r="H137" s="346" t="s">
        <v>31</v>
      </c>
      <c r="I137" s="63">
        <f t="shared" si="51"/>
        <v>127</v>
      </c>
      <c r="J137" s="292">
        <f t="shared" si="1"/>
        <v>0</v>
      </c>
      <c r="K137" s="292">
        <f t="shared" si="2"/>
        <v>0</v>
      </c>
      <c r="L137" s="292">
        <f t="shared" si="3"/>
        <v>0</v>
      </c>
      <c r="M137" s="292">
        <f t="shared" si="4"/>
        <v>12295119</v>
      </c>
      <c r="N137" s="292">
        <f t="shared" si="39"/>
        <v>0</v>
      </c>
      <c r="O137" s="292">
        <f t="shared" si="40"/>
        <v>0</v>
      </c>
      <c r="P137" s="292">
        <f t="shared" si="5"/>
        <v>0</v>
      </c>
      <c r="Q137" s="292">
        <f t="shared" si="6"/>
        <v>0</v>
      </c>
      <c r="R137" s="292">
        <f t="shared" si="53"/>
        <v>0</v>
      </c>
      <c r="S137" s="292">
        <f t="shared" si="54"/>
        <v>0</v>
      </c>
      <c r="T137" s="292">
        <f t="shared" si="7"/>
        <v>0</v>
      </c>
      <c r="U137" s="292">
        <f t="shared" si="8"/>
        <v>0</v>
      </c>
      <c r="V137" s="292">
        <f t="shared" si="55"/>
        <v>0</v>
      </c>
      <c r="W137" s="292">
        <f t="shared" si="56"/>
        <v>0</v>
      </c>
      <c r="X137" s="292">
        <f t="shared" si="57"/>
        <v>0</v>
      </c>
      <c r="Y137" s="292">
        <f t="shared" si="58"/>
        <v>0</v>
      </c>
      <c r="Z137" s="292">
        <f t="shared" si="47"/>
        <v>0</v>
      </c>
      <c r="AA137" s="292">
        <f t="shared" si="48"/>
        <v>0</v>
      </c>
      <c r="AB137" s="292">
        <f t="shared" si="9"/>
        <v>0</v>
      </c>
      <c r="AC137" s="292">
        <f t="shared" si="10"/>
        <v>0</v>
      </c>
      <c r="AD137" s="292">
        <f t="shared" si="11"/>
        <v>0</v>
      </c>
      <c r="AE137" s="292">
        <f t="shared" si="12"/>
        <v>0</v>
      </c>
      <c r="AF137" s="292">
        <f t="shared" si="13"/>
        <v>0</v>
      </c>
      <c r="AG137" s="292">
        <f t="shared" si="14"/>
        <v>0</v>
      </c>
      <c r="AH137" s="292">
        <f t="shared" si="15"/>
        <v>0</v>
      </c>
      <c r="AI137" s="292">
        <f t="shared" si="16"/>
        <v>0</v>
      </c>
      <c r="AJ137" s="292">
        <f t="shared" si="17"/>
        <v>0</v>
      </c>
      <c r="AK137" s="292">
        <f t="shared" si="18"/>
        <v>0</v>
      </c>
      <c r="AL137" s="292">
        <f t="shared" si="49"/>
        <v>0</v>
      </c>
      <c r="AM137" s="292">
        <f t="shared" si="50"/>
        <v>0</v>
      </c>
      <c r="AN137" s="292">
        <f t="shared" si="19"/>
        <v>0</v>
      </c>
      <c r="AO137" s="292">
        <f t="shared" si="20"/>
        <v>0</v>
      </c>
      <c r="AP137" s="292">
        <f t="shared" si="21"/>
        <v>0</v>
      </c>
      <c r="AQ137" s="292">
        <f t="shared" si="22"/>
        <v>0</v>
      </c>
      <c r="AR137" s="292">
        <f t="shared" si="23"/>
        <v>0</v>
      </c>
      <c r="AS137" s="292">
        <f t="shared" si="24"/>
        <v>0</v>
      </c>
      <c r="AT137" s="292">
        <f t="shared" si="25"/>
        <v>0</v>
      </c>
      <c r="AU137" s="292">
        <f t="shared" si="26"/>
        <v>0</v>
      </c>
      <c r="AV137" s="292">
        <f t="shared" si="27"/>
        <v>12295119</v>
      </c>
      <c r="AW137" s="292">
        <f t="shared" si="28"/>
        <v>0</v>
      </c>
      <c r="AX137" s="292">
        <f t="shared" si="29"/>
        <v>0</v>
      </c>
      <c r="AY137" s="292">
        <f t="shared" si="30"/>
        <v>0</v>
      </c>
      <c r="AZ137" s="292">
        <f t="shared" si="31"/>
        <v>0</v>
      </c>
      <c r="BA137" s="292">
        <f t="shared" si="32"/>
        <v>0</v>
      </c>
      <c r="BB137" s="292">
        <f t="shared" si="33"/>
        <v>0</v>
      </c>
      <c r="BC137" s="292">
        <f t="shared" si="34"/>
        <v>0</v>
      </c>
      <c r="BD137" s="292">
        <f t="shared" si="35"/>
        <v>0</v>
      </c>
      <c r="BE137" s="292">
        <f t="shared" si="36"/>
        <v>0</v>
      </c>
      <c r="BF137" s="292">
        <f t="shared" si="37"/>
        <v>0</v>
      </c>
      <c r="BG137" s="292">
        <f t="shared" si="38"/>
        <v>0</v>
      </c>
    </row>
    <row r="138" spans="1:59" s="289" customFormat="1" ht="15" customHeight="1">
      <c r="A138" s="63">
        <f t="array" ref="A138">IF(C138&lt;&gt;0,SUM(($C$11:C138&lt;&gt;0)*1),"")</f>
        <v>128</v>
      </c>
      <c r="B138" s="1099">
        <v>42424</v>
      </c>
      <c r="C138" s="290" t="s">
        <v>8</v>
      </c>
      <c r="D138" s="1099">
        <v>42424</v>
      </c>
      <c r="E138" s="344" t="s">
        <v>405</v>
      </c>
      <c r="F138" s="345">
        <v>8196747</v>
      </c>
      <c r="G138" s="346" t="s">
        <v>133</v>
      </c>
      <c r="H138" s="346" t="s">
        <v>31</v>
      </c>
      <c r="I138" s="63">
        <f t="shared" si="51"/>
        <v>128</v>
      </c>
      <c r="J138" s="292">
        <f t="shared" si="1"/>
        <v>0</v>
      </c>
      <c r="K138" s="292">
        <f t="shared" si="2"/>
        <v>0</v>
      </c>
      <c r="L138" s="292">
        <f t="shared" si="3"/>
        <v>0</v>
      </c>
      <c r="M138" s="292">
        <f t="shared" si="4"/>
        <v>8196747</v>
      </c>
      <c r="N138" s="292">
        <f t="shared" si="39"/>
        <v>0</v>
      </c>
      <c r="O138" s="292">
        <f t="shared" si="40"/>
        <v>0</v>
      </c>
      <c r="P138" s="292">
        <f t="shared" si="5"/>
        <v>0</v>
      </c>
      <c r="Q138" s="292">
        <f t="shared" si="6"/>
        <v>0</v>
      </c>
      <c r="R138" s="292">
        <f t="shared" si="53"/>
        <v>0</v>
      </c>
      <c r="S138" s="292">
        <f t="shared" si="54"/>
        <v>0</v>
      </c>
      <c r="T138" s="292">
        <f t="shared" si="7"/>
        <v>0</v>
      </c>
      <c r="U138" s="292">
        <f t="shared" si="8"/>
        <v>0</v>
      </c>
      <c r="V138" s="292">
        <f t="shared" si="55"/>
        <v>0</v>
      </c>
      <c r="W138" s="292">
        <f t="shared" si="56"/>
        <v>0</v>
      </c>
      <c r="X138" s="292">
        <f t="shared" si="57"/>
        <v>0</v>
      </c>
      <c r="Y138" s="292">
        <f t="shared" si="58"/>
        <v>0</v>
      </c>
      <c r="Z138" s="292">
        <f t="shared" si="47"/>
        <v>0</v>
      </c>
      <c r="AA138" s="292">
        <f t="shared" si="48"/>
        <v>0</v>
      </c>
      <c r="AB138" s="292">
        <f t="shared" si="9"/>
        <v>0</v>
      </c>
      <c r="AC138" s="292">
        <f t="shared" si="10"/>
        <v>0</v>
      </c>
      <c r="AD138" s="292">
        <f t="shared" si="11"/>
        <v>0</v>
      </c>
      <c r="AE138" s="292">
        <f t="shared" si="12"/>
        <v>0</v>
      </c>
      <c r="AF138" s="292">
        <f t="shared" si="13"/>
        <v>0</v>
      </c>
      <c r="AG138" s="292">
        <f t="shared" si="14"/>
        <v>0</v>
      </c>
      <c r="AH138" s="292">
        <f t="shared" si="15"/>
        <v>0</v>
      </c>
      <c r="AI138" s="292">
        <f t="shared" si="16"/>
        <v>0</v>
      </c>
      <c r="AJ138" s="292">
        <f t="shared" si="17"/>
        <v>0</v>
      </c>
      <c r="AK138" s="292">
        <f t="shared" si="18"/>
        <v>0</v>
      </c>
      <c r="AL138" s="292">
        <f t="shared" si="49"/>
        <v>0</v>
      </c>
      <c r="AM138" s="292">
        <f t="shared" si="50"/>
        <v>0</v>
      </c>
      <c r="AN138" s="292">
        <f t="shared" si="19"/>
        <v>0</v>
      </c>
      <c r="AO138" s="292">
        <f t="shared" si="20"/>
        <v>0</v>
      </c>
      <c r="AP138" s="292">
        <f t="shared" si="21"/>
        <v>0</v>
      </c>
      <c r="AQ138" s="292">
        <f t="shared" si="22"/>
        <v>0</v>
      </c>
      <c r="AR138" s="292">
        <f t="shared" si="23"/>
        <v>0</v>
      </c>
      <c r="AS138" s="292">
        <f t="shared" si="24"/>
        <v>0</v>
      </c>
      <c r="AT138" s="292">
        <f t="shared" si="25"/>
        <v>0</v>
      </c>
      <c r="AU138" s="292">
        <f t="shared" si="26"/>
        <v>0</v>
      </c>
      <c r="AV138" s="292">
        <f t="shared" si="27"/>
        <v>8196747</v>
      </c>
      <c r="AW138" s="292">
        <f t="shared" si="28"/>
        <v>0</v>
      </c>
      <c r="AX138" s="292">
        <f t="shared" si="29"/>
        <v>0</v>
      </c>
      <c r="AY138" s="292">
        <f t="shared" si="30"/>
        <v>0</v>
      </c>
      <c r="AZ138" s="292">
        <f t="shared" si="31"/>
        <v>0</v>
      </c>
      <c r="BA138" s="292">
        <f t="shared" si="32"/>
        <v>0</v>
      </c>
      <c r="BB138" s="292">
        <f t="shared" si="33"/>
        <v>0</v>
      </c>
      <c r="BC138" s="292">
        <f t="shared" si="34"/>
        <v>0</v>
      </c>
      <c r="BD138" s="292">
        <f t="shared" si="35"/>
        <v>0</v>
      </c>
      <c r="BE138" s="292">
        <f t="shared" si="36"/>
        <v>0</v>
      </c>
      <c r="BF138" s="292">
        <f t="shared" si="37"/>
        <v>0</v>
      </c>
      <c r="BG138" s="292">
        <f t="shared" si="38"/>
        <v>0</v>
      </c>
    </row>
    <row r="139" spans="1:59" s="289" customFormat="1" ht="15" customHeight="1">
      <c r="A139" s="63">
        <f t="array" ref="A139">IF(C139&lt;&gt;0,SUM(($C$11:C139&lt;&gt;0)*1),"")</f>
        <v>129</v>
      </c>
      <c r="B139" s="1099">
        <v>42425</v>
      </c>
      <c r="C139" s="290" t="s">
        <v>196</v>
      </c>
      <c r="D139" s="1099">
        <v>42425</v>
      </c>
      <c r="E139" s="344" t="s">
        <v>437</v>
      </c>
      <c r="F139" s="345">
        <v>5000000</v>
      </c>
      <c r="G139" s="346" t="s">
        <v>24</v>
      </c>
      <c r="H139" s="346" t="s">
        <v>97</v>
      </c>
      <c r="I139" s="63">
        <f t="shared" si="51"/>
        <v>129</v>
      </c>
      <c r="J139" s="292">
        <f t="shared" si="1"/>
        <v>0</v>
      </c>
      <c r="K139" s="292">
        <f t="shared" si="2"/>
        <v>5000000</v>
      </c>
      <c r="L139" s="292">
        <f t="shared" si="3"/>
        <v>0</v>
      </c>
      <c r="M139" s="292">
        <f t="shared" si="4"/>
        <v>0</v>
      </c>
      <c r="N139" s="292">
        <f t="shared" si="39"/>
        <v>0</v>
      </c>
      <c r="O139" s="292">
        <f t="shared" si="40"/>
        <v>0</v>
      </c>
      <c r="P139" s="292">
        <f t="shared" si="5"/>
        <v>0</v>
      </c>
      <c r="Q139" s="292">
        <f t="shared" si="6"/>
        <v>0</v>
      </c>
      <c r="R139" s="292">
        <f t="shared" si="53"/>
        <v>0</v>
      </c>
      <c r="S139" s="292">
        <f t="shared" si="54"/>
        <v>0</v>
      </c>
      <c r="T139" s="292">
        <f t="shared" si="7"/>
        <v>0</v>
      </c>
      <c r="U139" s="292">
        <f t="shared" si="8"/>
        <v>0</v>
      </c>
      <c r="V139" s="292">
        <f t="shared" si="55"/>
        <v>0</v>
      </c>
      <c r="W139" s="292">
        <f t="shared" si="56"/>
        <v>0</v>
      </c>
      <c r="X139" s="292">
        <f t="shared" si="57"/>
        <v>0</v>
      </c>
      <c r="Y139" s="292">
        <f t="shared" si="58"/>
        <v>0</v>
      </c>
      <c r="Z139" s="292">
        <f t="shared" si="47"/>
        <v>0</v>
      </c>
      <c r="AA139" s="292">
        <f t="shared" si="48"/>
        <v>0</v>
      </c>
      <c r="AB139" s="292">
        <f t="shared" si="9"/>
        <v>0</v>
      </c>
      <c r="AC139" s="292">
        <f t="shared" si="10"/>
        <v>0</v>
      </c>
      <c r="AD139" s="292">
        <f t="shared" si="11"/>
        <v>0</v>
      </c>
      <c r="AE139" s="292">
        <f t="shared" si="12"/>
        <v>0</v>
      </c>
      <c r="AF139" s="292">
        <f t="shared" si="13"/>
        <v>0</v>
      </c>
      <c r="AG139" s="292">
        <f t="shared" si="14"/>
        <v>0</v>
      </c>
      <c r="AH139" s="292">
        <f t="shared" si="15"/>
        <v>5000000</v>
      </c>
      <c r="AI139" s="292">
        <f t="shared" si="16"/>
        <v>0</v>
      </c>
      <c r="AJ139" s="292">
        <f t="shared" si="17"/>
        <v>0</v>
      </c>
      <c r="AK139" s="292">
        <f t="shared" si="18"/>
        <v>0</v>
      </c>
      <c r="AL139" s="292">
        <f t="shared" si="49"/>
        <v>0</v>
      </c>
      <c r="AM139" s="292">
        <f t="shared" si="50"/>
        <v>0</v>
      </c>
      <c r="AN139" s="292">
        <f t="shared" si="19"/>
        <v>0</v>
      </c>
      <c r="AO139" s="292">
        <f t="shared" si="20"/>
        <v>0</v>
      </c>
      <c r="AP139" s="292">
        <f t="shared" si="21"/>
        <v>0</v>
      </c>
      <c r="AQ139" s="292">
        <f t="shared" si="22"/>
        <v>0</v>
      </c>
      <c r="AR139" s="292">
        <f t="shared" si="23"/>
        <v>0</v>
      </c>
      <c r="AS139" s="292">
        <f t="shared" si="24"/>
        <v>0</v>
      </c>
      <c r="AT139" s="292">
        <f t="shared" si="25"/>
        <v>0</v>
      </c>
      <c r="AU139" s="292">
        <f t="shared" si="26"/>
        <v>0</v>
      </c>
      <c r="AV139" s="292">
        <f t="shared" si="27"/>
        <v>0</v>
      </c>
      <c r="AW139" s="292">
        <f t="shared" si="28"/>
        <v>0</v>
      </c>
      <c r="AX139" s="292">
        <f t="shared" si="29"/>
        <v>0</v>
      </c>
      <c r="AY139" s="292">
        <f t="shared" si="30"/>
        <v>0</v>
      </c>
      <c r="AZ139" s="292">
        <f t="shared" si="31"/>
        <v>0</v>
      </c>
      <c r="BA139" s="292">
        <f t="shared" si="32"/>
        <v>0</v>
      </c>
      <c r="BB139" s="292">
        <f t="shared" si="33"/>
        <v>0</v>
      </c>
      <c r="BC139" s="292">
        <f t="shared" si="34"/>
        <v>0</v>
      </c>
      <c r="BD139" s="292">
        <f t="shared" si="35"/>
        <v>0</v>
      </c>
      <c r="BE139" s="292">
        <f t="shared" si="36"/>
        <v>0</v>
      </c>
      <c r="BF139" s="292">
        <f t="shared" si="37"/>
        <v>0</v>
      </c>
      <c r="BG139" s="292">
        <f t="shared" si="38"/>
        <v>0</v>
      </c>
    </row>
    <row r="140" spans="1:59" s="289" customFormat="1" ht="15" customHeight="1">
      <c r="A140" s="63">
        <f t="array" ref="A140">IF(C140&lt;&gt;0,SUM(($C$11:C140&lt;&gt;0)*1),"")</f>
        <v>130</v>
      </c>
      <c r="B140" s="1099">
        <v>42425</v>
      </c>
      <c r="C140" s="290" t="s">
        <v>197</v>
      </c>
      <c r="D140" s="1099">
        <v>42425</v>
      </c>
      <c r="E140" s="344" t="s">
        <v>438</v>
      </c>
      <c r="F140" s="345">
        <v>4324364</v>
      </c>
      <c r="G140" s="346" t="s">
        <v>135</v>
      </c>
      <c r="H140" s="346" t="s">
        <v>97</v>
      </c>
      <c r="I140" s="63">
        <f t="shared" si="51"/>
        <v>130</v>
      </c>
      <c r="J140" s="292">
        <f t="shared" si="1"/>
        <v>0</v>
      </c>
      <c r="K140" s="292">
        <f t="shared" si="2"/>
        <v>4324364</v>
      </c>
      <c r="L140" s="292">
        <f t="shared" si="3"/>
        <v>0</v>
      </c>
      <c r="M140" s="292">
        <f t="shared" si="4"/>
        <v>0</v>
      </c>
      <c r="N140" s="292">
        <f t="shared" si="39"/>
        <v>0</v>
      </c>
      <c r="O140" s="292">
        <f t="shared" si="40"/>
        <v>0</v>
      </c>
      <c r="P140" s="292">
        <f t="shared" si="5"/>
        <v>0</v>
      </c>
      <c r="Q140" s="292">
        <f t="shared" si="6"/>
        <v>0</v>
      </c>
      <c r="R140" s="292">
        <f t="shared" ref="R140:R203" si="60">IF($G140="1332",$F140,0)</f>
        <v>0</v>
      </c>
      <c r="S140" s="292">
        <f t="shared" ref="S140:S203" si="61">IF($H140="1332",$F140,0)</f>
        <v>0</v>
      </c>
      <c r="T140" s="292">
        <f t="shared" si="7"/>
        <v>0</v>
      </c>
      <c r="U140" s="292">
        <f t="shared" si="8"/>
        <v>0</v>
      </c>
      <c r="V140" s="292">
        <f t="shared" ref="V140:V203" si="62">IF($G140="1522",$F140,0)</f>
        <v>0</v>
      </c>
      <c r="W140" s="292">
        <f t="shared" ref="W140:W203" si="63">IF($H140="1522",$F140,0)</f>
        <v>0</v>
      </c>
      <c r="X140" s="292">
        <f t="shared" ref="X140:X203" si="64">IF($G140="154",$F140,0)</f>
        <v>0</v>
      </c>
      <c r="Y140" s="292">
        <f t="shared" ref="Y140:Y203" si="65">IF($H140="154",$F140,0)</f>
        <v>0</v>
      </c>
      <c r="Z140" s="292">
        <f t="shared" si="47"/>
        <v>0</v>
      </c>
      <c r="AA140" s="292">
        <f t="shared" si="48"/>
        <v>0</v>
      </c>
      <c r="AB140" s="292">
        <f t="shared" si="9"/>
        <v>0</v>
      </c>
      <c r="AC140" s="292">
        <f t="shared" si="10"/>
        <v>0</v>
      </c>
      <c r="AD140" s="292">
        <f t="shared" si="11"/>
        <v>0</v>
      </c>
      <c r="AE140" s="292">
        <f t="shared" si="12"/>
        <v>0</v>
      </c>
      <c r="AF140" s="292">
        <f t="shared" si="13"/>
        <v>0</v>
      </c>
      <c r="AG140" s="292">
        <f t="shared" si="14"/>
        <v>0</v>
      </c>
      <c r="AH140" s="292">
        <f t="shared" si="15"/>
        <v>0</v>
      </c>
      <c r="AI140" s="292">
        <f t="shared" si="16"/>
        <v>0</v>
      </c>
      <c r="AJ140" s="292">
        <f t="shared" si="17"/>
        <v>0</v>
      </c>
      <c r="AK140" s="292">
        <f t="shared" si="18"/>
        <v>0</v>
      </c>
      <c r="AL140" s="292">
        <f t="shared" si="49"/>
        <v>0</v>
      </c>
      <c r="AM140" s="292">
        <f t="shared" si="50"/>
        <v>0</v>
      </c>
      <c r="AN140" s="292">
        <f t="shared" si="19"/>
        <v>0</v>
      </c>
      <c r="AO140" s="292">
        <f t="shared" si="20"/>
        <v>0</v>
      </c>
      <c r="AP140" s="292">
        <f t="shared" si="21"/>
        <v>0</v>
      </c>
      <c r="AQ140" s="292">
        <f t="shared" si="22"/>
        <v>0</v>
      </c>
      <c r="AR140" s="292">
        <f t="shared" si="23"/>
        <v>0</v>
      </c>
      <c r="AS140" s="292">
        <f t="shared" si="24"/>
        <v>0</v>
      </c>
      <c r="AT140" s="292">
        <f t="shared" si="25"/>
        <v>0</v>
      </c>
      <c r="AU140" s="292">
        <f t="shared" si="26"/>
        <v>0</v>
      </c>
      <c r="AV140" s="292">
        <f t="shared" si="27"/>
        <v>0</v>
      </c>
      <c r="AW140" s="292">
        <f t="shared" si="28"/>
        <v>0</v>
      </c>
      <c r="AX140" s="292">
        <f t="shared" si="29"/>
        <v>4324364</v>
      </c>
      <c r="AY140" s="292">
        <f t="shared" si="30"/>
        <v>0</v>
      </c>
      <c r="AZ140" s="292">
        <f t="shared" si="31"/>
        <v>0</v>
      </c>
      <c r="BA140" s="292">
        <f t="shared" si="32"/>
        <v>0</v>
      </c>
      <c r="BB140" s="292">
        <f t="shared" si="33"/>
        <v>0</v>
      </c>
      <c r="BC140" s="292">
        <f t="shared" si="34"/>
        <v>0</v>
      </c>
      <c r="BD140" s="292">
        <f t="shared" si="35"/>
        <v>0</v>
      </c>
      <c r="BE140" s="292">
        <f t="shared" si="36"/>
        <v>0</v>
      </c>
      <c r="BF140" s="292">
        <f t="shared" si="37"/>
        <v>0</v>
      </c>
      <c r="BG140" s="292">
        <f t="shared" si="38"/>
        <v>0</v>
      </c>
    </row>
    <row r="141" spans="1:59" s="289" customFormat="1" ht="15" customHeight="1">
      <c r="A141" s="63">
        <f t="array" ref="A141">IF(C141&lt;&gt;0,SUM(($C$11:C141&lt;&gt;0)*1),"")</f>
        <v>131</v>
      </c>
      <c r="B141" s="1099">
        <v>42425</v>
      </c>
      <c r="C141" s="290" t="s">
        <v>197</v>
      </c>
      <c r="D141" s="1099">
        <v>42425</v>
      </c>
      <c r="E141" s="344" t="s">
        <v>982</v>
      </c>
      <c r="F141" s="345">
        <v>432436</v>
      </c>
      <c r="G141" s="346" t="s">
        <v>10</v>
      </c>
      <c r="H141" s="346" t="s">
        <v>97</v>
      </c>
      <c r="I141" s="63">
        <f t="shared" ref="I141:I204" si="66">A141</f>
        <v>131</v>
      </c>
      <c r="J141" s="292">
        <f t="shared" si="1"/>
        <v>0</v>
      </c>
      <c r="K141" s="292">
        <f t="shared" si="2"/>
        <v>432436</v>
      </c>
      <c r="L141" s="292">
        <f t="shared" si="3"/>
        <v>0</v>
      </c>
      <c r="M141" s="292">
        <f t="shared" si="4"/>
        <v>0</v>
      </c>
      <c r="N141" s="292">
        <f t="shared" si="39"/>
        <v>0</v>
      </c>
      <c r="O141" s="292">
        <f t="shared" si="40"/>
        <v>0</v>
      </c>
      <c r="P141" s="292">
        <f t="shared" si="5"/>
        <v>432436</v>
      </c>
      <c r="Q141" s="292">
        <f t="shared" si="6"/>
        <v>0</v>
      </c>
      <c r="R141" s="292">
        <f t="shared" si="60"/>
        <v>0</v>
      </c>
      <c r="S141" s="292">
        <f t="shared" si="61"/>
        <v>0</v>
      </c>
      <c r="T141" s="292">
        <f t="shared" si="7"/>
        <v>0</v>
      </c>
      <c r="U141" s="292">
        <f t="shared" si="8"/>
        <v>0</v>
      </c>
      <c r="V141" s="292">
        <f t="shared" si="62"/>
        <v>0</v>
      </c>
      <c r="W141" s="292">
        <f t="shared" si="63"/>
        <v>0</v>
      </c>
      <c r="X141" s="292">
        <f t="shared" si="64"/>
        <v>0</v>
      </c>
      <c r="Y141" s="292">
        <f t="shared" si="65"/>
        <v>0</v>
      </c>
      <c r="Z141" s="292">
        <f t="shared" si="47"/>
        <v>0</v>
      </c>
      <c r="AA141" s="292">
        <f t="shared" si="48"/>
        <v>0</v>
      </c>
      <c r="AB141" s="292">
        <f t="shared" si="9"/>
        <v>0</v>
      </c>
      <c r="AC141" s="292">
        <f t="shared" si="10"/>
        <v>0</v>
      </c>
      <c r="AD141" s="292">
        <f t="shared" si="11"/>
        <v>0</v>
      </c>
      <c r="AE141" s="292">
        <f t="shared" si="12"/>
        <v>0</v>
      </c>
      <c r="AF141" s="292">
        <f t="shared" si="13"/>
        <v>0</v>
      </c>
      <c r="AG141" s="292">
        <f t="shared" si="14"/>
        <v>0</v>
      </c>
      <c r="AH141" s="292">
        <f t="shared" si="15"/>
        <v>0</v>
      </c>
      <c r="AI141" s="292">
        <f t="shared" si="16"/>
        <v>0</v>
      </c>
      <c r="AJ141" s="292">
        <f t="shared" si="17"/>
        <v>0</v>
      </c>
      <c r="AK141" s="292">
        <f t="shared" si="18"/>
        <v>0</v>
      </c>
      <c r="AL141" s="292">
        <f t="shared" si="49"/>
        <v>0</v>
      </c>
      <c r="AM141" s="292">
        <f t="shared" si="50"/>
        <v>0</v>
      </c>
      <c r="AN141" s="292">
        <f t="shared" si="19"/>
        <v>0</v>
      </c>
      <c r="AO141" s="292">
        <f t="shared" si="20"/>
        <v>0</v>
      </c>
      <c r="AP141" s="292">
        <f t="shared" si="21"/>
        <v>0</v>
      </c>
      <c r="AQ141" s="292">
        <f t="shared" si="22"/>
        <v>0</v>
      </c>
      <c r="AR141" s="292">
        <f t="shared" si="23"/>
        <v>0</v>
      </c>
      <c r="AS141" s="292">
        <f t="shared" si="24"/>
        <v>0</v>
      </c>
      <c r="AT141" s="292">
        <f t="shared" si="25"/>
        <v>0</v>
      </c>
      <c r="AU141" s="292">
        <f t="shared" si="26"/>
        <v>0</v>
      </c>
      <c r="AV141" s="292">
        <f t="shared" si="27"/>
        <v>0</v>
      </c>
      <c r="AW141" s="292">
        <f t="shared" si="28"/>
        <v>0</v>
      </c>
      <c r="AX141" s="292">
        <f t="shared" si="29"/>
        <v>0</v>
      </c>
      <c r="AY141" s="292">
        <f t="shared" si="30"/>
        <v>0</v>
      </c>
      <c r="AZ141" s="292">
        <f t="shared" si="31"/>
        <v>0</v>
      </c>
      <c r="BA141" s="292">
        <f t="shared" si="32"/>
        <v>0</v>
      </c>
      <c r="BB141" s="292">
        <f t="shared" si="33"/>
        <v>0</v>
      </c>
      <c r="BC141" s="292">
        <f t="shared" si="34"/>
        <v>0</v>
      </c>
      <c r="BD141" s="292">
        <f t="shared" si="35"/>
        <v>0</v>
      </c>
      <c r="BE141" s="292">
        <f t="shared" si="36"/>
        <v>0</v>
      </c>
      <c r="BF141" s="292">
        <f t="shared" si="37"/>
        <v>0</v>
      </c>
      <c r="BG141" s="292">
        <f t="shared" si="38"/>
        <v>0</v>
      </c>
    </row>
    <row r="142" spans="1:59" s="289" customFormat="1" ht="15" customHeight="1">
      <c r="A142" s="63">
        <f t="array" ref="A142">IF(C142&lt;&gt;0,SUM(($C$11:C142&lt;&gt;0)*1),"")</f>
        <v>132</v>
      </c>
      <c r="B142" s="1099">
        <v>42425</v>
      </c>
      <c r="C142" s="290" t="s">
        <v>198</v>
      </c>
      <c r="D142" s="1099">
        <v>42425</v>
      </c>
      <c r="E142" s="344" t="s">
        <v>768</v>
      </c>
      <c r="F142" s="345">
        <v>3000000</v>
      </c>
      <c r="G142" s="346" t="s">
        <v>135</v>
      </c>
      <c r="H142" s="346" t="s">
        <v>97</v>
      </c>
      <c r="I142" s="63">
        <f t="shared" si="66"/>
        <v>132</v>
      </c>
      <c r="J142" s="292">
        <f t="shared" si="1"/>
        <v>0</v>
      </c>
      <c r="K142" s="292">
        <f t="shared" si="2"/>
        <v>3000000</v>
      </c>
      <c r="L142" s="292">
        <f t="shared" si="3"/>
        <v>0</v>
      </c>
      <c r="M142" s="292">
        <f t="shared" si="4"/>
        <v>0</v>
      </c>
      <c r="N142" s="292">
        <f t="shared" si="39"/>
        <v>0</v>
      </c>
      <c r="O142" s="292">
        <f t="shared" si="40"/>
        <v>0</v>
      </c>
      <c r="P142" s="292">
        <f t="shared" si="5"/>
        <v>0</v>
      </c>
      <c r="Q142" s="292">
        <f t="shared" si="6"/>
        <v>0</v>
      </c>
      <c r="R142" s="292">
        <f t="shared" si="60"/>
        <v>0</v>
      </c>
      <c r="S142" s="292">
        <f t="shared" si="61"/>
        <v>0</v>
      </c>
      <c r="T142" s="292">
        <f t="shared" si="7"/>
        <v>0</v>
      </c>
      <c r="U142" s="292">
        <f t="shared" si="8"/>
        <v>0</v>
      </c>
      <c r="V142" s="292">
        <f t="shared" si="62"/>
        <v>0</v>
      </c>
      <c r="W142" s="292">
        <f t="shared" si="63"/>
        <v>0</v>
      </c>
      <c r="X142" s="292">
        <f t="shared" si="64"/>
        <v>0</v>
      </c>
      <c r="Y142" s="292">
        <f t="shared" si="65"/>
        <v>0</v>
      </c>
      <c r="Z142" s="292">
        <f t="shared" si="47"/>
        <v>0</v>
      </c>
      <c r="AA142" s="292">
        <f t="shared" si="48"/>
        <v>0</v>
      </c>
      <c r="AB142" s="292">
        <f t="shared" si="9"/>
        <v>0</v>
      </c>
      <c r="AC142" s="292">
        <f t="shared" si="10"/>
        <v>0</v>
      </c>
      <c r="AD142" s="292">
        <f t="shared" si="11"/>
        <v>0</v>
      </c>
      <c r="AE142" s="292">
        <f t="shared" si="12"/>
        <v>0</v>
      </c>
      <c r="AF142" s="292">
        <f t="shared" si="13"/>
        <v>0</v>
      </c>
      <c r="AG142" s="292">
        <f t="shared" si="14"/>
        <v>0</v>
      </c>
      <c r="AH142" s="292">
        <f t="shared" si="15"/>
        <v>0</v>
      </c>
      <c r="AI142" s="292">
        <f t="shared" si="16"/>
        <v>0</v>
      </c>
      <c r="AJ142" s="292">
        <f t="shared" si="17"/>
        <v>0</v>
      </c>
      <c r="AK142" s="292">
        <f t="shared" si="18"/>
        <v>0</v>
      </c>
      <c r="AL142" s="292">
        <f t="shared" si="49"/>
        <v>0</v>
      </c>
      <c r="AM142" s="292">
        <f t="shared" si="50"/>
        <v>0</v>
      </c>
      <c r="AN142" s="292">
        <f t="shared" si="19"/>
        <v>0</v>
      </c>
      <c r="AO142" s="292">
        <f t="shared" si="20"/>
        <v>0</v>
      </c>
      <c r="AP142" s="292">
        <f t="shared" si="21"/>
        <v>0</v>
      </c>
      <c r="AQ142" s="292">
        <f t="shared" si="22"/>
        <v>0</v>
      </c>
      <c r="AR142" s="292">
        <f t="shared" si="23"/>
        <v>0</v>
      </c>
      <c r="AS142" s="292">
        <f t="shared" si="24"/>
        <v>0</v>
      </c>
      <c r="AT142" s="292">
        <f t="shared" si="25"/>
        <v>0</v>
      </c>
      <c r="AU142" s="292">
        <f t="shared" si="26"/>
        <v>0</v>
      </c>
      <c r="AV142" s="292">
        <f t="shared" si="27"/>
        <v>0</v>
      </c>
      <c r="AW142" s="292">
        <f t="shared" si="28"/>
        <v>0</v>
      </c>
      <c r="AX142" s="292">
        <f t="shared" si="29"/>
        <v>3000000</v>
      </c>
      <c r="AY142" s="292">
        <f t="shared" si="30"/>
        <v>0</v>
      </c>
      <c r="AZ142" s="292">
        <f t="shared" si="31"/>
        <v>0</v>
      </c>
      <c r="BA142" s="292">
        <f t="shared" si="32"/>
        <v>0</v>
      </c>
      <c r="BB142" s="292">
        <f t="shared" si="33"/>
        <v>0</v>
      </c>
      <c r="BC142" s="292">
        <f t="shared" si="34"/>
        <v>0</v>
      </c>
      <c r="BD142" s="292">
        <f t="shared" si="35"/>
        <v>0</v>
      </c>
      <c r="BE142" s="292">
        <f t="shared" si="36"/>
        <v>0</v>
      </c>
      <c r="BF142" s="292">
        <f t="shared" si="37"/>
        <v>0</v>
      </c>
      <c r="BG142" s="292">
        <f t="shared" si="38"/>
        <v>0</v>
      </c>
    </row>
    <row r="143" spans="1:59" s="289" customFormat="1" ht="15" customHeight="1">
      <c r="A143" s="63">
        <f t="array" ref="A143">IF(C143&lt;&gt;0,SUM(($C$11:C143&lt;&gt;0)*1),"")</f>
        <v>133</v>
      </c>
      <c r="B143" s="1099">
        <v>42425</v>
      </c>
      <c r="C143" s="290" t="s">
        <v>198</v>
      </c>
      <c r="D143" s="1099">
        <v>42425</v>
      </c>
      <c r="E143" s="344" t="s">
        <v>769</v>
      </c>
      <c r="F143" s="345">
        <v>300000</v>
      </c>
      <c r="G143" s="346" t="s">
        <v>10</v>
      </c>
      <c r="H143" s="346" t="s">
        <v>97</v>
      </c>
      <c r="I143" s="63">
        <f t="shared" si="66"/>
        <v>133</v>
      </c>
      <c r="J143" s="292">
        <f t="shared" si="1"/>
        <v>0</v>
      </c>
      <c r="K143" s="292">
        <f t="shared" si="2"/>
        <v>300000</v>
      </c>
      <c r="L143" s="292">
        <f t="shared" si="3"/>
        <v>0</v>
      </c>
      <c r="M143" s="292">
        <f t="shared" si="4"/>
        <v>0</v>
      </c>
      <c r="N143" s="292">
        <f t="shared" si="39"/>
        <v>0</v>
      </c>
      <c r="O143" s="292">
        <f t="shared" si="40"/>
        <v>0</v>
      </c>
      <c r="P143" s="292">
        <f t="shared" si="5"/>
        <v>300000</v>
      </c>
      <c r="Q143" s="292">
        <f t="shared" si="6"/>
        <v>0</v>
      </c>
      <c r="R143" s="292">
        <f t="shared" si="60"/>
        <v>0</v>
      </c>
      <c r="S143" s="292">
        <f t="shared" si="61"/>
        <v>0</v>
      </c>
      <c r="T143" s="292">
        <f t="shared" si="7"/>
        <v>0</v>
      </c>
      <c r="U143" s="292">
        <f t="shared" si="8"/>
        <v>0</v>
      </c>
      <c r="V143" s="292">
        <f t="shared" si="62"/>
        <v>0</v>
      </c>
      <c r="W143" s="292">
        <f t="shared" si="63"/>
        <v>0</v>
      </c>
      <c r="X143" s="292">
        <f t="shared" si="64"/>
        <v>0</v>
      </c>
      <c r="Y143" s="292">
        <f t="shared" si="65"/>
        <v>0</v>
      </c>
      <c r="Z143" s="292">
        <f t="shared" si="47"/>
        <v>0</v>
      </c>
      <c r="AA143" s="292">
        <f t="shared" si="48"/>
        <v>0</v>
      </c>
      <c r="AB143" s="292">
        <f t="shared" si="9"/>
        <v>0</v>
      </c>
      <c r="AC143" s="292">
        <f t="shared" si="10"/>
        <v>0</v>
      </c>
      <c r="AD143" s="292">
        <f t="shared" si="11"/>
        <v>0</v>
      </c>
      <c r="AE143" s="292">
        <f t="shared" si="12"/>
        <v>0</v>
      </c>
      <c r="AF143" s="292">
        <f t="shared" si="13"/>
        <v>0</v>
      </c>
      <c r="AG143" s="292">
        <f t="shared" si="14"/>
        <v>0</v>
      </c>
      <c r="AH143" s="292">
        <f t="shared" si="15"/>
        <v>0</v>
      </c>
      <c r="AI143" s="292">
        <f t="shared" si="16"/>
        <v>0</v>
      </c>
      <c r="AJ143" s="292">
        <f t="shared" si="17"/>
        <v>0</v>
      </c>
      <c r="AK143" s="292">
        <f t="shared" si="18"/>
        <v>0</v>
      </c>
      <c r="AL143" s="292">
        <f t="shared" si="49"/>
        <v>0</v>
      </c>
      <c r="AM143" s="292">
        <f t="shared" si="50"/>
        <v>0</v>
      </c>
      <c r="AN143" s="292">
        <f t="shared" si="19"/>
        <v>0</v>
      </c>
      <c r="AO143" s="292">
        <f t="shared" si="20"/>
        <v>0</v>
      </c>
      <c r="AP143" s="292">
        <f t="shared" si="21"/>
        <v>0</v>
      </c>
      <c r="AQ143" s="292">
        <f t="shared" si="22"/>
        <v>0</v>
      </c>
      <c r="AR143" s="292">
        <f t="shared" si="23"/>
        <v>0</v>
      </c>
      <c r="AS143" s="292">
        <f t="shared" si="24"/>
        <v>0</v>
      </c>
      <c r="AT143" s="292">
        <f t="shared" si="25"/>
        <v>0</v>
      </c>
      <c r="AU143" s="292">
        <f t="shared" si="26"/>
        <v>0</v>
      </c>
      <c r="AV143" s="292">
        <f t="shared" si="27"/>
        <v>0</v>
      </c>
      <c r="AW143" s="292">
        <f t="shared" si="28"/>
        <v>0</v>
      </c>
      <c r="AX143" s="292">
        <f t="shared" si="29"/>
        <v>0</v>
      </c>
      <c r="AY143" s="292">
        <f t="shared" si="30"/>
        <v>0</v>
      </c>
      <c r="AZ143" s="292">
        <f t="shared" si="31"/>
        <v>0</v>
      </c>
      <c r="BA143" s="292">
        <f t="shared" si="32"/>
        <v>0</v>
      </c>
      <c r="BB143" s="292">
        <f t="shared" si="33"/>
        <v>0</v>
      </c>
      <c r="BC143" s="292">
        <f t="shared" si="34"/>
        <v>0</v>
      </c>
      <c r="BD143" s="292">
        <f t="shared" si="35"/>
        <v>0</v>
      </c>
      <c r="BE143" s="292">
        <f t="shared" si="36"/>
        <v>0</v>
      </c>
      <c r="BF143" s="292">
        <f t="shared" si="37"/>
        <v>0</v>
      </c>
      <c r="BG143" s="292">
        <f t="shared" si="38"/>
        <v>0</v>
      </c>
    </row>
    <row r="144" spans="1:59" s="289" customFormat="1" ht="15" customHeight="1">
      <c r="A144" s="63">
        <f t="array" ref="A144">IF(C144&lt;&gt;0,SUM(($C$11:C144&lt;&gt;0)*1),"")</f>
        <v>134</v>
      </c>
      <c r="B144" s="1099">
        <v>42425</v>
      </c>
      <c r="C144" s="290" t="s">
        <v>199</v>
      </c>
      <c r="D144" s="1099">
        <v>42425</v>
      </c>
      <c r="E144" s="344" t="s">
        <v>745</v>
      </c>
      <c r="F144" s="345">
        <v>7022600</v>
      </c>
      <c r="G144" s="346" t="s">
        <v>135</v>
      </c>
      <c r="H144" s="346" t="s">
        <v>97</v>
      </c>
      <c r="I144" s="63">
        <f t="shared" si="66"/>
        <v>134</v>
      </c>
      <c r="J144" s="292">
        <f t="shared" si="1"/>
        <v>0</v>
      </c>
      <c r="K144" s="292">
        <f t="shared" si="2"/>
        <v>7022600</v>
      </c>
      <c r="L144" s="292">
        <f t="shared" si="3"/>
        <v>0</v>
      </c>
      <c r="M144" s="292">
        <f t="shared" si="4"/>
        <v>0</v>
      </c>
      <c r="N144" s="292">
        <f t="shared" si="39"/>
        <v>0</v>
      </c>
      <c r="O144" s="292">
        <f t="shared" si="40"/>
        <v>0</v>
      </c>
      <c r="P144" s="292">
        <f t="shared" si="5"/>
        <v>0</v>
      </c>
      <c r="Q144" s="292">
        <f t="shared" si="6"/>
        <v>0</v>
      </c>
      <c r="R144" s="292">
        <f t="shared" si="60"/>
        <v>0</v>
      </c>
      <c r="S144" s="292">
        <f t="shared" si="61"/>
        <v>0</v>
      </c>
      <c r="T144" s="292">
        <f t="shared" si="7"/>
        <v>0</v>
      </c>
      <c r="U144" s="292">
        <f t="shared" si="8"/>
        <v>0</v>
      </c>
      <c r="V144" s="292">
        <f t="shared" si="62"/>
        <v>0</v>
      </c>
      <c r="W144" s="292">
        <f t="shared" si="63"/>
        <v>0</v>
      </c>
      <c r="X144" s="292">
        <f t="shared" si="64"/>
        <v>0</v>
      </c>
      <c r="Y144" s="292">
        <f t="shared" si="65"/>
        <v>0</v>
      </c>
      <c r="Z144" s="292">
        <f t="shared" si="47"/>
        <v>0</v>
      </c>
      <c r="AA144" s="292">
        <f t="shared" si="48"/>
        <v>0</v>
      </c>
      <c r="AB144" s="292">
        <f t="shared" si="9"/>
        <v>0</v>
      </c>
      <c r="AC144" s="292">
        <f t="shared" si="10"/>
        <v>0</v>
      </c>
      <c r="AD144" s="292">
        <f t="shared" si="11"/>
        <v>0</v>
      </c>
      <c r="AE144" s="292">
        <f t="shared" si="12"/>
        <v>0</v>
      </c>
      <c r="AF144" s="292">
        <f t="shared" si="13"/>
        <v>0</v>
      </c>
      <c r="AG144" s="292">
        <f t="shared" si="14"/>
        <v>0</v>
      </c>
      <c r="AH144" s="292">
        <f t="shared" si="15"/>
        <v>0</v>
      </c>
      <c r="AI144" s="292">
        <f t="shared" si="16"/>
        <v>0</v>
      </c>
      <c r="AJ144" s="292">
        <f t="shared" si="17"/>
        <v>0</v>
      </c>
      <c r="AK144" s="292">
        <f t="shared" si="18"/>
        <v>0</v>
      </c>
      <c r="AL144" s="292">
        <f t="shared" si="49"/>
        <v>0</v>
      </c>
      <c r="AM144" s="292">
        <f t="shared" si="50"/>
        <v>0</v>
      </c>
      <c r="AN144" s="292">
        <f t="shared" si="19"/>
        <v>0</v>
      </c>
      <c r="AO144" s="292">
        <f t="shared" si="20"/>
        <v>0</v>
      </c>
      <c r="AP144" s="292">
        <f t="shared" si="21"/>
        <v>0</v>
      </c>
      <c r="AQ144" s="292">
        <f t="shared" si="22"/>
        <v>0</v>
      </c>
      <c r="AR144" s="292">
        <f t="shared" si="23"/>
        <v>0</v>
      </c>
      <c r="AS144" s="292">
        <f t="shared" si="24"/>
        <v>0</v>
      </c>
      <c r="AT144" s="292">
        <f t="shared" si="25"/>
        <v>0</v>
      </c>
      <c r="AU144" s="292">
        <f t="shared" si="26"/>
        <v>0</v>
      </c>
      <c r="AV144" s="292">
        <f t="shared" si="27"/>
        <v>0</v>
      </c>
      <c r="AW144" s="292">
        <f t="shared" si="28"/>
        <v>0</v>
      </c>
      <c r="AX144" s="292">
        <f t="shared" si="29"/>
        <v>7022600</v>
      </c>
      <c r="AY144" s="292">
        <f t="shared" si="30"/>
        <v>0</v>
      </c>
      <c r="AZ144" s="292">
        <f t="shared" si="31"/>
        <v>0</v>
      </c>
      <c r="BA144" s="292">
        <f t="shared" si="32"/>
        <v>0</v>
      </c>
      <c r="BB144" s="292">
        <f t="shared" si="33"/>
        <v>0</v>
      </c>
      <c r="BC144" s="292">
        <f t="shared" si="34"/>
        <v>0</v>
      </c>
      <c r="BD144" s="292">
        <f t="shared" si="35"/>
        <v>0</v>
      </c>
      <c r="BE144" s="292">
        <f t="shared" si="36"/>
        <v>0</v>
      </c>
      <c r="BF144" s="292">
        <f t="shared" si="37"/>
        <v>0</v>
      </c>
      <c r="BG144" s="292">
        <f t="shared" si="38"/>
        <v>0</v>
      </c>
    </row>
    <row r="145" spans="1:59" s="289" customFormat="1" ht="15" customHeight="1">
      <c r="A145" s="63">
        <f t="array" ref="A145">IF(C145&lt;&gt;0,SUM(($C$11:C145&lt;&gt;0)*1),"")</f>
        <v>135</v>
      </c>
      <c r="B145" s="1099">
        <v>42425</v>
      </c>
      <c r="C145" s="290" t="s">
        <v>199</v>
      </c>
      <c r="D145" s="1099">
        <v>42425</v>
      </c>
      <c r="E145" s="344" t="s">
        <v>746</v>
      </c>
      <c r="F145" s="345">
        <v>351130</v>
      </c>
      <c r="G145" s="346" t="s">
        <v>10</v>
      </c>
      <c r="H145" s="346" t="s">
        <v>97</v>
      </c>
      <c r="I145" s="63">
        <f t="shared" si="66"/>
        <v>135</v>
      </c>
      <c r="J145" s="292">
        <f t="shared" si="1"/>
        <v>0</v>
      </c>
      <c r="K145" s="292">
        <f t="shared" si="2"/>
        <v>351130</v>
      </c>
      <c r="L145" s="292">
        <f t="shared" si="3"/>
        <v>0</v>
      </c>
      <c r="M145" s="292">
        <f t="shared" si="4"/>
        <v>0</v>
      </c>
      <c r="N145" s="292">
        <f t="shared" si="39"/>
        <v>0</v>
      </c>
      <c r="O145" s="292">
        <f t="shared" si="40"/>
        <v>0</v>
      </c>
      <c r="P145" s="292">
        <f t="shared" si="5"/>
        <v>351130</v>
      </c>
      <c r="Q145" s="292">
        <f t="shared" si="6"/>
        <v>0</v>
      </c>
      <c r="R145" s="292">
        <f t="shared" si="60"/>
        <v>0</v>
      </c>
      <c r="S145" s="292">
        <f t="shared" si="61"/>
        <v>0</v>
      </c>
      <c r="T145" s="292">
        <f t="shared" si="7"/>
        <v>0</v>
      </c>
      <c r="U145" s="292">
        <f t="shared" si="8"/>
        <v>0</v>
      </c>
      <c r="V145" s="292">
        <f t="shared" si="62"/>
        <v>0</v>
      </c>
      <c r="W145" s="292">
        <f t="shared" si="63"/>
        <v>0</v>
      </c>
      <c r="X145" s="292">
        <f t="shared" si="64"/>
        <v>0</v>
      </c>
      <c r="Y145" s="292">
        <f t="shared" si="65"/>
        <v>0</v>
      </c>
      <c r="Z145" s="292">
        <f t="shared" si="47"/>
        <v>0</v>
      </c>
      <c r="AA145" s="292">
        <f t="shared" si="48"/>
        <v>0</v>
      </c>
      <c r="AB145" s="292">
        <f t="shared" si="9"/>
        <v>0</v>
      </c>
      <c r="AC145" s="292">
        <f t="shared" si="10"/>
        <v>0</v>
      </c>
      <c r="AD145" s="292">
        <f t="shared" si="11"/>
        <v>0</v>
      </c>
      <c r="AE145" s="292">
        <f t="shared" si="12"/>
        <v>0</v>
      </c>
      <c r="AF145" s="292">
        <f t="shared" si="13"/>
        <v>0</v>
      </c>
      <c r="AG145" s="292">
        <f t="shared" si="14"/>
        <v>0</v>
      </c>
      <c r="AH145" s="292">
        <f t="shared" si="15"/>
        <v>0</v>
      </c>
      <c r="AI145" s="292">
        <f t="shared" si="16"/>
        <v>0</v>
      </c>
      <c r="AJ145" s="292">
        <f t="shared" si="17"/>
        <v>0</v>
      </c>
      <c r="AK145" s="292">
        <f t="shared" si="18"/>
        <v>0</v>
      </c>
      <c r="AL145" s="292">
        <f t="shared" si="49"/>
        <v>0</v>
      </c>
      <c r="AM145" s="292">
        <f t="shared" si="50"/>
        <v>0</v>
      </c>
      <c r="AN145" s="292">
        <f t="shared" si="19"/>
        <v>0</v>
      </c>
      <c r="AO145" s="292">
        <f t="shared" si="20"/>
        <v>0</v>
      </c>
      <c r="AP145" s="292">
        <f t="shared" si="21"/>
        <v>0</v>
      </c>
      <c r="AQ145" s="292">
        <f t="shared" si="22"/>
        <v>0</v>
      </c>
      <c r="AR145" s="292">
        <f t="shared" si="23"/>
        <v>0</v>
      </c>
      <c r="AS145" s="292">
        <f t="shared" si="24"/>
        <v>0</v>
      </c>
      <c r="AT145" s="292">
        <f t="shared" si="25"/>
        <v>0</v>
      </c>
      <c r="AU145" s="292">
        <f t="shared" si="26"/>
        <v>0</v>
      </c>
      <c r="AV145" s="292">
        <f t="shared" si="27"/>
        <v>0</v>
      </c>
      <c r="AW145" s="292">
        <f t="shared" si="28"/>
        <v>0</v>
      </c>
      <c r="AX145" s="292">
        <f t="shared" si="29"/>
        <v>0</v>
      </c>
      <c r="AY145" s="292">
        <f t="shared" si="30"/>
        <v>0</v>
      </c>
      <c r="AZ145" s="292">
        <f t="shared" si="31"/>
        <v>0</v>
      </c>
      <c r="BA145" s="292">
        <f t="shared" si="32"/>
        <v>0</v>
      </c>
      <c r="BB145" s="292">
        <f t="shared" si="33"/>
        <v>0</v>
      </c>
      <c r="BC145" s="292">
        <f t="shared" si="34"/>
        <v>0</v>
      </c>
      <c r="BD145" s="292">
        <f t="shared" si="35"/>
        <v>0</v>
      </c>
      <c r="BE145" s="292">
        <f t="shared" si="36"/>
        <v>0</v>
      </c>
      <c r="BF145" s="292">
        <f t="shared" si="37"/>
        <v>0</v>
      </c>
      <c r="BG145" s="292">
        <f t="shared" si="38"/>
        <v>0</v>
      </c>
    </row>
    <row r="146" spans="1:59" s="289" customFormat="1" ht="15" customHeight="1">
      <c r="A146" s="63">
        <f t="array" ref="A146">IF(C146&lt;&gt;0,SUM(($C$11:C146&lt;&gt;0)*1),"")</f>
        <v>136</v>
      </c>
      <c r="B146" s="1099">
        <v>42425</v>
      </c>
      <c r="C146" s="290" t="s">
        <v>12</v>
      </c>
      <c r="D146" s="1099">
        <v>42425</v>
      </c>
      <c r="E146" s="344" t="s">
        <v>788</v>
      </c>
      <c r="F146" s="345">
        <v>5000000</v>
      </c>
      <c r="G146" s="346" t="s">
        <v>31</v>
      </c>
      <c r="H146" s="346" t="s">
        <v>24</v>
      </c>
      <c r="I146" s="63">
        <f t="shared" si="66"/>
        <v>136</v>
      </c>
      <c r="J146" s="292">
        <f t="shared" si="1"/>
        <v>0</v>
      </c>
      <c r="K146" s="292">
        <f t="shared" si="2"/>
        <v>0</v>
      </c>
      <c r="L146" s="292">
        <f t="shared" si="3"/>
        <v>5000000</v>
      </c>
      <c r="M146" s="292">
        <f t="shared" si="4"/>
        <v>0</v>
      </c>
      <c r="N146" s="292">
        <f t="shared" si="39"/>
        <v>0</v>
      </c>
      <c r="O146" s="292">
        <f t="shared" si="40"/>
        <v>0</v>
      </c>
      <c r="P146" s="292">
        <f t="shared" si="5"/>
        <v>0</v>
      </c>
      <c r="Q146" s="292">
        <f t="shared" si="6"/>
        <v>0</v>
      </c>
      <c r="R146" s="292">
        <f t="shared" si="60"/>
        <v>0</v>
      </c>
      <c r="S146" s="292">
        <f t="shared" si="61"/>
        <v>0</v>
      </c>
      <c r="T146" s="292">
        <f t="shared" si="7"/>
        <v>0</v>
      </c>
      <c r="U146" s="292">
        <f t="shared" si="8"/>
        <v>0</v>
      </c>
      <c r="V146" s="292">
        <f t="shared" si="62"/>
        <v>0</v>
      </c>
      <c r="W146" s="292">
        <f t="shared" si="63"/>
        <v>0</v>
      </c>
      <c r="X146" s="292">
        <f t="shared" si="64"/>
        <v>0</v>
      </c>
      <c r="Y146" s="292">
        <f t="shared" si="65"/>
        <v>0</v>
      </c>
      <c r="Z146" s="292">
        <f t="shared" si="47"/>
        <v>0</v>
      </c>
      <c r="AA146" s="292">
        <f t="shared" si="48"/>
        <v>0</v>
      </c>
      <c r="AB146" s="292">
        <f t="shared" si="9"/>
        <v>0</v>
      </c>
      <c r="AC146" s="292">
        <f t="shared" si="10"/>
        <v>0</v>
      </c>
      <c r="AD146" s="292">
        <f t="shared" si="11"/>
        <v>0</v>
      </c>
      <c r="AE146" s="292">
        <f t="shared" si="12"/>
        <v>0</v>
      </c>
      <c r="AF146" s="292">
        <f t="shared" si="13"/>
        <v>0</v>
      </c>
      <c r="AG146" s="292">
        <f t="shared" si="14"/>
        <v>0</v>
      </c>
      <c r="AH146" s="292">
        <f t="shared" si="15"/>
        <v>0</v>
      </c>
      <c r="AI146" s="292">
        <f t="shared" si="16"/>
        <v>5000000</v>
      </c>
      <c r="AJ146" s="292">
        <f t="shared" si="17"/>
        <v>0</v>
      </c>
      <c r="AK146" s="292">
        <f t="shared" si="18"/>
        <v>0</v>
      </c>
      <c r="AL146" s="292">
        <f t="shared" si="49"/>
        <v>0</v>
      </c>
      <c r="AM146" s="292">
        <f t="shared" si="50"/>
        <v>0</v>
      </c>
      <c r="AN146" s="292">
        <f t="shared" si="19"/>
        <v>0</v>
      </c>
      <c r="AO146" s="292">
        <f t="shared" si="20"/>
        <v>0</v>
      </c>
      <c r="AP146" s="292">
        <f t="shared" si="21"/>
        <v>0</v>
      </c>
      <c r="AQ146" s="292">
        <f t="shared" si="22"/>
        <v>0</v>
      </c>
      <c r="AR146" s="292">
        <f t="shared" si="23"/>
        <v>0</v>
      </c>
      <c r="AS146" s="292">
        <f t="shared" si="24"/>
        <v>0</v>
      </c>
      <c r="AT146" s="292">
        <f t="shared" si="25"/>
        <v>0</v>
      </c>
      <c r="AU146" s="292">
        <f t="shared" si="26"/>
        <v>0</v>
      </c>
      <c r="AV146" s="292">
        <f t="shared" si="27"/>
        <v>0</v>
      </c>
      <c r="AW146" s="292">
        <f t="shared" si="28"/>
        <v>0</v>
      </c>
      <c r="AX146" s="292">
        <f t="shared" si="29"/>
        <v>0</v>
      </c>
      <c r="AY146" s="292">
        <f t="shared" si="30"/>
        <v>0</v>
      </c>
      <c r="AZ146" s="292">
        <f t="shared" si="31"/>
        <v>0</v>
      </c>
      <c r="BA146" s="292">
        <f t="shared" si="32"/>
        <v>0</v>
      </c>
      <c r="BB146" s="292">
        <f t="shared" si="33"/>
        <v>0</v>
      </c>
      <c r="BC146" s="292">
        <f t="shared" si="34"/>
        <v>0</v>
      </c>
      <c r="BD146" s="292">
        <f t="shared" si="35"/>
        <v>0</v>
      </c>
      <c r="BE146" s="292">
        <f t="shared" si="36"/>
        <v>0</v>
      </c>
      <c r="BF146" s="292">
        <f t="shared" si="37"/>
        <v>0</v>
      </c>
      <c r="BG146" s="292">
        <f t="shared" si="38"/>
        <v>0</v>
      </c>
    </row>
    <row r="147" spans="1:59" s="289" customFormat="1" ht="15" customHeight="1">
      <c r="A147" s="63">
        <f t="array" ref="A147">IF(C147&lt;&gt;0,SUM(($C$11:C147&lt;&gt;0)*1),"")</f>
        <v>137</v>
      </c>
      <c r="B147" s="1099">
        <v>42425</v>
      </c>
      <c r="C147" s="290" t="s">
        <v>8</v>
      </c>
      <c r="D147" s="1099">
        <v>42425</v>
      </c>
      <c r="E147" s="344" t="s">
        <v>405</v>
      </c>
      <c r="F147" s="345">
        <v>8199985</v>
      </c>
      <c r="G147" s="346" t="s">
        <v>133</v>
      </c>
      <c r="H147" s="346" t="s">
        <v>31</v>
      </c>
      <c r="I147" s="63">
        <f t="shared" si="66"/>
        <v>137</v>
      </c>
      <c r="J147" s="292">
        <f t="shared" si="1"/>
        <v>0</v>
      </c>
      <c r="K147" s="292">
        <f t="shared" si="2"/>
        <v>0</v>
      </c>
      <c r="L147" s="292">
        <f t="shared" si="3"/>
        <v>0</v>
      </c>
      <c r="M147" s="292">
        <f t="shared" si="4"/>
        <v>8199985</v>
      </c>
      <c r="N147" s="292">
        <f t="shared" si="39"/>
        <v>0</v>
      </c>
      <c r="O147" s="292">
        <f t="shared" si="40"/>
        <v>0</v>
      </c>
      <c r="P147" s="292">
        <f t="shared" si="5"/>
        <v>0</v>
      </c>
      <c r="Q147" s="292">
        <f t="shared" si="6"/>
        <v>0</v>
      </c>
      <c r="R147" s="292">
        <f t="shared" si="60"/>
        <v>0</v>
      </c>
      <c r="S147" s="292">
        <f t="shared" si="61"/>
        <v>0</v>
      </c>
      <c r="T147" s="292">
        <f t="shared" si="7"/>
        <v>0</v>
      </c>
      <c r="U147" s="292">
        <f t="shared" si="8"/>
        <v>0</v>
      </c>
      <c r="V147" s="292">
        <f t="shared" si="62"/>
        <v>0</v>
      </c>
      <c r="W147" s="292">
        <f t="shared" si="63"/>
        <v>0</v>
      </c>
      <c r="X147" s="292">
        <f t="shared" si="64"/>
        <v>0</v>
      </c>
      <c r="Y147" s="292">
        <f t="shared" si="65"/>
        <v>0</v>
      </c>
      <c r="Z147" s="292">
        <f t="shared" si="47"/>
        <v>0</v>
      </c>
      <c r="AA147" s="292">
        <f t="shared" si="48"/>
        <v>0</v>
      </c>
      <c r="AB147" s="292">
        <f t="shared" si="9"/>
        <v>0</v>
      </c>
      <c r="AC147" s="292">
        <f t="shared" si="10"/>
        <v>0</v>
      </c>
      <c r="AD147" s="292">
        <f t="shared" si="11"/>
        <v>0</v>
      </c>
      <c r="AE147" s="292">
        <f t="shared" si="12"/>
        <v>0</v>
      </c>
      <c r="AF147" s="292">
        <f t="shared" si="13"/>
        <v>0</v>
      </c>
      <c r="AG147" s="292">
        <f t="shared" si="14"/>
        <v>0</v>
      </c>
      <c r="AH147" s="292">
        <f t="shared" si="15"/>
        <v>0</v>
      </c>
      <c r="AI147" s="292">
        <f t="shared" si="16"/>
        <v>0</v>
      </c>
      <c r="AJ147" s="292">
        <f t="shared" si="17"/>
        <v>0</v>
      </c>
      <c r="AK147" s="292">
        <f t="shared" si="18"/>
        <v>0</v>
      </c>
      <c r="AL147" s="292">
        <f t="shared" si="49"/>
        <v>0</v>
      </c>
      <c r="AM147" s="292">
        <f t="shared" si="50"/>
        <v>0</v>
      </c>
      <c r="AN147" s="292">
        <f t="shared" si="19"/>
        <v>0</v>
      </c>
      <c r="AO147" s="292">
        <f t="shared" si="20"/>
        <v>0</v>
      </c>
      <c r="AP147" s="292">
        <f t="shared" si="21"/>
        <v>0</v>
      </c>
      <c r="AQ147" s="292">
        <f t="shared" si="22"/>
        <v>0</v>
      </c>
      <c r="AR147" s="292">
        <f t="shared" si="23"/>
        <v>0</v>
      </c>
      <c r="AS147" s="292">
        <f t="shared" si="24"/>
        <v>0</v>
      </c>
      <c r="AT147" s="292">
        <f t="shared" si="25"/>
        <v>0</v>
      </c>
      <c r="AU147" s="292">
        <f t="shared" si="26"/>
        <v>0</v>
      </c>
      <c r="AV147" s="292">
        <f t="shared" si="27"/>
        <v>8199985</v>
      </c>
      <c r="AW147" s="292">
        <f t="shared" si="28"/>
        <v>0</v>
      </c>
      <c r="AX147" s="292">
        <f t="shared" si="29"/>
        <v>0</v>
      </c>
      <c r="AY147" s="292">
        <f t="shared" si="30"/>
        <v>0</v>
      </c>
      <c r="AZ147" s="292">
        <f t="shared" si="31"/>
        <v>0</v>
      </c>
      <c r="BA147" s="292">
        <f t="shared" si="32"/>
        <v>0</v>
      </c>
      <c r="BB147" s="292">
        <f t="shared" si="33"/>
        <v>0</v>
      </c>
      <c r="BC147" s="292">
        <f t="shared" si="34"/>
        <v>0</v>
      </c>
      <c r="BD147" s="292">
        <f t="shared" si="35"/>
        <v>0</v>
      </c>
      <c r="BE147" s="292">
        <f t="shared" si="36"/>
        <v>0</v>
      </c>
      <c r="BF147" s="292">
        <f t="shared" si="37"/>
        <v>0</v>
      </c>
      <c r="BG147" s="292">
        <f t="shared" si="38"/>
        <v>0</v>
      </c>
    </row>
    <row r="148" spans="1:59" s="289" customFormat="1" ht="15" customHeight="1">
      <c r="A148" s="63">
        <f t="array" ref="A148">IF(C148&lt;&gt;0,SUM(($C$11:C148&lt;&gt;0)*1),"")</f>
        <v>138</v>
      </c>
      <c r="B148" s="1099">
        <v>42426</v>
      </c>
      <c r="C148" s="290" t="s">
        <v>1015</v>
      </c>
      <c r="D148" s="1099">
        <v>42414</v>
      </c>
      <c r="E148" s="344" t="s">
        <v>816</v>
      </c>
      <c r="F148" s="345">
        <v>36759800</v>
      </c>
      <c r="G148" s="346" t="s">
        <v>135</v>
      </c>
      <c r="H148" s="346" t="s">
        <v>9</v>
      </c>
      <c r="I148" s="63">
        <f t="shared" si="66"/>
        <v>138</v>
      </c>
      <c r="J148" s="292">
        <f t="shared" si="1"/>
        <v>0</v>
      </c>
      <c r="K148" s="292">
        <f t="shared" si="2"/>
        <v>0</v>
      </c>
      <c r="L148" s="292">
        <f t="shared" si="3"/>
        <v>0</v>
      </c>
      <c r="M148" s="292">
        <f t="shared" si="4"/>
        <v>0</v>
      </c>
      <c r="N148" s="292">
        <f t="shared" si="39"/>
        <v>0</v>
      </c>
      <c r="O148" s="292">
        <f t="shared" si="40"/>
        <v>0</v>
      </c>
      <c r="P148" s="292">
        <f t="shared" si="5"/>
        <v>0</v>
      </c>
      <c r="Q148" s="292">
        <f t="shared" si="6"/>
        <v>0</v>
      </c>
      <c r="R148" s="292">
        <f t="shared" si="60"/>
        <v>0</v>
      </c>
      <c r="S148" s="292">
        <f t="shared" si="61"/>
        <v>0</v>
      </c>
      <c r="T148" s="292">
        <f t="shared" si="7"/>
        <v>0</v>
      </c>
      <c r="U148" s="292">
        <f t="shared" si="8"/>
        <v>0</v>
      </c>
      <c r="V148" s="292">
        <f t="shared" si="62"/>
        <v>0</v>
      </c>
      <c r="W148" s="292">
        <f t="shared" si="63"/>
        <v>0</v>
      </c>
      <c r="X148" s="292">
        <f t="shared" si="64"/>
        <v>0</v>
      </c>
      <c r="Y148" s="292">
        <f t="shared" si="65"/>
        <v>0</v>
      </c>
      <c r="Z148" s="292">
        <f t="shared" si="47"/>
        <v>0</v>
      </c>
      <c r="AA148" s="292">
        <f t="shared" si="48"/>
        <v>0</v>
      </c>
      <c r="AB148" s="292">
        <f t="shared" si="9"/>
        <v>0</v>
      </c>
      <c r="AC148" s="292">
        <f t="shared" si="10"/>
        <v>36759800</v>
      </c>
      <c r="AD148" s="292">
        <f t="shared" si="11"/>
        <v>0</v>
      </c>
      <c r="AE148" s="292">
        <f t="shared" si="12"/>
        <v>0</v>
      </c>
      <c r="AF148" s="292">
        <f t="shared" si="13"/>
        <v>0</v>
      </c>
      <c r="AG148" s="292">
        <f t="shared" si="14"/>
        <v>0</v>
      </c>
      <c r="AH148" s="292">
        <f t="shared" si="15"/>
        <v>0</v>
      </c>
      <c r="AI148" s="292">
        <f t="shared" si="16"/>
        <v>0</v>
      </c>
      <c r="AJ148" s="292">
        <f t="shared" si="17"/>
        <v>0</v>
      </c>
      <c r="AK148" s="292">
        <f t="shared" si="18"/>
        <v>0</v>
      </c>
      <c r="AL148" s="292">
        <f t="shared" si="49"/>
        <v>0</v>
      </c>
      <c r="AM148" s="292">
        <f t="shared" si="50"/>
        <v>0</v>
      </c>
      <c r="AN148" s="292">
        <f t="shared" si="19"/>
        <v>0</v>
      </c>
      <c r="AO148" s="292">
        <f t="shared" si="20"/>
        <v>0</v>
      </c>
      <c r="AP148" s="292">
        <f t="shared" si="21"/>
        <v>0</v>
      </c>
      <c r="AQ148" s="292">
        <f t="shared" si="22"/>
        <v>0</v>
      </c>
      <c r="AR148" s="292">
        <f t="shared" si="23"/>
        <v>0</v>
      </c>
      <c r="AS148" s="292">
        <f t="shared" si="24"/>
        <v>0</v>
      </c>
      <c r="AT148" s="292">
        <f t="shared" si="25"/>
        <v>0</v>
      </c>
      <c r="AU148" s="292">
        <f t="shared" si="26"/>
        <v>0</v>
      </c>
      <c r="AV148" s="292">
        <f t="shared" si="27"/>
        <v>0</v>
      </c>
      <c r="AW148" s="292">
        <f t="shared" si="28"/>
        <v>0</v>
      </c>
      <c r="AX148" s="292">
        <f t="shared" si="29"/>
        <v>36759800</v>
      </c>
      <c r="AY148" s="292">
        <f t="shared" si="30"/>
        <v>0</v>
      </c>
      <c r="AZ148" s="292">
        <f t="shared" si="31"/>
        <v>0</v>
      </c>
      <c r="BA148" s="292">
        <f t="shared" si="32"/>
        <v>0</v>
      </c>
      <c r="BB148" s="292">
        <f t="shared" si="33"/>
        <v>0</v>
      </c>
      <c r="BC148" s="292">
        <f t="shared" si="34"/>
        <v>0</v>
      </c>
      <c r="BD148" s="292">
        <f t="shared" si="35"/>
        <v>0</v>
      </c>
      <c r="BE148" s="292">
        <f t="shared" si="36"/>
        <v>0</v>
      </c>
      <c r="BF148" s="292">
        <f t="shared" si="37"/>
        <v>0</v>
      </c>
      <c r="BG148" s="292">
        <f t="shared" si="38"/>
        <v>0</v>
      </c>
    </row>
    <row r="149" spans="1:59" s="289" customFormat="1" ht="15" customHeight="1">
      <c r="A149" s="63">
        <f t="array" ref="A149">IF(C149&lt;&gt;0,SUM(($C$11:C149&lt;&gt;0)*1),"")</f>
        <v>139</v>
      </c>
      <c r="B149" s="1099">
        <v>42426</v>
      </c>
      <c r="C149" s="290" t="s">
        <v>1015</v>
      </c>
      <c r="D149" s="1099">
        <v>42414</v>
      </c>
      <c r="E149" s="344" t="s">
        <v>817</v>
      </c>
      <c r="F149" s="345">
        <v>3675980</v>
      </c>
      <c r="G149" s="346" t="s">
        <v>10</v>
      </c>
      <c r="H149" s="346" t="s">
        <v>9</v>
      </c>
      <c r="I149" s="63">
        <f t="shared" si="66"/>
        <v>139</v>
      </c>
      <c r="J149" s="292">
        <f t="shared" si="1"/>
        <v>0</v>
      </c>
      <c r="K149" s="292">
        <f t="shared" si="2"/>
        <v>0</v>
      </c>
      <c r="L149" s="292">
        <f t="shared" si="3"/>
        <v>0</v>
      </c>
      <c r="M149" s="292">
        <f t="shared" si="4"/>
        <v>0</v>
      </c>
      <c r="N149" s="292">
        <f t="shared" si="39"/>
        <v>0</v>
      </c>
      <c r="O149" s="292">
        <f t="shared" si="40"/>
        <v>0</v>
      </c>
      <c r="P149" s="292">
        <f t="shared" si="5"/>
        <v>3675980</v>
      </c>
      <c r="Q149" s="292">
        <f t="shared" si="6"/>
        <v>0</v>
      </c>
      <c r="R149" s="292">
        <f t="shared" si="60"/>
        <v>0</v>
      </c>
      <c r="S149" s="292">
        <f t="shared" si="61"/>
        <v>0</v>
      </c>
      <c r="T149" s="292">
        <f t="shared" si="7"/>
        <v>0</v>
      </c>
      <c r="U149" s="292">
        <f t="shared" si="8"/>
        <v>0</v>
      </c>
      <c r="V149" s="292">
        <f t="shared" si="62"/>
        <v>0</v>
      </c>
      <c r="W149" s="292">
        <f t="shared" si="63"/>
        <v>0</v>
      </c>
      <c r="X149" s="292">
        <f t="shared" si="64"/>
        <v>0</v>
      </c>
      <c r="Y149" s="292">
        <f t="shared" si="65"/>
        <v>0</v>
      </c>
      <c r="Z149" s="292">
        <f t="shared" si="47"/>
        <v>0</v>
      </c>
      <c r="AA149" s="292">
        <f t="shared" si="48"/>
        <v>0</v>
      </c>
      <c r="AB149" s="292">
        <f t="shared" si="9"/>
        <v>0</v>
      </c>
      <c r="AC149" s="292">
        <f t="shared" si="10"/>
        <v>3675980</v>
      </c>
      <c r="AD149" s="292">
        <f t="shared" si="11"/>
        <v>0</v>
      </c>
      <c r="AE149" s="292">
        <f t="shared" si="12"/>
        <v>0</v>
      </c>
      <c r="AF149" s="292">
        <f t="shared" si="13"/>
        <v>0</v>
      </c>
      <c r="AG149" s="292">
        <f t="shared" si="14"/>
        <v>0</v>
      </c>
      <c r="AH149" s="292">
        <f t="shared" si="15"/>
        <v>0</v>
      </c>
      <c r="AI149" s="292">
        <f t="shared" si="16"/>
        <v>0</v>
      </c>
      <c r="AJ149" s="292">
        <f t="shared" si="17"/>
        <v>0</v>
      </c>
      <c r="AK149" s="292">
        <f t="shared" si="18"/>
        <v>0</v>
      </c>
      <c r="AL149" s="292">
        <f t="shared" si="49"/>
        <v>0</v>
      </c>
      <c r="AM149" s="292">
        <f t="shared" si="50"/>
        <v>0</v>
      </c>
      <c r="AN149" s="292">
        <f t="shared" si="19"/>
        <v>0</v>
      </c>
      <c r="AO149" s="292">
        <f t="shared" si="20"/>
        <v>0</v>
      </c>
      <c r="AP149" s="292">
        <f t="shared" si="21"/>
        <v>0</v>
      </c>
      <c r="AQ149" s="292">
        <f t="shared" si="22"/>
        <v>0</v>
      </c>
      <c r="AR149" s="292">
        <f t="shared" si="23"/>
        <v>0</v>
      </c>
      <c r="AS149" s="292">
        <f t="shared" si="24"/>
        <v>0</v>
      </c>
      <c r="AT149" s="292">
        <f t="shared" si="25"/>
        <v>0</v>
      </c>
      <c r="AU149" s="292">
        <f t="shared" si="26"/>
        <v>0</v>
      </c>
      <c r="AV149" s="292">
        <f t="shared" si="27"/>
        <v>0</v>
      </c>
      <c r="AW149" s="292">
        <f t="shared" si="28"/>
        <v>0</v>
      </c>
      <c r="AX149" s="292">
        <f t="shared" si="29"/>
        <v>0</v>
      </c>
      <c r="AY149" s="292">
        <f t="shared" si="30"/>
        <v>0</v>
      </c>
      <c r="AZ149" s="292">
        <f t="shared" si="31"/>
        <v>0</v>
      </c>
      <c r="BA149" s="292">
        <f t="shared" si="32"/>
        <v>0</v>
      </c>
      <c r="BB149" s="292">
        <f t="shared" si="33"/>
        <v>0</v>
      </c>
      <c r="BC149" s="292">
        <f t="shared" si="34"/>
        <v>0</v>
      </c>
      <c r="BD149" s="292">
        <f t="shared" si="35"/>
        <v>0</v>
      </c>
      <c r="BE149" s="292">
        <f t="shared" si="36"/>
        <v>0</v>
      </c>
      <c r="BF149" s="292">
        <f t="shared" si="37"/>
        <v>0</v>
      </c>
      <c r="BG149" s="292">
        <f t="shared" si="38"/>
        <v>0</v>
      </c>
    </row>
    <row r="150" spans="1:59" s="289" customFormat="1" ht="15" customHeight="1">
      <c r="A150" s="63">
        <f t="array" ref="A150">IF(C150&lt;&gt;0,SUM(($C$11:C150&lt;&gt;0)*1),"")</f>
        <v>140</v>
      </c>
      <c r="B150" s="1099">
        <v>42426</v>
      </c>
      <c r="C150" s="290" t="s">
        <v>1015</v>
      </c>
      <c r="D150" s="1099">
        <v>42426</v>
      </c>
      <c r="E150" s="344" t="s">
        <v>818</v>
      </c>
      <c r="F150" s="345">
        <v>29443000</v>
      </c>
      <c r="G150" s="346" t="s">
        <v>135</v>
      </c>
      <c r="H150" s="346" t="s">
        <v>9</v>
      </c>
      <c r="I150" s="63">
        <f t="shared" si="66"/>
        <v>140</v>
      </c>
      <c r="J150" s="292">
        <f t="shared" si="1"/>
        <v>0</v>
      </c>
      <c r="K150" s="292">
        <f t="shared" si="2"/>
        <v>0</v>
      </c>
      <c r="L150" s="292">
        <f t="shared" si="3"/>
        <v>0</v>
      </c>
      <c r="M150" s="292">
        <f t="shared" si="4"/>
        <v>0</v>
      </c>
      <c r="N150" s="292">
        <f t="shared" si="39"/>
        <v>0</v>
      </c>
      <c r="O150" s="292">
        <f t="shared" si="40"/>
        <v>0</v>
      </c>
      <c r="P150" s="292">
        <f t="shared" si="5"/>
        <v>0</v>
      </c>
      <c r="Q150" s="292">
        <f t="shared" si="6"/>
        <v>0</v>
      </c>
      <c r="R150" s="292">
        <f t="shared" si="60"/>
        <v>0</v>
      </c>
      <c r="S150" s="292">
        <f t="shared" si="61"/>
        <v>0</v>
      </c>
      <c r="T150" s="292">
        <f t="shared" si="7"/>
        <v>0</v>
      </c>
      <c r="U150" s="292">
        <f t="shared" si="8"/>
        <v>0</v>
      </c>
      <c r="V150" s="292">
        <f t="shared" si="62"/>
        <v>0</v>
      </c>
      <c r="W150" s="292">
        <f t="shared" si="63"/>
        <v>0</v>
      </c>
      <c r="X150" s="292">
        <f t="shared" si="64"/>
        <v>0</v>
      </c>
      <c r="Y150" s="292">
        <f t="shared" si="65"/>
        <v>0</v>
      </c>
      <c r="Z150" s="292">
        <f t="shared" si="47"/>
        <v>0</v>
      </c>
      <c r="AA150" s="292">
        <f t="shared" si="48"/>
        <v>0</v>
      </c>
      <c r="AB150" s="292">
        <f t="shared" si="9"/>
        <v>0</v>
      </c>
      <c r="AC150" s="292">
        <f t="shared" si="10"/>
        <v>29443000</v>
      </c>
      <c r="AD150" s="292">
        <f t="shared" si="11"/>
        <v>0</v>
      </c>
      <c r="AE150" s="292">
        <f t="shared" si="12"/>
        <v>0</v>
      </c>
      <c r="AF150" s="292">
        <f t="shared" si="13"/>
        <v>0</v>
      </c>
      <c r="AG150" s="292">
        <f t="shared" si="14"/>
        <v>0</v>
      </c>
      <c r="AH150" s="292">
        <f t="shared" si="15"/>
        <v>0</v>
      </c>
      <c r="AI150" s="292">
        <f t="shared" si="16"/>
        <v>0</v>
      </c>
      <c r="AJ150" s="292">
        <f t="shared" si="17"/>
        <v>0</v>
      </c>
      <c r="AK150" s="292">
        <f t="shared" si="18"/>
        <v>0</v>
      </c>
      <c r="AL150" s="292">
        <f t="shared" si="49"/>
        <v>0</v>
      </c>
      <c r="AM150" s="292">
        <f t="shared" si="50"/>
        <v>0</v>
      </c>
      <c r="AN150" s="292">
        <f t="shared" si="19"/>
        <v>0</v>
      </c>
      <c r="AO150" s="292">
        <f t="shared" si="20"/>
        <v>0</v>
      </c>
      <c r="AP150" s="292">
        <f t="shared" si="21"/>
        <v>0</v>
      </c>
      <c r="AQ150" s="292">
        <f t="shared" si="22"/>
        <v>0</v>
      </c>
      <c r="AR150" s="292">
        <f t="shared" si="23"/>
        <v>0</v>
      </c>
      <c r="AS150" s="292">
        <f t="shared" si="24"/>
        <v>0</v>
      </c>
      <c r="AT150" s="292">
        <f t="shared" si="25"/>
        <v>0</v>
      </c>
      <c r="AU150" s="292">
        <f t="shared" si="26"/>
        <v>0</v>
      </c>
      <c r="AV150" s="292">
        <f t="shared" si="27"/>
        <v>0</v>
      </c>
      <c r="AW150" s="292">
        <f t="shared" si="28"/>
        <v>0</v>
      </c>
      <c r="AX150" s="292">
        <f t="shared" si="29"/>
        <v>29443000</v>
      </c>
      <c r="AY150" s="292">
        <f t="shared" si="30"/>
        <v>0</v>
      </c>
      <c r="AZ150" s="292">
        <f t="shared" si="31"/>
        <v>0</v>
      </c>
      <c r="BA150" s="292">
        <f t="shared" si="32"/>
        <v>0</v>
      </c>
      <c r="BB150" s="292">
        <f t="shared" si="33"/>
        <v>0</v>
      </c>
      <c r="BC150" s="292">
        <f t="shared" si="34"/>
        <v>0</v>
      </c>
      <c r="BD150" s="292">
        <f t="shared" si="35"/>
        <v>0</v>
      </c>
      <c r="BE150" s="292">
        <f t="shared" si="36"/>
        <v>0</v>
      </c>
      <c r="BF150" s="292">
        <f t="shared" si="37"/>
        <v>0</v>
      </c>
      <c r="BG150" s="292">
        <f t="shared" si="38"/>
        <v>0</v>
      </c>
    </row>
    <row r="151" spans="1:59" s="289" customFormat="1" ht="15" customHeight="1">
      <c r="A151" s="63">
        <f t="array" ref="A151">IF(C151&lt;&gt;0,SUM(($C$11:C151&lt;&gt;0)*1),"")</f>
        <v>141</v>
      </c>
      <c r="B151" s="1099">
        <v>42426</v>
      </c>
      <c r="C151" s="290" t="s">
        <v>1015</v>
      </c>
      <c r="D151" s="1099">
        <v>42426</v>
      </c>
      <c r="E151" s="344" t="s">
        <v>819</v>
      </c>
      <c r="F151" s="345">
        <v>2944300</v>
      </c>
      <c r="G151" s="346" t="s">
        <v>10</v>
      </c>
      <c r="H151" s="346" t="s">
        <v>9</v>
      </c>
      <c r="I151" s="63">
        <f t="shared" si="66"/>
        <v>141</v>
      </c>
      <c r="J151" s="292">
        <f t="shared" si="1"/>
        <v>0</v>
      </c>
      <c r="K151" s="292">
        <f t="shared" si="2"/>
        <v>0</v>
      </c>
      <c r="L151" s="292">
        <f t="shared" si="3"/>
        <v>0</v>
      </c>
      <c r="M151" s="292">
        <f t="shared" si="4"/>
        <v>0</v>
      </c>
      <c r="N151" s="292">
        <f t="shared" si="39"/>
        <v>0</v>
      </c>
      <c r="O151" s="292">
        <f t="shared" si="40"/>
        <v>0</v>
      </c>
      <c r="P151" s="292">
        <f t="shared" si="5"/>
        <v>2944300</v>
      </c>
      <c r="Q151" s="292">
        <f t="shared" si="6"/>
        <v>0</v>
      </c>
      <c r="R151" s="292">
        <f t="shared" si="60"/>
        <v>0</v>
      </c>
      <c r="S151" s="292">
        <f t="shared" si="61"/>
        <v>0</v>
      </c>
      <c r="T151" s="292">
        <f t="shared" si="7"/>
        <v>0</v>
      </c>
      <c r="U151" s="292">
        <f t="shared" si="8"/>
        <v>0</v>
      </c>
      <c r="V151" s="292">
        <f t="shared" si="62"/>
        <v>0</v>
      </c>
      <c r="W151" s="292">
        <f t="shared" si="63"/>
        <v>0</v>
      </c>
      <c r="X151" s="292">
        <f t="shared" si="64"/>
        <v>0</v>
      </c>
      <c r="Y151" s="292">
        <f t="shared" si="65"/>
        <v>0</v>
      </c>
      <c r="Z151" s="292">
        <f t="shared" si="47"/>
        <v>0</v>
      </c>
      <c r="AA151" s="292">
        <f t="shared" si="48"/>
        <v>0</v>
      </c>
      <c r="AB151" s="292">
        <f t="shared" si="9"/>
        <v>0</v>
      </c>
      <c r="AC151" s="292">
        <f t="shared" si="10"/>
        <v>2944300</v>
      </c>
      <c r="AD151" s="292">
        <f t="shared" si="11"/>
        <v>0</v>
      </c>
      <c r="AE151" s="292">
        <f t="shared" si="12"/>
        <v>0</v>
      </c>
      <c r="AF151" s="292">
        <f t="shared" si="13"/>
        <v>0</v>
      </c>
      <c r="AG151" s="292">
        <f t="shared" si="14"/>
        <v>0</v>
      </c>
      <c r="AH151" s="292">
        <f t="shared" si="15"/>
        <v>0</v>
      </c>
      <c r="AI151" s="292">
        <f t="shared" si="16"/>
        <v>0</v>
      </c>
      <c r="AJ151" s="292">
        <f t="shared" si="17"/>
        <v>0</v>
      </c>
      <c r="AK151" s="292">
        <f t="shared" si="18"/>
        <v>0</v>
      </c>
      <c r="AL151" s="292">
        <f t="shared" si="49"/>
        <v>0</v>
      </c>
      <c r="AM151" s="292">
        <f t="shared" si="50"/>
        <v>0</v>
      </c>
      <c r="AN151" s="292">
        <f t="shared" si="19"/>
        <v>0</v>
      </c>
      <c r="AO151" s="292">
        <f t="shared" si="20"/>
        <v>0</v>
      </c>
      <c r="AP151" s="292">
        <f t="shared" si="21"/>
        <v>0</v>
      </c>
      <c r="AQ151" s="292">
        <f t="shared" si="22"/>
        <v>0</v>
      </c>
      <c r="AR151" s="292">
        <f t="shared" si="23"/>
        <v>0</v>
      </c>
      <c r="AS151" s="292">
        <f t="shared" si="24"/>
        <v>0</v>
      </c>
      <c r="AT151" s="292">
        <f t="shared" si="25"/>
        <v>0</v>
      </c>
      <c r="AU151" s="292">
        <f t="shared" si="26"/>
        <v>0</v>
      </c>
      <c r="AV151" s="292">
        <f t="shared" si="27"/>
        <v>0</v>
      </c>
      <c r="AW151" s="292">
        <f t="shared" si="28"/>
        <v>0</v>
      </c>
      <c r="AX151" s="292">
        <f t="shared" si="29"/>
        <v>0</v>
      </c>
      <c r="AY151" s="292">
        <f t="shared" si="30"/>
        <v>0</v>
      </c>
      <c r="AZ151" s="292">
        <f t="shared" si="31"/>
        <v>0</v>
      </c>
      <c r="BA151" s="292">
        <f t="shared" si="32"/>
        <v>0</v>
      </c>
      <c r="BB151" s="292">
        <f t="shared" si="33"/>
        <v>0</v>
      </c>
      <c r="BC151" s="292">
        <f t="shared" si="34"/>
        <v>0</v>
      </c>
      <c r="BD151" s="292">
        <f t="shared" si="35"/>
        <v>0</v>
      </c>
      <c r="BE151" s="292">
        <f t="shared" si="36"/>
        <v>0</v>
      </c>
      <c r="BF151" s="292">
        <f t="shared" si="37"/>
        <v>0</v>
      </c>
      <c r="BG151" s="292">
        <f t="shared" si="38"/>
        <v>0</v>
      </c>
    </row>
    <row r="152" spans="1:59" s="289" customFormat="1" ht="15" customHeight="1">
      <c r="A152" s="63">
        <f t="array" ref="A152">IF(C152&lt;&gt;0,SUM(($C$11:C152&lt;&gt;0)*1),"")</f>
        <v>142</v>
      </c>
      <c r="B152" s="1099">
        <v>42430</v>
      </c>
      <c r="C152" s="290" t="s">
        <v>747</v>
      </c>
      <c r="D152" s="1099">
        <v>42430</v>
      </c>
      <c r="E152" s="344" t="s">
        <v>410</v>
      </c>
      <c r="F152" s="345">
        <v>41000000</v>
      </c>
      <c r="G152" s="346" t="s">
        <v>31</v>
      </c>
      <c r="H152" s="346" t="s">
        <v>97</v>
      </c>
      <c r="I152" s="63">
        <f t="shared" si="66"/>
        <v>142</v>
      </c>
      <c r="J152" s="292">
        <f t="shared" si="1"/>
        <v>0</v>
      </c>
      <c r="K152" s="292">
        <f t="shared" si="2"/>
        <v>41000000</v>
      </c>
      <c r="L152" s="292">
        <f t="shared" si="3"/>
        <v>41000000</v>
      </c>
      <c r="M152" s="292">
        <f t="shared" si="4"/>
        <v>0</v>
      </c>
      <c r="N152" s="292">
        <f t="shared" si="39"/>
        <v>0</v>
      </c>
      <c r="O152" s="292">
        <f t="shared" si="40"/>
        <v>0</v>
      </c>
      <c r="P152" s="292">
        <f t="shared" si="5"/>
        <v>0</v>
      </c>
      <c r="Q152" s="292">
        <f t="shared" si="6"/>
        <v>0</v>
      </c>
      <c r="R152" s="292">
        <f t="shared" si="60"/>
        <v>0</v>
      </c>
      <c r="S152" s="292">
        <f t="shared" si="61"/>
        <v>0</v>
      </c>
      <c r="T152" s="292">
        <f t="shared" si="7"/>
        <v>0</v>
      </c>
      <c r="U152" s="292">
        <f t="shared" si="8"/>
        <v>0</v>
      </c>
      <c r="V152" s="292">
        <f t="shared" si="62"/>
        <v>0</v>
      </c>
      <c r="W152" s="292">
        <f t="shared" si="63"/>
        <v>0</v>
      </c>
      <c r="X152" s="292">
        <f t="shared" si="64"/>
        <v>0</v>
      </c>
      <c r="Y152" s="292">
        <f t="shared" si="65"/>
        <v>0</v>
      </c>
      <c r="Z152" s="292">
        <f t="shared" si="47"/>
        <v>0</v>
      </c>
      <c r="AA152" s="292">
        <f t="shared" si="48"/>
        <v>0</v>
      </c>
      <c r="AB152" s="292">
        <f t="shared" si="9"/>
        <v>0</v>
      </c>
      <c r="AC152" s="292">
        <f t="shared" si="10"/>
        <v>0</v>
      </c>
      <c r="AD152" s="292">
        <f t="shared" si="11"/>
        <v>0</v>
      </c>
      <c r="AE152" s="292">
        <f t="shared" si="12"/>
        <v>0</v>
      </c>
      <c r="AF152" s="292">
        <f t="shared" si="13"/>
        <v>0</v>
      </c>
      <c r="AG152" s="292">
        <f t="shared" si="14"/>
        <v>0</v>
      </c>
      <c r="AH152" s="292">
        <f t="shared" si="15"/>
        <v>0</v>
      </c>
      <c r="AI152" s="292">
        <f t="shared" si="16"/>
        <v>0</v>
      </c>
      <c r="AJ152" s="292">
        <f t="shared" si="17"/>
        <v>0</v>
      </c>
      <c r="AK152" s="292">
        <f t="shared" si="18"/>
        <v>0</v>
      </c>
      <c r="AL152" s="292">
        <f t="shared" si="49"/>
        <v>0</v>
      </c>
      <c r="AM152" s="292">
        <f t="shared" si="50"/>
        <v>0</v>
      </c>
      <c r="AN152" s="292">
        <f t="shared" si="19"/>
        <v>0</v>
      </c>
      <c r="AO152" s="292">
        <f t="shared" si="20"/>
        <v>0</v>
      </c>
      <c r="AP152" s="292">
        <f t="shared" si="21"/>
        <v>0</v>
      </c>
      <c r="AQ152" s="292">
        <f t="shared" si="22"/>
        <v>0</v>
      </c>
      <c r="AR152" s="292">
        <f t="shared" si="23"/>
        <v>0</v>
      </c>
      <c r="AS152" s="292">
        <f t="shared" si="24"/>
        <v>0</v>
      </c>
      <c r="AT152" s="292">
        <f t="shared" si="25"/>
        <v>0</v>
      </c>
      <c r="AU152" s="292">
        <f t="shared" si="26"/>
        <v>0</v>
      </c>
      <c r="AV152" s="292">
        <f t="shared" si="27"/>
        <v>0</v>
      </c>
      <c r="AW152" s="292">
        <f t="shared" si="28"/>
        <v>0</v>
      </c>
      <c r="AX152" s="292">
        <f t="shared" si="29"/>
        <v>0</v>
      </c>
      <c r="AY152" s="292">
        <f t="shared" si="30"/>
        <v>0</v>
      </c>
      <c r="AZ152" s="292">
        <f t="shared" si="31"/>
        <v>0</v>
      </c>
      <c r="BA152" s="292">
        <f t="shared" si="32"/>
        <v>0</v>
      </c>
      <c r="BB152" s="292">
        <f t="shared" si="33"/>
        <v>0</v>
      </c>
      <c r="BC152" s="292">
        <f t="shared" si="34"/>
        <v>0</v>
      </c>
      <c r="BD152" s="292">
        <f t="shared" si="35"/>
        <v>0</v>
      </c>
      <c r="BE152" s="292">
        <f t="shared" si="36"/>
        <v>0</v>
      </c>
      <c r="BF152" s="292">
        <f t="shared" si="37"/>
        <v>0</v>
      </c>
      <c r="BG152" s="292">
        <f t="shared" si="38"/>
        <v>0</v>
      </c>
    </row>
    <row r="153" spans="1:59" s="289" customFormat="1" ht="15" customHeight="1">
      <c r="A153" s="63">
        <f t="array" ref="A153">IF(C153&lt;&gt;0,SUM(($C$11:C153&lt;&gt;0)*1),"")</f>
        <v>143</v>
      </c>
      <c r="B153" s="1099">
        <v>42430</v>
      </c>
      <c r="C153" s="290" t="s">
        <v>8</v>
      </c>
      <c r="D153" s="1099">
        <v>42430</v>
      </c>
      <c r="E153" s="344" t="s">
        <v>440</v>
      </c>
      <c r="F153" s="345">
        <v>40435780</v>
      </c>
      <c r="G153" s="346" t="s">
        <v>9</v>
      </c>
      <c r="H153" s="346" t="s">
        <v>31</v>
      </c>
      <c r="I153" s="63">
        <f t="shared" si="66"/>
        <v>143</v>
      </c>
      <c r="J153" s="292">
        <f t="shared" si="1"/>
        <v>0</v>
      </c>
      <c r="K153" s="292">
        <f t="shared" si="2"/>
        <v>0</v>
      </c>
      <c r="L153" s="292">
        <f t="shared" si="3"/>
        <v>0</v>
      </c>
      <c r="M153" s="292">
        <f t="shared" si="4"/>
        <v>40435780</v>
      </c>
      <c r="N153" s="292">
        <f t="shared" si="39"/>
        <v>0</v>
      </c>
      <c r="O153" s="292">
        <f t="shared" si="40"/>
        <v>0</v>
      </c>
      <c r="P153" s="292">
        <f t="shared" si="5"/>
        <v>0</v>
      </c>
      <c r="Q153" s="292">
        <f t="shared" si="6"/>
        <v>0</v>
      </c>
      <c r="R153" s="292">
        <f t="shared" si="60"/>
        <v>0</v>
      </c>
      <c r="S153" s="292">
        <f t="shared" si="61"/>
        <v>0</v>
      </c>
      <c r="T153" s="292">
        <f t="shared" si="7"/>
        <v>0</v>
      </c>
      <c r="U153" s="292">
        <f t="shared" si="8"/>
        <v>0</v>
      </c>
      <c r="V153" s="292">
        <f t="shared" si="62"/>
        <v>0</v>
      </c>
      <c r="W153" s="292">
        <f t="shared" si="63"/>
        <v>0</v>
      </c>
      <c r="X153" s="292">
        <f t="shared" si="64"/>
        <v>0</v>
      </c>
      <c r="Y153" s="292">
        <f t="shared" si="65"/>
        <v>0</v>
      </c>
      <c r="Z153" s="292">
        <f t="shared" si="47"/>
        <v>0</v>
      </c>
      <c r="AA153" s="292">
        <f t="shared" si="48"/>
        <v>0</v>
      </c>
      <c r="AB153" s="292">
        <f t="shared" si="9"/>
        <v>40435780</v>
      </c>
      <c r="AC153" s="292">
        <f t="shared" si="10"/>
        <v>0</v>
      </c>
      <c r="AD153" s="292">
        <f t="shared" si="11"/>
        <v>0</v>
      </c>
      <c r="AE153" s="292">
        <f t="shared" si="12"/>
        <v>0</v>
      </c>
      <c r="AF153" s="292">
        <f t="shared" si="13"/>
        <v>0</v>
      </c>
      <c r="AG153" s="292">
        <f t="shared" si="14"/>
        <v>0</v>
      </c>
      <c r="AH153" s="292">
        <f t="shared" si="15"/>
        <v>0</v>
      </c>
      <c r="AI153" s="292">
        <f t="shared" si="16"/>
        <v>0</v>
      </c>
      <c r="AJ153" s="292">
        <f t="shared" si="17"/>
        <v>0</v>
      </c>
      <c r="AK153" s="292">
        <f t="shared" si="18"/>
        <v>0</v>
      </c>
      <c r="AL153" s="292">
        <f t="shared" si="49"/>
        <v>0</v>
      </c>
      <c r="AM153" s="292">
        <f t="shared" si="50"/>
        <v>0</v>
      </c>
      <c r="AN153" s="292">
        <f t="shared" si="19"/>
        <v>0</v>
      </c>
      <c r="AO153" s="292">
        <f t="shared" si="20"/>
        <v>0</v>
      </c>
      <c r="AP153" s="292">
        <f t="shared" si="21"/>
        <v>0</v>
      </c>
      <c r="AQ153" s="292">
        <f t="shared" si="22"/>
        <v>0</v>
      </c>
      <c r="AR153" s="292">
        <f t="shared" si="23"/>
        <v>0</v>
      </c>
      <c r="AS153" s="292">
        <f t="shared" si="24"/>
        <v>0</v>
      </c>
      <c r="AT153" s="292">
        <f t="shared" si="25"/>
        <v>0</v>
      </c>
      <c r="AU153" s="292">
        <f t="shared" si="26"/>
        <v>0</v>
      </c>
      <c r="AV153" s="292">
        <f t="shared" si="27"/>
        <v>0</v>
      </c>
      <c r="AW153" s="292">
        <f t="shared" si="28"/>
        <v>0</v>
      </c>
      <c r="AX153" s="292">
        <f t="shared" si="29"/>
        <v>0</v>
      </c>
      <c r="AY153" s="292">
        <f t="shared" si="30"/>
        <v>0</v>
      </c>
      <c r="AZ153" s="292">
        <f t="shared" si="31"/>
        <v>0</v>
      </c>
      <c r="BA153" s="292">
        <f t="shared" si="32"/>
        <v>0</v>
      </c>
      <c r="BB153" s="292">
        <f t="shared" si="33"/>
        <v>0</v>
      </c>
      <c r="BC153" s="292">
        <f t="shared" si="34"/>
        <v>0</v>
      </c>
      <c r="BD153" s="292">
        <f t="shared" si="35"/>
        <v>0</v>
      </c>
      <c r="BE153" s="292">
        <f t="shared" si="36"/>
        <v>0</v>
      </c>
      <c r="BF153" s="292">
        <f t="shared" si="37"/>
        <v>0</v>
      </c>
      <c r="BG153" s="292">
        <f t="shared" si="38"/>
        <v>0</v>
      </c>
    </row>
    <row r="154" spans="1:59" s="289" customFormat="1" ht="15" customHeight="1">
      <c r="A154" s="63">
        <f t="array" ref="A154">IF(C154&lt;&gt;0,SUM(($C$11:C154&lt;&gt;0)*1),"")</f>
        <v>144</v>
      </c>
      <c r="B154" s="1099">
        <v>42430</v>
      </c>
      <c r="C154" s="290" t="s">
        <v>8</v>
      </c>
      <c r="D154" s="1099">
        <v>42430</v>
      </c>
      <c r="E154" s="344" t="s">
        <v>22</v>
      </c>
      <c r="F154" s="345">
        <v>45000</v>
      </c>
      <c r="G154" s="346" t="s">
        <v>135</v>
      </c>
      <c r="H154" s="346" t="s">
        <v>31</v>
      </c>
      <c r="I154" s="63">
        <f t="shared" si="66"/>
        <v>144</v>
      </c>
      <c r="J154" s="292">
        <f t="shared" si="1"/>
        <v>0</v>
      </c>
      <c r="K154" s="292">
        <f t="shared" si="2"/>
        <v>0</v>
      </c>
      <c r="L154" s="292">
        <f t="shared" si="3"/>
        <v>0</v>
      </c>
      <c r="M154" s="292">
        <f t="shared" si="4"/>
        <v>45000</v>
      </c>
      <c r="N154" s="292">
        <f t="shared" si="39"/>
        <v>0</v>
      </c>
      <c r="O154" s="292">
        <f t="shared" si="40"/>
        <v>0</v>
      </c>
      <c r="P154" s="292">
        <f t="shared" si="5"/>
        <v>0</v>
      </c>
      <c r="Q154" s="292">
        <f t="shared" si="6"/>
        <v>0</v>
      </c>
      <c r="R154" s="292">
        <f t="shared" si="60"/>
        <v>0</v>
      </c>
      <c r="S154" s="292">
        <f t="shared" si="61"/>
        <v>0</v>
      </c>
      <c r="T154" s="292">
        <f t="shared" si="7"/>
        <v>0</v>
      </c>
      <c r="U154" s="292">
        <f t="shared" si="8"/>
        <v>0</v>
      </c>
      <c r="V154" s="292">
        <f t="shared" si="62"/>
        <v>0</v>
      </c>
      <c r="W154" s="292">
        <f t="shared" si="63"/>
        <v>0</v>
      </c>
      <c r="X154" s="292">
        <f t="shared" si="64"/>
        <v>0</v>
      </c>
      <c r="Y154" s="292">
        <f t="shared" si="65"/>
        <v>0</v>
      </c>
      <c r="Z154" s="292">
        <f t="shared" si="47"/>
        <v>0</v>
      </c>
      <c r="AA154" s="292">
        <f t="shared" si="48"/>
        <v>0</v>
      </c>
      <c r="AB154" s="292">
        <f t="shared" si="9"/>
        <v>0</v>
      </c>
      <c r="AC154" s="292">
        <f t="shared" si="10"/>
        <v>0</v>
      </c>
      <c r="AD154" s="292">
        <f t="shared" si="11"/>
        <v>0</v>
      </c>
      <c r="AE154" s="292">
        <f t="shared" si="12"/>
        <v>0</v>
      </c>
      <c r="AF154" s="292">
        <f t="shared" si="13"/>
        <v>0</v>
      </c>
      <c r="AG154" s="292">
        <f t="shared" si="14"/>
        <v>0</v>
      </c>
      <c r="AH154" s="292">
        <f t="shared" si="15"/>
        <v>0</v>
      </c>
      <c r="AI154" s="292">
        <f t="shared" si="16"/>
        <v>0</v>
      </c>
      <c r="AJ154" s="292">
        <f t="shared" si="17"/>
        <v>0</v>
      </c>
      <c r="AK154" s="292">
        <f t="shared" si="18"/>
        <v>0</v>
      </c>
      <c r="AL154" s="292">
        <f t="shared" si="49"/>
        <v>0</v>
      </c>
      <c r="AM154" s="292">
        <f t="shared" si="50"/>
        <v>0</v>
      </c>
      <c r="AN154" s="292">
        <f t="shared" si="19"/>
        <v>0</v>
      </c>
      <c r="AO154" s="292">
        <f t="shared" si="20"/>
        <v>0</v>
      </c>
      <c r="AP154" s="292">
        <f t="shared" si="21"/>
        <v>0</v>
      </c>
      <c r="AQ154" s="292">
        <f t="shared" si="22"/>
        <v>0</v>
      </c>
      <c r="AR154" s="292">
        <f t="shared" si="23"/>
        <v>0</v>
      </c>
      <c r="AS154" s="292">
        <f t="shared" si="24"/>
        <v>0</v>
      </c>
      <c r="AT154" s="292">
        <f t="shared" si="25"/>
        <v>0</v>
      </c>
      <c r="AU154" s="292">
        <f t="shared" si="26"/>
        <v>0</v>
      </c>
      <c r="AV154" s="292">
        <f t="shared" si="27"/>
        <v>0</v>
      </c>
      <c r="AW154" s="292">
        <f t="shared" si="28"/>
        <v>0</v>
      </c>
      <c r="AX154" s="292">
        <f t="shared" si="29"/>
        <v>45000</v>
      </c>
      <c r="AY154" s="292">
        <f t="shared" si="30"/>
        <v>0</v>
      </c>
      <c r="AZ154" s="292">
        <f t="shared" si="31"/>
        <v>0</v>
      </c>
      <c r="BA154" s="292">
        <f t="shared" si="32"/>
        <v>0</v>
      </c>
      <c r="BB154" s="292">
        <f t="shared" si="33"/>
        <v>0</v>
      </c>
      <c r="BC154" s="292">
        <f t="shared" si="34"/>
        <v>0</v>
      </c>
      <c r="BD154" s="292">
        <f t="shared" si="35"/>
        <v>0</v>
      </c>
      <c r="BE154" s="292">
        <f t="shared" si="36"/>
        <v>0</v>
      </c>
      <c r="BF154" s="292">
        <f t="shared" si="37"/>
        <v>0</v>
      </c>
      <c r="BG154" s="292">
        <f t="shared" si="38"/>
        <v>0</v>
      </c>
    </row>
    <row r="155" spans="1:59" s="289" customFormat="1" ht="15" customHeight="1">
      <c r="A155" s="63">
        <f t="array" ref="A155">IF(C155&lt;&gt;0,SUM(($C$11:C155&lt;&gt;0)*1),"")</f>
        <v>145</v>
      </c>
      <c r="B155" s="1099">
        <v>42430</v>
      </c>
      <c r="C155" s="290" t="s">
        <v>8</v>
      </c>
      <c r="D155" s="1099">
        <v>42430</v>
      </c>
      <c r="E155" s="344" t="s">
        <v>23</v>
      </c>
      <c r="F155" s="345">
        <v>4500</v>
      </c>
      <c r="G155" s="346" t="s">
        <v>10</v>
      </c>
      <c r="H155" s="346" t="s">
        <v>31</v>
      </c>
      <c r="I155" s="63">
        <f t="shared" si="66"/>
        <v>145</v>
      </c>
      <c r="J155" s="292">
        <f t="shared" si="1"/>
        <v>0</v>
      </c>
      <c r="K155" s="292">
        <f t="shared" si="2"/>
        <v>0</v>
      </c>
      <c r="L155" s="292">
        <f t="shared" si="3"/>
        <v>0</v>
      </c>
      <c r="M155" s="292">
        <f t="shared" si="4"/>
        <v>4500</v>
      </c>
      <c r="N155" s="292">
        <f t="shared" si="39"/>
        <v>0</v>
      </c>
      <c r="O155" s="292">
        <f t="shared" si="40"/>
        <v>0</v>
      </c>
      <c r="P155" s="292">
        <f t="shared" si="5"/>
        <v>4500</v>
      </c>
      <c r="Q155" s="292">
        <f t="shared" si="6"/>
        <v>0</v>
      </c>
      <c r="R155" s="292">
        <f t="shared" si="60"/>
        <v>0</v>
      </c>
      <c r="S155" s="292">
        <f t="shared" si="61"/>
        <v>0</v>
      </c>
      <c r="T155" s="292">
        <f t="shared" si="7"/>
        <v>0</v>
      </c>
      <c r="U155" s="292">
        <f t="shared" si="8"/>
        <v>0</v>
      </c>
      <c r="V155" s="292">
        <f t="shared" si="62"/>
        <v>0</v>
      </c>
      <c r="W155" s="292">
        <f t="shared" si="63"/>
        <v>0</v>
      </c>
      <c r="X155" s="292">
        <f t="shared" si="64"/>
        <v>0</v>
      </c>
      <c r="Y155" s="292">
        <f t="shared" si="65"/>
        <v>0</v>
      </c>
      <c r="Z155" s="292">
        <f t="shared" si="47"/>
        <v>0</v>
      </c>
      <c r="AA155" s="292">
        <f t="shared" si="48"/>
        <v>0</v>
      </c>
      <c r="AB155" s="292">
        <f t="shared" si="9"/>
        <v>0</v>
      </c>
      <c r="AC155" s="292">
        <f t="shared" si="10"/>
        <v>0</v>
      </c>
      <c r="AD155" s="292">
        <f t="shared" si="11"/>
        <v>0</v>
      </c>
      <c r="AE155" s="292">
        <f t="shared" si="12"/>
        <v>0</v>
      </c>
      <c r="AF155" s="292">
        <f t="shared" si="13"/>
        <v>0</v>
      </c>
      <c r="AG155" s="292">
        <f t="shared" si="14"/>
        <v>0</v>
      </c>
      <c r="AH155" s="292">
        <f t="shared" si="15"/>
        <v>0</v>
      </c>
      <c r="AI155" s="292">
        <f t="shared" si="16"/>
        <v>0</v>
      </c>
      <c r="AJ155" s="292">
        <f t="shared" si="17"/>
        <v>0</v>
      </c>
      <c r="AK155" s="292">
        <f t="shared" si="18"/>
        <v>0</v>
      </c>
      <c r="AL155" s="292">
        <f t="shared" si="49"/>
        <v>0</v>
      </c>
      <c r="AM155" s="292">
        <f t="shared" si="50"/>
        <v>0</v>
      </c>
      <c r="AN155" s="292">
        <f t="shared" si="19"/>
        <v>0</v>
      </c>
      <c r="AO155" s="292">
        <f t="shared" si="20"/>
        <v>0</v>
      </c>
      <c r="AP155" s="292">
        <f t="shared" si="21"/>
        <v>0</v>
      </c>
      <c r="AQ155" s="292">
        <f t="shared" si="22"/>
        <v>0</v>
      </c>
      <c r="AR155" s="292">
        <f t="shared" si="23"/>
        <v>0</v>
      </c>
      <c r="AS155" s="292">
        <f t="shared" si="24"/>
        <v>0</v>
      </c>
      <c r="AT155" s="292">
        <f t="shared" si="25"/>
        <v>0</v>
      </c>
      <c r="AU155" s="292">
        <f t="shared" si="26"/>
        <v>0</v>
      </c>
      <c r="AV155" s="292">
        <f t="shared" si="27"/>
        <v>0</v>
      </c>
      <c r="AW155" s="292">
        <f t="shared" si="28"/>
        <v>0</v>
      </c>
      <c r="AX155" s="292">
        <f t="shared" si="29"/>
        <v>0</v>
      </c>
      <c r="AY155" s="292">
        <f t="shared" si="30"/>
        <v>0</v>
      </c>
      <c r="AZ155" s="292">
        <f t="shared" si="31"/>
        <v>0</v>
      </c>
      <c r="BA155" s="292">
        <f t="shared" si="32"/>
        <v>0</v>
      </c>
      <c r="BB155" s="292">
        <f t="shared" si="33"/>
        <v>0</v>
      </c>
      <c r="BC155" s="292">
        <f t="shared" si="34"/>
        <v>0</v>
      </c>
      <c r="BD155" s="292">
        <f t="shared" si="35"/>
        <v>0</v>
      </c>
      <c r="BE155" s="292">
        <f t="shared" si="36"/>
        <v>0</v>
      </c>
      <c r="BF155" s="292">
        <f t="shared" si="37"/>
        <v>0</v>
      </c>
      <c r="BG155" s="292">
        <f t="shared" si="38"/>
        <v>0</v>
      </c>
    </row>
    <row r="156" spans="1:59" s="289" customFormat="1" ht="15" customHeight="1">
      <c r="A156" s="63">
        <f t="array" ref="A156">IF(C156&lt;&gt;0,SUM(($C$11:C156&lt;&gt;0)*1),"")</f>
        <v>146</v>
      </c>
      <c r="B156" s="1099">
        <v>42432</v>
      </c>
      <c r="C156" s="290" t="s">
        <v>8</v>
      </c>
      <c r="D156" s="1099">
        <v>42432</v>
      </c>
      <c r="E156" s="344" t="s">
        <v>786</v>
      </c>
      <c r="F156" s="345">
        <v>10000</v>
      </c>
      <c r="G156" s="346" t="s">
        <v>135</v>
      </c>
      <c r="H156" s="346" t="s">
        <v>31</v>
      </c>
      <c r="I156" s="63">
        <f t="shared" si="66"/>
        <v>146</v>
      </c>
      <c r="J156" s="292">
        <f t="shared" si="1"/>
        <v>0</v>
      </c>
      <c r="K156" s="292">
        <f t="shared" si="2"/>
        <v>0</v>
      </c>
      <c r="L156" s="292">
        <f t="shared" si="3"/>
        <v>0</v>
      </c>
      <c r="M156" s="292">
        <f t="shared" si="4"/>
        <v>10000</v>
      </c>
      <c r="N156" s="292">
        <f t="shared" si="39"/>
        <v>0</v>
      </c>
      <c r="O156" s="292">
        <f t="shared" si="40"/>
        <v>0</v>
      </c>
      <c r="P156" s="292">
        <f t="shared" si="5"/>
        <v>0</v>
      </c>
      <c r="Q156" s="292">
        <f t="shared" si="6"/>
        <v>0</v>
      </c>
      <c r="R156" s="292">
        <f t="shared" si="60"/>
        <v>0</v>
      </c>
      <c r="S156" s="292">
        <f t="shared" si="61"/>
        <v>0</v>
      </c>
      <c r="T156" s="292">
        <f t="shared" si="7"/>
        <v>0</v>
      </c>
      <c r="U156" s="292">
        <f t="shared" si="8"/>
        <v>0</v>
      </c>
      <c r="V156" s="292">
        <f t="shared" si="62"/>
        <v>0</v>
      </c>
      <c r="W156" s="292">
        <f t="shared" si="63"/>
        <v>0</v>
      </c>
      <c r="X156" s="292">
        <f t="shared" si="64"/>
        <v>0</v>
      </c>
      <c r="Y156" s="292">
        <f t="shared" si="65"/>
        <v>0</v>
      </c>
      <c r="Z156" s="292">
        <f t="shared" si="47"/>
        <v>0</v>
      </c>
      <c r="AA156" s="292">
        <f t="shared" si="48"/>
        <v>0</v>
      </c>
      <c r="AB156" s="292">
        <f t="shared" si="9"/>
        <v>0</v>
      </c>
      <c r="AC156" s="292">
        <f t="shared" si="10"/>
        <v>0</v>
      </c>
      <c r="AD156" s="292">
        <f t="shared" si="11"/>
        <v>0</v>
      </c>
      <c r="AE156" s="292">
        <f t="shared" si="12"/>
        <v>0</v>
      </c>
      <c r="AF156" s="292">
        <f t="shared" si="13"/>
        <v>0</v>
      </c>
      <c r="AG156" s="292">
        <f t="shared" si="14"/>
        <v>0</v>
      </c>
      <c r="AH156" s="292">
        <f t="shared" si="15"/>
        <v>0</v>
      </c>
      <c r="AI156" s="292">
        <f t="shared" si="16"/>
        <v>0</v>
      </c>
      <c r="AJ156" s="292">
        <f t="shared" si="17"/>
        <v>0</v>
      </c>
      <c r="AK156" s="292">
        <f t="shared" si="18"/>
        <v>0</v>
      </c>
      <c r="AL156" s="292">
        <f t="shared" si="49"/>
        <v>0</v>
      </c>
      <c r="AM156" s="292">
        <f t="shared" si="50"/>
        <v>0</v>
      </c>
      <c r="AN156" s="292">
        <f t="shared" si="19"/>
        <v>0</v>
      </c>
      <c r="AO156" s="292">
        <f t="shared" si="20"/>
        <v>0</v>
      </c>
      <c r="AP156" s="292">
        <f t="shared" si="21"/>
        <v>0</v>
      </c>
      <c r="AQ156" s="292">
        <f t="shared" si="22"/>
        <v>0</v>
      </c>
      <c r="AR156" s="292">
        <f t="shared" si="23"/>
        <v>0</v>
      </c>
      <c r="AS156" s="292">
        <f t="shared" si="24"/>
        <v>0</v>
      </c>
      <c r="AT156" s="292">
        <f t="shared" si="25"/>
        <v>0</v>
      </c>
      <c r="AU156" s="292">
        <f t="shared" si="26"/>
        <v>0</v>
      </c>
      <c r="AV156" s="292">
        <f t="shared" si="27"/>
        <v>0</v>
      </c>
      <c r="AW156" s="292">
        <f t="shared" si="28"/>
        <v>0</v>
      </c>
      <c r="AX156" s="292">
        <f t="shared" si="29"/>
        <v>10000</v>
      </c>
      <c r="AY156" s="292">
        <f t="shared" si="30"/>
        <v>0</v>
      </c>
      <c r="AZ156" s="292">
        <f t="shared" si="31"/>
        <v>0</v>
      </c>
      <c r="BA156" s="292">
        <f t="shared" si="32"/>
        <v>0</v>
      </c>
      <c r="BB156" s="292">
        <f t="shared" si="33"/>
        <v>0</v>
      </c>
      <c r="BC156" s="292">
        <f t="shared" si="34"/>
        <v>0</v>
      </c>
      <c r="BD156" s="292">
        <f t="shared" si="35"/>
        <v>0</v>
      </c>
      <c r="BE156" s="292">
        <f t="shared" si="36"/>
        <v>0</v>
      </c>
      <c r="BF156" s="292">
        <f t="shared" si="37"/>
        <v>0</v>
      </c>
      <c r="BG156" s="292">
        <f t="shared" si="38"/>
        <v>0</v>
      </c>
    </row>
    <row r="157" spans="1:59" s="289" customFormat="1" ht="15" customHeight="1">
      <c r="A157" s="63">
        <f t="array" ref="A157">IF(C157&lt;&gt;0,SUM(($C$11:C157&lt;&gt;0)*1),"")</f>
        <v>147</v>
      </c>
      <c r="B157" s="1099">
        <v>42432</v>
      </c>
      <c r="C157" s="290" t="s">
        <v>8</v>
      </c>
      <c r="D157" s="1099">
        <v>42432</v>
      </c>
      <c r="E157" s="344" t="s">
        <v>787</v>
      </c>
      <c r="F157" s="345">
        <v>1000</v>
      </c>
      <c r="G157" s="346" t="s">
        <v>10</v>
      </c>
      <c r="H157" s="346" t="s">
        <v>31</v>
      </c>
      <c r="I157" s="63">
        <f t="shared" si="66"/>
        <v>147</v>
      </c>
      <c r="J157" s="292">
        <f t="shared" si="1"/>
        <v>0</v>
      </c>
      <c r="K157" s="292">
        <f t="shared" si="2"/>
        <v>0</v>
      </c>
      <c r="L157" s="292">
        <f t="shared" si="3"/>
        <v>0</v>
      </c>
      <c r="M157" s="292">
        <f t="shared" si="4"/>
        <v>1000</v>
      </c>
      <c r="N157" s="292">
        <f t="shared" si="39"/>
        <v>0</v>
      </c>
      <c r="O157" s="292">
        <f t="shared" si="40"/>
        <v>0</v>
      </c>
      <c r="P157" s="292">
        <f t="shared" si="5"/>
        <v>1000</v>
      </c>
      <c r="Q157" s="292">
        <f t="shared" si="6"/>
        <v>0</v>
      </c>
      <c r="R157" s="292">
        <f t="shared" si="60"/>
        <v>0</v>
      </c>
      <c r="S157" s="292">
        <f t="shared" si="61"/>
        <v>0</v>
      </c>
      <c r="T157" s="292">
        <f t="shared" si="7"/>
        <v>0</v>
      </c>
      <c r="U157" s="292">
        <f t="shared" si="8"/>
        <v>0</v>
      </c>
      <c r="V157" s="292">
        <f t="shared" si="62"/>
        <v>0</v>
      </c>
      <c r="W157" s="292">
        <f t="shared" si="63"/>
        <v>0</v>
      </c>
      <c r="X157" s="292">
        <f t="shared" si="64"/>
        <v>0</v>
      </c>
      <c r="Y157" s="292">
        <f t="shared" si="65"/>
        <v>0</v>
      </c>
      <c r="Z157" s="292">
        <f t="shared" si="47"/>
        <v>0</v>
      </c>
      <c r="AA157" s="292">
        <f t="shared" si="48"/>
        <v>0</v>
      </c>
      <c r="AB157" s="292">
        <f t="shared" si="9"/>
        <v>0</v>
      </c>
      <c r="AC157" s="292">
        <f t="shared" si="10"/>
        <v>0</v>
      </c>
      <c r="AD157" s="292">
        <f t="shared" si="11"/>
        <v>0</v>
      </c>
      <c r="AE157" s="292">
        <f t="shared" si="12"/>
        <v>0</v>
      </c>
      <c r="AF157" s="292">
        <f t="shared" si="13"/>
        <v>0</v>
      </c>
      <c r="AG157" s="292">
        <f t="shared" si="14"/>
        <v>0</v>
      </c>
      <c r="AH157" s="292">
        <f t="shared" si="15"/>
        <v>0</v>
      </c>
      <c r="AI157" s="292">
        <f t="shared" si="16"/>
        <v>0</v>
      </c>
      <c r="AJ157" s="292">
        <f t="shared" si="17"/>
        <v>0</v>
      </c>
      <c r="AK157" s="292">
        <f t="shared" si="18"/>
        <v>0</v>
      </c>
      <c r="AL157" s="292">
        <f t="shared" si="49"/>
        <v>0</v>
      </c>
      <c r="AM157" s="292">
        <f t="shared" si="50"/>
        <v>0</v>
      </c>
      <c r="AN157" s="292">
        <f t="shared" si="19"/>
        <v>0</v>
      </c>
      <c r="AO157" s="292">
        <f t="shared" si="20"/>
        <v>0</v>
      </c>
      <c r="AP157" s="292">
        <f t="shared" si="21"/>
        <v>0</v>
      </c>
      <c r="AQ157" s="292">
        <f t="shared" si="22"/>
        <v>0</v>
      </c>
      <c r="AR157" s="292">
        <f t="shared" si="23"/>
        <v>0</v>
      </c>
      <c r="AS157" s="292">
        <f t="shared" si="24"/>
        <v>0</v>
      </c>
      <c r="AT157" s="292">
        <f t="shared" si="25"/>
        <v>0</v>
      </c>
      <c r="AU157" s="292">
        <f t="shared" si="26"/>
        <v>0</v>
      </c>
      <c r="AV157" s="292">
        <f t="shared" si="27"/>
        <v>0</v>
      </c>
      <c r="AW157" s="292">
        <f t="shared" si="28"/>
        <v>0</v>
      </c>
      <c r="AX157" s="292">
        <f t="shared" si="29"/>
        <v>0</v>
      </c>
      <c r="AY157" s="292">
        <f t="shared" si="30"/>
        <v>0</v>
      </c>
      <c r="AZ157" s="292">
        <f t="shared" si="31"/>
        <v>0</v>
      </c>
      <c r="BA157" s="292">
        <f t="shared" si="32"/>
        <v>0</v>
      </c>
      <c r="BB157" s="292">
        <f t="shared" si="33"/>
        <v>0</v>
      </c>
      <c r="BC157" s="292">
        <f t="shared" si="34"/>
        <v>0</v>
      </c>
      <c r="BD157" s="292">
        <f t="shared" si="35"/>
        <v>0</v>
      </c>
      <c r="BE157" s="292">
        <f t="shared" si="36"/>
        <v>0</v>
      </c>
      <c r="BF157" s="292">
        <f t="shared" si="37"/>
        <v>0</v>
      </c>
      <c r="BG157" s="292">
        <f t="shared" si="38"/>
        <v>0</v>
      </c>
    </row>
    <row r="158" spans="1:59" s="289" customFormat="1" ht="15" customHeight="1">
      <c r="A158" s="63">
        <f t="array" ref="A158">IF(C158&lt;&gt;0,SUM(($C$11:C158&lt;&gt;0)*1),"")</f>
        <v>148</v>
      </c>
      <c r="B158" s="1099">
        <v>42436</v>
      </c>
      <c r="C158" s="290" t="s">
        <v>748</v>
      </c>
      <c r="D158" s="1099">
        <v>42436</v>
      </c>
      <c r="E158" s="344" t="s">
        <v>753</v>
      </c>
      <c r="F158" s="345">
        <v>330000</v>
      </c>
      <c r="G158" s="346" t="s">
        <v>242</v>
      </c>
      <c r="H158" s="346" t="s">
        <v>97</v>
      </c>
      <c r="I158" s="63">
        <f t="shared" si="66"/>
        <v>148</v>
      </c>
      <c r="J158" s="292">
        <f t="shared" si="1"/>
        <v>0</v>
      </c>
      <c r="K158" s="292">
        <f t="shared" si="2"/>
        <v>330000</v>
      </c>
      <c r="L158" s="292">
        <f t="shared" si="3"/>
        <v>0</v>
      </c>
      <c r="M158" s="292">
        <f t="shared" si="4"/>
        <v>0</v>
      </c>
      <c r="N158" s="292">
        <f t="shared" si="39"/>
        <v>0</v>
      </c>
      <c r="O158" s="292">
        <f t="shared" si="40"/>
        <v>0</v>
      </c>
      <c r="P158" s="292">
        <f t="shared" si="5"/>
        <v>0</v>
      </c>
      <c r="Q158" s="292">
        <f t="shared" si="6"/>
        <v>0</v>
      </c>
      <c r="R158" s="292">
        <f t="shared" si="60"/>
        <v>0</v>
      </c>
      <c r="S158" s="292">
        <f t="shared" si="61"/>
        <v>0</v>
      </c>
      <c r="T158" s="292">
        <f t="shared" si="7"/>
        <v>0</v>
      </c>
      <c r="U158" s="292">
        <f t="shared" si="8"/>
        <v>0</v>
      </c>
      <c r="V158" s="292">
        <f t="shared" si="62"/>
        <v>0</v>
      </c>
      <c r="W158" s="292">
        <f t="shared" si="63"/>
        <v>0</v>
      </c>
      <c r="X158" s="292">
        <f t="shared" si="64"/>
        <v>0</v>
      </c>
      <c r="Y158" s="292">
        <f t="shared" si="65"/>
        <v>0</v>
      </c>
      <c r="Z158" s="292">
        <f t="shared" si="47"/>
        <v>330000</v>
      </c>
      <c r="AA158" s="292">
        <f t="shared" si="48"/>
        <v>0</v>
      </c>
      <c r="AB158" s="292">
        <f t="shared" si="9"/>
        <v>0</v>
      </c>
      <c r="AC158" s="292">
        <f t="shared" si="10"/>
        <v>0</v>
      </c>
      <c r="AD158" s="292">
        <f t="shared" si="11"/>
        <v>0</v>
      </c>
      <c r="AE158" s="292">
        <f t="shared" si="12"/>
        <v>0</v>
      </c>
      <c r="AF158" s="292">
        <f t="shared" si="13"/>
        <v>0</v>
      </c>
      <c r="AG158" s="292">
        <f t="shared" si="14"/>
        <v>0</v>
      </c>
      <c r="AH158" s="292">
        <f t="shared" si="15"/>
        <v>0</v>
      </c>
      <c r="AI158" s="292">
        <f t="shared" si="16"/>
        <v>0</v>
      </c>
      <c r="AJ158" s="292">
        <f t="shared" si="17"/>
        <v>0</v>
      </c>
      <c r="AK158" s="292">
        <f t="shared" si="18"/>
        <v>0</v>
      </c>
      <c r="AL158" s="292">
        <f t="shared" si="49"/>
        <v>0</v>
      </c>
      <c r="AM158" s="292">
        <f t="shared" si="50"/>
        <v>0</v>
      </c>
      <c r="AN158" s="292">
        <f t="shared" si="19"/>
        <v>0</v>
      </c>
      <c r="AO158" s="292">
        <f t="shared" si="20"/>
        <v>0</v>
      </c>
      <c r="AP158" s="292">
        <f t="shared" si="21"/>
        <v>0</v>
      </c>
      <c r="AQ158" s="292">
        <f t="shared" si="22"/>
        <v>0</v>
      </c>
      <c r="AR158" s="292">
        <f t="shared" si="23"/>
        <v>0</v>
      </c>
      <c r="AS158" s="292">
        <f t="shared" si="24"/>
        <v>0</v>
      </c>
      <c r="AT158" s="292">
        <f t="shared" si="25"/>
        <v>0</v>
      </c>
      <c r="AU158" s="292">
        <f t="shared" si="26"/>
        <v>0</v>
      </c>
      <c r="AV158" s="292">
        <f t="shared" si="27"/>
        <v>0</v>
      </c>
      <c r="AW158" s="292">
        <f t="shared" si="28"/>
        <v>0</v>
      </c>
      <c r="AX158" s="292">
        <f t="shared" si="29"/>
        <v>0</v>
      </c>
      <c r="AY158" s="292">
        <f t="shared" si="30"/>
        <v>0</v>
      </c>
      <c r="AZ158" s="292">
        <f t="shared" si="31"/>
        <v>0</v>
      </c>
      <c r="BA158" s="292">
        <f t="shared" si="32"/>
        <v>0</v>
      </c>
      <c r="BB158" s="292">
        <f t="shared" si="33"/>
        <v>0</v>
      </c>
      <c r="BC158" s="292">
        <f t="shared" si="34"/>
        <v>0</v>
      </c>
      <c r="BD158" s="292">
        <f t="shared" si="35"/>
        <v>0</v>
      </c>
      <c r="BE158" s="292">
        <f t="shared" si="36"/>
        <v>0</v>
      </c>
      <c r="BF158" s="292">
        <f t="shared" si="37"/>
        <v>0</v>
      </c>
      <c r="BG158" s="292">
        <f t="shared" si="38"/>
        <v>0</v>
      </c>
    </row>
    <row r="159" spans="1:59" s="289" customFormat="1" ht="15" customHeight="1">
      <c r="A159" s="63">
        <f t="array" ref="A159">IF(C159&lt;&gt;0,SUM(($C$11:C159&lt;&gt;0)*1),"")</f>
        <v>149</v>
      </c>
      <c r="B159" s="1099">
        <v>42436</v>
      </c>
      <c r="C159" s="290" t="s">
        <v>752</v>
      </c>
      <c r="D159" s="1099">
        <v>42436</v>
      </c>
      <c r="E159" s="344" t="s">
        <v>399</v>
      </c>
      <c r="F159" s="345">
        <v>2810000</v>
      </c>
      <c r="G159" s="346" t="s">
        <v>242</v>
      </c>
      <c r="H159" s="346" t="s">
        <v>97</v>
      </c>
      <c r="I159" s="63">
        <f t="shared" si="66"/>
        <v>149</v>
      </c>
      <c r="J159" s="292">
        <f t="shared" si="1"/>
        <v>0</v>
      </c>
      <c r="K159" s="292">
        <f t="shared" si="2"/>
        <v>2810000</v>
      </c>
      <c r="L159" s="292">
        <f t="shared" si="3"/>
        <v>0</v>
      </c>
      <c r="M159" s="292">
        <f t="shared" si="4"/>
        <v>0</v>
      </c>
      <c r="N159" s="292">
        <f t="shared" si="39"/>
        <v>0</v>
      </c>
      <c r="O159" s="292">
        <f t="shared" si="40"/>
        <v>0</v>
      </c>
      <c r="P159" s="292">
        <f t="shared" si="5"/>
        <v>0</v>
      </c>
      <c r="Q159" s="292">
        <f t="shared" si="6"/>
        <v>0</v>
      </c>
      <c r="R159" s="292">
        <f t="shared" si="60"/>
        <v>0</v>
      </c>
      <c r="S159" s="292">
        <f t="shared" si="61"/>
        <v>0</v>
      </c>
      <c r="T159" s="292">
        <f t="shared" si="7"/>
        <v>0</v>
      </c>
      <c r="U159" s="292">
        <f t="shared" si="8"/>
        <v>0</v>
      </c>
      <c r="V159" s="292">
        <f t="shared" si="62"/>
        <v>0</v>
      </c>
      <c r="W159" s="292">
        <f t="shared" si="63"/>
        <v>0</v>
      </c>
      <c r="X159" s="292">
        <f t="shared" si="64"/>
        <v>0</v>
      </c>
      <c r="Y159" s="292">
        <f t="shared" si="65"/>
        <v>0</v>
      </c>
      <c r="Z159" s="292">
        <f t="shared" si="47"/>
        <v>2810000</v>
      </c>
      <c r="AA159" s="292">
        <f t="shared" si="48"/>
        <v>0</v>
      </c>
      <c r="AB159" s="292">
        <f t="shared" si="9"/>
        <v>0</v>
      </c>
      <c r="AC159" s="292">
        <f t="shared" si="10"/>
        <v>0</v>
      </c>
      <c r="AD159" s="292">
        <f t="shared" si="11"/>
        <v>0</v>
      </c>
      <c r="AE159" s="292">
        <f t="shared" si="12"/>
        <v>0</v>
      </c>
      <c r="AF159" s="292">
        <f t="shared" si="13"/>
        <v>0</v>
      </c>
      <c r="AG159" s="292">
        <f t="shared" si="14"/>
        <v>0</v>
      </c>
      <c r="AH159" s="292">
        <f t="shared" si="15"/>
        <v>0</v>
      </c>
      <c r="AI159" s="292">
        <f t="shared" si="16"/>
        <v>0</v>
      </c>
      <c r="AJ159" s="292">
        <f t="shared" si="17"/>
        <v>0</v>
      </c>
      <c r="AK159" s="292">
        <f t="shared" si="18"/>
        <v>0</v>
      </c>
      <c r="AL159" s="292">
        <f t="shared" si="49"/>
        <v>0</v>
      </c>
      <c r="AM159" s="292">
        <f t="shared" si="50"/>
        <v>0</v>
      </c>
      <c r="AN159" s="292">
        <f t="shared" si="19"/>
        <v>0</v>
      </c>
      <c r="AO159" s="292">
        <f t="shared" si="20"/>
        <v>0</v>
      </c>
      <c r="AP159" s="292">
        <f t="shared" si="21"/>
        <v>0</v>
      </c>
      <c r="AQ159" s="292">
        <f t="shared" si="22"/>
        <v>0</v>
      </c>
      <c r="AR159" s="292">
        <f t="shared" si="23"/>
        <v>0</v>
      </c>
      <c r="AS159" s="292">
        <f t="shared" si="24"/>
        <v>0</v>
      </c>
      <c r="AT159" s="292">
        <f t="shared" si="25"/>
        <v>0</v>
      </c>
      <c r="AU159" s="292">
        <f t="shared" si="26"/>
        <v>0</v>
      </c>
      <c r="AV159" s="292">
        <f t="shared" si="27"/>
        <v>0</v>
      </c>
      <c r="AW159" s="292">
        <f t="shared" si="28"/>
        <v>0</v>
      </c>
      <c r="AX159" s="292">
        <f t="shared" si="29"/>
        <v>0</v>
      </c>
      <c r="AY159" s="292">
        <f t="shared" si="30"/>
        <v>0</v>
      </c>
      <c r="AZ159" s="292">
        <f t="shared" si="31"/>
        <v>0</v>
      </c>
      <c r="BA159" s="292">
        <f t="shared" si="32"/>
        <v>0</v>
      </c>
      <c r="BB159" s="292">
        <f t="shared" si="33"/>
        <v>0</v>
      </c>
      <c r="BC159" s="292">
        <f t="shared" si="34"/>
        <v>0</v>
      </c>
      <c r="BD159" s="292">
        <f t="shared" si="35"/>
        <v>0</v>
      </c>
      <c r="BE159" s="292">
        <f t="shared" si="36"/>
        <v>0</v>
      </c>
      <c r="BF159" s="292">
        <f t="shared" si="37"/>
        <v>0</v>
      </c>
      <c r="BG159" s="292">
        <f t="shared" si="38"/>
        <v>0</v>
      </c>
    </row>
    <row r="160" spans="1:59" s="289" customFormat="1" ht="15" customHeight="1">
      <c r="A160" s="63">
        <f t="array" ref="A160">IF(C160&lt;&gt;0,SUM(($C$11:C160&lt;&gt;0)*1),"")</f>
        <v>150</v>
      </c>
      <c r="B160" s="1099">
        <v>42439</v>
      </c>
      <c r="C160" s="290" t="s">
        <v>755</v>
      </c>
      <c r="D160" s="1099">
        <v>42439</v>
      </c>
      <c r="E160" s="344" t="s">
        <v>749</v>
      </c>
      <c r="F160" s="345">
        <v>6818182</v>
      </c>
      <c r="G160" s="346" t="s">
        <v>135</v>
      </c>
      <c r="H160" s="346" t="s">
        <v>97</v>
      </c>
      <c r="I160" s="63">
        <f t="shared" si="66"/>
        <v>150</v>
      </c>
      <c r="J160" s="292">
        <f t="shared" si="1"/>
        <v>0</v>
      </c>
      <c r="K160" s="292">
        <f t="shared" si="2"/>
        <v>6818182</v>
      </c>
      <c r="L160" s="292">
        <f t="shared" si="3"/>
        <v>0</v>
      </c>
      <c r="M160" s="292">
        <f t="shared" si="4"/>
        <v>0</v>
      </c>
      <c r="N160" s="292">
        <f t="shared" si="39"/>
        <v>0</v>
      </c>
      <c r="O160" s="292">
        <f t="shared" si="40"/>
        <v>0</v>
      </c>
      <c r="P160" s="292">
        <f t="shared" si="5"/>
        <v>0</v>
      </c>
      <c r="Q160" s="292">
        <f t="shared" si="6"/>
        <v>0</v>
      </c>
      <c r="R160" s="292">
        <f t="shared" si="60"/>
        <v>0</v>
      </c>
      <c r="S160" s="292">
        <f t="shared" si="61"/>
        <v>0</v>
      </c>
      <c r="T160" s="292">
        <f t="shared" si="7"/>
        <v>0</v>
      </c>
      <c r="U160" s="292">
        <f t="shared" si="8"/>
        <v>0</v>
      </c>
      <c r="V160" s="292">
        <f t="shared" si="62"/>
        <v>0</v>
      </c>
      <c r="W160" s="292">
        <f t="shared" si="63"/>
        <v>0</v>
      </c>
      <c r="X160" s="292">
        <f t="shared" si="64"/>
        <v>0</v>
      </c>
      <c r="Y160" s="292">
        <f t="shared" si="65"/>
        <v>0</v>
      </c>
      <c r="Z160" s="292">
        <f t="shared" si="47"/>
        <v>0</v>
      </c>
      <c r="AA160" s="292">
        <f t="shared" si="48"/>
        <v>0</v>
      </c>
      <c r="AB160" s="292">
        <f t="shared" si="9"/>
        <v>0</v>
      </c>
      <c r="AC160" s="292">
        <f t="shared" si="10"/>
        <v>0</v>
      </c>
      <c r="AD160" s="292">
        <f t="shared" si="11"/>
        <v>0</v>
      </c>
      <c r="AE160" s="292">
        <f t="shared" si="12"/>
        <v>0</v>
      </c>
      <c r="AF160" s="292">
        <f t="shared" si="13"/>
        <v>0</v>
      </c>
      <c r="AG160" s="292">
        <f t="shared" si="14"/>
        <v>0</v>
      </c>
      <c r="AH160" s="292">
        <f t="shared" si="15"/>
        <v>0</v>
      </c>
      <c r="AI160" s="292">
        <f t="shared" si="16"/>
        <v>0</v>
      </c>
      <c r="AJ160" s="292">
        <f t="shared" si="17"/>
        <v>0</v>
      </c>
      <c r="AK160" s="292">
        <f t="shared" si="18"/>
        <v>0</v>
      </c>
      <c r="AL160" s="292">
        <f t="shared" si="49"/>
        <v>0</v>
      </c>
      <c r="AM160" s="292">
        <f t="shared" si="50"/>
        <v>0</v>
      </c>
      <c r="AN160" s="292">
        <f t="shared" si="19"/>
        <v>0</v>
      </c>
      <c r="AO160" s="292">
        <f t="shared" si="20"/>
        <v>0</v>
      </c>
      <c r="AP160" s="292">
        <f t="shared" si="21"/>
        <v>0</v>
      </c>
      <c r="AQ160" s="292">
        <f t="shared" si="22"/>
        <v>0</v>
      </c>
      <c r="AR160" s="292">
        <f t="shared" si="23"/>
        <v>0</v>
      </c>
      <c r="AS160" s="292">
        <f t="shared" si="24"/>
        <v>0</v>
      </c>
      <c r="AT160" s="292">
        <f t="shared" si="25"/>
        <v>0</v>
      </c>
      <c r="AU160" s="292">
        <f t="shared" si="26"/>
        <v>0</v>
      </c>
      <c r="AV160" s="292">
        <f t="shared" si="27"/>
        <v>0</v>
      </c>
      <c r="AW160" s="292">
        <f t="shared" si="28"/>
        <v>0</v>
      </c>
      <c r="AX160" s="292">
        <f t="shared" si="29"/>
        <v>6818182</v>
      </c>
      <c r="AY160" s="292">
        <f t="shared" si="30"/>
        <v>0</v>
      </c>
      <c r="AZ160" s="292">
        <f t="shared" si="31"/>
        <v>0</v>
      </c>
      <c r="BA160" s="292">
        <f t="shared" si="32"/>
        <v>0</v>
      </c>
      <c r="BB160" s="292">
        <f t="shared" si="33"/>
        <v>0</v>
      </c>
      <c r="BC160" s="292">
        <f t="shared" si="34"/>
        <v>0</v>
      </c>
      <c r="BD160" s="292">
        <f t="shared" si="35"/>
        <v>0</v>
      </c>
      <c r="BE160" s="292">
        <f t="shared" si="36"/>
        <v>0</v>
      </c>
      <c r="BF160" s="292">
        <f t="shared" si="37"/>
        <v>0</v>
      </c>
      <c r="BG160" s="292">
        <f t="shared" si="38"/>
        <v>0</v>
      </c>
    </row>
    <row r="161" spans="1:59" s="289" customFormat="1" ht="15" customHeight="1">
      <c r="A161" s="63">
        <f t="array" ref="A161">IF(C161&lt;&gt;0,SUM(($C$11:C161&lt;&gt;0)*1),"")</f>
        <v>151</v>
      </c>
      <c r="B161" s="1099">
        <v>42439</v>
      </c>
      <c r="C161" s="290" t="s">
        <v>755</v>
      </c>
      <c r="D161" s="1099">
        <v>42439</v>
      </c>
      <c r="E161" s="344" t="s">
        <v>750</v>
      </c>
      <c r="F161" s="345">
        <v>681818</v>
      </c>
      <c r="G161" s="346" t="s">
        <v>10</v>
      </c>
      <c r="H161" s="346" t="s">
        <v>97</v>
      </c>
      <c r="I161" s="63">
        <f t="shared" si="66"/>
        <v>151</v>
      </c>
      <c r="J161" s="292">
        <f t="shared" si="1"/>
        <v>0</v>
      </c>
      <c r="K161" s="292">
        <f t="shared" si="2"/>
        <v>681818</v>
      </c>
      <c r="L161" s="292">
        <f t="shared" si="3"/>
        <v>0</v>
      </c>
      <c r="M161" s="292">
        <f t="shared" si="4"/>
        <v>0</v>
      </c>
      <c r="N161" s="292">
        <f t="shared" si="39"/>
        <v>0</v>
      </c>
      <c r="O161" s="292">
        <f t="shared" si="40"/>
        <v>0</v>
      </c>
      <c r="P161" s="292">
        <f t="shared" si="5"/>
        <v>681818</v>
      </c>
      <c r="Q161" s="292">
        <f t="shared" si="6"/>
        <v>0</v>
      </c>
      <c r="R161" s="292">
        <f t="shared" si="60"/>
        <v>0</v>
      </c>
      <c r="S161" s="292">
        <f t="shared" si="61"/>
        <v>0</v>
      </c>
      <c r="T161" s="292">
        <f t="shared" si="7"/>
        <v>0</v>
      </c>
      <c r="U161" s="292">
        <f t="shared" si="8"/>
        <v>0</v>
      </c>
      <c r="V161" s="292">
        <f t="shared" si="62"/>
        <v>0</v>
      </c>
      <c r="W161" s="292">
        <f t="shared" si="63"/>
        <v>0</v>
      </c>
      <c r="X161" s="292">
        <f t="shared" si="64"/>
        <v>0</v>
      </c>
      <c r="Y161" s="292">
        <f t="shared" si="65"/>
        <v>0</v>
      </c>
      <c r="Z161" s="292">
        <f t="shared" si="47"/>
        <v>0</v>
      </c>
      <c r="AA161" s="292">
        <f t="shared" si="48"/>
        <v>0</v>
      </c>
      <c r="AB161" s="292">
        <f t="shared" si="9"/>
        <v>0</v>
      </c>
      <c r="AC161" s="292">
        <f t="shared" si="10"/>
        <v>0</v>
      </c>
      <c r="AD161" s="292">
        <f t="shared" si="11"/>
        <v>0</v>
      </c>
      <c r="AE161" s="292">
        <f t="shared" si="12"/>
        <v>0</v>
      </c>
      <c r="AF161" s="292">
        <f t="shared" si="13"/>
        <v>0</v>
      </c>
      <c r="AG161" s="292">
        <f t="shared" si="14"/>
        <v>0</v>
      </c>
      <c r="AH161" s="292">
        <f t="shared" si="15"/>
        <v>0</v>
      </c>
      <c r="AI161" s="292">
        <f t="shared" si="16"/>
        <v>0</v>
      </c>
      <c r="AJ161" s="292">
        <f t="shared" si="17"/>
        <v>0</v>
      </c>
      <c r="AK161" s="292">
        <f t="shared" si="18"/>
        <v>0</v>
      </c>
      <c r="AL161" s="292">
        <f t="shared" si="49"/>
        <v>0</v>
      </c>
      <c r="AM161" s="292">
        <f t="shared" si="50"/>
        <v>0</v>
      </c>
      <c r="AN161" s="292">
        <f t="shared" si="19"/>
        <v>0</v>
      </c>
      <c r="AO161" s="292">
        <f t="shared" si="20"/>
        <v>0</v>
      </c>
      <c r="AP161" s="292">
        <f t="shared" si="21"/>
        <v>0</v>
      </c>
      <c r="AQ161" s="292">
        <f t="shared" si="22"/>
        <v>0</v>
      </c>
      <c r="AR161" s="292">
        <f t="shared" si="23"/>
        <v>0</v>
      </c>
      <c r="AS161" s="292">
        <f t="shared" si="24"/>
        <v>0</v>
      </c>
      <c r="AT161" s="292">
        <f t="shared" si="25"/>
        <v>0</v>
      </c>
      <c r="AU161" s="292">
        <f t="shared" si="26"/>
        <v>0</v>
      </c>
      <c r="AV161" s="292">
        <f t="shared" si="27"/>
        <v>0</v>
      </c>
      <c r="AW161" s="292">
        <f t="shared" si="28"/>
        <v>0</v>
      </c>
      <c r="AX161" s="292">
        <f t="shared" si="29"/>
        <v>0</v>
      </c>
      <c r="AY161" s="292">
        <f t="shared" si="30"/>
        <v>0</v>
      </c>
      <c r="AZ161" s="292">
        <f t="shared" si="31"/>
        <v>0</v>
      </c>
      <c r="BA161" s="292">
        <f t="shared" si="32"/>
        <v>0</v>
      </c>
      <c r="BB161" s="292">
        <f t="shared" si="33"/>
        <v>0</v>
      </c>
      <c r="BC161" s="292">
        <f t="shared" si="34"/>
        <v>0</v>
      </c>
      <c r="BD161" s="292">
        <f t="shared" si="35"/>
        <v>0</v>
      </c>
      <c r="BE161" s="292">
        <f t="shared" si="36"/>
        <v>0</v>
      </c>
      <c r="BF161" s="292">
        <f t="shared" si="37"/>
        <v>0</v>
      </c>
      <c r="BG161" s="292">
        <f t="shared" si="38"/>
        <v>0</v>
      </c>
    </row>
    <row r="162" spans="1:59" s="289" customFormat="1" ht="15" customHeight="1">
      <c r="A162" s="63">
        <f t="array" ref="A162">IF(C162&lt;&gt;0,SUM(($C$11:C162&lt;&gt;0)*1),"")</f>
        <v>152</v>
      </c>
      <c r="B162" s="1099">
        <v>42441</v>
      </c>
      <c r="C162" s="290" t="s">
        <v>784</v>
      </c>
      <c r="D162" s="1099">
        <v>42441</v>
      </c>
      <c r="E162" s="344" t="s">
        <v>760</v>
      </c>
      <c r="F162" s="345">
        <v>16500000</v>
      </c>
      <c r="G162" s="346" t="s">
        <v>462</v>
      </c>
      <c r="H162" s="346" t="s">
        <v>9</v>
      </c>
      <c r="I162" s="63">
        <f t="shared" si="66"/>
        <v>152</v>
      </c>
      <c r="J162" s="292">
        <f t="shared" si="1"/>
        <v>0</v>
      </c>
      <c r="K162" s="292">
        <f t="shared" si="2"/>
        <v>0</v>
      </c>
      <c r="L162" s="292">
        <f t="shared" si="3"/>
        <v>0</v>
      </c>
      <c r="M162" s="292">
        <f t="shared" si="4"/>
        <v>0</v>
      </c>
      <c r="N162" s="292">
        <f t="shared" si="39"/>
        <v>0</v>
      </c>
      <c r="O162" s="292">
        <f t="shared" si="40"/>
        <v>0</v>
      </c>
      <c r="P162" s="292">
        <f t="shared" si="5"/>
        <v>0</v>
      </c>
      <c r="Q162" s="292">
        <f t="shared" si="6"/>
        <v>0</v>
      </c>
      <c r="R162" s="292">
        <f t="shared" si="60"/>
        <v>0</v>
      </c>
      <c r="S162" s="292">
        <f t="shared" si="61"/>
        <v>0</v>
      </c>
      <c r="T162" s="292">
        <f t="shared" si="7"/>
        <v>0</v>
      </c>
      <c r="U162" s="292">
        <f t="shared" si="8"/>
        <v>0</v>
      </c>
      <c r="V162" s="292">
        <f t="shared" si="62"/>
        <v>16500000</v>
      </c>
      <c r="W162" s="292">
        <f t="shared" si="63"/>
        <v>0</v>
      </c>
      <c r="X162" s="292">
        <f t="shared" si="64"/>
        <v>0</v>
      </c>
      <c r="Y162" s="292">
        <f t="shared" si="65"/>
        <v>0</v>
      </c>
      <c r="Z162" s="292">
        <f t="shared" si="47"/>
        <v>0</v>
      </c>
      <c r="AA162" s="292">
        <f t="shared" si="48"/>
        <v>0</v>
      </c>
      <c r="AB162" s="292">
        <f t="shared" si="9"/>
        <v>0</v>
      </c>
      <c r="AC162" s="292">
        <f t="shared" si="10"/>
        <v>16500000</v>
      </c>
      <c r="AD162" s="292">
        <f t="shared" si="11"/>
        <v>0</v>
      </c>
      <c r="AE162" s="292">
        <f t="shared" si="12"/>
        <v>0</v>
      </c>
      <c r="AF162" s="292">
        <f t="shared" si="13"/>
        <v>0</v>
      </c>
      <c r="AG162" s="292">
        <f t="shared" si="14"/>
        <v>0</v>
      </c>
      <c r="AH162" s="292">
        <f t="shared" si="15"/>
        <v>0</v>
      </c>
      <c r="AI162" s="292">
        <f t="shared" si="16"/>
        <v>0</v>
      </c>
      <c r="AJ162" s="292">
        <f t="shared" si="17"/>
        <v>0</v>
      </c>
      <c r="AK162" s="292">
        <f t="shared" si="18"/>
        <v>0</v>
      </c>
      <c r="AL162" s="292">
        <f t="shared" si="49"/>
        <v>0</v>
      </c>
      <c r="AM162" s="292">
        <f t="shared" si="50"/>
        <v>0</v>
      </c>
      <c r="AN162" s="292">
        <f t="shared" si="19"/>
        <v>0</v>
      </c>
      <c r="AO162" s="292">
        <f t="shared" si="20"/>
        <v>0</v>
      </c>
      <c r="AP162" s="292">
        <f t="shared" si="21"/>
        <v>0</v>
      </c>
      <c r="AQ162" s="292">
        <f t="shared" si="22"/>
        <v>0</v>
      </c>
      <c r="AR162" s="292">
        <f t="shared" si="23"/>
        <v>0</v>
      </c>
      <c r="AS162" s="292">
        <f t="shared" si="24"/>
        <v>0</v>
      </c>
      <c r="AT162" s="292">
        <f t="shared" si="25"/>
        <v>0</v>
      </c>
      <c r="AU162" s="292">
        <f t="shared" si="26"/>
        <v>0</v>
      </c>
      <c r="AV162" s="292">
        <f t="shared" si="27"/>
        <v>0</v>
      </c>
      <c r="AW162" s="292">
        <f t="shared" si="28"/>
        <v>0</v>
      </c>
      <c r="AX162" s="292">
        <f t="shared" si="29"/>
        <v>0</v>
      </c>
      <c r="AY162" s="292">
        <f t="shared" si="30"/>
        <v>0</v>
      </c>
      <c r="AZ162" s="292">
        <f t="shared" si="31"/>
        <v>0</v>
      </c>
      <c r="BA162" s="292">
        <f t="shared" si="32"/>
        <v>0</v>
      </c>
      <c r="BB162" s="292">
        <f t="shared" si="33"/>
        <v>0</v>
      </c>
      <c r="BC162" s="292">
        <f t="shared" si="34"/>
        <v>0</v>
      </c>
      <c r="BD162" s="292">
        <f t="shared" si="35"/>
        <v>0</v>
      </c>
      <c r="BE162" s="292">
        <f t="shared" si="36"/>
        <v>0</v>
      </c>
      <c r="BF162" s="292">
        <f t="shared" si="37"/>
        <v>0</v>
      </c>
      <c r="BG162" s="292">
        <f t="shared" si="38"/>
        <v>0</v>
      </c>
    </row>
    <row r="163" spans="1:59" s="289" customFormat="1" ht="15" customHeight="1">
      <c r="A163" s="63">
        <f t="array" ref="A163">IF(C163&lt;&gt;0,SUM(($C$11:C163&lt;&gt;0)*1),"")</f>
        <v>153</v>
      </c>
      <c r="B163" s="1099">
        <v>42441</v>
      </c>
      <c r="C163" s="290" t="s">
        <v>784</v>
      </c>
      <c r="D163" s="1099">
        <v>42441</v>
      </c>
      <c r="E163" s="344" t="s">
        <v>761</v>
      </c>
      <c r="F163" s="345">
        <v>16500000</v>
      </c>
      <c r="G163" s="346" t="s">
        <v>462</v>
      </c>
      <c r="H163" s="346" t="s">
        <v>9</v>
      </c>
      <c r="I163" s="63">
        <f t="shared" si="66"/>
        <v>153</v>
      </c>
      <c r="J163" s="292">
        <f t="shared" si="1"/>
        <v>0</v>
      </c>
      <c r="K163" s="292">
        <f t="shared" si="2"/>
        <v>0</v>
      </c>
      <c r="L163" s="292">
        <f t="shared" si="3"/>
        <v>0</v>
      </c>
      <c r="M163" s="292">
        <f t="shared" si="4"/>
        <v>0</v>
      </c>
      <c r="N163" s="292">
        <f t="shared" si="39"/>
        <v>0</v>
      </c>
      <c r="O163" s="292">
        <f t="shared" si="40"/>
        <v>0</v>
      </c>
      <c r="P163" s="292">
        <f t="shared" si="5"/>
        <v>0</v>
      </c>
      <c r="Q163" s="292">
        <f t="shared" si="6"/>
        <v>0</v>
      </c>
      <c r="R163" s="292">
        <f t="shared" si="60"/>
        <v>0</v>
      </c>
      <c r="S163" s="292">
        <f t="shared" si="61"/>
        <v>0</v>
      </c>
      <c r="T163" s="292">
        <f t="shared" si="7"/>
        <v>0</v>
      </c>
      <c r="U163" s="292">
        <f t="shared" si="8"/>
        <v>0</v>
      </c>
      <c r="V163" s="292">
        <f t="shared" si="62"/>
        <v>16500000</v>
      </c>
      <c r="W163" s="292">
        <f t="shared" si="63"/>
        <v>0</v>
      </c>
      <c r="X163" s="292">
        <f t="shared" si="64"/>
        <v>0</v>
      </c>
      <c r="Y163" s="292">
        <f t="shared" si="65"/>
        <v>0</v>
      </c>
      <c r="Z163" s="292">
        <f t="shared" si="47"/>
        <v>0</v>
      </c>
      <c r="AA163" s="292">
        <f t="shared" si="48"/>
        <v>0</v>
      </c>
      <c r="AB163" s="292">
        <f t="shared" si="9"/>
        <v>0</v>
      </c>
      <c r="AC163" s="292">
        <f t="shared" si="10"/>
        <v>16500000</v>
      </c>
      <c r="AD163" s="292">
        <f t="shared" si="11"/>
        <v>0</v>
      </c>
      <c r="AE163" s="292">
        <f t="shared" si="12"/>
        <v>0</v>
      </c>
      <c r="AF163" s="292">
        <f t="shared" si="13"/>
        <v>0</v>
      </c>
      <c r="AG163" s="292">
        <f t="shared" si="14"/>
        <v>0</v>
      </c>
      <c r="AH163" s="292">
        <f t="shared" si="15"/>
        <v>0</v>
      </c>
      <c r="AI163" s="292">
        <f t="shared" si="16"/>
        <v>0</v>
      </c>
      <c r="AJ163" s="292">
        <f t="shared" si="17"/>
        <v>0</v>
      </c>
      <c r="AK163" s="292">
        <f t="shared" si="18"/>
        <v>0</v>
      </c>
      <c r="AL163" s="292">
        <f t="shared" si="49"/>
        <v>0</v>
      </c>
      <c r="AM163" s="292">
        <f t="shared" si="50"/>
        <v>0</v>
      </c>
      <c r="AN163" s="292">
        <f t="shared" si="19"/>
        <v>0</v>
      </c>
      <c r="AO163" s="292">
        <f t="shared" si="20"/>
        <v>0</v>
      </c>
      <c r="AP163" s="292">
        <f t="shared" si="21"/>
        <v>0</v>
      </c>
      <c r="AQ163" s="292">
        <f t="shared" si="22"/>
        <v>0</v>
      </c>
      <c r="AR163" s="292">
        <f t="shared" si="23"/>
        <v>0</v>
      </c>
      <c r="AS163" s="292">
        <f t="shared" si="24"/>
        <v>0</v>
      </c>
      <c r="AT163" s="292">
        <f t="shared" si="25"/>
        <v>0</v>
      </c>
      <c r="AU163" s="292">
        <f t="shared" si="26"/>
        <v>0</v>
      </c>
      <c r="AV163" s="292">
        <f t="shared" si="27"/>
        <v>0</v>
      </c>
      <c r="AW163" s="292">
        <f t="shared" si="28"/>
        <v>0</v>
      </c>
      <c r="AX163" s="292">
        <f t="shared" si="29"/>
        <v>0</v>
      </c>
      <c r="AY163" s="292">
        <f t="shared" si="30"/>
        <v>0</v>
      </c>
      <c r="AZ163" s="292">
        <f t="shared" si="31"/>
        <v>0</v>
      </c>
      <c r="BA163" s="292">
        <f t="shared" si="32"/>
        <v>0</v>
      </c>
      <c r="BB163" s="292">
        <f t="shared" si="33"/>
        <v>0</v>
      </c>
      <c r="BC163" s="292">
        <f t="shared" si="34"/>
        <v>0</v>
      </c>
      <c r="BD163" s="292">
        <f t="shared" si="35"/>
        <v>0</v>
      </c>
      <c r="BE163" s="292">
        <f t="shared" si="36"/>
        <v>0</v>
      </c>
      <c r="BF163" s="292">
        <f t="shared" si="37"/>
        <v>0</v>
      </c>
      <c r="BG163" s="292">
        <f t="shared" si="38"/>
        <v>0</v>
      </c>
    </row>
    <row r="164" spans="1:59" s="289" customFormat="1" ht="15" customHeight="1">
      <c r="A164" s="63">
        <f t="array" ref="A164">IF(C164&lt;&gt;0,SUM(($C$11:C164&lt;&gt;0)*1),"")</f>
        <v>154</v>
      </c>
      <c r="B164" s="1099">
        <v>42441</v>
      </c>
      <c r="C164" s="290" t="s">
        <v>784</v>
      </c>
      <c r="D164" s="1099">
        <v>42441</v>
      </c>
      <c r="E164" s="344" t="s">
        <v>759</v>
      </c>
      <c r="F164" s="345">
        <v>3300000</v>
      </c>
      <c r="G164" s="346" t="s">
        <v>10</v>
      </c>
      <c r="H164" s="346" t="s">
        <v>9</v>
      </c>
      <c r="I164" s="63">
        <f t="shared" si="66"/>
        <v>154</v>
      </c>
      <c r="J164" s="292">
        <f t="shared" si="1"/>
        <v>0</v>
      </c>
      <c r="K164" s="292">
        <f t="shared" si="2"/>
        <v>0</v>
      </c>
      <c r="L164" s="292">
        <f t="shared" si="3"/>
        <v>0</v>
      </c>
      <c r="M164" s="292">
        <f t="shared" si="4"/>
        <v>0</v>
      </c>
      <c r="N164" s="292">
        <f t="shared" si="39"/>
        <v>0</v>
      </c>
      <c r="O164" s="292">
        <f t="shared" si="40"/>
        <v>0</v>
      </c>
      <c r="P164" s="292">
        <f t="shared" si="5"/>
        <v>3300000</v>
      </c>
      <c r="Q164" s="292">
        <f t="shared" si="6"/>
        <v>0</v>
      </c>
      <c r="R164" s="292">
        <f t="shared" si="60"/>
        <v>0</v>
      </c>
      <c r="S164" s="292">
        <f t="shared" si="61"/>
        <v>0</v>
      </c>
      <c r="T164" s="292">
        <f t="shared" si="7"/>
        <v>0</v>
      </c>
      <c r="U164" s="292">
        <f t="shared" si="8"/>
        <v>0</v>
      </c>
      <c r="V164" s="292">
        <f t="shared" si="62"/>
        <v>0</v>
      </c>
      <c r="W164" s="292">
        <f t="shared" si="63"/>
        <v>0</v>
      </c>
      <c r="X164" s="292">
        <f t="shared" si="64"/>
        <v>0</v>
      </c>
      <c r="Y164" s="292">
        <f t="shared" si="65"/>
        <v>0</v>
      </c>
      <c r="Z164" s="292">
        <f t="shared" si="47"/>
        <v>0</v>
      </c>
      <c r="AA164" s="292">
        <f t="shared" si="48"/>
        <v>0</v>
      </c>
      <c r="AB164" s="292">
        <f t="shared" si="9"/>
        <v>0</v>
      </c>
      <c r="AC164" s="292">
        <f t="shared" si="10"/>
        <v>3300000</v>
      </c>
      <c r="AD164" s="292">
        <f t="shared" si="11"/>
        <v>0</v>
      </c>
      <c r="AE164" s="292">
        <f t="shared" si="12"/>
        <v>0</v>
      </c>
      <c r="AF164" s="292">
        <f t="shared" si="13"/>
        <v>0</v>
      </c>
      <c r="AG164" s="292">
        <f t="shared" si="14"/>
        <v>0</v>
      </c>
      <c r="AH164" s="292">
        <f t="shared" si="15"/>
        <v>0</v>
      </c>
      <c r="AI164" s="292">
        <f t="shared" si="16"/>
        <v>0</v>
      </c>
      <c r="AJ164" s="292">
        <f t="shared" si="17"/>
        <v>0</v>
      </c>
      <c r="AK164" s="292">
        <f t="shared" si="18"/>
        <v>0</v>
      </c>
      <c r="AL164" s="292">
        <f t="shared" si="49"/>
        <v>0</v>
      </c>
      <c r="AM164" s="292">
        <f t="shared" si="50"/>
        <v>0</v>
      </c>
      <c r="AN164" s="292">
        <f t="shared" si="19"/>
        <v>0</v>
      </c>
      <c r="AO164" s="292">
        <f t="shared" si="20"/>
        <v>0</v>
      </c>
      <c r="AP164" s="292">
        <f t="shared" si="21"/>
        <v>0</v>
      </c>
      <c r="AQ164" s="292">
        <f t="shared" si="22"/>
        <v>0</v>
      </c>
      <c r="AR164" s="292">
        <f t="shared" si="23"/>
        <v>0</v>
      </c>
      <c r="AS164" s="292">
        <f t="shared" si="24"/>
        <v>0</v>
      </c>
      <c r="AT164" s="292">
        <f t="shared" si="25"/>
        <v>0</v>
      </c>
      <c r="AU164" s="292">
        <f t="shared" si="26"/>
        <v>0</v>
      </c>
      <c r="AV164" s="292">
        <f t="shared" si="27"/>
        <v>0</v>
      </c>
      <c r="AW164" s="292">
        <f t="shared" si="28"/>
        <v>0</v>
      </c>
      <c r="AX164" s="292">
        <f t="shared" si="29"/>
        <v>0</v>
      </c>
      <c r="AY164" s="292">
        <f t="shared" si="30"/>
        <v>0</v>
      </c>
      <c r="AZ164" s="292">
        <f t="shared" si="31"/>
        <v>0</v>
      </c>
      <c r="BA164" s="292">
        <f t="shared" si="32"/>
        <v>0</v>
      </c>
      <c r="BB164" s="292">
        <f t="shared" si="33"/>
        <v>0</v>
      </c>
      <c r="BC164" s="292">
        <f t="shared" si="34"/>
        <v>0</v>
      </c>
      <c r="BD164" s="292">
        <f t="shared" si="35"/>
        <v>0</v>
      </c>
      <c r="BE164" s="292">
        <f t="shared" si="36"/>
        <v>0</v>
      </c>
      <c r="BF164" s="292">
        <f t="shared" si="37"/>
        <v>0</v>
      </c>
      <c r="BG164" s="292">
        <f t="shared" si="38"/>
        <v>0</v>
      </c>
    </row>
    <row r="165" spans="1:59" s="289" customFormat="1" ht="15" customHeight="1">
      <c r="A165" s="63">
        <f t="array" ref="A165">IF(C165&lt;&gt;0,SUM(($C$11:C165&lt;&gt;0)*1),"")</f>
        <v>155</v>
      </c>
      <c r="B165" s="1099">
        <v>42444</v>
      </c>
      <c r="C165" s="290" t="s">
        <v>762</v>
      </c>
      <c r="D165" s="1099">
        <v>42444</v>
      </c>
      <c r="E165" s="344" t="s">
        <v>434</v>
      </c>
      <c r="F165" s="345">
        <v>429415</v>
      </c>
      <c r="G165" s="346" t="s">
        <v>135</v>
      </c>
      <c r="H165" s="346" t="s">
        <v>97</v>
      </c>
      <c r="I165" s="63">
        <f t="shared" si="66"/>
        <v>155</v>
      </c>
      <c r="J165" s="292">
        <f t="shared" si="1"/>
        <v>0</v>
      </c>
      <c r="K165" s="292">
        <f t="shared" si="2"/>
        <v>429415</v>
      </c>
      <c r="L165" s="292">
        <f t="shared" si="3"/>
        <v>0</v>
      </c>
      <c r="M165" s="292">
        <f t="shared" si="4"/>
        <v>0</v>
      </c>
      <c r="N165" s="292">
        <f t="shared" si="39"/>
        <v>0</v>
      </c>
      <c r="O165" s="292">
        <f t="shared" si="40"/>
        <v>0</v>
      </c>
      <c r="P165" s="292">
        <f t="shared" si="5"/>
        <v>0</v>
      </c>
      <c r="Q165" s="292">
        <f t="shared" si="6"/>
        <v>0</v>
      </c>
      <c r="R165" s="292">
        <f t="shared" si="60"/>
        <v>0</v>
      </c>
      <c r="S165" s="292">
        <f t="shared" si="61"/>
        <v>0</v>
      </c>
      <c r="T165" s="292">
        <f t="shared" si="7"/>
        <v>0</v>
      </c>
      <c r="U165" s="292">
        <f t="shared" si="8"/>
        <v>0</v>
      </c>
      <c r="V165" s="292">
        <f t="shared" si="62"/>
        <v>0</v>
      </c>
      <c r="W165" s="292">
        <f t="shared" si="63"/>
        <v>0</v>
      </c>
      <c r="X165" s="292">
        <f t="shared" si="64"/>
        <v>0</v>
      </c>
      <c r="Y165" s="292">
        <f t="shared" si="65"/>
        <v>0</v>
      </c>
      <c r="Z165" s="292">
        <f t="shared" si="47"/>
        <v>0</v>
      </c>
      <c r="AA165" s="292">
        <f t="shared" si="48"/>
        <v>0</v>
      </c>
      <c r="AB165" s="292">
        <f t="shared" si="9"/>
        <v>0</v>
      </c>
      <c r="AC165" s="292">
        <f t="shared" si="10"/>
        <v>0</v>
      </c>
      <c r="AD165" s="292">
        <f t="shared" si="11"/>
        <v>0</v>
      </c>
      <c r="AE165" s="292">
        <f t="shared" si="12"/>
        <v>0</v>
      </c>
      <c r="AF165" s="292">
        <f t="shared" si="13"/>
        <v>0</v>
      </c>
      <c r="AG165" s="292">
        <f t="shared" si="14"/>
        <v>0</v>
      </c>
      <c r="AH165" s="292">
        <f t="shared" si="15"/>
        <v>0</v>
      </c>
      <c r="AI165" s="292">
        <f t="shared" si="16"/>
        <v>0</v>
      </c>
      <c r="AJ165" s="292">
        <f t="shared" si="17"/>
        <v>0</v>
      </c>
      <c r="AK165" s="292">
        <f t="shared" si="18"/>
        <v>0</v>
      </c>
      <c r="AL165" s="292">
        <f t="shared" si="49"/>
        <v>0</v>
      </c>
      <c r="AM165" s="292">
        <f t="shared" si="50"/>
        <v>0</v>
      </c>
      <c r="AN165" s="292">
        <f t="shared" si="19"/>
        <v>0</v>
      </c>
      <c r="AO165" s="292">
        <f t="shared" si="20"/>
        <v>0</v>
      </c>
      <c r="AP165" s="292">
        <f t="shared" si="21"/>
        <v>0</v>
      </c>
      <c r="AQ165" s="292">
        <f t="shared" si="22"/>
        <v>0</v>
      </c>
      <c r="AR165" s="292">
        <f t="shared" si="23"/>
        <v>0</v>
      </c>
      <c r="AS165" s="292">
        <f t="shared" si="24"/>
        <v>0</v>
      </c>
      <c r="AT165" s="292">
        <f t="shared" si="25"/>
        <v>0</v>
      </c>
      <c r="AU165" s="292">
        <f t="shared" si="26"/>
        <v>0</v>
      </c>
      <c r="AV165" s="292">
        <f t="shared" si="27"/>
        <v>0</v>
      </c>
      <c r="AW165" s="292">
        <f t="shared" si="28"/>
        <v>0</v>
      </c>
      <c r="AX165" s="292">
        <f t="shared" si="29"/>
        <v>429415</v>
      </c>
      <c r="AY165" s="292">
        <f t="shared" si="30"/>
        <v>0</v>
      </c>
      <c r="AZ165" s="292">
        <f t="shared" si="31"/>
        <v>0</v>
      </c>
      <c r="BA165" s="292">
        <f t="shared" si="32"/>
        <v>0</v>
      </c>
      <c r="BB165" s="292">
        <f t="shared" si="33"/>
        <v>0</v>
      </c>
      <c r="BC165" s="292">
        <f t="shared" si="34"/>
        <v>0</v>
      </c>
      <c r="BD165" s="292">
        <f t="shared" si="35"/>
        <v>0</v>
      </c>
      <c r="BE165" s="292">
        <f t="shared" si="36"/>
        <v>0</v>
      </c>
      <c r="BF165" s="292">
        <f t="shared" si="37"/>
        <v>0</v>
      </c>
      <c r="BG165" s="292">
        <f t="shared" si="38"/>
        <v>0</v>
      </c>
    </row>
    <row r="166" spans="1:59" s="289" customFormat="1" ht="15" customHeight="1">
      <c r="A166" s="63">
        <f t="array" ref="A166">IF(C166&lt;&gt;0,SUM(($C$11:C166&lt;&gt;0)*1),"")</f>
        <v>156</v>
      </c>
      <c r="B166" s="1099">
        <v>42444</v>
      </c>
      <c r="C166" s="290" t="s">
        <v>762</v>
      </c>
      <c r="D166" s="1099">
        <v>42444</v>
      </c>
      <c r="E166" s="344" t="s">
        <v>436</v>
      </c>
      <c r="F166" s="345">
        <v>42942</v>
      </c>
      <c r="G166" s="346" t="s">
        <v>10</v>
      </c>
      <c r="H166" s="346" t="s">
        <v>97</v>
      </c>
      <c r="I166" s="63">
        <f t="shared" si="66"/>
        <v>156</v>
      </c>
      <c r="J166" s="292">
        <f t="shared" si="1"/>
        <v>0</v>
      </c>
      <c r="K166" s="292">
        <f t="shared" si="2"/>
        <v>42942</v>
      </c>
      <c r="L166" s="292">
        <f t="shared" si="3"/>
        <v>0</v>
      </c>
      <c r="M166" s="292">
        <f t="shared" si="4"/>
        <v>0</v>
      </c>
      <c r="N166" s="292">
        <f t="shared" si="39"/>
        <v>0</v>
      </c>
      <c r="O166" s="292">
        <f t="shared" si="40"/>
        <v>0</v>
      </c>
      <c r="P166" s="292">
        <f t="shared" si="5"/>
        <v>42942</v>
      </c>
      <c r="Q166" s="292">
        <f t="shared" si="6"/>
        <v>0</v>
      </c>
      <c r="R166" s="292">
        <f t="shared" si="60"/>
        <v>0</v>
      </c>
      <c r="S166" s="292">
        <f t="shared" si="61"/>
        <v>0</v>
      </c>
      <c r="T166" s="292">
        <f t="shared" si="7"/>
        <v>0</v>
      </c>
      <c r="U166" s="292">
        <f t="shared" si="8"/>
        <v>0</v>
      </c>
      <c r="V166" s="292">
        <f t="shared" si="62"/>
        <v>0</v>
      </c>
      <c r="W166" s="292">
        <f t="shared" si="63"/>
        <v>0</v>
      </c>
      <c r="X166" s="292">
        <f t="shared" si="64"/>
        <v>0</v>
      </c>
      <c r="Y166" s="292">
        <f t="shared" si="65"/>
        <v>0</v>
      </c>
      <c r="Z166" s="292">
        <f t="shared" si="47"/>
        <v>0</v>
      </c>
      <c r="AA166" s="292">
        <f t="shared" si="48"/>
        <v>0</v>
      </c>
      <c r="AB166" s="292">
        <f t="shared" si="9"/>
        <v>0</v>
      </c>
      <c r="AC166" s="292">
        <f t="shared" si="10"/>
        <v>0</v>
      </c>
      <c r="AD166" s="292">
        <f t="shared" si="11"/>
        <v>0</v>
      </c>
      <c r="AE166" s="292">
        <f t="shared" si="12"/>
        <v>0</v>
      </c>
      <c r="AF166" s="292">
        <f t="shared" si="13"/>
        <v>0</v>
      </c>
      <c r="AG166" s="292">
        <f t="shared" si="14"/>
        <v>0</v>
      </c>
      <c r="AH166" s="292">
        <f t="shared" si="15"/>
        <v>0</v>
      </c>
      <c r="AI166" s="292">
        <f t="shared" si="16"/>
        <v>0</v>
      </c>
      <c r="AJ166" s="292">
        <f t="shared" si="17"/>
        <v>0</v>
      </c>
      <c r="AK166" s="292">
        <f t="shared" si="18"/>
        <v>0</v>
      </c>
      <c r="AL166" s="292">
        <f t="shared" si="49"/>
        <v>0</v>
      </c>
      <c r="AM166" s="292">
        <f t="shared" si="50"/>
        <v>0</v>
      </c>
      <c r="AN166" s="292">
        <f t="shared" si="19"/>
        <v>0</v>
      </c>
      <c r="AO166" s="292">
        <f t="shared" si="20"/>
        <v>0</v>
      </c>
      <c r="AP166" s="292">
        <f t="shared" si="21"/>
        <v>0</v>
      </c>
      <c r="AQ166" s="292">
        <f t="shared" si="22"/>
        <v>0</v>
      </c>
      <c r="AR166" s="292">
        <f t="shared" si="23"/>
        <v>0</v>
      </c>
      <c r="AS166" s="292">
        <f t="shared" si="24"/>
        <v>0</v>
      </c>
      <c r="AT166" s="292">
        <f t="shared" si="25"/>
        <v>0</v>
      </c>
      <c r="AU166" s="292">
        <f t="shared" si="26"/>
        <v>0</v>
      </c>
      <c r="AV166" s="292">
        <f t="shared" si="27"/>
        <v>0</v>
      </c>
      <c r="AW166" s="292">
        <f t="shared" si="28"/>
        <v>0</v>
      </c>
      <c r="AX166" s="292">
        <f t="shared" si="29"/>
        <v>0</v>
      </c>
      <c r="AY166" s="292">
        <f t="shared" si="30"/>
        <v>0</v>
      </c>
      <c r="AZ166" s="292">
        <f t="shared" si="31"/>
        <v>0</v>
      </c>
      <c r="BA166" s="292">
        <f t="shared" si="32"/>
        <v>0</v>
      </c>
      <c r="BB166" s="292">
        <f t="shared" si="33"/>
        <v>0</v>
      </c>
      <c r="BC166" s="292">
        <f t="shared" si="34"/>
        <v>0</v>
      </c>
      <c r="BD166" s="292">
        <f t="shared" si="35"/>
        <v>0</v>
      </c>
      <c r="BE166" s="292">
        <f t="shared" si="36"/>
        <v>0</v>
      </c>
      <c r="BF166" s="292">
        <f t="shared" si="37"/>
        <v>0</v>
      </c>
      <c r="BG166" s="292">
        <f t="shared" si="38"/>
        <v>0</v>
      </c>
    </row>
    <row r="167" spans="1:59" s="289" customFormat="1" ht="15" customHeight="1">
      <c r="A167" s="63">
        <f t="array" ref="A167">IF(C167&lt;&gt;0,SUM(($C$11:C167&lt;&gt;0)*1),"")</f>
        <v>157</v>
      </c>
      <c r="B167" s="1099">
        <v>42444</v>
      </c>
      <c r="C167" s="290" t="s">
        <v>764</v>
      </c>
      <c r="D167" s="1099">
        <v>42444</v>
      </c>
      <c r="E167" s="344" t="s">
        <v>765</v>
      </c>
      <c r="F167" s="345">
        <v>348000</v>
      </c>
      <c r="G167" s="346" t="s">
        <v>242</v>
      </c>
      <c r="H167" s="346" t="s">
        <v>97</v>
      </c>
      <c r="I167" s="63">
        <f t="shared" si="66"/>
        <v>157</v>
      </c>
      <c r="J167" s="292">
        <f t="shared" si="1"/>
        <v>0</v>
      </c>
      <c r="K167" s="292">
        <f t="shared" si="2"/>
        <v>348000</v>
      </c>
      <c r="L167" s="292">
        <f t="shared" si="3"/>
        <v>0</v>
      </c>
      <c r="M167" s="292">
        <f t="shared" si="4"/>
        <v>0</v>
      </c>
      <c r="N167" s="292">
        <f t="shared" si="39"/>
        <v>0</v>
      </c>
      <c r="O167" s="292">
        <f t="shared" si="40"/>
        <v>0</v>
      </c>
      <c r="P167" s="292">
        <f t="shared" si="5"/>
        <v>0</v>
      </c>
      <c r="Q167" s="292">
        <f t="shared" si="6"/>
        <v>0</v>
      </c>
      <c r="R167" s="292">
        <f t="shared" si="60"/>
        <v>0</v>
      </c>
      <c r="S167" s="292">
        <f t="shared" si="61"/>
        <v>0</v>
      </c>
      <c r="T167" s="292">
        <f t="shared" si="7"/>
        <v>0</v>
      </c>
      <c r="U167" s="292">
        <f t="shared" si="8"/>
        <v>0</v>
      </c>
      <c r="V167" s="292">
        <f t="shared" si="62"/>
        <v>0</v>
      </c>
      <c r="W167" s="292">
        <f t="shared" si="63"/>
        <v>0</v>
      </c>
      <c r="X167" s="292">
        <f t="shared" si="64"/>
        <v>0</v>
      </c>
      <c r="Y167" s="292">
        <f t="shared" si="65"/>
        <v>0</v>
      </c>
      <c r="Z167" s="292">
        <f t="shared" si="47"/>
        <v>348000</v>
      </c>
      <c r="AA167" s="292">
        <f t="shared" si="48"/>
        <v>0</v>
      </c>
      <c r="AB167" s="292">
        <f t="shared" si="9"/>
        <v>0</v>
      </c>
      <c r="AC167" s="292">
        <f t="shared" si="10"/>
        <v>0</v>
      </c>
      <c r="AD167" s="292">
        <f t="shared" si="11"/>
        <v>0</v>
      </c>
      <c r="AE167" s="292">
        <f t="shared" si="12"/>
        <v>0</v>
      </c>
      <c r="AF167" s="292">
        <f t="shared" si="13"/>
        <v>0</v>
      </c>
      <c r="AG167" s="292">
        <f t="shared" si="14"/>
        <v>0</v>
      </c>
      <c r="AH167" s="292">
        <f t="shared" si="15"/>
        <v>0</v>
      </c>
      <c r="AI167" s="292">
        <f t="shared" si="16"/>
        <v>0</v>
      </c>
      <c r="AJ167" s="292">
        <f t="shared" si="17"/>
        <v>0</v>
      </c>
      <c r="AK167" s="292">
        <f t="shared" si="18"/>
        <v>0</v>
      </c>
      <c r="AL167" s="292">
        <f t="shared" si="49"/>
        <v>0</v>
      </c>
      <c r="AM167" s="292">
        <f t="shared" si="50"/>
        <v>0</v>
      </c>
      <c r="AN167" s="292">
        <f t="shared" si="19"/>
        <v>0</v>
      </c>
      <c r="AO167" s="292">
        <f t="shared" si="20"/>
        <v>0</v>
      </c>
      <c r="AP167" s="292">
        <f t="shared" si="21"/>
        <v>0</v>
      </c>
      <c r="AQ167" s="292">
        <f t="shared" si="22"/>
        <v>0</v>
      </c>
      <c r="AR167" s="292">
        <f t="shared" si="23"/>
        <v>0</v>
      </c>
      <c r="AS167" s="292">
        <f t="shared" si="24"/>
        <v>0</v>
      </c>
      <c r="AT167" s="292">
        <f t="shared" si="25"/>
        <v>0</v>
      </c>
      <c r="AU167" s="292">
        <f t="shared" si="26"/>
        <v>0</v>
      </c>
      <c r="AV167" s="292">
        <f t="shared" si="27"/>
        <v>0</v>
      </c>
      <c r="AW167" s="292">
        <f t="shared" si="28"/>
        <v>0</v>
      </c>
      <c r="AX167" s="292">
        <f t="shared" si="29"/>
        <v>0</v>
      </c>
      <c r="AY167" s="292">
        <f t="shared" si="30"/>
        <v>0</v>
      </c>
      <c r="AZ167" s="292">
        <f t="shared" si="31"/>
        <v>0</v>
      </c>
      <c r="BA167" s="292">
        <f t="shared" si="32"/>
        <v>0</v>
      </c>
      <c r="BB167" s="292">
        <f t="shared" si="33"/>
        <v>0</v>
      </c>
      <c r="BC167" s="292">
        <f t="shared" si="34"/>
        <v>0</v>
      </c>
      <c r="BD167" s="292">
        <f t="shared" si="35"/>
        <v>0</v>
      </c>
      <c r="BE167" s="292">
        <f t="shared" si="36"/>
        <v>0</v>
      </c>
      <c r="BF167" s="292">
        <f t="shared" si="37"/>
        <v>0</v>
      </c>
      <c r="BG167" s="292">
        <f t="shared" si="38"/>
        <v>0</v>
      </c>
    </row>
    <row r="168" spans="1:59" s="289" customFormat="1" ht="15" customHeight="1">
      <c r="A168" s="63">
        <f t="array" ref="A168">IF(C168&lt;&gt;0,SUM(($C$11:C168&lt;&gt;0)*1),"")</f>
        <v>158</v>
      </c>
      <c r="B168" s="1099">
        <v>42444</v>
      </c>
      <c r="C168" s="290" t="s">
        <v>796</v>
      </c>
      <c r="D168" s="1099">
        <v>42444</v>
      </c>
      <c r="E168" s="344" t="s">
        <v>410</v>
      </c>
      <c r="F168" s="345">
        <v>380000000</v>
      </c>
      <c r="G168" s="346" t="s">
        <v>31</v>
      </c>
      <c r="H168" s="346" t="s">
        <v>97</v>
      </c>
      <c r="I168" s="63">
        <f t="shared" si="66"/>
        <v>158</v>
      </c>
      <c r="J168" s="292">
        <f t="shared" si="1"/>
        <v>0</v>
      </c>
      <c r="K168" s="292">
        <f t="shared" si="2"/>
        <v>380000000</v>
      </c>
      <c r="L168" s="292">
        <f t="shared" si="3"/>
        <v>380000000</v>
      </c>
      <c r="M168" s="292">
        <f t="shared" si="4"/>
        <v>0</v>
      </c>
      <c r="N168" s="292">
        <f t="shared" si="39"/>
        <v>0</v>
      </c>
      <c r="O168" s="292">
        <f t="shared" si="40"/>
        <v>0</v>
      </c>
      <c r="P168" s="292">
        <f t="shared" si="5"/>
        <v>0</v>
      </c>
      <c r="Q168" s="292">
        <f t="shared" si="6"/>
        <v>0</v>
      </c>
      <c r="R168" s="292">
        <f t="shared" si="60"/>
        <v>0</v>
      </c>
      <c r="S168" s="292">
        <f t="shared" si="61"/>
        <v>0</v>
      </c>
      <c r="T168" s="292">
        <f t="shared" si="7"/>
        <v>0</v>
      </c>
      <c r="U168" s="292">
        <f t="shared" si="8"/>
        <v>0</v>
      </c>
      <c r="V168" s="292">
        <f t="shared" si="62"/>
        <v>0</v>
      </c>
      <c r="W168" s="292">
        <f t="shared" si="63"/>
        <v>0</v>
      </c>
      <c r="X168" s="292">
        <f t="shared" si="64"/>
        <v>0</v>
      </c>
      <c r="Y168" s="292">
        <f t="shared" si="65"/>
        <v>0</v>
      </c>
      <c r="Z168" s="292">
        <f t="shared" si="47"/>
        <v>0</v>
      </c>
      <c r="AA168" s="292">
        <f t="shared" si="48"/>
        <v>0</v>
      </c>
      <c r="AB168" s="292">
        <f t="shared" si="9"/>
        <v>0</v>
      </c>
      <c r="AC168" s="292">
        <f t="shared" si="10"/>
        <v>0</v>
      </c>
      <c r="AD168" s="292">
        <f t="shared" si="11"/>
        <v>0</v>
      </c>
      <c r="AE168" s="292">
        <f t="shared" si="12"/>
        <v>0</v>
      </c>
      <c r="AF168" s="292">
        <f t="shared" si="13"/>
        <v>0</v>
      </c>
      <c r="AG168" s="292">
        <f t="shared" si="14"/>
        <v>0</v>
      </c>
      <c r="AH168" s="292">
        <f t="shared" si="15"/>
        <v>0</v>
      </c>
      <c r="AI168" s="292">
        <f t="shared" si="16"/>
        <v>0</v>
      </c>
      <c r="AJ168" s="292">
        <f t="shared" si="17"/>
        <v>0</v>
      </c>
      <c r="AK168" s="292">
        <f t="shared" si="18"/>
        <v>0</v>
      </c>
      <c r="AL168" s="292">
        <f t="shared" si="49"/>
        <v>0</v>
      </c>
      <c r="AM168" s="292">
        <f t="shared" si="50"/>
        <v>0</v>
      </c>
      <c r="AN168" s="292">
        <f t="shared" si="19"/>
        <v>0</v>
      </c>
      <c r="AO168" s="292">
        <f t="shared" si="20"/>
        <v>0</v>
      </c>
      <c r="AP168" s="292">
        <f t="shared" si="21"/>
        <v>0</v>
      </c>
      <c r="AQ168" s="292">
        <f t="shared" si="22"/>
        <v>0</v>
      </c>
      <c r="AR168" s="292">
        <f t="shared" si="23"/>
        <v>0</v>
      </c>
      <c r="AS168" s="292">
        <f t="shared" si="24"/>
        <v>0</v>
      </c>
      <c r="AT168" s="292">
        <f t="shared" si="25"/>
        <v>0</v>
      </c>
      <c r="AU168" s="292">
        <f t="shared" si="26"/>
        <v>0</v>
      </c>
      <c r="AV168" s="292">
        <f t="shared" si="27"/>
        <v>0</v>
      </c>
      <c r="AW168" s="292">
        <f t="shared" si="28"/>
        <v>0</v>
      </c>
      <c r="AX168" s="292">
        <f t="shared" si="29"/>
        <v>0</v>
      </c>
      <c r="AY168" s="292">
        <f t="shared" si="30"/>
        <v>0</v>
      </c>
      <c r="AZ168" s="292">
        <f t="shared" si="31"/>
        <v>0</v>
      </c>
      <c r="BA168" s="292">
        <f t="shared" si="32"/>
        <v>0</v>
      </c>
      <c r="BB168" s="292">
        <f t="shared" si="33"/>
        <v>0</v>
      </c>
      <c r="BC168" s="292">
        <f t="shared" si="34"/>
        <v>0</v>
      </c>
      <c r="BD168" s="292">
        <f t="shared" si="35"/>
        <v>0</v>
      </c>
      <c r="BE168" s="292">
        <f t="shared" si="36"/>
        <v>0</v>
      </c>
      <c r="BF168" s="292">
        <f t="shared" si="37"/>
        <v>0</v>
      </c>
      <c r="BG168" s="292">
        <f t="shared" si="38"/>
        <v>0</v>
      </c>
    </row>
    <row r="169" spans="1:59" s="289" customFormat="1" ht="15" customHeight="1">
      <c r="A169" s="63">
        <f t="array" ref="A169">IF(C169&lt;&gt;0,SUM(($C$11:C169&lt;&gt;0)*1),"")</f>
        <v>159</v>
      </c>
      <c r="B169" s="1099">
        <v>42444</v>
      </c>
      <c r="C169" s="290" t="s">
        <v>8</v>
      </c>
      <c r="D169" s="1099">
        <v>42444</v>
      </c>
      <c r="E169" s="344" t="s">
        <v>405</v>
      </c>
      <c r="F169" s="345">
        <v>6331895</v>
      </c>
      <c r="G169" s="346" t="s">
        <v>133</v>
      </c>
      <c r="H169" s="346" t="s">
        <v>31</v>
      </c>
      <c r="I169" s="63">
        <f t="shared" si="66"/>
        <v>159</v>
      </c>
      <c r="J169" s="292">
        <f t="shared" si="1"/>
        <v>0</v>
      </c>
      <c r="K169" s="292">
        <f t="shared" si="2"/>
        <v>0</v>
      </c>
      <c r="L169" s="292">
        <f t="shared" si="3"/>
        <v>0</v>
      </c>
      <c r="M169" s="292">
        <f t="shared" si="4"/>
        <v>6331895</v>
      </c>
      <c r="N169" s="292">
        <f t="shared" si="39"/>
        <v>0</v>
      </c>
      <c r="O169" s="292">
        <f t="shared" si="40"/>
        <v>0</v>
      </c>
      <c r="P169" s="292">
        <f t="shared" si="5"/>
        <v>0</v>
      </c>
      <c r="Q169" s="292">
        <f t="shared" si="6"/>
        <v>0</v>
      </c>
      <c r="R169" s="292">
        <f t="shared" si="60"/>
        <v>0</v>
      </c>
      <c r="S169" s="292">
        <f t="shared" si="61"/>
        <v>0</v>
      </c>
      <c r="T169" s="292">
        <f t="shared" si="7"/>
        <v>0</v>
      </c>
      <c r="U169" s="292">
        <f t="shared" si="8"/>
        <v>0</v>
      </c>
      <c r="V169" s="292">
        <f t="shared" si="62"/>
        <v>0</v>
      </c>
      <c r="W169" s="292">
        <f t="shared" si="63"/>
        <v>0</v>
      </c>
      <c r="X169" s="292">
        <f t="shared" si="64"/>
        <v>0</v>
      </c>
      <c r="Y169" s="292">
        <f t="shared" si="65"/>
        <v>0</v>
      </c>
      <c r="Z169" s="292">
        <f t="shared" si="47"/>
        <v>0</v>
      </c>
      <c r="AA169" s="292">
        <f t="shared" si="48"/>
        <v>0</v>
      </c>
      <c r="AB169" s="292">
        <f t="shared" si="9"/>
        <v>0</v>
      </c>
      <c r="AC169" s="292">
        <f t="shared" si="10"/>
        <v>0</v>
      </c>
      <c r="AD169" s="292">
        <f t="shared" si="11"/>
        <v>0</v>
      </c>
      <c r="AE169" s="292">
        <f t="shared" si="12"/>
        <v>0</v>
      </c>
      <c r="AF169" s="292">
        <f t="shared" si="13"/>
        <v>0</v>
      </c>
      <c r="AG169" s="292">
        <f t="shared" si="14"/>
        <v>0</v>
      </c>
      <c r="AH169" s="292">
        <f t="shared" si="15"/>
        <v>0</v>
      </c>
      <c r="AI169" s="292">
        <f t="shared" si="16"/>
        <v>0</v>
      </c>
      <c r="AJ169" s="292">
        <f t="shared" si="17"/>
        <v>0</v>
      </c>
      <c r="AK169" s="292">
        <f t="shared" si="18"/>
        <v>0</v>
      </c>
      <c r="AL169" s="292">
        <f t="shared" si="49"/>
        <v>0</v>
      </c>
      <c r="AM169" s="292">
        <f t="shared" si="50"/>
        <v>0</v>
      </c>
      <c r="AN169" s="292">
        <f t="shared" si="19"/>
        <v>0</v>
      </c>
      <c r="AO169" s="292">
        <f t="shared" si="20"/>
        <v>0</v>
      </c>
      <c r="AP169" s="292">
        <f t="shared" si="21"/>
        <v>0</v>
      </c>
      <c r="AQ169" s="292">
        <f t="shared" si="22"/>
        <v>0</v>
      </c>
      <c r="AR169" s="292">
        <f t="shared" si="23"/>
        <v>0</v>
      </c>
      <c r="AS169" s="292">
        <f t="shared" si="24"/>
        <v>0</v>
      </c>
      <c r="AT169" s="292">
        <f t="shared" si="25"/>
        <v>0</v>
      </c>
      <c r="AU169" s="292">
        <f t="shared" si="26"/>
        <v>0</v>
      </c>
      <c r="AV169" s="292">
        <f t="shared" si="27"/>
        <v>6331895</v>
      </c>
      <c r="AW169" s="292">
        <f t="shared" si="28"/>
        <v>0</v>
      </c>
      <c r="AX169" s="292">
        <f t="shared" si="29"/>
        <v>0</v>
      </c>
      <c r="AY169" s="292">
        <f t="shared" si="30"/>
        <v>0</v>
      </c>
      <c r="AZ169" s="292">
        <f t="shared" si="31"/>
        <v>0</v>
      </c>
      <c r="BA169" s="292">
        <f t="shared" si="32"/>
        <v>0</v>
      </c>
      <c r="BB169" s="292">
        <f t="shared" si="33"/>
        <v>0</v>
      </c>
      <c r="BC169" s="292">
        <f t="shared" si="34"/>
        <v>0</v>
      </c>
      <c r="BD169" s="292">
        <f t="shared" si="35"/>
        <v>0</v>
      </c>
      <c r="BE169" s="292">
        <f t="shared" si="36"/>
        <v>0</v>
      </c>
      <c r="BF169" s="292">
        <f t="shared" si="37"/>
        <v>0</v>
      </c>
      <c r="BG169" s="292">
        <f t="shared" si="38"/>
        <v>0</v>
      </c>
    </row>
    <row r="170" spans="1:59" s="289" customFormat="1" ht="15" customHeight="1">
      <c r="A170" s="63">
        <f t="array" ref="A170">IF(C170&lt;&gt;0,SUM(($C$11:C170&lt;&gt;0)*1),"")</f>
        <v>160</v>
      </c>
      <c r="B170" s="1099">
        <v>42444</v>
      </c>
      <c r="C170" s="290" t="s">
        <v>795</v>
      </c>
      <c r="D170" s="1099">
        <v>42444</v>
      </c>
      <c r="E170" s="344" t="s">
        <v>788</v>
      </c>
      <c r="F170" s="345">
        <v>1000000000</v>
      </c>
      <c r="G170" s="346" t="s">
        <v>97</v>
      </c>
      <c r="H170" s="346" t="s">
        <v>24</v>
      </c>
      <c r="I170" s="63">
        <f t="shared" si="66"/>
        <v>160</v>
      </c>
      <c r="J170" s="292">
        <f t="shared" si="1"/>
        <v>1000000000</v>
      </c>
      <c r="K170" s="292">
        <f t="shared" si="2"/>
        <v>0</v>
      </c>
      <c r="L170" s="292">
        <f t="shared" si="3"/>
        <v>0</v>
      </c>
      <c r="M170" s="292">
        <f t="shared" si="4"/>
        <v>0</v>
      </c>
      <c r="N170" s="292">
        <f t="shared" si="39"/>
        <v>0</v>
      </c>
      <c r="O170" s="292">
        <f t="shared" si="40"/>
        <v>0</v>
      </c>
      <c r="P170" s="292">
        <f t="shared" si="5"/>
        <v>0</v>
      </c>
      <c r="Q170" s="292">
        <f t="shared" si="6"/>
        <v>0</v>
      </c>
      <c r="R170" s="292">
        <f t="shared" si="60"/>
        <v>0</v>
      </c>
      <c r="S170" s="292">
        <f t="shared" si="61"/>
        <v>0</v>
      </c>
      <c r="T170" s="292">
        <f t="shared" si="7"/>
        <v>0</v>
      </c>
      <c r="U170" s="292">
        <f t="shared" si="8"/>
        <v>0</v>
      </c>
      <c r="V170" s="292">
        <f t="shared" si="62"/>
        <v>0</v>
      </c>
      <c r="W170" s="292">
        <f t="shared" si="63"/>
        <v>0</v>
      </c>
      <c r="X170" s="292">
        <f t="shared" si="64"/>
        <v>0</v>
      </c>
      <c r="Y170" s="292">
        <f t="shared" si="65"/>
        <v>0</v>
      </c>
      <c r="Z170" s="292">
        <f t="shared" si="47"/>
        <v>0</v>
      </c>
      <c r="AA170" s="292">
        <f t="shared" si="48"/>
        <v>0</v>
      </c>
      <c r="AB170" s="292">
        <f t="shared" si="9"/>
        <v>0</v>
      </c>
      <c r="AC170" s="292">
        <f t="shared" si="10"/>
        <v>0</v>
      </c>
      <c r="AD170" s="292">
        <f t="shared" si="11"/>
        <v>0</v>
      </c>
      <c r="AE170" s="292">
        <f t="shared" si="12"/>
        <v>0</v>
      </c>
      <c r="AF170" s="292">
        <f t="shared" si="13"/>
        <v>0</v>
      </c>
      <c r="AG170" s="292">
        <f t="shared" si="14"/>
        <v>0</v>
      </c>
      <c r="AH170" s="292">
        <f t="shared" si="15"/>
        <v>0</v>
      </c>
      <c r="AI170" s="292">
        <f t="shared" si="16"/>
        <v>1000000000</v>
      </c>
      <c r="AJ170" s="292">
        <f t="shared" si="17"/>
        <v>0</v>
      </c>
      <c r="AK170" s="292">
        <f t="shared" si="18"/>
        <v>0</v>
      </c>
      <c r="AL170" s="292">
        <f t="shared" si="49"/>
        <v>0</v>
      </c>
      <c r="AM170" s="292">
        <f t="shared" si="50"/>
        <v>0</v>
      </c>
      <c r="AN170" s="292">
        <f t="shared" si="19"/>
        <v>0</v>
      </c>
      <c r="AO170" s="292">
        <f t="shared" si="20"/>
        <v>0</v>
      </c>
      <c r="AP170" s="292">
        <f t="shared" si="21"/>
        <v>0</v>
      </c>
      <c r="AQ170" s="292">
        <f t="shared" si="22"/>
        <v>0</v>
      </c>
      <c r="AR170" s="292">
        <f t="shared" si="23"/>
        <v>0</v>
      </c>
      <c r="AS170" s="292">
        <f t="shared" si="24"/>
        <v>0</v>
      </c>
      <c r="AT170" s="292">
        <f t="shared" si="25"/>
        <v>0</v>
      </c>
      <c r="AU170" s="292">
        <f t="shared" si="26"/>
        <v>0</v>
      </c>
      <c r="AV170" s="292">
        <f t="shared" si="27"/>
        <v>0</v>
      </c>
      <c r="AW170" s="292">
        <f t="shared" si="28"/>
        <v>0</v>
      </c>
      <c r="AX170" s="292">
        <f t="shared" si="29"/>
        <v>0</v>
      </c>
      <c r="AY170" s="292">
        <f t="shared" si="30"/>
        <v>0</v>
      </c>
      <c r="AZ170" s="292">
        <f t="shared" si="31"/>
        <v>0</v>
      </c>
      <c r="BA170" s="292">
        <f t="shared" si="32"/>
        <v>0</v>
      </c>
      <c r="BB170" s="292">
        <f t="shared" si="33"/>
        <v>0</v>
      </c>
      <c r="BC170" s="292">
        <f t="shared" si="34"/>
        <v>0</v>
      </c>
      <c r="BD170" s="292">
        <f t="shared" si="35"/>
        <v>0</v>
      </c>
      <c r="BE170" s="292">
        <f t="shared" si="36"/>
        <v>0</v>
      </c>
      <c r="BF170" s="292">
        <f t="shared" si="37"/>
        <v>0</v>
      </c>
      <c r="BG170" s="292">
        <f t="shared" si="38"/>
        <v>0</v>
      </c>
    </row>
    <row r="171" spans="1:59" s="289" customFormat="1" ht="15" customHeight="1">
      <c r="A171" s="63">
        <f t="array" ref="A171">IF(C171&lt;&gt;0,SUM(($C$11:C171&lt;&gt;0)*1),"")</f>
        <v>161</v>
      </c>
      <c r="B171" s="1099">
        <v>42445</v>
      </c>
      <c r="C171" s="290" t="s">
        <v>8</v>
      </c>
      <c r="D171" s="1099">
        <v>42445</v>
      </c>
      <c r="E171" s="344" t="s">
        <v>789</v>
      </c>
      <c r="F171" s="345">
        <v>34408000</v>
      </c>
      <c r="G171" s="346" t="s">
        <v>9</v>
      </c>
      <c r="H171" s="346" t="s">
        <v>31</v>
      </c>
      <c r="I171" s="63">
        <f t="shared" si="66"/>
        <v>161</v>
      </c>
      <c r="J171" s="292">
        <f t="shared" si="1"/>
        <v>0</v>
      </c>
      <c r="K171" s="292">
        <f t="shared" si="2"/>
        <v>0</v>
      </c>
      <c r="L171" s="292">
        <f t="shared" si="3"/>
        <v>0</v>
      </c>
      <c r="M171" s="292">
        <f t="shared" si="4"/>
        <v>34408000</v>
      </c>
      <c r="N171" s="292">
        <f t="shared" si="39"/>
        <v>0</v>
      </c>
      <c r="O171" s="292">
        <f t="shared" si="40"/>
        <v>0</v>
      </c>
      <c r="P171" s="292">
        <f t="shared" si="5"/>
        <v>0</v>
      </c>
      <c r="Q171" s="292">
        <f t="shared" si="6"/>
        <v>0</v>
      </c>
      <c r="R171" s="292">
        <f t="shared" si="60"/>
        <v>0</v>
      </c>
      <c r="S171" s="292">
        <f t="shared" si="61"/>
        <v>0</v>
      </c>
      <c r="T171" s="292">
        <f t="shared" si="7"/>
        <v>0</v>
      </c>
      <c r="U171" s="292">
        <f t="shared" si="8"/>
        <v>0</v>
      </c>
      <c r="V171" s="292">
        <f t="shared" si="62"/>
        <v>0</v>
      </c>
      <c r="W171" s="292">
        <f t="shared" si="63"/>
        <v>0</v>
      </c>
      <c r="X171" s="292">
        <f t="shared" si="64"/>
        <v>0</v>
      </c>
      <c r="Y171" s="292">
        <f t="shared" si="65"/>
        <v>0</v>
      </c>
      <c r="Z171" s="292">
        <f t="shared" si="47"/>
        <v>0</v>
      </c>
      <c r="AA171" s="292">
        <f t="shared" si="48"/>
        <v>0</v>
      </c>
      <c r="AB171" s="292">
        <f t="shared" si="9"/>
        <v>34408000</v>
      </c>
      <c r="AC171" s="292">
        <f t="shared" si="10"/>
        <v>0</v>
      </c>
      <c r="AD171" s="292">
        <f t="shared" si="11"/>
        <v>0</v>
      </c>
      <c r="AE171" s="292">
        <f t="shared" si="12"/>
        <v>0</v>
      </c>
      <c r="AF171" s="292">
        <f t="shared" si="13"/>
        <v>0</v>
      </c>
      <c r="AG171" s="292">
        <f t="shared" si="14"/>
        <v>0</v>
      </c>
      <c r="AH171" s="292">
        <f t="shared" si="15"/>
        <v>0</v>
      </c>
      <c r="AI171" s="292">
        <f t="shared" si="16"/>
        <v>0</v>
      </c>
      <c r="AJ171" s="292">
        <f t="shared" si="17"/>
        <v>0</v>
      </c>
      <c r="AK171" s="292">
        <f t="shared" si="18"/>
        <v>0</v>
      </c>
      <c r="AL171" s="292">
        <f t="shared" si="49"/>
        <v>0</v>
      </c>
      <c r="AM171" s="292">
        <f t="shared" si="50"/>
        <v>0</v>
      </c>
      <c r="AN171" s="292">
        <f t="shared" si="19"/>
        <v>0</v>
      </c>
      <c r="AO171" s="292">
        <f t="shared" si="20"/>
        <v>0</v>
      </c>
      <c r="AP171" s="292">
        <f t="shared" si="21"/>
        <v>0</v>
      </c>
      <c r="AQ171" s="292">
        <f t="shared" si="22"/>
        <v>0</v>
      </c>
      <c r="AR171" s="292">
        <f t="shared" si="23"/>
        <v>0</v>
      </c>
      <c r="AS171" s="292">
        <f t="shared" si="24"/>
        <v>0</v>
      </c>
      <c r="AT171" s="292">
        <f t="shared" si="25"/>
        <v>0</v>
      </c>
      <c r="AU171" s="292">
        <f t="shared" si="26"/>
        <v>0</v>
      </c>
      <c r="AV171" s="292">
        <f t="shared" si="27"/>
        <v>0</v>
      </c>
      <c r="AW171" s="292">
        <f t="shared" si="28"/>
        <v>0</v>
      </c>
      <c r="AX171" s="292">
        <f t="shared" si="29"/>
        <v>0</v>
      </c>
      <c r="AY171" s="292">
        <f t="shared" si="30"/>
        <v>0</v>
      </c>
      <c r="AZ171" s="292">
        <f t="shared" si="31"/>
        <v>0</v>
      </c>
      <c r="BA171" s="292">
        <f t="shared" si="32"/>
        <v>0</v>
      </c>
      <c r="BB171" s="292">
        <f t="shared" si="33"/>
        <v>0</v>
      </c>
      <c r="BC171" s="292">
        <f t="shared" si="34"/>
        <v>0</v>
      </c>
      <c r="BD171" s="292">
        <f t="shared" si="35"/>
        <v>0</v>
      </c>
      <c r="BE171" s="292">
        <f t="shared" si="36"/>
        <v>0</v>
      </c>
      <c r="BF171" s="292">
        <f t="shared" si="37"/>
        <v>0</v>
      </c>
      <c r="BG171" s="292">
        <f t="shared" si="38"/>
        <v>0</v>
      </c>
    </row>
    <row r="172" spans="1:59" s="289" customFormat="1" ht="15" customHeight="1">
      <c r="A172" s="63">
        <f t="array" ref="A172">IF(C172&lt;&gt;0,SUM(($C$11:C172&lt;&gt;0)*1),"")</f>
        <v>162</v>
      </c>
      <c r="B172" s="1099">
        <v>42445</v>
      </c>
      <c r="C172" s="290" t="s">
        <v>8</v>
      </c>
      <c r="D172" s="1099">
        <v>42445</v>
      </c>
      <c r="E172" s="344" t="s">
        <v>22</v>
      </c>
      <c r="F172" s="345">
        <v>25000</v>
      </c>
      <c r="G172" s="346" t="s">
        <v>135</v>
      </c>
      <c r="H172" s="346" t="s">
        <v>31</v>
      </c>
      <c r="I172" s="63">
        <f t="shared" si="66"/>
        <v>162</v>
      </c>
      <c r="J172" s="292">
        <f t="shared" si="1"/>
        <v>0</v>
      </c>
      <c r="K172" s="292">
        <f t="shared" si="2"/>
        <v>0</v>
      </c>
      <c r="L172" s="292">
        <f t="shared" si="3"/>
        <v>0</v>
      </c>
      <c r="M172" s="292">
        <f t="shared" si="4"/>
        <v>25000</v>
      </c>
      <c r="N172" s="292">
        <f t="shared" si="39"/>
        <v>0</v>
      </c>
      <c r="O172" s="292">
        <f t="shared" si="40"/>
        <v>0</v>
      </c>
      <c r="P172" s="292">
        <f t="shared" si="5"/>
        <v>0</v>
      </c>
      <c r="Q172" s="292">
        <f t="shared" si="6"/>
        <v>0</v>
      </c>
      <c r="R172" s="292">
        <f t="shared" si="60"/>
        <v>0</v>
      </c>
      <c r="S172" s="292">
        <f t="shared" si="61"/>
        <v>0</v>
      </c>
      <c r="T172" s="292">
        <f t="shared" si="7"/>
        <v>0</v>
      </c>
      <c r="U172" s="292">
        <f t="shared" si="8"/>
        <v>0</v>
      </c>
      <c r="V172" s="292">
        <f t="shared" si="62"/>
        <v>0</v>
      </c>
      <c r="W172" s="292">
        <f t="shared" si="63"/>
        <v>0</v>
      </c>
      <c r="X172" s="292">
        <f t="shared" si="64"/>
        <v>0</v>
      </c>
      <c r="Y172" s="292">
        <f t="shared" si="65"/>
        <v>0</v>
      </c>
      <c r="Z172" s="292">
        <f t="shared" si="47"/>
        <v>0</v>
      </c>
      <c r="AA172" s="292">
        <f t="shared" si="48"/>
        <v>0</v>
      </c>
      <c r="AB172" s="292">
        <f t="shared" si="9"/>
        <v>0</v>
      </c>
      <c r="AC172" s="292">
        <f t="shared" si="10"/>
        <v>0</v>
      </c>
      <c r="AD172" s="292">
        <f t="shared" si="11"/>
        <v>0</v>
      </c>
      <c r="AE172" s="292">
        <f t="shared" si="12"/>
        <v>0</v>
      </c>
      <c r="AF172" s="292">
        <f t="shared" si="13"/>
        <v>0</v>
      </c>
      <c r="AG172" s="292">
        <f t="shared" si="14"/>
        <v>0</v>
      </c>
      <c r="AH172" s="292">
        <f t="shared" si="15"/>
        <v>0</v>
      </c>
      <c r="AI172" s="292">
        <f t="shared" si="16"/>
        <v>0</v>
      </c>
      <c r="AJ172" s="292">
        <f t="shared" si="17"/>
        <v>0</v>
      </c>
      <c r="AK172" s="292">
        <f t="shared" si="18"/>
        <v>0</v>
      </c>
      <c r="AL172" s="292">
        <f t="shared" si="49"/>
        <v>0</v>
      </c>
      <c r="AM172" s="292">
        <f t="shared" si="50"/>
        <v>0</v>
      </c>
      <c r="AN172" s="292">
        <f t="shared" si="19"/>
        <v>0</v>
      </c>
      <c r="AO172" s="292">
        <f t="shared" si="20"/>
        <v>0</v>
      </c>
      <c r="AP172" s="292">
        <f t="shared" si="21"/>
        <v>0</v>
      </c>
      <c r="AQ172" s="292">
        <f t="shared" si="22"/>
        <v>0</v>
      </c>
      <c r="AR172" s="292">
        <f t="shared" si="23"/>
        <v>0</v>
      </c>
      <c r="AS172" s="292">
        <f t="shared" si="24"/>
        <v>0</v>
      </c>
      <c r="AT172" s="292">
        <f t="shared" si="25"/>
        <v>0</v>
      </c>
      <c r="AU172" s="292">
        <f t="shared" si="26"/>
        <v>0</v>
      </c>
      <c r="AV172" s="292">
        <f t="shared" si="27"/>
        <v>0</v>
      </c>
      <c r="AW172" s="292">
        <f t="shared" si="28"/>
        <v>0</v>
      </c>
      <c r="AX172" s="292">
        <f t="shared" si="29"/>
        <v>25000</v>
      </c>
      <c r="AY172" s="292">
        <f t="shared" si="30"/>
        <v>0</v>
      </c>
      <c r="AZ172" s="292">
        <f t="shared" si="31"/>
        <v>0</v>
      </c>
      <c r="BA172" s="292">
        <f t="shared" si="32"/>
        <v>0</v>
      </c>
      <c r="BB172" s="292">
        <f t="shared" si="33"/>
        <v>0</v>
      </c>
      <c r="BC172" s="292">
        <f t="shared" si="34"/>
        <v>0</v>
      </c>
      <c r="BD172" s="292">
        <f t="shared" si="35"/>
        <v>0</v>
      </c>
      <c r="BE172" s="292">
        <f t="shared" si="36"/>
        <v>0</v>
      </c>
      <c r="BF172" s="292">
        <f t="shared" si="37"/>
        <v>0</v>
      </c>
      <c r="BG172" s="292">
        <f t="shared" si="38"/>
        <v>0</v>
      </c>
    </row>
    <row r="173" spans="1:59" s="289" customFormat="1" ht="15" customHeight="1">
      <c r="A173" s="63">
        <f t="array" ref="A173">IF(C173&lt;&gt;0,SUM(($C$11:C173&lt;&gt;0)*1),"")</f>
        <v>163</v>
      </c>
      <c r="B173" s="1099">
        <v>42445</v>
      </c>
      <c r="C173" s="290" t="s">
        <v>8</v>
      </c>
      <c r="D173" s="1099">
        <v>42445</v>
      </c>
      <c r="E173" s="344" t="s">
        <v>23</v>
      </c>
      <c r="F173" s="345">
        <v>2500</v>
      </c>
      <c r="G173" s="346" t="s">
        <v>10</v>
      </c>
      <c r="H173" s="346" t="s">
        <v>31</v>
      </c>
      <c r="I173" s="63">
        <f t="shared" si="66"/>
        <v>163</v>
      </c>
      <c r="J173" s="292">
        <f t="shared" si="1"/>
        <v>0</v>
      </c>
      <c r="K173" s="292">
        <f t="shared" si="2"/>
        <v>0</v>
      </c>
      <c r="L173" s="292">
        <f t="shared" si="3"/>
        <v>0</v>
      </c>
      <c r="M173" s="292">
        <f t="shared" si="4"/>
        <v>2500</v>
      </c>
      <c r="N173" s="292">
        <f t="shared" si="39"/>
        <v>0</v>
      </c>
      <c r="O173" s="292">
        <f t="shared" si="40"/>
        <v>0</v>
      </c>
      <c r="P173" s="292">
        <f t="shared" si="5"/>
        <v>2500</v>
      </c>
      <c r="Q173" s="292">
        <f t="shared" si="6"/>
        <v>0</v>
      </c>
      <c r="R173" s="292">
        <f t="shared" si="60"/>
        <v>0</v>
      </c>
      <c r="S173" s="292">
        <f t="shared" si="61"/>
        <v>0</v>
      </c>
      <c r="T173" s="292">
        <f t="shared" si="7"/>
        <v>0</v>
      </c>
      <c r="U173" s="292">
        <f t="shared" si="8"/>
        <v>0</v>
      </c>
      <c r="V173" s="292">
        <f t="shared" si="62"/>
        <v>0</v>
      </c>
      <c r="W173" s="292">
        <f t="shared" si="63"/>
        <v>0</v>
      </c>
      <c r="X173" s="292">
        <f t="shared" si="64"/>
        <v>0</v>
      </c>
      <c r="Y173" s="292">
        <f t="shared" si="65"/>
        <v>0</v>
      </c>
      <c r="Z173" s="292">
        <f t="shared" si="47"/>
        <v>0</v>
      </c>
      <c r="AA173" s="292">
        <f t="shared" si="48"/>
        <v>0</v>
      </c>
      <c r="AB173" s="292">
        <f t="shared" si="9"/>
        <v>0</v>
      </c>
      <c r="AC173" s="292">
        <f t="shared" si="10"/>
        <v>0</v>
      </c>
      <c r="AD173" s="292">
        <f t="shared" si="11"/>
        <v>0</v>
      </c>
      <c r="AE173" s="292">
        <f t="shared" si="12"/>
        <v>0</v>
      </c>
      <c r="AF173" s="292">
        <f t="shared" si="13"/>
        <v>0</v>
      </c>
      <c r="AG173" s="292">
        <f t="shared" si="14"/>
        <v>0</v>
      </c>
      <c r="AH173" s="292">
        <f t="shared" si="15"/>
        <v>0</v>
      </c>
      <c r="AI173" s="292">
        <f t="shared" si="16"/>
        <v>0</v>
      </c>
      <c r="AJ173" s="292">
        <f t="shared" si="17"/>
        <v>0</v>
      </c>
      <c r="AK173" s="292">
        <f t="shared" si="18"/>
        <v>0</v>
      </c>
      <c r="AL173" s="292">
        <f t="shared" si="49"/>
        <v>0</v>
      </c>
      <c r="AM173" s="292">
        <f t="shared" si="50"/>
        <v>0</v>
      </c>
      <c r="AN173" s="292">
        <f t="shared" si="19"/>
        <v>0</v>
      </c>
      <c r="AO173" s="292">
        <f t="shared" si="20"/>
        <v>0</v>
      </c>
      <c r="AP173" s="292">
        <f t="shared" si="21"/>
        <v>0</v>
      </c>
      <c r="AQ173" s="292">
        <f t="shared" si="22"/>
        <v>0</v>
      </c>
      <c r="AR173" s="292">
        <f t="shared" si="23"/>
        <v>0</v>
      </c>
      <c r="AS173" s="292">
        <f t="shared" si="24"/>
        <v>0</v>
      </c>
      <c r="AT173" s="292">
        <f t="shared" si="25"/>
        <v>0</v>
      </c>
      <c r="AU173" s="292">
        <f t="shared" si="26"/>
        <v>0</v>
      </c>
      <c r="AV173" s="292">
        <f t="shared" si="27"/>
        <v>0</v>
      </c>
      <c r="AW173" s="292">
        <f t="shared" si="28"/>
        <v>0</v>
      </c>
      <c r="AX173" s="292">
        <f t="shared" si="29"/>
        <v>0</v>
      </c>
      <c r="AY173" s="292">
        <f t="shared" si="30"/>
        <v>0</v>
      </c>
      <c r="AZ173" s="292">
        <f t="shared" si="31"/>
        <v>0</v>
      </c>
      <c r="BA173" s="292">
        <f t="shared" si="32"/>
        <v>0</v>
      </c>
      <c r="BB173" s="292">
        <f t="shared" si="33"/>
        <v>0</v>
      </c>
      <c r="BC173" s="292">
        <f t="shared" si="34"/>
        <v>0</v>
      </c>
      <c r="BD173" s="292">
        <f t="shared" si="35"/>
        <v>0</v>
      </c>
      <c r="BE173" s="292">
        <f t="shared" si="36"/>
        <v>0</v>
      </c>
      <c r="BF173" s="292">
        <f t="shared" si="37"/>
        <v>0</v>
      </c>
      <c r="BG173" s="292">
        <f t="shared" si="38"/>
        <v>0</v>
      </c>
    </row>
    <row r="174" spans="1:59" s="289" customFormat="1" ht="15" customHeight="1">
      <c r="A174" s="63">
        <f t="array" ref="A174">IF(C174&lt;&gt;0,SUM(($C$11:C174&lt;&gt;0)*1),"")</f>
        <v>164</v>
      </c>
      <c r="B174" s="1099">
        <v>42445</v>
      </c>
      <c r="C174" s="290" t="s">
        <v>8</v>
      </c>
      <c r="D174" s="1099">
        <v>42445</v>
      </c>
      <c r="E174" s="344" t="s">
        <v>790</v>
      </c>
      <c r="F174" s="345">
        <v>20000</v>
      </c>
      <c r="G174" s="346" t="s">
        <v>135</v>
      </c>
      <c r="H174" s="346" t="s">
        <v>31</v>
      </c>
      <c r="I174" s="63">
        <f t="shared" si="66"/>
        <v>164</v>
      </c>
      <c r="J174" s="292">
        <f t="shared" si="1"/>
        <v>0</v>
      </c>
      <c r="K174" s="292">
        <f t="shared" si="2"/>
        <v>0</v>
      </c>
      <c r="L174" s="292">
        <f t="shared" si="3"/>
        <v>0</v>
      </c>
      <c r="M174" s="292">
        <f t="shared" si="4"/>
        <v>20000</v>
      </c>
      <c r="N174" s="292">
        <f t="shared" si="39"/>
        <v>0</v>
      </c>
      <c r="O174" s="292">
        <f t="shared" si="40"/>
        <v>0</v>
      </c>
      <c r="P174" s="292">
        <f t="shared" si="5"/>
        <v>0</v>
      </c>
      <c r="Q174" s="292">
        <f t="shared" si="6"/>
        <v>0</v>
      </c>
      <c r="R174" s="292">
        <f t="shared" si="60"/>
        <v>0</v>
      </c>
      <c r="S174" s="292">
        <f t="shared" si="61"/>
        <v>0</v>
      </c>
      <c r="T174" s="292">
        <f t="shared" si="7"/>
        <v>0</v>
      </c>
      <c r="U174" s="292">
        <f t="shared" si="8"/>
        <v>0</v>
      </c>
      <c r="V174" s="292">
        <f t="shared" si="62"/>
        <v>0</v>
      </c>
      <c r="W174" s="292">
        <f t="shared" si="63"/>
        <v>0</v>
      </c>
      <c r="X174" s="292">
        <f t="shared" si="64"/>
        <v>0</v>
      </c>
      <c r="Y174" s="292">
        <f t="shared" si="65"/>
        <v>0</v>
      </c>
      <c r="Z174" s="292">
        <f t="shared" si="47"/>
        <v>0</v>
      </c>
      <c r="AA174" s="292">
        <f t="shared" si="48"/>
        <v>0</v>
      </c>
      <c r="AB174" s="292">
        <f t="shared" si="9"/>
        <v>0</v>
      </c>
      <c r="AC174" s="292">
        <f t="shared" si="10"/>
        <v>0</v>
      </c>
      <c r="AD174" s="292">
        <f t="shared" si="11"/>
        <v>0</v>
      </c>
      <c r="AE174" s="292">
        <f t="shared" si="12"/>
        <v>0</v>
      </c>
      <c r="AF174" s="292">
        <f t="shared" si="13"/>
        <v>0</v>
      </c>
      <c r="AG174" s="292">
        <f t="shared" si="14"/>
        <v>0</v>
      </c>
      <c r="AH174" s="292">
        <f t="shared" si="15"/>
        <v>0</v>
      </c>
      <c r="AI174" s="292">
        <f t="shared" si="16"/>
        <v>0</v>
      </c>
      <c r="AJ174" s="292">
        <f t="shared" si="17"/>
        <v>0</v>
      </c>
      <c r="AK174" s="292">
        <f t="shared" si="18"/>
        <v>0</v>
      </c>
      <c r="AL174" s="292">
        <f t="shared" si="49"/>
        <v>0</v>
      </c>
      <c r="AM174" s="292">
        <f t="shared" si="50"/>
        <v>0</v>
      </c>
      <c r="AN174" s="292">
        <f t="shared" si="19"/>
        <v>0</v>
      </c>
      <c r="AO174" s="292">
        <f t="shared" si="20"/>
        <v>0</v>
      </c>
      <c r="AP174" s="292">
        <f t="shared" si="21"/>
        <v>0</v>
      </c>
      <c r="AQ174" s="292">
        <f t="shared" si="22"/>
        <v>0</v>
      </c>
      <c r="AR174" s="292">
        <f t="shared" si="23"/>
        <v>0</v>
      </c>
      <c r="AS174" s="292">
        <f t="shared" si="24"/>
        <v>0</v>
      </c>
      <c r="AT174" s="292">
        <f t="shared" si="25"/>
        <v>0</v>
      </c>
      <c r="AU174" s="292">
        <f t="shared" si="26"/>
        <v>0</v>
      </c>
      <c r="AV174" s="292">
        <f t="shared" si="27"/>
        <v>0</v>
      </c>
      <c r="AW174" s="292">
        <f t="shared" si="28"/>
        <v>0</v>
      </c>
      <c r="AX174" s="292">
        <f t="shared" si="29"/>
        <v>20000</v>
      </c>
      <c r="AY174" s="292">
        <f t="shared" si="30"/>
        <v>0</v>
      </c>
      <c r="AZ174" s="292">
        <f t="shared" si="31"/>
        <v>0</v>
      </c>
      <c r="BA174" s="292">
        <f t="shared" si="32"/>
        <v>0</v>
      </c>
      <c r="BB174" s="292">
        <f t="shared" si="33"/>
        <v>0</v>
      </c>
      <c r="BC174" s="292">
        <f t="shared" si="34"/>
        <v>0</v>
      </c>
      <c r="BD174" s="292">
        <f t="shared" si="35"/>
        <v>0</v>
      </c>
      <c r="BE174" s="292">
        <f t="shared" si="36"/>
        <v>0</v>
      </c>
      <c r="BF174" s="292">
        <f t="shared" si="37"/>
        <v>0</v>
      </c>
      <c r="BG174" s="292">
        <f t="shared" si="38"/>
        <v>0</v>
      </c>
    </row>
    <row r="175" spans="1:59" s="289" customFormat="1" ht="15" customHeight="1">
      <c r="A175" s="63">
        <f t="array" ref="A175">IF(C175&lt;&gt;0,SUM(($C$11:C175&lt;&gt;0)*1),"")</f>
        <v>165</v>
      </c>
      <c r="B175" s="1099">
        <v>42445</v>
      </c>
      <c r="C175" s="290" t="s">
        <v>8</v>
      </c>
      <c r="D175" s="1099">
        <v>42445</v>
      </c>
      <c r="E175" s="344" t="s">
        <v>791</v>
      </c>
      <c r="F175" s="345">
        <v>2000</v>
      </c>
      <c r="G175" s="346" t="s">
        <v>10</v>
      </c>
      <c r="H175" s="346" t="s">
        <v>31</v>
      </c>
      <c r="I175" s="63">
        <f t="shared" si="66"/>
        <v>165</v>
      </c>
      <c r="J175" s="292">
        <f t="shared" si="1"/>
        <v>0</v>
      </c>
      <c r="K175" s="292">
        <f t="shared" si="2"/>
        <v>0</v>
      </c>
      <c r="L175" s="292">
        <f t="shared" si="3"/>
        <v>0</v>
      </c>
      <c r="M175" s="292">
        <f t="shared" si="4"/>
        <v>2000</v>
      </c>
      <c r="N175" s="292">
        <f t="shared" si="39"/>
        <v>0</v>
      </c>
      <c r="O175" s="292">
        <f t="shared" si="40"/>
        <v>0</v>
      </c>
      <c r="P175" s="292">
        <f t="shared" si="5"/>
        <v>2000</v>
      </c>
      <c r="Q175" s="292">
        <f t="shared" si="6"/>
        <v>0</v>
      </c>
      <c r="R175" s="292">
        <f t="shared" si="60"/>
        <v>0</v>
      </c>
      <c r="S175" s="292">
        <f t="shared" si="61"/>
        <v>0</v>
      </c>
      <c r="T175" s="292">
        <f t="shared" si="7"/>
        <v>0</v>
      </c>
      <c r="U175" s="292">
        <f t="shared" si="8"/>
        <v>0</v>
      </c>
      <c r="V175" s="292">
        <f t="shared" si="62"/>
        <v>0</v>
      </c>
      <c r="W175" s="292">
        <f t="shared" si="63"/>
        <v>0</v>
      </c>
      <c r="X175" s="292">
        <f t="shared" si="64"/>
        <v>0</v>
      </c>
      <c r="Y175" s="292">
        <f t="shared" si="65"/>
        <v>0</v>
      </c>
      <c r="Z175" s="292">
        <f t="shared" si="47"/>
        <v>0</v>
      </c>
      <c r="AA175" s="292">
        <f t="shared" si="48"/>
        <v>0</v>
      </c>
      <c r="AB175" s="292">
        <f t="shared" si="9"/>
        <v>0</v>
      </c>
      <c r="AC175" s="292">
        <f t="shared" si="10"/>
        <v>0</v>
      </c>
      <c r="AD175" s="292">
        <f t="shared" si="11"/>
        <v>0</v>
      </c>
      <c r="AE175" s="292">
        <f t="shared" si="12"/>
        <v>0</v>
      </c>
      <c r="AF175" s="292">
        <f t="shared" si="13"/>
        <v>0</v>
      </c>
      <c r="AG175" s="292">
        <f t="shared" si="14"/>
        <v>0</v>
      </c>
      <c r="AH175" s="292">
        <f t="shared" si="15"/>
        <v>0</v>
      </c>
      <c r="AI175" s="292">
        <f t="shared" si="16"/>
        <v>0</v>
      </c>
      <c r="AJ175" s="292">
        <f t="shared" si="17"/>
        <v>0</v>
      </c>
      <c r="AK175" s="292">
        <f t="shared" si="18"/>
        <v>0</v>
      </c>
      <c r="AL175" s="292">
        <f t="shared" si="49"/>
        <v>0</v>
      </c>
      <c r="AM175" s="292">
        <f t="shared" si="50"/>
        <v>0</v>
      </c>
      <c r="AN175" s="292">
        <f t="shared" si="19"/>
        <v>0</v>
      </c>
      <c r="AO175" s="292">
        <f t="shared" si="20"/>
        <v>0</v>
      </c>
      <c r="AP175" s="292">
        <f t="shared" si="21"/>
        <v>0</v>
      </c>
      <c r="AQ175" s="292">
        <f t="shared" si="22"/>
        <v>0</v>
      </c>
      <c r="AR175" s="292">
        <f t="shared" si="23"/>
        <v>0</v>
      </c>
      <c r="AS175" s="292">
        <f t="shared" si="24"/>
        <v>0</v>
      </c>
      <c r="AT175" s="292">
        <f t="shared" si="25"/>
        <v>0</v>
      </c>
      <c r="AU175" s="292">
        <f t="shared" si="26"/>
        <v>0</v>
      </c>
      <c r="AV175" s="292">
        <f t="shared" si="27"/>
        <v>0</v>
      </c>
      <c r="AW175" s="292">
        <f t="shared" si="28"/>
        <v>0</v>
      </c>
      <c r="AX175" s="292">
        <f t="shared" si="29"/>
        <v>0</v>
      </c>
      <c r="AY175" s="292">
        <f t="shared" si="30"/>
        <v>0</v>
      </c>
      <c r="AZ175" s="292">
        <f t="shared" si="31"/>
        <v>0</v>
      </c>
      <c r="BA175" s="292">
        <f t="shared" si="32"/>
        <v>0</v>
      </c>
      <c r="BB175" s="292">
        <f t="shared" si="33"/>
        <v>0</v>
      </c>
      <c r="BC175" s="292">
        <f t="shared" si="34"/>
        <v>0</v>
      </c>
      <c r="BD175" s="292">
        <f t="shared" si="35"/>
        <v>0</v>
      </c>
      <c r="BE175" s="292">
        <f t="shared" si="36"/>
        <v>0</v>
      </c>
      <c r="BF175" s="292">
        <f t="shared" si="37"/>
        <v>0</v>
      </c>
      <c r="BG175" s="292">
        <f t="shared" si="38"/>
        <v>0</v>
      </c>
    </row>
    <row r="176" spans="1:59" s="289" customFormat="1" ht="15" customHeight="1">
      <c r="A176" s="63">
        <f t="array" ref="A176">IF(C176&lt;&gt;0,SUM(($C$11:C176&lt;&gt;0)*1),"")</f>
        <v>166</v>
      </c>
      <c r="B176" s="1099">
        <v>42445</v>
      </c>
      <c r="C176" s="290" t="s">
        <v>8</v>
      </c>
      <c r="D176" s="1099">
        <v>42445</v>
      </c>
      <c r="E176" s="344" t="s">
        <v>792</v>
      </c>
      <c r="F176" s="345">
        <v>11539968</v>
      </c>
      <c r="G176" s="346" t="s">
        <v>9</v>
      </c>
      <c r="H176" s="346" t="s">
        <v>31</v>
      </c>
      <c r="I176" s="63">
        <f t="shared" si="66"/>
        <v>166</v>
      </c>
      <c r="J176" s="292">
        <f t="shared" si="1"/>
        <v>0</v>
      </c>
      <c r="K176" s="292">
        <f t="shared" si="2"/>
        <v>0</v>
      </c>
      <c r="L176" s="292">
        <f t="shared" si="3"/>
        <v>0</v>
      </c>
      <c r="M176" s="292">
        <f t="shared" si="4"/>
        <v>11539968</v>
      </c>
      <c r="N176" s="292">
        <f t="shared" si="39"/>
        <v>0</v>
      </c>
      <c r="O176" s="292">
        <f t="shared" si="40"/>
        <v>0</v>
      </c>
      <c r="P176" s="292">
        <f t="shared" si="5"/>
        <v>0</v>
      </c>
      <c r="Q176" s="292">
        <f t="shared" si="6"/>
        <v>0</v>
      </c>
      <c r="R176" s="292">
        <f t="shared" si="60"/>
        <v>0</v>
      </c>
      <c r="S176" s="292">
        <f t="shared" si="61"/>
        <v>0</v>
      </c>
      <c r="T176" s="292">
        <f t="shared" si="7"/>
        <v>0</v>
      </c>
      <c r="U176" s="292">
        <f t="shared" si="8"/>
        <v>0</v>
      </c>
      <c r="V176" s="292">
        <f t="shared" si="62"/>
        <v>0</v>
      </c>
      <c r="W176" s="292">
        <f t="shared" si="63"/>
        <v>0</v>
      </c>
      <c r="X176" s="292">
        <f t="shared" si="64"/>
        <v>0</v>
      </c>
      <c r="Y176" s="292">
        <f t="shared" si="65"/>
        <v>0</v>
      </c>
      <c r="Z176" s="292">
        <f t="shared" si="47"/>
        <v>0</v>
      </c>
      <c r="AA176" s="292">
        <f t="shared" si="48"/>
        <v>0</v>
      </c>
      <c r="AB176" s="292">
        <f t="shared" si="9"/>
        <v>11539968</v>
      </c>
      <c r="AC176" s="292">
        <f t="shared" si="10"/>
        <v>0</v>
      </c>
      <c r="AD176" s="292">
        <f t="shared" si="11"/>
        <v>0</v>
      </c>
      <c r="AE176" s="292">
        <f t="shared" si="12"/>
        <v>0</v>
      </c>
      <c r="AF176" s="292">
        <f t="shared" si="13"/>
        <v>0</v>
      </c>
      <c r="AG176" s="292">
        <f t="shared" si="14"/>
        <v>0</v>
      </c>
      <c r="AH176" s="292">
        <f t="shared" si="15"/>
        <v>0</v>
      </c>
      <c r="AI176" s="292">
        <f t="shared" si="16"/>
        <v>0</v>
      </c>
      <c r="AJ176" s="292">
        <f t="shared" si="17"/>
        <v>0</v>
      </c>
      <c r="AK176" s="292">
        <f t="shared" si="18"/>
        <v>0</v>
      </c>
      <c r="AL176" s="292">
        <f t="shared" si="49"/>
        <v>0</v>
      </c>
      <c r="AM176" s="292">
        <f t="shared" si="50"/>
        <v>0</v>
      </c>
      <c r="AN176" s="292">
        <f t="shared" si="19"/>
        <v>0</v>
      </c>
      <c r="AO176" s="292">
        <f t="shared" si="20"/>
        <v>0</v>
      </c>
      <c r="AP176" s="292">
        <f t="shared" si="21"/>
        <v>0</v>
      </c>
      <c r="AQ176" s="292">
        <f t="shared" si="22"/>
        <v>0</v>
      </c>
      <c r="AR176" s="292">
        <f t="shared" si="23"/>
        <v>0</v>
      </c>
      <c r="AS176" s="292">
        <f t="shared" si="24"/>
        <v>0</v>
      </c>
      <c r="AT176" s="292">
        <f t="shared" si="25"/>
        <v>0</v>
      </c>
      <c r="AU176" s="292">
        <f t="shared" si="26"/>
        <v>0</v>
      </c>
      <c r="AV176" s="292">
        <f t="shared" si="27"/>
        <v>0</v>
      </c>
      <c r="AW176" s="292">
        <f t="shared" si="28"/>
        <v>0</v>
      </c>
      <c r="AX176" s="292">
        <f t="shared" si="29"/>
        <v>0</v>
      </c>
      <c r="AY176" s="292">
        <f t="shared" si="30"/>
        <v>0</v>
      </c>
      <c r="AZ176" s="292">
        <f t="shared" si="31"/>
        <v>0</v>
      </c>
      <c r="BA176" s="292">
        <f t="shared" si="32"/>
        <v>0</v>
      </c>
      <c r="BB176" s="292">
        <f t="shared" si="33"/>
        <v>0</v>
      </c>
      <c r="BC176" s="292">
        <f t="shared" si="34"/>
        <v>0</v>
      </c>
      <c r="BD176" s="292">
        <f t="shared" si="35"/>
        <v>0</v>
      </c>
      <c r="BE176" s="292">
        <f t="shared" si="36"/>
        <v>0</v>
      </c>
      <c r="BF176" s="292">
        <f t="shared" si="37"/>
        <v>0</v>
      </c>
      <c r="BG176" s="292">
        <f t="shared" si="38"/>
        <v>0</v>
      </c>
    </row>
    <row r="177" spans="1:59" s="289" customFormat="1" ht="15" customHeight="1">
      <c r="A177" s="63">
        <f t="array" ref="A177">IF(C177&lt;&gt;0,SUM(($C$11:C177&lt;&gt;0)*1),"")</f>
        <v>167</v>
      </c>
      <c r="B177" s="1099">
        <v>42445</v>
      </c>
      <c r="C177" s="290" t="s">
        <v>8</v>
      </c>
      <c r="D177" s="1099">
        <v>42445</v>
      </c>
      <c r="E177" s="344" t="s">
        <v>22</v>
      </c>
      <c r="F177" s="345">
        <v>25000</v>
      </c>
      <c r="G177" s="346" t="s">
        <v>135</v>
      </c>
      <c r="H177" s="346" t="s">
        <v>31</v>
      </c>
      <c r="I177" s="63">
        <f t="shared" si="66"/>
        <v>167</v>
      </c>
      <c r="J177" s="292">
        <f t="shared" si="1"/>
        <v>0</v>
      </c>
      <c r="K177" s="292">
        <f t="shared" si="2"/>
        <v>0</v>
      </c>
      <c r="L177" s="292">
        <f t="shared" si="3"/>
        <v>0</v>
      </c>
      <c r="M177" s="292">
        <f t="shared" si="4"/>
        <v>25000</v>
      </c>
      <c r="N177" s="292">
        <f t="shared" si="39"/>
        <v>0</v>
      </c>
      <c r="O177" s="292">
        <f t="shared" si="40"/>
        <v>0</v>
      </c>
      <c r="P177" s="292">
        <f t="shared" si="5"/>
        <v>0</v>
      </c>
      <c r="Q177" s="292">
        <f t="shared" si="6"/>
        <v>0</v>
      </c>
      <c r="R177" s="292">
        <f t="shared" si="60"/>
        <v>0</v>
      </c>
      <c r="S177" s="292">
        <f t="shared" si="61"/>
        <v>0</v>
      </c>
      <c r="T177" s="292">
        <f t="shared" si="7"/>
        <v>0</v>
      </c>
      <c r="U177" s="292">
        <f t="shared" si="8"/>
        <v>0</v>
      </c>
      <c r="V177" s="292">
        <f t="shared" si="62"/>
        <v>0</v>
      </c>
      <c r="W177" s="292">
        <f t="shared" si="63"/>
        <v>0</v>
      </c>
      <c r="X177" s="292">
        <f t="shared" si="64"/>
        <v>0</v>
      </c>
      <c r="Y177" s="292">
        <f t="shared" si="65"/>
        <v>0</v>
      </c>
      <c r="Z177" s="292">
        <f t="shared" si="47"/>
        <v>0</v>
      </c>
      <c r="AA177" s="292">
        <f t="shared" si="48"/>
        <v>0</v>
      </c>
      <c r="AB177" s="292">
        <f t="shared" si="9"/>
        <v>0</v>
      </c>
      <c r="AC177" s="292">
        <f t="shared" si="10"/>
        <v>0</v>
      </c>
      <c r="AD177" s="292">
        <f t="shared" si="11"/>
        <v>0</v>
      </c>
      <c r="AE177" s="292">
        <f t="shared" si="12"/>
        <v>0</v>
      </c>
      <c r="AF177" s="292">
        <f t="shared" si="13"/>
        <v>0</v>
      </c>
      <c r="AG177" s="292">
        <f t="shared" si="14"/>
        <v>0</v>
      </c>
      <c r="AH177" s="292">
        <f t="shared" si="15"/>
        <v>0</v>
      </c>
      <c r="AI177" s="292">
        <f t="shared" si="16"/>
        <v>0</v>
      </c>
      <c r="AJ177" s="292">
        <f t="shared" si="17"/>
        <v>0</v>
      </c>
      <c r="AK177" s="292">
        <f t="shared" si="18"/>
        <v>0</v>
      </c>
      <c r="AL177" s="292">
        <f t="shared" si="49"/>
        <v>0</v>
      </c>
      <c r="AM177" s="292">
        <f t="shared" si="50"/>
        <v>0</v>
      </c>
      <c r="AN177" s="292">
        <f t="shared" si="19"/>
        <v>0</v>
      </c>
      <c r="AO177" s="292">
        <f t="shared" si="20"/>
        <v>0</v>
      </c>
      <c r="AP177" s="292">
        <f t="shared" si="21"/>
        <v>0</v>
      </c>
      <c r="AQ177" s="292">
        <f t="shared" si="22"/>
        <v>0</v>
      </c>
      <c r="AR177" s="292">
        <f t="shared" si="23"/>
        <v>0</v>
      </c>
      <c r="AS177" s="292">
        <f t="shared" si="24"/>
        <v>0</v>
      </c>
      <c r="AT177" s="292">
        <f t="shared" si="25"/>
        <v>0</v>
      </c>
      <c r="AU177" s="292">
        <f t="shared" si="26"/>
        <v>0</v>
      </c>
      <c r="AV177" s="292">
        <f t="shared" si="27"/>
        <v>0</v>
      </c>
      <c r="AW177" s="292">
        <f t="shared" si="28"/>
        <v>0</v>
      </c>
      <c r="AX177" s="292">
        <f t="shared" si="29"/>
        <v>25000</v>
      </c>
      <c r="AY177" s="292">
        <f t="shared" si="30"/>
        <v>0</v>
      </c>
      <c r="AZ177" s="292">
        <f t="shared" si="31"/>
        <v>0</v>
      </c>
      <c r="BA177" s="292">
        <f t="shared" si="32"/>
        <v>0</v>
      </c>
      <c r="BB177" s="292">
        <f t="shared" si="33"/>
        <v>0</v>
      </c>
      <c r="BC177" s="292">
        <f t="shared" si="34"/>
        <v>0</v>
      </c>
      <c r="BD177" s="292">
        <f t="shared" si="35"/>
        <v>0</v>
      </c>
      <c r="BE177" s="292">
        <f t="shared" si="36"/>
        <v>0</v>
      </c>
      <c r="BF177" s="292">
        <f t="shared" si="37"/>
        <v>0</v>
      </c>
      <c r="BG177" s="292">
        <f t="shared" si="38"/>
        <v>0</v>
      </c>
    </row>
    <row r="178" spans="1:59" s="289" customFormat="1" ht="15" customHeight="1">
      <c r="A178" s="63">
        <f t="array" ref="A178">IF(C178&lt;&gt;0,SUM(($C$11:C178&lt;&gt;0)*1),"")</f>
        <v>168</v>
      </c>
      <c r="B178" s="1099">
        <v>42445</v>
      </c>
      <c r="C178" s="290" t="s">
        <v>8</v>
      </c>
      <c r="D178" s="1099">
        <v>42445</v>
      </c>
      <c r="E178" s="344" t="s">
        <v>23</v>
      </c>
      <c r="F178" s="345">
        <v>2500</v>
      </c>
      <c r="G178" s="346" t="s">
        <v>10</v>
      </c>
      <c r="H178" s="346" t="s">
        <v>31</v>
      </c>
      <c r="I178" s="63">
        <f t="shared" si="66"/>
        <v>168</v>
      </c>
      <c r="J178" s="292">
        <f t="shared" si="1"/>
        <v>0</v>
      </c>
      <c r="K178" s="292">
        <f t="shared" si="2"/>
        <v>0</v>
      </c>
      <c r="L178" s="292">
        <f t="shared" si="3"/>
        <v>0</v>
      </c>
      <c r="M178" s="292">
        <f t="shared" si="4"/>
        <v>2500</v>
      </c>
      <c r="N178" s="292">
        <f t="shared" si="39"/>
        <v>0</v>
      </c>
      <c r="O178" s="292">
        <f t="shared" si="40"/>
        <v>0</v>
      </c>
      <c r="P178" s="292">
        <f t="shared" si="5"/>
        <v>2500</v>
      </c>
      <c r="Q178" s="292">
        <f t="shared" si="6"/>
        <v>0</v>
      </c>
      <c r="R178" s="292">
        <f t="shared" si="60"/>
        <v>0</v>
      </c>
      <c r="S178" s="292">
        <f t="shared" si="61"/>
        <v>0</v>
      </c>
      <c r="T178" s="292">
        <f t="shared" si="7"/>
        <v>0</v>
      </c>
      <c r="U178" s="292">
        <f t="shared" si="8"/>
        <v>0</v>
      </c>
      <c r="V178" s="292">
        <f t="shared" si="62"/>
        <v>0</v>
      </c>
      <c r="W178" s="292">
        <f t="shared" si="63"/>
        <v>0</v>
      </c>
      <c r="X178" s="292">
        <f t="shared" si="64"/>
        <v>0</v>
      </c>
      <c r="Y178" s="292">
        <f t="shared" si="65"/>
        <v>0</v>
      </c>
      <c r="Z178" s="292">
        <f t="shared" si="47"/>
        <v>0</v>
      </c>
      <c r="AA178" s="292">
        <f t="shared" si="48"/>
        <v>0</v>
      </c>
      <c r="AB178" s="292">
        <f t="shared" si="9"/>
        <v>0</v>
      </c>
      <c r="AC178" s="292">
        <f t="shared" si="10"/>
        <v>0</v>
      </c>
      <c r="AD178" s="292">
        <f t="shared" si="11"/>
        <v>0</v>
      </c>
      <c r="AE178" s="292">
        <f t="shared" si="12"/>
        <v>0</v>
      </c>
      <c r="AF178" s="292">
        <f t="shared" si="13"/>
        <v>0</v>
      </c>
      <c r="AG178" s="292">
        <f t="shared" si="14"/>
        <v>0</v>
      </c>
      <c r="AH178" s="292">
        <f t="shared" si="15"/>
        <v>0</v>
      </c>
      <c r="AI178" s="292">
        <f t="shared" si="16"/>
        <v>0</v>
      </c>
      <c r="AJ178" s="292">
        <f t="shared" si="17"/>
        <v>0</v>
      </c>
      <c r="AK178" s="292">
        <f t="shared" si="18"/>
        <v>0</v>
      </c>
      <c r="AL178" s="292">
        <f t="shared" si="49"/>
        <v>0</v>
      </c>
      <c r="AM178" s="292">
        <f t="shared" si="50"/>
        <v>0</v>
      </c>
      <c r="AN178" s="292">
        <f t="shared" si="19"/>
        <v>0</v>
      </c>
      <c r="AO178" s="292">
        <f t="shared" si="20"/>
        <v>0</v>
      </c>
      <c r="AP178" s="292">
        <f t="shared" si="21"/>
        <v>0</v>
      </c>
      <c r="AQ178" s="292">
        <f t="shared" si="22"/>
        <v>0</v>
      </c>
      <c r="AR178" s="292">
        <f t="shared" si="23"/>
        <v>0</v>
      </c>
      <c r="AS178" s="292">
        <f t="shared" si="24"/>
        <v>0</v>
      </c>
      <c r="AT178" s="292">
        <f t="shared" si="25"/>
        <v>0</v>
      </c>
      <c r="AU178" s="292">
        <f t="shared" si="26"/>
        <v>0</v>
      </c>
      <c r="AV178" s="292">
        <f t="shared" si="27"/>
        <v>0</v>
      </c>
      <c r="AW178" s="292">
        <f t="shared" si="28"/>
        <v>0</v>
      </c>
      <c r="AX178" s="292">
        <f t="shared" si="29"/>
        <v>0</v>
      </c>
      <c r="AY178" s="292">
        <f t="shared" si="30"/>
        <v>0</v>
      </c>
      <c r="AZ178" s="292">
        <f t="shared" si="31"/>
        <v>0</v>
      </c>
      <c r="BA178" s="292">
        <f t="shared" si="32"/>
        <v>0</v>
      </c>
      <c r="BB178" s="292">
        <f t="shared" si="33"/>
        <v>0</v>
      </c>
      <c r="BC178" s="292">
        <f t="shared" si="34"/>
        <v>0</v>
      </c>
      <c r="BD178" s="292">
        <f t="shared" si="35"/>
        <v>0</v>
      </c>
      <c r="BE178" s="292">
        <f t="shared" si="36"/>
        <v>0</v>
      </c>
      <c r="BF178" s="292">
        <f t="shared" si="37"/>
        <v>0</v>
      </c>
      <c r="BG178" s="292">
        <f t="shared" si="38"/>
        <v>0</v>
      </c>
    </row>
    <row r="179" spans="1:59" s="289" customFormat="1" ht="15" customHeight="1">
      <c r="A179" s="63">
        <f t="array" ref="A179">IF(C179&lt;&gt;0,SUM(($C$11:C179&lt;&gt;0)*1),"")</f>
        <v>169</v>
      </c>
      <c r="B179" s="1099">
        <v>42445</v>
      </c>
      <c r="C179" s="290" t="s">
        <v>8</v>
      </c>
      <c r="D179" s="1099">
        <v>42445</v>
      </c>
      <c r="E179" s="344" t="s">
        <v>790</v>
      </c>
      <c r="F179" s="345">
        <v>20000</v>
      </c>
      <c r="G179" s="346" t="s">
        <v>135</v>
      </c>
      <c r="H179" s="346" t="s">
        <v>31</v>
      </c>
      <c r="I179" s="63">
        <f t="shared" si="66"/>
        <v>169</v>
      </c>
      <c r="J179" s="292">
        <f t="shared" si="1"/>
        <v>0</v>
      </c>
      <c r="K179" s="292">
        <f t="shared" si="2"/>
        <v>0</v>
      </c>
      <c r="L179" s="292">
        <f t="shared" si="3"/>
        <v>0</v>
      </c>
      <c r="M179" s="292">
        <f t="shared" si="4"/>
        <v>20000</v>
      </c>
      <c r="N179" s="292">
        <f t="shared" si="39"/>
        <v>0</v>
      </c>
      <c r="O179" s="292">
        <f t="shared" si="40"/>
        <v>0</v>
      </c>
      <c r="P179" s="292">
        <f t="shared" si="5"/>
        <v>0</v>
      </c>
      <c r="Q179" s="292">
        <f t="shared" si="6"/>
        <v>0</v>
      </c>
      <c r="R179" s="292">
        <f t="shared" si="60"/>
        <v>0</v>
      </c>
      <c r="S179" s="292">
        <f t="shared" si="61"/>
        <v>0</v>
      </c>
      <c r="T179" s="292">
        <f t="shared" si="7"/>
        <v>0</v>
      </c>
      <c r="U179" s="292">
        <f t="shared" si="8"/>
        <v>0</v>
      </c>
      <c r="V179" s="292">
        <f t="shared" si="62"/>
        <v>0</v>
      </c>
      <c r="W179" s="292">
        <f t="shared" si="63"/>
        <v>0</v>
      </c>
      <c r="X179" s="292">
        <f t="shared" si="64"/>
        <v>0</v>
      </c>
      <c r="Y179" s="292">
        <f t="shared" si="65"/>
        <v>0</v>
      </c>
      <c r="Z179" s="292">
        <f t="shared" si="47"/>
        <v>0</v>
      </c>
      <c r="AA179" s="292">
        <f t="shared" si="48"/>
        <v>0</v>
      </c>
      <c r="AB179" s="292">
        <f t="shared" si="9"/>
        <v>0</v>
      </c>
      <c r="AC179" s="292">
        <f t="shared" si="10"/>
        <v>0</v>
      </c>
      <c r="AD179" s="292">
        <f t="shared" si="11"/>
        <v>0</v>
      </c>
      <c r="AE179" s="292">
        <f t="shared" si="12"/>
        <v>0</v>
      </c>
      <c r="AF179" s="292">
        <f t="shared" si="13"/>
        <v>0</v>
      </c>
      <c r="AG179" s="292">
        <f t="shared" si="14"/>
        <v>0</v>
      </c>
      <c r="AH179" s="292">
        <f t="shared" si="15"/>
        <v>0</v>
      </c>
      <c r="AI179" s="292">
        <f t="shared" si="16"/>
        <v>0</v>
      </c>
      <c r="AJ179" s="292">
        <f t="shared" si="17"/>
        <v>0</v>
      </c>
      <c r="AK179" s="292">
        <f t="shared" si="18"/>
        <v>0</v>
      </c>
      <c r="AL179" s="292">
        <f t="shared" si="49"/>
        <v>0</v>
      </c>
      <c r="AM179" s="292">
        <f t="shared" si="50"/>
        <v>0</v>
      </c>
      <c r="AN179" s="292">
        <f t="shared" si="19"/>
        <v>0</v>
      </c>
      <c r="AO179" s="292">
        <f t="shared" si="20"/>
        <v>0</v>
      </c>
      <c r="AP179" s="292">
        <f t="shared" si="21"/>
        <v>0</v>
      </c>
      <c r="AQ179" s="292">
        <f t="shared" si="22"/>
        <v>0</v>
      </c>
      <c r="AR179" s="292">
        <f t="shared" si="23"/>
        <v>0</v>
      </c>
      <c r="AS179" s="292">
        <f t="shared" si="24"/>
        <v>0</v>
      </c>
      <c r="AT179" s="292">
        <f t="shared" si="25"/>
        <v>0</v>
      </c>
      <c r="AU179" s="292">
        <f t="shared" si="26"/>
        <v>0</v>
      </c>
      <c r="AV179" s="292">
        <f t="shared" si="27"/>
        <v>0</v>
      </c>
      <c r="AW179" s="292">
        <f t="shared" si="28"/>
        <v>0</v>
      </c>
      <c r="AX179" s="292">
        <f t="shared" si="29"/>
        <v>20000</v>
      </c>
      <c r="AY179" s="292">
        <f t="shared" si="30"/>
        <v>0</v>
      </c>
      <c r="AZ179" s="292">
        <f t="shared" si="31"/>
        <v>0</v>
      </c>
      <c r="BA179" s="292">
        <f t="shared" si="32"/>
        <v>0</v>
      </c>
      <c r="BB179" s="292">
        <f t="shared" si="33"/>
        <v>0</v>
      </c>
      <c r="BC179" s="292">
        <f t="shared" si="34"/>
        <v>0</v>
      </c>
      <c r="BD179" s="292">
        <f t="shared" si="35"/>
        <v>0</v>
      </c>
      <c r="BE179" s="292">
        <f t="shared" si="36"/>
        <v>0</v>
      </c>
      <c r="BF179" s="292">
        <f t="shared" si="37"/>
        <v>0</v>
      </c>
      <c r="BG179" s="292">
        <f t="shared" si="38"/>
        <v>0</v>
      </c>
    </row>
    <row r="180" spans="1:59" s="289" customFormat="1" ht="15" customHeight="1">
      <c r="A180" s="63">
        <f t="array" ref="A180">IF(C180&lt;&gt;0,SUM(($C$11:C180&lt;&gt;0)*1),"")</f>
        <v>170</v>
      </c>
      <c r="B180" s="1099">
        <v>42445</v>
      </c>
      <c r="C180" s="290" t="s">
        <v>8</v>
      </c>
      <c r="D180" s="1099">
        <v>42445</v>
      </c>
      <c r="E180" s="344" t="s">
        <v>791</v>
      </c>
      <c r="F180" s="345">
        <v>2000</v>
      </c>
      <c r="G180" s="346" t="s">
        <v>10</v>
      </c>
      <c r="H180" s="346" t="s">
        <v>31</v>
      </c>
      <c r="I180" s="63">
        <f t="shared" si="66"/>
        <v>170</v>
      </c>
      <c r="J180" s="292">
        <f t="shared" si="1"/>
        <v>0</v>
      </c>
      <c r="K180" s="292">
        <f t="shared" si="2"/>
        <v>0</v>
      </c>
      <c r="L180" s="292">
        <f t="shared" si="3"/>
        <v>0</v>
      </c>
      <c r="M180" s="292">
        <f t="shared" si="4"/>
        <v>2000</v>
      </c>
      <c r="N180" s="292">
        <f t="shared" si="39"/>
        <v>0</v>
      </c>
      <c r="O180" s="292">
        <f t="shared" si="40"/>
        <v>0</v>
      </c>
      <c r="P180" s="292">
        <f t="shared" si="5"/>
        <v>2000</v>
      </c>
      <c r="Q180" s="292">
        <f t="shared" si="6"/>
        <v>0</v>
      </c>
      <c r="R180" s="292">
        <f t="shared" si="60"/>
        <v>0</v>
      </c>
      <c r="S180" s="292">
        <f t="shared" si="61"/>
        <v>0</v>
      </c>
      <c r="T180" s="292">
        <f t="shared" si="7"/>
        <v>0</v>
      </c>
      <c r="U180" s="292">
        <f t="shared" si="8"/>
        <v>0</v>
      </c>
      <c r="V180" s="292">
        <f t="shared" si="62"/>
        <v>0</v>
      </c>
      <c r="W180" s="292">
        <f t="shared" si="63"/>
        <v>0</v>
      </c>
      <c r="X180" s="292">
        <f t="shared" si="64"/>
        <v>0</v>
      </c>
      <c r="Y180" s="292">
        <f t="shared" si="65"/>
        <v>0</v>
      </c>
      <c r="Z180" s="292">
        <f t="shared" si="47"/>
        <v>0</v>
      </c>
      <c r="AA180" s="292">
        <f t="shared" si="48"/>
        <v>0</v>
      </c>
      <c r="AB180" s="292">
        <f t="shared" si="9"/>
        <v>0</v>
      </c>
      <c r="AC180" s="292">
        <f t="shared" si="10"/>
        <v>0</v>
      </c>
      <c r="AD180" s="292">
        <f t="shared" si="11"/>
        <v>0</v>
      </c>
      <c r="AE180" s="292">
        <f t="shared" si="12"/>
        <v>0</v>
      </c>
      <c r="AF180" s="292">
        <f t="shared" si="13"/>
        <v>0</v>
      </c>
      <c r="AG180" s="292">
        <f t="shared" si="14"/>
        <v>0</v>
      </c>
      <c r="AH180" s="292">
        <f t="shared" si="15"/>
        <v>0</v>
      </c>
      <c r="AI180" s="292">
        <f t="shared" si="16"/>
        <v>0</v>
      </c>
      <c r="AJ180" s="292">
        <f t="shared" si="17"/>
        <v>0</v>
      </c>
      <c r="AK180" s="292">
        <f t="shared" si="18"/>
        <v>0</v>
      </c>
      <c r="AL180" s="292">
        <f t="shared" si="49"/>
        <v>0</v>
      </c>
      <c r="AM180" s="292">
        <f t="shared" si="50"/>
        <v>0</v>
      </c>
      <c r="AN180" s="292">
        <f t="shared" si="19"/>
        <v>0</v>
      </c>
      <c r="AO180" s="292">
        <f t="shared" si="20"/>
        <v>0</v>
      </c>
      <c r="AP180" s="292">
        <f t="shared" si="21"/>
        <v>0</v>
      </c>
      <c r="AQ180" s="292">
        <f t="shared" si="22"/>
        <v>0</v>
      </c>
      <c r="AR180" s="292">
        <f t="shared" si="23"/>
        <v>0</v>
      </c>
      <c r="AS180" s="292">
        <f t="shared" si="24"/>
        <v>0</v>
      </c>
      <c r="AT180" s="292">
        <f t="shared" si="25"/>
        <v>0</v>
      </c>
      <c r="AU180" s="292">
        <f t="shared" si="26"/>
        <v>0</v>
      </c>
      <c r="AV180" s="292">
        <f t="shared" si="27"/>
        <v>0</v>
      </c>
      <c r="AW180" s="292">
        <f t="shared" si="28"/>
        <v>0</v>
      </c>
      <c r="AX180" s="292">
        <f t="shared" si="29"/>
        <v>0</v>
      </c>
      <c r="AY180" s="292">
        <f t="shared" si="30"/>
        <v>0</v>
      </c>
      <c r="AZ180" s="292">
        <f t="shared" si="31"/>
        <v>0</v>
      </c>
      <c r="BA180" s="292">
        <f t="shared" si="32"/>
        <v>0</v>
      </c>
      <c r="BB180" s="292">
        <f t="shared" si="33"/>
        <v>0</v>
      </c>
      <c r="BC180" s="292">
        <f t="shared" si="34"/>
        <v>0</v>
      </c>
      <c r="BD180" s="292">
        <f t="shared" si="35"/>
        <v>0</v>
      </c>
      <c r="BE180" s="292">
        <f t="shared" si="36"/>
        <v>0</v>
      </c>
      <c r="BF180" s="292">
        <f t="shared" si="37"/>
        <v>0</v>
      </c>
      <c r="BG180" s="292">
        <f t="shared" si="38"/>
        <v>0</v>
      </c>
    </row>
    <row r="181" spans="1:59" s="289" customFormat="1" ht="15" customHeight="1">
      <c r="A181" s="63">
        <f t="array" ref="A181">IF(C181&lt;&gt;0,SUM(($C$11:C181&lt;&gt;0)*1),"")</f>
        <v>171</v>
      </c>
      <c r="B181" s="1099">
        <v>42445</v>
      </c>
      <c r="C181" s="290" t="s">
        <v>8</v>
      </c>
      <c r="D181" s="1099">
        <v>42445</v>
      </c>
      <c r="E181" s="344" t="s">
        <v>793</v>
      </c>
      <c r="F181" s="345">
        <v>32387300</v>
      </c>
      <c r="G181" s="346" t="s">
        <v>9</v>
      </c>
      <c r="H181" s="346" t="s">
        <v>31</v>
      </c>
      <c r="I181" s="63">
        <f t="shared" si="66"/>
        <v>171</v>
      </c>
      <c r="J181" s="292">
        <f t="shared" si="1"/>
        <v>0</v>
      </c>
      <c r="K181" s="292">
        <f t="shared" si="2"/>
        <v>0</v>
      </c>
      <c r="L181" s="292">
        <f t="shared" si="3"/>
        <v>0</v>
      </c>
      <c r="M181" s="292">
        <f t="shared" si="4"/>
        <v>32387300</v>
      </c>
      <c r="N181" s="292">
        <f t="shared" si="39"/>
        <v>0</v>
      </c>
      <c r="O181" s="292">
        <f t="shared" si="40"/>
        <v>0</v>
      </c>
      <c r="P181" s="292">
        <f t="shared" si="5"/>
        <v>0</v>
      </c>
      <c r="Q181" s="292">
        <f t="shared" si="6"/>
        <v>0</v>
      </c>
      <c r="R181" s="292">
        <f t="shared" si="60"/>
        <v>0</v>
      </c>
      <c r="S181" s="292">
        <f t="shared" si="61"/>
        <v>0</v>
      </c>
      <c r="T181" s="292">
        <f t="shared" si="7"/>
        <v>0</v>
      </c>
      <c r="U181" s="292">
        <f t="shared" si="8"/>
        <v>0</v>
      </c>
      <c r="V181" s="292">
        <f t="shared" si="62"/>
        <v>0</v>
      </c>
      <c r="W181" s="292">
        <f t="shared" si="63"/>
        <v>0</v>
      </c>
      <c r="X181" s="292">
        <f t="shared" si="64"/>
        <v>0</v>
      </c>
      <c r="Y181" s="292">
        <f t="shared" si="65"/>
        <v>0</v>
      </c>
      <c r="Z181" s="292">
        <f t="shared" si="47"/>
        <v>0</v>
      </c>
      <c r="AA181" s="292">
        <f t="shared" si="48"/>
        <v>0</v>
      </c>
      <c r="AB181" s="292">
        <f t="shared" si="9"/>
        <v>32387300</v>
      </c>
      <c r="AC181" s="292">
        <f t="shared" si="10"/>
        <v>0</v>
      </c>
      <c r="AD181" s="292">
        <f t="shared" si="11"/>
        <v>0</v>
      </c>
      <c r="AE181" s="292">
        <f t="shared" si="12"/>
        <v>0</v>
      </c>
      <c r="AF181" s="292">
        <f t="shared" si="13"/>
        <v>0</v>
      </c>
      <c r="AG181" s="292">
        <f t="shared" si="14"/>
        <v>0</v>
      </c>
      <c r="AH181" s="292">
        <f t="shared" si="15"/>
        <v>0</v>
      </c>
      <c r="AI181" s="292">
        <f t="shared" si="16"/>
        <v>0</v>
      </c>
      <c r="AJ181" s="292">
        <f t="shared" si="17"/>
        <v>0</v>
      </c>
      <c r="AK181" s="292">
        <f t="shared" si="18"/>
        <v>0</v>
      </c>
      <c r="AL181" s="292">
        <f t="shared" si="49"/>
        <v>0</v>
      </c>
      <c r="AM181" s="292">
        <f t="shared" si="50"/>
        <v>0</v>
      </c>
      <c r="AN181" s="292">
        <f t="shared" si="19"/>
        <v>0</v>
      </c>
      <c r="AO181" s="292">
        <f t="shared" si="20"/>
        <v>0</v>
      </c>
      <c r="AP181" s="292">
        <f t="shared" si="21"/>
        <v>0</v>
      </c>
      <c r="AQ181" s="292">
        <f t="shared" si="22"/>
        <v>0</v>
      </c>
      <c r="AR181" s="292">
        <f t="shared" si="23"/>
        <v>0</v>
      </c>
      <c r="AS181" s="292">
        <f t="shared" si="24"/>
        <v>0</v>
      </c>
      <c r="AT181" s="292">
        <f t="shared" si="25"/>
        <v>0</v>
      </c>
      <c r="AU181" s="292">
        <f t="shared" si="26"/>
        <v>0</v>
      </c>
      <c r="AV181" s="292">
        <f t="shared" si="27"/>
        <v>0</v>
      </c>
      <c r="AW181" s="292">
        <f t="shared" si="28"/>
        <v>0</v>
      </c>
      <c r="AX181" s="292">
        <f t="shared" si="29"/>
        <v>0</v>
      </c>
      <c r="AY181" s="292">
        <f t="shared" si="30"/>
        <v>0</v>
      </c>
      <c r="AZ181" s="292">
        <f t="shared" si="31"/>
        <v>0</v>
      </c>
      <c r="BA181" s="292">
        <f t="shared" si="32"/>
        <v>0</v>
      </c>
      <c r="BB181" s="292">
        <f t="shared" si="33"/>
        <v>0</v>
      </c>
      <c r="BC181" s="292">
        <f t="shared" si="34"/>
        <v>0</v>
      </c>
      <c r="BD181" s="292">
        <f t="shared" si="35"/>
        <v>0</v>
      </c>
      <c r="BE181" s="292">
        <f t="shared" si="36"/>
        <v>0</v>
      </c>
      <c r="BF181" s="292">
        <f t="shared" si="37"/>
        <v>0</v>
      </c>
      <c r="BG181" s="292">
        <f t="shared" si="38"/>
        <v>0</v>
      </c>
    </row>
    <row r="182" spans="1:59" s="289" customFormat="1" ht="15" customHeight="1">
      <c r="A182" s="63">
        <f t="array" ref="A182">IF(C182&lt;&gt;0,SUM(($C$11:C182&lt;&gt;0)*1),"")</f>
        <v>172</v>
      </c>
      <c r="B182" s="1099">
        <v>42445</v>
      </c>
      <c r="C182" s="290" t="s">
        <v>8</v>
      </c>
      <c r="D182" s="1099">
        <v>42445</v>
      </c>
      <c r="E182" s="344" t="s">
        <v>22</v>
      </c>
      <c r="F182" s="345">
        <v>25000</v>
      </c>
      <c r="G182" s="346" t="s">
        <v>135</v>
      </c>
      <c r="H182" s="346" t="s">
        <v>31</v>
      </c>
      <c r="I182" s="63">
        <f t="shared" si="66"/>
        <v>172</v>
      </c>
      <c r="J182" s="292">
        <f t="shared" si="1"/>
        <v>0</v>
      </c>
      <c r="K182" s="292">
        <f t="shared" si="2"/>
        <v>0</v>
      </c>
      <c r="L182" s="292">
        <f t="shared" si="3"/>
        <v>0</v>
      </c>
      <c r="M182" s="292">
        <f t="shared" si="4"/>
        <v>25000</v>
      </c>
      <c r="N182" s="292">
        <f t="shared" si="39"/>
        <v>0</v>
      </c>
      <c r="O182" s="292">
        <f t="shared" si="40"/>
        <v>0</v>
      </c>
      <c r="P182" s="292">
        <f t="shared" si="5"/>
        <v>0</v>
      </c>
      <c r="Q182" s="292">
        <f t="shared" si="6"/>
        <v>0</v>
      </c>
      <c r="R182" s="292">
        <f t="shared" si="60"/>
        <v>0</v>
      </c>
      <c r="S182" s="292">
        <f t="shared" si="61"/>
        <v>0</v>
      </c>
      <c r="T182" s="292">
        <f t="shared" si="7"/>
        <v>0</v>
      </c>
      <c r="U182" s="292">
        <f t="shared" si="8"/>
        <v>0</v>
      </c>
      <c r="V182" s="292">
        <f t="shared" si="62"/>
        <v>0</v>
      </c>
      <c r="W182" s="292">
        <f t="shared" si="63"/>
        <v>0</v>
      </c>
      <c r="X182" s="292">
        <f t="shared" si="64"/>
        <v>0</v>
      </c>
      <c r="Y182" s="292">
        <f t="shared" si="65"/>
        <v>0</v>
      </c>
      <c r="Z182" s="292">
        <f t="shared" si="47"/>
        <v>0</v>
      </c>
      <c r="AA182" s="292">
        <f t="shared" si="48"/>
        <v>0</v>
      </c>
      <c r="AB182" s="292">
        <f t="shared" si="9"/>
        <v>0</v>
      </c>
      <c r="AC182" s="292">
        <f t="shared" si="10"/>
        <v>0</v>
      </c>
      <c r="AD182" s="292">
        <f t="shared" si="11"/>
        <v>0</v>
      </c>
      <c r="AE182" s="292">
        <f t="shared" si="12"/>
        <v>0</v>
      </c>
      <c r="AF182" s="292">
        <f t="shared" si="13"/>
        <v>0</v>
      </c>
      <c r="AG182" s="292">
        <f t="shared" si="14"/>
        <v>0</v>
      </c>
      <c r="AH182" s="292">
        <f t="shared" si="15"/>
        <v>0</v>
      </c>
      <c r="AI182" s="292">
        <f t="shared" si="16"/>
        <v>0</v>
      </c>
      <c r="AJ182" s="292">
        <f t="shared" si="17"/>
        <v>0</v>
      </c>
      <c r="AK182" s="292">
        <f t="shared" si="18"/>
        <v>0</v>
      </c>
      <c r="AL182" s="292">
        <f t="shared" si="49"/>
        <v>0</v>
      </c>
      <c r="AM182" s="292">
        <f t="shared" si="50"/>
        <v>0</v>
      </c>
      <c r="AN182" s="292">
        <f t="shared" si="19"/>
        <v>0</v>
      </c>
      <c r="AO182" s="292">
        <f t="shared" si="20"/>
        <v>0</v>
      </c>
      <c r="AP182" s="292">
        <f t="shared" si="21"/>
        <v>0</v>
      </c>
      <c r="AQ182" s="292">
        <f t="shared" si="22"/>
        <v>0</v>
      </c>
      <c r="AR182" s="292">
        <f t="shared" si="23"/>
        <v>0</v>
      </c>
      <c r="AS182" s="292">
        <f t="shared" si="24"/>
        <v>0</v>
      </c>
      <c r="AT182" s="292">
        <f t="shared" si="25"/>
        <v>0</v>
      </c>
      <c r="AU182" s="292">
        <f t="shared" si="26"/>
        <v>0</v>
      </c>
      <c r="AV182" s="292">
        <f t="shared" si="27"/>
        <v>0</v>
      </c>
      <c r="AW182" s="292">
        <f t="shared" si="28"/>
        <v>0</v>
      </c>
      <c r="AX182" s="292">
        <f t="shared" si="29"/>
        <v>25000</v>
      </c>
      <c r="AY182" s="292">
        <f t="shared" si="30"/>
        <v>0</v>
      </c>
      <c r="AZ182" s="292">
        <f t="shared" si="31"/>
        <v>0</v>
      </c>
      <c r="BA182" s="292">
        <f t="shared" si="32"/>
        <v>0</v>
      </c>
      <c r="BB182" s="292">
        <f t="shared" si="33"/>
        <v>0</v>
      </c>
      <c r="BC182" s="292">
        <f t="shared" si="34"/>
        <v>0</v>
      </c>
      <c r="BD182" s="292">
        <f t="shared" si="35"/>
        <v>0</v>
      </c>
      <c r="BE182" s="292">
        <f t="shared" si="36"/>
        <v>0</v>
      </c>
      <c r="BF182" s="292">
        <f t="shared" si="37"/>
        <v>0</v>
      </c>
      <c r="BG182" s="292">
        <f t="shared" si="38"/>
        <v>0</v>
      </c>
    </row>
    <row r="183" spans="1:59" s="289" customFormat="1" ht="15" customHeight="1">
      <c r="A183" s="63">
        <f t="array" ref="A183">IF(C183&lt;&gt;0,SUM(($C$11:C183&lt;&gt;0)*1),"")</f>
        <v>173</v>
      </c>
      <c r="B183" s="1099">
        <v>42445</v>
      </c>
      <c r="C183" s="290" t="s">
        <v>8</v>
      </c>
      <c r="D183" s="1099">
        <v>42445</v>
      </c>
      <c r="E183" s="344" t="s">
        <v>23</v>
      </c>
      <c r="F183" s="345">
        <v>2500</v>
      </c>
      <c r="G183" s="346" t="s">
        <v>10</v>
      </c>
      <c r="H183" s="346" t="s">
        <v>31</v>
      </c>
      <c r="I183" s="63">
        <f t="shared" si="66"/>
        <v>173</v>
      </c>
      <c r="J183" s="292">
        <f t="shared" si="1"/>
        <v>0</v>
      </c>
      <c r="K183" s="292">
        <f t="shared" si="2"/>
        <v>0</v>
      </c>
      <c r="L183" s="292">
        <f t="shared" si="3"/>
        <v>0</v>
      </c>
      <c r="M183" s="292">
        <f t="shared" si="4"/>
        <v>2500</v>
      </c>
      <c r="N183" s="292">
        <f t="shared" si="39"/>
        <v>0</v>
      </c>
      <c r="O183" s="292">
        <f t="shared" si="40"/>
        <v>0</v>
      </c>
      <c r="P183" s="292">
        <f t="shared" si="5"/>
        <v>2500</v>
      </c>
      <c r="Q183" s="292">
        <f t="shared" si="6"/>
        <v>0</v>
      </c>
      <c r="R183" s="292">
        <f t="shared" si="60"/>
        <v>0</v>
      </c>
      <c r="S183" s="292">
        <f t="shared" si="61"/>
        <v>0</v>
      </c>
      <c r="T183" s="292">
        <f t="shared" si="7"/>
        <v>0</v>
      </c>
      <c r="U183" s="292">
        <f t="shared" si="8"/>
        <v>0</v>
      </c>
      <c r="V183" s="292">
        <f t="shared" si="62"/>
        <v>0</v>
      </c>
      <c r="W183" s="292">
        <f t="shared" si="63"/>
        <v>0</v>
      </c>
      <c r="X183" s="292">
        <f t="shared" si="64"/>
        <v>0</v>
      </c>
      <c r="Y183" s="292">
        <f t="shared" si="65"/>
        <v>0</v>
      </c>
      <c r="Z183" s="292">
        <f t="shared" si="47"/>
        <v>0</v>
      </c>
      <c r="AA183" s="292">
        <f t="shared" si="48"/>
        <v>0</v>
      </c>
      <c r="AB183" s="292">
        <f t="shared" si="9"/>
        <v>0</v>
      </c>
      <c r="AC183" s="292">
        <f t="shared" si="10"/>
        <v>0</v>
      </c>
      <c r="AD183" s="292">
        <f t="shared" si="11"/>
        <v>0</v>
      </c>
      <c r="AE183" s="292">
        <f t="shared" si="12"/>
        <v>0</v>
      </c>
      <c r="AF183" s="292">
        <f t="shared" si="13"/>
        <v>0</v>
      </c>
      <c r="AG183" s="292">
        <f t="shared" si="14"/>
        <v>0</v>
      </c>
      <c r="AH183" s="292">
        <f t="shared" si="15"/>
        <v>0</v>
      </c>
      <c r="AI183" s="292">
        <f t="shared" si="16"/>
        <v>0</v>
      </c>
      <c r="AJ183" s="292">
        <f t="shared" si="17"/>
        <v>0</v>
      </c>
      <c r="AK183" s="292">
        <f t="shared" si="18"/>
        <v>0</v>
      </c>
      <c r="AL183" s="292">
        <f t="shared" si="49"/>
        <v>0</v>
      </c>
      <c r="AM183" s="292">
        <f t="shared" si="50"/>
        <v>0</v>
      </c>
      <c r="AN183" s="292">
        <f t="shared" si="19"/>
        <v>0</v>
      </c>
      <c r="AO183" s="292">
        <f t="shared" si="20"/>
        <v>0</v>
      </c>
      <c r="AP183" s="292">
        <f t="shared" si="21"/>
        <v>0</v>
      </c>
      <c r="AQ183" s="292">
        <f t="shared" si="22"/>
        <v>0</v>
      </c>
      <c r="AR183" s="292">
        <f t="shared" si="23"/>
        <v>0</v>
      </c>
      <c r="AS183" s="292">
        <f t="shared" si="24"/>
        <v>0</v>
      </c>
      <c r="AT183" s="292">
        <f t="shared" si="25"/>
        <v>0</v>
      </c>
      <c r="AU183" s="292">
        <f t="shared" si="26"/>
        <v>0</v>
      </c>
      <c r="AV183" s="292">
        <f t="shared" si="27"/>
        <v>0</v>
      </c>
      <c r="AW183" s="292">
        <f t="shared" si="28"/>
        <v>0</v>
      </c>
      <c r="AX183" s="292">
        <f t="shared" si="29"/>
        <v>0</v>
      </c>
      <c r="AY183" s="292">
        <f t="shared" si="30"/>
        <v>0</v>
      </c>
      <c r="AZ183" s="292">
        <f t="shared" si="31"/>
        <v>0</v>
      </c>
      <c r="BA183" s="292">
        <f t="shared" si="32"/>
        <v>0</v>
      </c>
      <c r="BB183" s="292">
        <f t="shared" si="33"/>
        <v>0</v>
      </c>
      <c r="BC183" s="292">
        <f t="shared" si="34"/>
        <v>0</v>
      </c>
      <c r="BD183" s="292">
        <f t="shared" si="35"/>
        <v>0</v>
      </c>
      <c r="BE183" s="292">
        <f t="shared" si="36"/>
        <v>0</v>
      </c>
      <c r="BF183" s="292">
        <f t="shared" si="37"/>
        <v>0</v>
      </c>
      <c r="BG183" s="292">
        <f t="shared" si="38"/>
        <v>0</v>
      </c>
    </row>
    <row r="184" spans="1:59" s="289" customFormat="1" ht="15" customHeight="1">
      <c r="A184" s="63">
        <f t="array" ref="A184">IF(C184&lt;&gt;0,SUM(($C$11:C184&lt;&gt;0)*1),"")</f>
        <v>174</v>
      </c>
      <c r="B184" s="1099">
        <v>42445</v>
      </c>
      <c r="C184" s="290" t="s">
        <v>8</v>
      </c>
      <c r="D184" s="1099">
        <v>42445</v>
      </c>
      <c r="E184" s="344" t="s">
        <v>790</v>
      </c>
      <c r="F184" s="345">
        <v>20000</v>
      </c>
      <c r="G184" s="346" t="s">
        <v>135</v>
      </c>
      <c r="H184" s="346" t="s">
        <v>31</v>
      </c>
      <c r="I184" s="63">
        <f t="shared" si="66"/>
        <v>174</v>
      </c>
      <c r="J184" s="292">
        <f t="shared" si="1"/>
        <v>0</v>
      </c>
      <c r="K184" s="292">
        <f t="shared" si="2"/>
        <v>0</v>
      </c>
      <c r="L184" s="292">
        <f t="shared" si="3"/>
        <v>0</v>
      </c>
      <c r="M184" s="292">
        <f t="shared" si="4"/>
        <v>20000</v>
      </c>
      <c r="N184" s="292">
        <f t="shared" si="39"/>
        <v>0</v>
      </c>
      <c r="O184" s="292">
        <f t="shared" si="40"/>
        <v>0</v>
      </c>
      <c r="P184" s="292">
        <f t="shared" si="5"/>
        <v>0</v>
      </c>
      <c r="Q184" s="292">
        <f t="shared" si="6"/>
        <v>0</v>
      </c>
      <c r="R184" s="292">
        <f t="shared" si="60"/>
        <v>0</v>
      </c>
      <c r="S184" s="292">
        <f t="shared" si="61"/>
        <v>0</v>
      </c>
      <c r="T184" s="292">
        <f t="shared" si="7"/>
        <v>0</v>
      </c>
      <c r="U184" s="292">
        <f t="shared" si="8"/>
        <v>0</v>
      </c>
      <c r="V184" s="292">
        <f t="shared" si="62"/>
        <v>0</v>
      </c>
      <c r="W184" s="292">
        <f t="shared" si="63"/>
        <v>0</v>
      </c>
      <c r="X184" s="292">
        <f t="shared" si="64"/>
        <v>0</v>
      </c>
      <c r="Y184" s="292">
        <f t="shared" si="65"/>
        <v>0</v>
      </c>
      <c r="Z184" s="292">
        <f t="shared" si="47"/>
        <v>0</v>
      </c>
      <c r="AA184" s="292">
        <f t="shared" si="48"/>
        <v>0</v>
      </c>
      <c r="AB184" s="292">
        <f t="shared" si="9"/>
        <v>0</v>
      </c>
      <c r="AC184" s="292">
        <f t="shared" si="10"/>
        <v>0</v>
      </c>
      <c r="AD184" s="292">
        <f t="shared" si="11"/>
        <v>0</v>
      </c>
      <c r="AE184" s="292">
        <f t="shared" si="12"/>
        <v>0</v>
      </c>
      <c r="AF184" s="292">
        <f t="shared" si="13"/>
        <v>0</v>
      </c>
      <c r="AG184" s="292">
        <f t="shared" si="14"/>
        <v>0</v>
      </c>
      <c r="AH184" s="292">
        <f t="shared" si="15"/>
        <v>0</v>
      </c>
      <c r="AI184" s="292">
        <f t="shared" si="16"/>
        <v>0</v>
      </c>
      <c r="AJ184" s="292">
        <f t="shared" si="17"/>
        <v>0</v>
      </c>
      <c r="AK184" s="292">
        <f t="shared" si="18"/>
        <v>0</v>
      </c>
      <c r="AL184" s="292">
        <f t="shared" si="49"/>
        <v>0</v>
      </c>
      <c r="AM184" s="292">
        <f t="shared" si="50"/>
        <v>0</v>
      </c>
      <c r="AN184" s="292">
        <f t="shared" si="19"/>
        <v>0</v>
      </c>
      <c r="AO184" s="292">
        <f t="shared" si="20"/>
        <v>0</v>
      </c>
      <c r="AP184" s="292">
        <f t="shared" si="21"/>
        <v>0</v>
      </c>
      <c r="AQ184" s="292">
        <f t="shared" si="22"/>
        <v>0</v>
      </c>
      <c r="AR184" s="292">
        <f t="shared" si="23"/>
        <v>0</v>
      </c>
      <c r="AS184" s="292">
        <f t="shared" si="24"/>
        <v>0</v>
      </c>
      <c r="AT184" s="292">
        <f t="shared" si="25"/>
        <v>0</v>
      </c>
      <c r="AU184" s="292">
        <f t="shared" si="26"/>
        <v>0</v>
      </c>
      <c r="AV184" s="292">
        <f t="shared" si="27"/>
        <v>0</v>
      </c>
      <c r="AW184" s="292">
        <f t="shared" si="28"/>
        <v>0</v>
      </c>
      <c r="AX184" s="292">
        <f t="shared" si="29"/>
        <v>20000</v>
      </c>
      <c r="AY184" s="292">
        <f t="shared" si="30"/>
        <v>0</v>
      </c>
      <c r="AZ184" s="292">
        <f t="shared" si="31"/>
        <v>0</v>
      </c>
      <c r="BA184" s="292">
        <f t="shared" si="32"/>
        <v>0</v>
      </c>
      <c r="BB184" s="292">
        <f t="shared" si="33"/>
        <v>0</v>
      </c>
      <c r="BC184" s="292">
        <f t="shared" si="34"/>
        <v>0</v>
      </c>
      <c r="BD184" s="292">
        <f t="shared" si="35"/>
        <v>0</v>
      </c>
      <c r="BE184" s="292">
        <f t="shared" si="36"/>
        <v>0</v>
      </c>
      <c r="BF184" s="292">
        <f t="shared" si="37"/>
        <v>0</v>
      </c>
      <c r="BG184" s="292">
        <f t="shared" si="38"/>
        <v>0</v>
      </c>
    </row>
    <row r="185" spans="1:59" s="289" customFormat="1" ht="15" customHeight="1">
      <c r="A185" s="63">
        <f t="array" ref="A185">IF(C185&lt;&gt;0,SUM(($C$11:C185&lt;&gt;0)*1),"")</f>
        <v>175</v>
      </c>
      <c r="B185" s="1099">
        <v>42445</v>
      </c>
      <c r="C185" s="290" t="s">
        <v>8</v>
      </c>
      <c r="D185" s="1099">
        <v>42445</v>
      </c>
      <c r="E185" s="344" t="s">
        <v>791</v>
      </c>
      <c r="F185" s="345">
        <v>2000</v>
      </c>
      <c r="G185" s="346" t="s">
        <v>10</v>
      </c>
      <c r="H185" s="346" t="s">
        <v>31</v>
      </c>
      <c r="I185" s="63">
        <f t="shared" si="66"/>
        <v>175</v>
      </c>
      <c r="J185" s="292">
        <f t="shared" si="1"/>
        <v>0</v>
      </c>
      <c r="K185" s="292">
        <f t="shared" si="2"/>
        <v>0</v>
      </c>
      <c r="L185" s="292">
        <f t="shared" si="3"/>
        <v>0</v>
      </c>
      <c r="M185" s="292">
        <f t="shared" si="4"/>
        <v>2000</v>
      </c>
      <c r="N185" s="292">
        <f t="shared" si="39"/>
        <v>0</v>
      </c>
      <c r="O185" s="292">
        <f t="shared" si="40"/>
        <v>0</v>
      </c>
      <c r="P185" s="292">
        <f t="shared" si="5"/>
        <v>2000</v>
      </c>
      <c r="Q185" s="292">
        <f t="shared" si="6"/>
        <v>0</v>
      </c>
      <c r="R185" s="292">
        <f t="shared" si="60"/>
        <v>0</v>
      </c>
      <c r="S185" s="292">
        <f t="shared" si="61"/>
        <v>0</v>
      </c>
      <c r="T185" s="292">
        <f t="shared" si="7"/>
        <v>0</v>
      </c>
      <c r="U185" s="292">
        <f t="shared" si="8"/>
        <v>0</v>
      </c>
      <c r="V185" s="292">
        <f t="shared" si="62"/>
        <v>0</v>
      </c>
      <c r="W185" s="292">
        <f t="shared" si="63"/>
        <v>0</v>
      </c>
      <c r="X185" s="292">
        <f t="shared" si="64"/>
        <v>0</v>
      </c>
      <c r="Y185" s="292">
        <f t="shared" si="65"/>
        <v>0</v>
      </c>
      <c r="Z185" s="292">
        <f t="shared" si="47"/>
        <v>0</v>
      </c>
      <c r="AA185" s="292">
        <f t="shared" si="48"/>
        <v>0</v>
      </c>
      <c r="AB185" s="292">
        <f t="shared" si="9"/>
        <v>0</v>
      </c>
      <c r="AC185" s="292">
        <f t="shared" si="10"/>
        <v>0</v>
      </c>
      <c r="AD185" s="292">
        <f t="shared" si="11"/>
        <v>0</v>
      </c>
      <c r="AE185" s="292">
        <f t="shared" si="12"/>
        <v>0</v>
      </c>
      <c r="AF185" s="292">
        <f t="shared" si="13"/>
        <v>0</v>
      </c>
      <c r="AG185" s="292">
        <f t="shared" si="14"/>
        <v>0</v>
      </c>
      <c r="AH185" s="292">
        <f t="shared" si="15"/>
        <v>0</v>
      </c>
      <c r="AI185" s="292">
        <f t="shared" si="16"/>
        <v>0</v>
      </c>
      <c r="AJ185" s="292">
        <f t="shared" si="17"/>
        <v>0</v>
      </c>
      <c r="AK185" s="292">
        <f t="shared" si="18"/>
        <v>0</v>
      </c>
      <c r="AL185" s="292">
        <f t="shared" si="49"/>
        <v>0</v>
      </c>
      <c r="AM185" s="292">
        <f t="shared" si="50"/>
        <v>0</v>
      </c>
      <c r="AN185" s="292">
        <f t="shared" si="19"/>
        <v>0</v>
      </c>
      <c r="AO185" s="292">
        <f t="shared" si="20"/>
        <v>0</v>
      </c>
      <c r="AP185" s="292">
        <f t="shared" si="21"/>
        <v>0</v>
      </c>
      <c r="AQ185" s="292">
        <f t="shared" si="22"/>
        <v>0</v>
      </c>
      <c r="AR185" s="292">
        <f t="shared" si="23"/>
        <v>0</v>
      </c>
      <c r="AS185" s="292">
        <f t="shared" si="24"/>
        <v>0</v>
      </c>
      <c r="AT185" s="292">
        <f t="shared" si="25"/>
        <v>0</v>
      </c>
      <c r="AU185" s="292">
        <f t="shared" si="26"/>
        <v>0</v>
      </c>
      <c r="AV185" s="292">
        <f t="shared" si="27"/>
        <v>0</v>
      </c>
      <c r="AW185" s="292">
        <f t="shared" si="28"/>
        <v>0</v>
      </c>
      <c r="AX185" s="292">
        <f t="shared" si="29"/>
        <v>0</v>
      </c>
      <c r="AY185" s="292">
        <f t="shared" si="30"/>
        <v>0</v>
      </c>
      <c r="AZ185" s="292">
        <f t="shared" si="31"/>
        <v>0</v>
      </c>
      <c r="BA185" s="292">
        <f t="shared" si="32"/>
        <v>0</v>
      </c>
      <c r="BB185" s="292">
        <f t="shared" si="33"/>
        <v>0</v>
      </c>
      <c r="BC185" s="292">
        <f t="shared" si="34"/>
        <v>0</v>
      </c>
      <c r="BD185" s="292">
        <f t="shared" si="35"/>
        <v>0</v>
      </c>
      <c r="BE185" s="292">
        <f t="shared" si="36"/>
        <v>0</v>
      </c>
      <c r="BF185" s="292">
        <f t="shared" si="37"/>
        <v>0</v>
      </c>
      <c r="BG185" s="292">
        <f t="shared" si="38"/>
        <v>0</v>
      </c>
    </row>
    <row r="186" spans="1:59" s="289" customFormat="1" ht="15" customHeight="1">
      <c r="A186" s="63">
        <f t="array" ref="A186">IF(C186&lt;&gt;0,SUM(($C$11:C186&lt;&gt;0)*1),"")</f>
        <v>176</v>
      </c>
      <c r="B186" s="1099">
        <v>42445</v>
      </c>
      <c r="C186" s="290" t="s">
        <v>8</v>
      </c>
      <c r="D186" s="1099">
        <v>42445</v>
      </c>
      <c r="E186" s="344" t="s">
        <v>794</v>
      </c>
      <c r="F186" s="345">
        <v>92291900</v>
      </c>
      <c r="G186" s="346" t="s">
        <v>9</v>
      </c>
      <c r="H186" s="346" t="s">
        <v>31</v>
      </c>
      <c r="I186" s="63">
        <f t="shared" si="66"/>
        <v>176</v>
      </c>
      <c r="J186" s="292">
        <f t="shared" si="1"/>
        <v>0</v>
      </c>
      <c r="K186" s="292">
        <f t="shared" si="2"/>
        <v>0</v>
      </c>
      <c r="L186" s="292">
        <f t="shared" si="3"/>
        <v>0</v>
      </c>
      <c r="M186" s="292">
        <f t="shared" si="4"/>
        <v>92291900</v>
      </c>
      <c r="N186" s="292">
        <f t="shared" si="39"/>
        <v>0</v>
      </c>
      <c r="O186" s="292">
        <f t="shared" si="40"/>
        <v>0</v>
      </c>
      <c r="P186" s="292">
        <f t="shared" si="5"/>
        <v>0</v>
      </c>
      <c r="Q186" s="292">
        <f t="shared" si="6"/>
        <v>0</v>
      </c>
      <c r="R186" s="292">
        <f t="shared" si="60"/>
        <v>0</v>
      </c>
      <c r="S186" s="292">
        <f t="shared" si="61"/>
        <v>0</v>
      </c>
      <c r="T186" s="292">
        <f t="shared" si="7"/>
        <v>0</v>
      </c>
      <c r="U186" s="292">
        <f t="shared" si="8"/>
        <v>0</v>
      </c>
      <c r="V186" s="292">
        <f t="shared" si="62"/>
        <v>0</v>
      </c>
      <c r="W186" s="292">
        <f t="shared" si="63"/>
        <v>0</v>
      </c>
      <c r="X186" s="292">
        <f t="shared" si="64"/>
        <v>0</v>
      </c>
      <c r="Y186" s="292">
        <f t="shared" si="65"/>
        <v>0</v>
      </c>
      <c r="Z186" s="292">
        <f t="shared" si="47"/>
        <v>0</v>
      </c>
      <c r="AA186" s="292">
        <f t="shared" si="48"/>
        <v>0</v>
      </c>
      <c r="AB186" s="292">
        <f t="shared" si="9"/>
        <v>92291900</v>
      </c>
      <c r="AC186" s="292">
        <f t="shared" si="10"/>
        <v>0</v>
      </c>
      <c r="AD186" s="292">
        <f t="shared" si="11"/>
        <v>0</v>
      </c>
      <c r="AE186" s="292">
        <f t="shared" si="12"/>
        <v>0</v>
      </c>
      <c r="AF186" s="292">
        <f t="shared" si="13"/>
        <v>0</v>
      </c>
      <c r="AG186" s="292">
        <f t="shared" si="14"/>
        <v>0</v>
      </c>
      <c r="AH186" s="292">
        <f t="shared" si="15"/>
        <v>0</v>
      </c>
      <c r="AI186" s="292">
        <f t="shared" si="16"/>
        <v>0</v>
      </c>
      <c r="AJ186" s="292">
        <f t="shared" si="17"/>
        <v>0</v>
      </c>
      <c r="AK186" s="292">
        <f t="shared" si="18"/>
        <v>0</v>
      </c>
      <c r="AL186" s="292">
        <f t="shared" si="49"/>
        <v>0</v>
      </c>
      <c r="AM186" s="292">
        <f t="shared" si="50"/>
        <v>0</v>
      </c>
      <c r="AN186" s="292">
        <f t="shared" si="19"/>
        <v>0</v>
      </c>
      <c r="AO186" s="292">
        <f t="shared" si="20"/>
        <v>0</v>
      </c>
      <c r="AP186" s="292">
        <f t="shared" si="21"/>
        <v>0</v>
      </c>
      <c r="AQ186" s="292">
        <f t="shared" si="22"/>
        <v>0</v>
      </c>
      <c r="AR186" s="292">
        <f t="shared" si="23"/>
        <v>0</v>
      </c>
      <c r="AS186" s="292">
        <f t="shared" si="24"/>
        <v>0</v>
      </c>
      <c r="AT186" s="292">
        <f t="shared" si="25"/>
        <v>0</v>
      </c>
      <c r="AU186" s="292">
        <f t="shared" si="26"/>
        <v>0</v>
      </c>
      <c r="AV186" s="292">
        <f t="shared" si="27"/>
        <v>0</v>
      </c>
      <c r="AW186" s="292">
        <f t="shared" si="28"/>
        <v>0</v>
      </c>
      <c r="AX186" s="292">
        <f t="shared" si="29"/>
        <v>0</v>
      </c>
      <c r="AY186" s="292">
        <f t="shared" si="30"/>
        <v>0</v>
      </c>
      <c r="AZ186" s="292">
        <f t="shared" si="31"/>
        <v>0</v>
      </c>
      <c r="BA186" s="292">
        <f t="shared" si="32"/>
        <v>0</v>
      </c>
      <c r="BB186" s="292">
        <f t="shared" si="33"/>
        <v>0</v>
      </c>
      <c r="BC186" s="292">
        <f t="shared" si="34"/>
        <v>0</v>
      </c>
      <c r="BD186" s="292">
        <f t="shared" si="35"/>
        <v>0</v>
      </c>
      <c r="BE186" s="292">
        <f t="shared" si="36"/>
        <v>0</v>
      </c>
      <c r="BF186" s="292">
        <f t="shared" si="37"/>
        <v>0</v>
      </c>
      <c r="BG186" s="292">
        <f t="shared" si="38"/>
        <v>0</v>
      </c>
    </row>
    <row r="187" spans="1:59" s="289" customFormat="1" ht="15" customHeight="1">
      <c r="A187" s="63">
        <f t="array" ref="A187">IF(C187&lt;&gt;0,SUM(($C$11:C187&lt;&gt;0)*1),"")</f>
        <v>177</v>
      </c>
      <c r="B187" s="1099">
        <v>42445</v>
      </c>
      <c r="C187" s="290" t="s">
        <v>8</v>
      </c>
      <c r="D187" s="1099">
        <v>42445</v>
      </c>
      <c r="E187" s="344" t="s">
        <v>22</v>
      </c>
      <c r="F187" s="345">
        <v>46146</v>
      </c>
      <c r="G187" s="346" t="s">
        <v>135</v>
      </c>
      <c r="H187" s="346" t="s">
        <v>31</v>
      </c>
      <c r="I187" s="63">
        <f t="shared" si="66"/>
        <v>177</v>
      </c>
      <c r="J187" s="292">
        <f t="shared" si="1"/>
        <v>0</v>
      </c>
      <c r="K187" s="292">
        <f t="shared" si="2"/>
        <v>0</v>
      </c>
      <c r="L187" s="292">
        <f t="shared" si="3"/>
        <v>0</v>
      </c>
      <c r="M187" s="292">
        <f t="shared" si="4"/>
        <v>46146</v>
      </c>
      <c r="N187" s="292">
        <f t="shared" si="39"/>
        <v>0</v>
      </c>
      <c r="O187" s="292">
        <f t="shared" si="40"/>
        <v>0</v>
      </c>
      <c r="P187" s="292">
        <f t="shared" si="5"/>
        <v>0</v>
      </c>
      <c r="Q187" s="292">
        <f t="shared" si="6"/>
        <v>0</v>
      </c>
      <c r="R187" s="292">
        <f t="shared" si="60"/>
        <v>0</v>
      </c>
      <c r="S187" s="292">
        <f t="shared" si="61"/>
        <v>0</v>
      </c>
      <c r="T187" s="292">
        <f t="shared" si="7"/>
        <v>0</v>
      </c>
      <c r="U187" s="292">
        <f t="shared" si="8"/>
        <v>0</v>
      </c>
      <c r="V187" s="292">
        <f t="shared" si="62"/>
        <v>0</v>
      </c>
      <c r="W187" s="292">
        <f t="shared" si="63"/>
        <v>0</v>
      </c>
      <c r="X187" s="292">
        <f t="shared" si="64"/>
        <v>0</v>
      </c>
      <c r="Y187" s="292">
        <f t="shared" si="65"/>
        <v>0</v>
      </c>
      <c r="Z187" s="292">
        <f t="shared" si="47"/>
        <v>0</v>
      </c>
      <c r="AA187" s="292">
        <f t="shared" si="48"/>
        <v>0</v>
      </c>
      <c r="AB187" s="292">
        <f t="shared" si="9"/>
        <v>0</v>
      </c>
      <c r="AC187" s="292">
        <f t="shared" si="10"/>
        <v>0</v>
      </c>
      <c r="AD187" s="292">
        <f t="shared" si="11"/>
        <v>0</v>
      </c>
      <c r="AE187" s="292">
        <f t="shared" si="12"/>
        <v>0</v>
      </c>
      <c r="AF187" s="292">
        <f t="shared" si="13"/>
        <v>0</v>
      </c>
      <c r="AG187" s="292">
        <f t="shared" si="14"/>
        <v>0</v>
      </c>
      <c r="AH187" s="292">
        <f t="shared" si="15"/>
        <v>0</v>
      </c>
      <c r="AI187" s="292">
        <f t="shared" si="16"/>
        <v>0</v>
      </c>
      <c r="AJ187" s="292">
        <f t="shared" si="17"/>
        <v>0</v>
      </c>
      <c r="AK187" s="292">
        <f t="shared" si="18"/>
        <v>0</v>
      </c>
      <c r="AL187" s="292">
        <f t="shared" si="49"/>
        <v>0</v>
      </c>
      <c r="AM187" s="292">
        <f t="shared" si="50"/>
        <v>0</v>
      </c>
      <c r="AN187" s="292">
        <f t="shared" si="19"/>
        <v>0</v>
      </c>
      <c r="AO187" s="292">
        <f t="shared" si="20"/>
        <v>0</v>
      </c>
      <c r="AP187" s="292">
        <f t="shared" si="21"/>
        <v>0</v>
      </c>
      <c r="AQ187" s="292">
        <f t="shared" si="22"/>
        <v>0</v>
      </c>
      <c r="AR187" s="292">
        <f t="shared" si="23"/>
        <v>0</v>
      </c>
      <c r="AS187" s="292">
        <f t="shared" si="24"/>
        <v>0</v>
      </c>
      <c r="AT187" s="292">
        <f t="shared" si="25"/>
        <v>0</v>
      </c>
      <c r="AU187" s="292">
        <f t="shared" si="26"/>
        <v>0</v>
      </c>
      <c r="AV187" s="292">
        <f t="shared" si="27"/>
        <v>0</v>
      </c>
      <c r="AW187" s="292">
        <f t="shared" si="28"/>
        <v>0</v>
      </c>
      <c r="AX187" s="292">
        <f t="shared" si="29"/>
        <v>46146</v>
      </c>
      <c r="AY187" s="292">
        <f t="shared" si="30"/>
        <v>0</v>
      </c>
      <c r="AZ187" s="292">
        <f t="shared" si="31"/>
        <v>0</v>
      </c>
      <c r="BA187" s="292">
        <f t="shared" si="32"/>
        <v>0</v>
      </c>
      <c r="BB187" s="292">
        <f t="shared" si="33"/>
        <v>0</v>
      </c>
      <c r="BC187" s="292">
        <f t="shared" si="34"/>
        <v>0</v>
      </c>
      <c r="BD187" s="292">
        <f t="shared" si="35"/>
        <v>0</v>
      </c>
      <c r="BE187" s="292">
        <f t="shared" si="36"/>
        <v>0</v>
      </c>
      <c r="BF187" s="292">
        <f t="shared" si="37"/>
        <v>0</v>
      </c>
      <c r="BG187" s="292">
        <f t="shared" si="38"/>
        <v>0</v>
      </c>
    </row>
    <row r="188" spans="1:59" s="289" customFormat="1" ht="15" customHeight="1">
      <c r="A188" s="63">
        <f t="array" ref="A188">IF(C188&lt;&gt;0,SUM(($C$11:C188&lt;&gt;0)*1),"")</f>
        <v>178</v>
      </c>
      <c r="B188" s="1099">
        <v>42445</v>
      </c>
      <c r="C188" s="290" t="s">
        <v>8</v>
      </c>
      <c r="D188" s="1099">
        <v>42445</v>
      </c>
      <c r="E188" s="344" t="s">
        <v>23</v>
      </c>
      <c r="F188" s="345">
        <v>4615</v>
      </c>
      <c r="G188" s="346" t="s">
        <v>10</v>
      </c>
      <c r="H188" s="346" t="s">
        <v>31</v>
      </c>
      <c r="I188" s="63">
        <f t="shared" si="66"/>
        <v>178</v>
      </c>
      <c r="J188" s="292">
        <f t="shared" si="1"/>
        <v>0</v>
      </c>
      <c r="K188" s="292">
        <f t="shared" si="2"/>
        <v>0</v>
      </c>
      <c r="L188" s="292">
        <f t="shared" si="3"/>
        <v>0</v>
      </c>
      <c r="M188" s="292">
        <f t="shared" si="4"/>
        <v>4615</v>
      </c>
      <c r="N188" s="292">
        <f t="shared" si="39"/>
        <v>0</v>
      </c>
      <c r="O188" s="292">
        <f t="shared" si="40"/>
        <v>0</v>
      </c>
      <c r="P188" s="292">
        <f t="shared" si="5"/>
        <v>4615</v>
      </c>
      <c r="Q188" s="292">
        <f t="shared" si="6"/>
        <v>0</v>
      </c>
      <c r="R188" s="292">
        <f t="shared" si="60"/>
        <v>0</v>
      </c>
      <c r="S188" s="292">
        <f t="shared" si="61"/>
        <v>0</v>
      </c>
      <c r="T188" s="292">
        <f t="shared" si="7"/>
        <v>0</v>
      </c>
      <c r="U188" s="292">
        <f t="shared" si="8"/>
        <v>0</v>
      </c>
      <c r="V188" s="292">
        <f t="shared" si="62"/>
        <v>0</v>
      </c>
      <c r="W188" s="292">
        <f t="shared" si="63"/>
        <v>0</v>
      </c>
      <c r="X188" s="292">
        <f t="shared" si="64"/>
        <v>0</v>
      </c>
      <c r="Y188" s="292">
        <f t="shared" si="65"/>
        <v>0</v>
      </c>
      <c r="Z188" s="292">
        <f t="shared" si="47"/>
        <v>0</v>
      </c>
      <c r="AA188" s="292">
        <f t="shared" si="48"/>
        <v>0</v>
      </c>
      <c r="AB188" s="292">
        <f t="shared" si="9"/>
        <v>0</v>
      </c>
      <c r="AC188" s="292">
        <f t="shared" si="10"/>
        <v>0</v>
      </c>
      <c r="AD188" s="292">
        <f t="shared" si="11"/>
        <v>0</v>
      </c>
      <c r="AE188" s="292">
        <f t="shared" si="12"/>
        <v>0</v>
      </c>
      <c r="AF188" s="292">
        <f t="shared" si="13"/>
        <v>0</v>
      </c>
      <c r="AG188" s="292">
        <f t="shared" si="14"/>
        <v>0</v>
      </c>
      <c r="AH188" s="292">
        <f t="shared" si="15"/>
        <v>0</v>
      </c>
      <c r="AI188" s="292">
        <f t="shared" si="16"/>
        <v>0</v>
      </c>
      <c r="AJ188" s="292">
        <f t="shared" si="17"/>
        <v>0</v>
      </c>
      <c r="AK188" s="292">
        <f t="shared" si="18"/>
        <v>0</v>
      </c>
      <c r="AL188" s="292">
        <f t="shared" si="49"/>
        <v>0</v>
      </c>
      <c r="AM188" s="292">
        <f t="shared" si="50"/>
        <v>0</v>
      </c>
      <c r="AN188" s="292">
        <f t="shared" si="19"/>
        <v>0</v>
      </c>
      <c r="AO188" s="292">
        <f t="shared" si="20"/>
        <v>0</v>
      </c>
      <c r="AP188" s="292">
        <f t="shared" si="21"/>
        <v>0</v>
      </c>
      <c r="AQ188" s="292">
        <f t="shared" si="22"/>
        <v>0</v>
      </c>
      <c r="AR188" s="292">
        <f t="shared" si="23"/>
        <v>0</v>
      </c>
      <c r="AS188" s="292">
        <f t="shared" si="24"/>
        <v>0</v>
      </c>
      <c r="AT188" s="292">
        <f t="shared" si="25"/>
        <v>0</v>
      </c>
      <c r="AU188" s="292">
        <f t="shared" si="26"/>
        <v>0</v>
      </c>
      <c r="AV188" s="292">
        <f t="shared" si="27"/>
        <v>0</v>
      </c>
      <c r="AW188" s="292">
        <f t="shared" si="28"/>
        <v>0</v>
      </c>
      <c r="AX188" s="292">
        <f t="shared" si="29"/>
        <v>0</v>
      </c>
      <c r="AY188" s="292">
        <f t="shared" si="30"/>
        <v>0</v>
      </c>
      <c r="AZ188" s="292">
        <f t="shared" si="31"/>
        <v>0</v>
      </c>
      <c r="BA188" s="292">
        <f t="shared" si="32"/>
        <v>0</v>
      </c>
      <c r="BB188" s="292">
        <f t="shared" si="33"/>
        <v>0</v>
      </c>
      <c r="BC188" s="292">
        <f t="shared" si="34"/>
        <v>0</v>
      </c>
      <c r="BD188" s="292">
        <f t="shared" si="35"/>
        <v>0</v>
      </c>
      <c r="BE188" s="292">
        <f t="shared" si="36"/>
        <v>0</v>
      </c>
      <c r="BF188" s="292">
        <f t="shared" si="37"/>
        <v>0</v>
      </c>
      <c r="BG188" s="292">
        <f t="shared" si="38"/>
        <v>0</v>
      </c>
    </row>
    <row r="189" spans="1:59" s="289" customFormat="1" ht="15" customHeight="1">
      <c r="A189" s="63">
        <f t="array" ref="A189">IF(C189&lt;&gt;0,SUM(($C$11:C189&lt;&gt;0)*1),"")</f>
        <v>179</v>
      </c>
      <c r="B189" s="1099">
        <v>42445</v>
      </c>
      <c r="C189" s="290" t="s">
        <v>8</v>
      </c>
      <c r="D189" s="1099">
        <v>42445</v>
      </c>
      <c r="E189" s="344" t="s">
        <v>790</v>
      </c>
      <c r="F189" s="345">
        <v>27688</v>
      </c>
      <c r="G189" s="346" t="s">
        <v>135</v>
      </c>
      <c r="H189" s="346" t="s">
        <v>31</v>
      </c>
      <c r="I189" s="63">
        <f t="shared" si="66"/>
        <v>179</v>
      </c>
      <c r="J189" s="292">
        <f t="shared" si="1"/>
        <v>0</v>
      </c>
      <c r="K189" s="292">
        <f t="shared" si="2"/>
        <v>0</v>
      </c>
      <c r="L189" s="292">
        <f t="shared" si="3"/>
        <v>0</v>
      </c>
      <c r="M189" s="292">
        <f t="shared" si="4"/>
        <v>27688</v>
      </c>
      <c r="N189" s="292">
        <f t="shared" si="39"/>
        <v>0</v>
      </c>
      <c r="O189" s="292">
        <f t="shared" si="40"/>
        <v>0</v>
      </c>
      <c r="P189" s="292">
        <f t="shared" si="5"/>
        <v>0</v>
      </c>
      <c r="Q189" s="292">
        <f t="shared" si="6"/>
        <v>0</v>
      </c>
      <c r="R189" s="292">
        <f t="shared" si="60"/>
        <v>0</v>
      </c>
      <c r="S189" s="292">
        <f t="shared" si="61"/>
        <v>0</v>
      </c>
      <c r="T189" s="292">
        <f t="shared" si="7"/>
        <v>0</v>
      </c>
      <c r="U189" s="292">
        <f t="shared" si="8"/>
        <v>0</v>
      </c>
      <c r="V189" s="292">
        <f t="shared" si="62"/>
        <v>0</v>
      </c>
      <c r="W189" s="292">
        <f t="shared" si="63"/>
        <v>0</v>
      </c>
      <c r="X189" s="292">
        <f t="shared" si="64"/>
        <v>0</v>
      </c>
      <c r="Y189" s="292">
        <f t="shared" si="65"/>
        <v>0</v>
      </c>
      <c r="Z189" s="292">
        <f t="shared" si="47"/>
        <v>0</v>
      </c>
      <c r="AA189" s="292">
        <f t="shared" si="48"/>
        <v>0</v>
      </c>
      <c r="AB189" s="292">
        <f t="shared" si="9"/>
        <v>0</v>
      </c>
      <c r="AC189" s="292">
        <f t="shared" si="10"/>
        <v>0</v>
      </c>
      <c r="AD189" s="292">
        <f t="shared" si="11"/>
        <v>0</v>
      </c>
      <c r="AE189" s="292">
        <f t="shared" si="12"/>
        <v>0</v>
      </c>
      <c r="AF189" s="292">
        <f t="shared" si="13"/>
        <v>0</v>
      </c>
      <c r="AG189" s="292">
        <f t="shared" si="14"/>
        <v>0</v>
      </c>
      <c r="AH189" s="292">
        <f t="shared" si="15"/>
        <v>0</v>
      </c>
      <c r="AI189" s="292">
        <f t="shared" si="16"/>
        <v>0</v>
      </c>
      <c r="AJ189" s="292">
        <f t="shared" si="17"/>
        <v>0</v>
      </c>
      <c r="AK189" s="292">
        <f t="shared" si="18"/>
        <v>0</v>
      </c>
      <c r="AL189" s="292">
        <f t="shared" si="49"/>
        <v>0</v>
      </c>
      <c r="AM189" s="292">
        <f t="shared" si="50"/>
        <v>0</v>
      </c>
      <c r="AN189" s="292">
        <f t="shared" si="19"/>
        <v>0</v>
      </c>
      <c r="AO189" s="292">
        <f t="shared" si="20"/>
        <v>0</v>
      </c>
      <c r="AP189" s="292">
        <f t="shared" si="21"/>
        <v>0</v>
      </c>
      <c r="AQ189" s="292">
        <f t="shared" si="22"/>
        <v>0</v>
      </c>
      <c r="AR189" s="292">
        <f t="shared" si="23"/>
        <v>0</v>
      </c>
      <c r="AS189" s="292">
        <f t="shared" si="24"/>
        <v>0</v>
      </c>
      <c r="AT189" s="292">
        <f t="shared" si="25"/>
        <v>0</v>
      </c>
      <c r="AU189" s="292">
        <f t="shared" si="26"/>
        <v>0</v>
      </c>
      <c r="AV189" s="292">
        <f t="shared" si="27"/>
        <v>0</v>
      </c>
      <c r="AW189" s="292">
        <f t="shared" si="28"/>
        <v>0</v>
      </c>
      <c r="AX189" s="292">
        <f t="shared" si="29"/>
        <v>27688</v>
      </c>
      <c r="AY189" s="292">
        <f t="shared" si="30"/>
        <v>0</v>
      </c>
      <c r="AZ189" s="292">
        <f t="shared" si="31"/>
        <v>0</v>
      </c>
      <c r="BA189" s="292">
        <f t="shared" si="32"/>
        <v>0</v>
      </c>
      <c r="BB189" s="292">
        <f t="shared" si="33"/>
        <v>0</v>
      </c>
      <c r="BC189" s="292">
        <f t="shared" si="34"/>
        <v>0</v>
      </c>
      <c r="BD189" s="292">
        <f t="shared" si="35"/>
        <v>0</v>
      </c>
      <c r="BE189" s="292">
        <f t="shared" si="36"/>
        <v>0</v>
      </c>
      <c r="BF189" s="292">
        <f t="shared" si="37"/>
        <v>0</v>
      </c>
      <c r="BG189" s="292">
        <f t="shared" si="38"/>
        <v>0</v>
      </c>
    </row>
    <row r="190" spans="1:59" s="289" customFormat="1" ht="15" customHeight="1">
      <c r="A190" s="63">
        <f t="array" ref="A190">IF(C190&lt;&gt;0,SUM(($C$11:C190&lt;&gt;0)*1),"")</f>
        <v>180</v>
      </c>
      <c r="B190" s="1099">
        <v>42445</v>
      </c>
      <c r="C190" s="290" t="s">
        <v>8</v>
      </c>
      <c r="D190" s="1099">
        <v>42445</v>
      </c>
      <c r="E190" s="344" t="s">
        <v>791</v>
      </c>
      <c r="F190" s="345">
        <v>2769</v>
      </c>
      <c r="G190" s="346" t="s">
        <v>10</v>
      </c>
      <c r="H190" s="346" t="s">
        <v>31</v>
      </c>
      <c r="I190" s="63">
        <f t="shared" si="66"/>
        <v>180</v>
      </c>
      <c r="J190" s="292">
        <f t="shared" si="1"/>
        <v>0</v>
      </c>
      <c r="K190" s="292">
        <f t="shared" si="2"/>
        <v>0</v>
      </c>
      <c r="L190" s="292">
        <f t="shared" si="3"/>
        <v>0</v>
      </c>
      <c r="M190" s="292">
        <f t="shared" si="4"/>
        <v>2769</v>
      </c>
      <c r="N190" s="292">
        <f t="shared" si="39"/>
        <v>0</v>
      </c>
      <c r="O190" s="292">
        <f t="shared" si="40"/>
        <v>0</v>
      </c>
      <c r="P190" s="292">
        <f t="shared" si="5"/>
        <v>2769</v>
      </c>
      <c r="Q190" s="292">
        <f t="shared" si="6"/>
        <v>0</v>
      </c>
      <c r="R190" s="292">
        <f t="shared" si="60"/>
        <v>0</v>
      </c>
      <c r="S190" s="292">
        <f t="shared" si="61"/>
        <v>0</v>
      </c>
      <c r="T190" s="292">
        <f t="shared" si="7"/>
        <v>0</v>
      </c>
      <c r="U190" s="292">
        <f t="shared" si="8"/>
        <v>0</v>
      </c>
      <c r="V190" s="292">
        <f t="shared" si="62"/>
        <v>0</v>
      </c>
      <c r="W190" s="292">
        <f t="shared" si="63"/>
        <v>0</v>
      </c>
      <c r="X190" s="292">
        <f t="shared" si="64"/>
        <v>0</v>
      </c>
      <c r="Y190" s="292">
        <f t="shared" si="65"/>
        <v>0</v>
      </c>
      <c r="Z190" s="292">
        <f t="shared" si="47"/>
        <v>0</v>
      </c>
      <c r="AA190" s="292">
        <f t="shared" si="48"/>
        <v>0</v>
      </c>
      <c r="AB190" s="292">
        <f t="shared" si="9"/>
        <v>0</v>
      </c>
      <c r="AC190" s="292">
        <f t="shared" si="10"/>
        <v>0</v>
      </c>
      <c r="AD190" s="292">
        <f t="shared" si="11"/>
        <v>0</v>
      </c>
      <c r="AE190" s="292">
        <f t="shared" si="12"/>
        <v>0</v>
      </c>
      <c r="AF190" s="292">
        <f t="shared" si="13"/>
        <v>0</v>
      </c>
      <c r="AG190" s="292">
        <f t="shared" si="14"/>
        <v>0</v>
      </c>
      <c r="AH190" s="292">
        <f t="shared" si="15"/>
        <v>0</v>
      </c>
      <c r="AI190" s="292">
        <f t="shared" si="16"/>
        <v>0</v>
      </c>
      <c r="AJ190" s="292">
        <f t="shared" si="17"/>
        <v>0</v>
      </c>
      <c r="AK190" s="292">
        <f t="shared" si="18"/>
        <v>0</v>
      </c>
      <c r="AL190" s="292">
        <f t="shared" si="49"/>
        <v>0</v>
      </c>
      <c r="AM190" s="292">
        <f t="shared" si="50"/>
        <v>0</v>
      </c>
      <c r="AN190" s="292">
        <f t="shared" si="19"/>
        <v>0</v>
      </c>
      <c r="AO190" s="292">
        <f t="shared" si="20"/>
        <v>0</v>
      </c>
      <c r="AP190" s="292">
        <f t="shared" si="21"/>
        <v>0</v>
      </c>
      <c r="AQ190" s="292">
        <f t="shared" si="22"/>
        <v>0</v>
      </c>
      <c r="AR190" s="292">
        <f t="shared" si="23"/>
        <v>0</v>
      </c>
      <c r="AS190" s="292">
        <f t="shared" si="24"/>
        <v>0</v>
      </c>
      <c r="AT190" s="292">
        <f t="shared" si="25"/>
        <v>0</v>
      </c>
      <c r="AU190" s="292">
        <f t="shared" si="26"/>
        <v>0</v>
      </c>
      <c r="AV190" s="292">
        <f t="shared" si="27"/>
        <v>0</v>
      </c>
      <c r="AW190" s="292">
        <f t="shared" si="28"/>
        <v>0</v>
      </c>
      <c r="AX190" s="292">
        <f t="shared" si="29"/>
        <v>0</v>
      </c>
      <c r="AY190" s="292">
        <f t="shared" si="30"/>
        <v>0</v>
      </c>
      <c r="AZ190" s="292">
        <f t="shared" si="31"/>
        <v>0</v>
      </c>
      <c r="BA190" s="292">
        <f t="shared" si="32"/>
        <v>0</v>
      </c>
      <c r="BB190" s="292">
        <f t="shared" si="33"/>
        <v>0</v>
      </c>
      <c r="BC190" s="292">
        <f t="shared" si="34"/>
        <v>0</v>
      </c>
      <c r="BD190" s="292">
        <f t="shared" si="35"/>
        <v>0</v>
      </c>
      <c r="BE190" s="292">
        <f t="shared" si="36"/>
        <v>0</v>
      </c>
      <c r="BF190" s="292">
        <f t="shared" si="37"/>
        <v>0</v>
      </c>
      <c r="BG190" s="292">
        <f t="shared" si="38"/>
        <v>0</v>
      </c>
    </row>
    <row r="191" spans="1:59" s="289" customFormat="1" ht="15" customHeight="1">
      <c r="A191" s="63">
        <f t="array" ref="A191">IF(C191&lt;&gt;0,SUM(($C$11:C191&lt;&gt;0)*1),"")</f>
        <v>181</v>
      </c>
      <c r="B191" s="1099">
        <v>42448</v>
      </c>
      <c r="C191" s="290" t="s">
        <v>8</v>
      </c>
      <c r="D191" s="1099">
        <v>42448</v>
      </c>
      <c r="E191" s="344" t="s">
        <v>405</v>
      </c>
      <c r="F191" s="345">
        <v>7652778</v>
      </c>
      <c r="G191" s="346" t="s">
        <v>133</v>
      </c>
      <c r="H191" s="346" t="s">
        <v>31</v>
      </c>
      <c r="I191" s="63">
        <f t="shared" si="66"/>
        <v>181</v>
      </c>
      <c r="J191" s="292">
        <f t="shared" si="1"/>
        <v>0</v>
      </c>
      <c r="K191" s="292">
        <f t="shared" si="2"/>
        <v>0</v>
      </c>
      <c r="L191" s="292">
        <f t="shared" si="3"/>
        <v>0</v>
      </c>
      <c r="M191" s="292">
        <f t="shared" si="4"/>
        <v>7652778</v>
      </c>
      <c r="N191" s="292">
        <f t="shared" si="39"/>
        <v>0</v>
      </c>
      <c r="O191" s="292">
        <f t="shared" si="40"/>
        <v>0</v>
      </c>
      <c r="P191" s="292">
        <f t="shared" si="5"/>
        <v>0</v>
      </c>
      <c r="Q191" s="292">
        <f t="shared" si="6"/>
        <v>0</v>
      </c>
      <c r="R191" s="292">
        <f t="shared" si="60"/>
        <v>0</v>
      </c>
      <c r="S191" s="292">
        <f t="shared" si="61"/>
        <v>0</v>
      </c>
      <c r="T191" s="292">
        <f t="shared" si="7"/>
        <v>0</v>
      </c>
      <c r="U191" s="292">
        <f t="shared" si="8"/>
        <v>0</v>
      </c>
      <c r="V191" s="292">
        <f t="shared" si="62"/>
        <v>0</v>
      </c>
      <c r="W191" s="292">
        <f t="shared" si="63"/>
        <v>0</v>
      </c>
      <c r="X191" s="292">
        <f t="shared" si="64"/>
        <v>0</v>
      </c>
      <c r="Y191" s="292">
        <f t="shared" si="65"/>
        <v>0</v>
      </c>
      <c r="Z191" s="292">
        <f t="shared" si="47"/>
        <v>0</v>
      </c>
      <c r="AA191" s="292">
        <f t="shared" si="48"/>
        <v>0</v>
      </c>
      <c r="AB191" s="292">
        <f t="shared" si="9"/>
        <v>0</v>
      </c>
      <c r="AC191" s="292">
        <f t="shared" si="10"/>
        <v>0</v>
      </c>
      <c r="AD191" s="292">
        <f t="shared" si="11"/>
        <v>0</v>
      </c>
      <c r="AE191" s="292">
        <f t="shared" si="12"/>
        <v>0</v>
      </c>
      <c r="AF191" s="292">
        <f t="shared" si="13"/>
        <v>0</v>
      </c>
      <c r="AG191" s="292">
        <f t="shared" si="14"/>
        <v>0</v>
      </c>
      <c r="AH191" s="292">
        <f t="shared" si="15"/>
        <v>0</v>
      </c>
      <c r="AI191" s="292">
        <f t="shared" si="16"/>
        <v>0</v>
      </c>
      <c r="AJ191" s="292">
        <f t="shared" si="17"/>
        <v>0</v>
      </c>
      <c r="AK191" s="292">
        <f t="shared" si="18"/>
        <v>0</v>
      </c>
      <c r="AL191" s="292">
        <f t="shared" si="49"/>
        <v>0</v>
      </c>
      <c r="AM191" s="292">
        <f t="shared" si="50"/>
        <v>0</v>
      </c>
      <c r="AN191" s="292">
        <f t="shared" si="19"/>
        <v>0</v>
      </c>
      <c r="AO191" s="292">
        <f t="shared" si="20"/>
        <v>0</v>
      </c>
      <c r="AP191" s="292">
        <f t="shared" si="21"/>
        <v>0</v>
      </c>
      <c r="AQ191" s="292">
        <f t="shared" si="22"/>
        <v>0</v>
      </c>
      <c r="AR191" s="292">
        <f t="shared" si="23"/>
        <v>0</v>
      </c>
      <c r="AS191" s="292">
        <f t="shared" si="24"/>
        <v>0</v>
      </c>
      <c r="AT191" s="292">
        <f t="shared" si="25"/>
        <v>0</v>
      </c>
      <c r="AU191" s="292">
        <f t="shared" si="26"/>
        <v>0</v>
      </c>
      <c r="AV191" s="292">
        <f t="shared" si="27"/>
        <v>7652778</v>
      </c>
      <c r="AW191" s="292">
        <f t="shared" si="28"/>
        <v>0</v>
      </c>
      <c r="AX191" s="292">
        <f t="shared" si="29"/>
        <v>0</v>
      </c>
      <c r="AY191" s="292">
        <f t="shared" si="30"/>
        <v>0</v>
      </c>
      <c r="AZ191" s="292">
        <f t="shared" si="31"/>
        <v>0</v>
      </c>
      <c r="BA191" s="292">
        <f t="shared" si="32"/>
        <v>0</v>
      </c>
      <c r="BB191" s="292">
        <f t="shared" si="33"/>
        <v>0</v>
      </c>
      <c r="BC191" s="292">
        <f t="shared" si="34"/>
        <v>0</v>
      </c>
      <c r="BD191" s="292">
        <f t="shared" si="35"/>
        <v>0</v>
      </c>
      <c r="BE191" s="292">
        <f t="shared" si="36"/>
        <v>0</v>
      </c>
      <c r="BF191" s="292">
        <f t="shared" si="37"/>
        <v>0</v>
      </c>
      <c r="BG191" s="292">
        <f t="shared" si="38"/>
        <v>0</v>
      </c>
    </row>
    <row r="192" spans="1:59" s="289" customFormat="1" ht="15" customHeight="1">
      <c r="A192" s="63">
        <f t="array" ref="A192">IF(C192&lt;&gt;0,SUM(($C$11:C192&lt;&gt;0)*1),"")</f>
        <v>182</v>
      </c>
      <c r="B192" s="1099">
        <v>42448</v>
      </c>
      <c r="C192" s="290" t="s">
        <v>8</v>
      </c>
      <c r="D192" s="1099">
        <v>42448</v>
      </c>
      <c r="E192" s="344" t="s">
        <v>405</v>
      </c>
      <c r="F192" s="345">
        <v>15305556</v>
      </c>
      <c r="G192" s="346" t="s">
        <v>133</v>
      </c>
      <c r="H192" s="346" t="s">
        <v>31</v>
      </c>
      <c r="I192" s="63">
        <f t="shared" si="66"/>
        <v>182</v>
      </c>
      <c r="J192" s="292">
        <f t="shared" si="1"/>
        <v>0</v>
      </c>
      <c r="K192" s="292">
        <f t="shared" si="2"/>
        <v>0</v>
      </c>
      <c r="L192" s="292">
        <f t="shared" si="3"/>
        <v>0</v>
      </c>
      <c r="M192" s="292">
        <f t="shared" si="4"/>
        <v>15305556</v>
      </c>
      <c r="N192" s="292">
        <f t="shared" si="39"/>
        <v>0</v>
      </c>
      <c r="O192" s="292">
        <f t="shared" si="40"/>
        <v>0</v>
      </c>
      <c r="P192" s="292">
        <f t="shared" si="5"/>
        <v>0</v>
      </c>
      <c r="Q192" s="292">
        <f t="shared" si="6"/>
        <v>0</v>
      </c>
      <c r="R192" s="292">
        <f t="shared" si="60"/>
        <v>0</v>
      </c>
      <c r="S192" s="292">
        <f t="shared" si="61"/>
        <v>0</v>
      </c>
      <c r="T192" s="292">
        <f t="shared" si="7"/>
        <v>0</v>
      </c>
      <c r="U192" s="292">
        <f t="shared" si="8"/>
        <v>0</v>
      </c>
      <c r="V192" s="292">
        <f t="shared" si="62"/>
        <v>0</v>
      </c>
      <c r="W192" s="292">
        <f t="shared" si="63"/>
        <v>0</v>
      </c>
      <c r="X192" s="292">
        <f t="shared" si="64"/>
        <v>0</v>
      </c>
      <c r="Y192" s="292">
        <f t="shared" si="65"/>
        <v>0</v>
      </c>
      <c r="Z192" s="292">
        <f t="shared" si="47"/>
        <v>0</v>
      </c>
      <c r="AA192" s="292">
        <f t="shared" si="48"/>
        <v>0</v>
      </c>
      <c r="AB192" s="292">
        <f t="shared" si="9"/>
        <v>0</v>
      </c>
      <c r="AC192" s="292">
        <f t="shared" si="10"/>
        <v>0</v>
      </c>
      <c r="AD192" s="292">
        <f t="shared" si="11"/>
        <v>0</v>
      </c>
      <c r="AE192" s="292">
        <f t="shared" si="12"/>
        <v>0</v>
      </c>
      <c r="AF192" s="292">
        <f t="shared" si="13"/>
        <v>0</v>
      </c>
      <c r="AG192" s="292">
        <f t="shared" si="14"/>
        <v>0</v>
      </c>
      <c r="AH192" s="292">
        <f t="shared" si="15"/>
        <v>0</v>
      </c>
      <c r="AI192" s="292">
        <f t="shared" si="16"/>
        <v>0</v>
      </c>
      <c r="AJ192" s="292">
        <f t="shared" si="17"/>
        <v>0</v>
      </c>
      <c r="AK192" s="292">
        <f t="shared" si="18"/>
        <v>0</v>
      </c>
      <c r="AL192" s="292">
        <f t="shared" si="49"/>
        <v>0</v>
      </c>
      <c r="AM192" s="292">
        <f t="shared" si="50"/>
        <v>0</v>
      </c>
      <c r="AN192" s="292">
        <f t="shared" si="19"/>
        <v>0</v>
      </c>
      <c r="AO192" s="292">
        <f t="shared" si="20"/>
        <v>0</v>
      </c>
      <c r="AP192" s="292">
        <f t="shared" si="21"/>
        <v>0</v>
      </c>
      <c r="AQ192" s="292">
        <f t="shared" si="22"/>
        <v>0</v>
      </c>
      <c r="AR192" s="292">
        <f t="shared" si="23"/>
        <v>0</v>
      </c>
      <c r="AS192" s="292">
        <f t="shared" si="24"/>
        <v>0</v>
      </c>
      <c r="AT192" s="292">
        <f t="shared" si="25"/>
        <v>0</v>
      </c>
      <c r="AU192" s="292">
        <f t="shared" si="26"/>
        <v>0</v>
      </c>
      <c r="AV192" s="292">
        <f t="shared" si="27"/>
        <v>15305556</v>
      </c>
      <c r="AW192" s="292">
        <f t="shared" si="28"/>
        <v>0</v>
      </c>
      <c r="AX192" s="292">
        <f t="shared" si="29"/>
        <v>0</v>
      </c>
      <c r="AY192" s="292">
        <f t="shared" si="30"/>
        <v>0</v>
      </c>
      <c r="AZ192" s="292">
        <f t="shared" si="31"/>
        <v>0</v>
      </c>
      <c r="BA192" s="292">
        <f t="shared" si="32"/>
        <v>0</v>
      </c>
      <c r="BB192" s="292">
        <f t="shared" si="33"/>
        <v>0</v>
      </c>
      <c r="BC192" s="292">
        <f t="shared" si="34"/>
        <v>0</v>
      </c>
      <c r="BD192" s="292">
        <f t="shared" si="35"/>
        <v>0</v>
      </c>
      <c r="BE192" s="292">
        <f t="shared" si="36"/>
        <v>0</v>
      </c>
      <c r="BF192" s="292">
        <f t="shared" si="37"/>
        <v>0</v>
      </c>
      <c r="BG192" s="292">
        <f t="shared" si="38"/>
        <v>0</v>
      </c>
    </row>
    <row r="193" spans="1:59" s="289" customFormat="1" ht="15" customHeight="1">
      <c r="A193" s="63">
        <f t="array" ref="A193">IF(C193&lt;&gt;0,SUM(($C$11:C193&lt;&gt;0)*1),"")</f>
        <v>183</v>
      </c>
      <c r="B193" s="1099">
        <v>42448</v>
      </c>
      <c r="C193" s="290" t="s">
        <v>8</v>
      </c>
      <c r="D193" s="1099">
        <v>42448</v>
      </c>
      <c r="E193" s="344" t="s">
        <v>405</v>
      </c>
      <c r="F193" s="345">
        <v>12244444</v>
      </c>
      <c r="G193" s="346" t="s">
        <v>133</v>
      </c>
      <c r="H193" s="346" t="s">
        <v>31</v>
      </c>
      <c r="I193" s="63">
        <f t="shared" si="66"/>
        <v>183</v>
      </c>
      <c r="J193" s="292">
        <f t="shared" si="1"/>
        <v>0</v>
      </c>
      <c r="K193" s="292">
        <f t="shared" si="2"/>
        <v>0</v>
      </c>
      <c r="L193" s="292">
        <f t="shared" si="3"/>
        <v>0</v>
      </c>
      <c r="M193" s="292">
        <f t="shared" si="4"/>
        <v>12244444</v>
      </c>
      <c r="N193" s="292">
        <f t="shared" si="39"/>
        <v>0</v>
      </c>
      <c r="O193" s="292">
        <f t="shared" si="40"/>
        <v>0</v>
      </c>
      <c r="P193" s="292">
        <f t="shared" si="5"/>
        <v>0</v>
      </c>
      <c r="Q193" s="292">
        <f t="shared" si="6"/>
        <v>0</v>
      </c>
      <c r="R193" s="292">
        <f t="shared" si="60"/>
        <v>0</v>
      </c>
      <c r="S193" s="292">
        <f t="shared" si="61"/>
        <v>0</v>
      </c>
      <c r="T193" s="292">
        <f t="shared" si="7"/>
        <v>0</v>
      </c>
      <c r="U193" s="292">
        <f t="shared" si="8"/>
        <v>0</v>
      </c>
      <c r="V193" s="292">
        <f t="shared" si="62"/>
        <v>0</v>
      </c>
      <c r="W193" s="292">
        <f t="shared" si="63"/>
        <v>0</v>
      </c>
      <c r="X193" s="292">
        <f t="shared" si="64"/>
        <v>0</v>
      </c>
      <c r="Y193" s="292">
        <f t="shared" si="65"/>
        <v>0</v>
      </c>
      <c r="Z193" s="292">
        <f t="shared" si="47"/>
        <v>0</v>
      </c>
      <c r="AA193" s="292">
        <f t="shared" si="48"/>
        <v>0</v>
      </c>
      <c r="AB193" s="292">
        <f t="shared" si="9"/>
        <v>0</v>
      </c>
      <c r="AC193" s="292">
        <f t="shared" si="10"/>
        <v>0</v>
      </c>
      <c r="AD193" s="292">
        <f t="shared" si="11"/>
        <v>0</v>
      </c>
      <c r="AE193" s="292">
        <f t="shared" si="12"/>
        <v>0</v>
      </c>
      <c r="AF193" s="292">
        <f t="shared" si="13"/>
        <v>0</v>
      </c>
      <c r="AG193" s="292">
        <f t="shared" si="14"/>
        <v>0</v>
      </c>
      <c r="AH193" s="292">
        <f t="shared" si="15"/>
        <v>0</v>
      </c>
      <c r="AI193" s="292">
        <f t="shared" si="16"/>
        <v>0</v>
      </c>
      <c r="AJ193" s="292">
        <f t="shared" si="17"/>
        <v>0</v>
      </c>
      <c r="AK193" s="292">
        <f t="shared" si="18"/>
        <v>0</v>
      </c>
      <c r="AL193" s="292">
        <f t="shared" si="49"/>
        <v>0</v>
      </c>
      <c r="AM193" s="292">
        <f t="shared" si="50"/>
        <v>0</v>
      </c>
      <c r="AN193" s="292">
        <f t="shared" si="19"/>
        <v>0</v>
      </c>
      <c r="AO193" s="292">
        <f t="shared" si="20"/>
        <v>0</v>
      </c>
      <c r="AP193" s="292">
        <f t="shared" si="21"/>
        <v>0</v>
      </c>
      <c r="AQ193" s="292">
        <f t="shared" si="22"/>
        <v>0</v>
      </c>
      <c r="AR193" s="292">
        <f t="shared" si="23"/>
        <v>0</v>
      </c>
      <c r="AS193" s="292">
        <f t="shared" si="24"/>
        <v>0</v>
      </c>
      <c r="AT193" s="292">
        <f t="shared" si="25"/>
        <v>0</v>
      </c>
      <c r="AU193" s="292">
        <f t="shared" si="26"/>
        <v>0</v>
      </c>
      <c r="AV193" s="292">
        <f t="shared" si="27"/>
        <v>12244444</v>
      </c>
      <c r="AW193" s="292">
        <f t="shared" si="28"/>
        <v>0</v>
      </c>
      <c r="AX193" s="292">
        <f t="shared" si="29"/>
        <v>0</v>
      </c>
      <c r="AY193" s="292">
        <f t="shared" si="30"/>
        <v>0</v>
      </c>
      <c r="AZ193" s="292">
        <f t="shared" si="31"/>
        <v>0</v>
      </c>
      <c r="BA193" s="292">
        <f t="shared" si="32"/>
        <v>0</v>
      </c>
      <c r="BB193" s="292">
        <f t="shared" si="33"/>
        <v>0</v>
      </c>
      <c r="BC193" s="292">
        <f t="shared" si="34"/>
        <v>0</v>
      </c>
      <c r="BD193" s="292">
        <f t="shared" si="35"/>
        <v>0</v>
      </c>
      <c r="BE193" s="292">
        <f t="shared" si="36"/>
        <v>0</v>
      </c>
      <c r="BF193" s="292">
        <f t="shared" si="37"/>
        <v>0</v>
      </c>
      <c r="BG193" s="292">
        <f t="shared" si="38"/>
        <v>0</v>
      </c>
    </row>
    <row r="194" spans="1:59" s="289" customFormat="1" ht="15" customHeight="1">
      <c r="A194" s="63">
        <f t="array" ref="A194">IF(C194&lt;&gt;0,SUM(($C$11:C194&lt;&gt;0)*1),"")</f>
        <v>184</v>
      </c>
      <c r="B194" s="1099">
        <v>42448</v>
      </c>
      <c r="C194" s="290" t="s">
        <v>8</v>
      </c>
      <c r="D194" s="1099">
        <v>42448</v>
      </c>
      <c r="E194" s="344" t="s">
        <v>405</v>
      </c>
      <c r="F194" s="345">
        <v>11479167</v>
      </c>
      <c r="G194" s="346" t="s">
        <v>133</v>
      </c>
      <c r="H194" s="346" t="s">
        <v>31</v>
      </c>
      <c r="I194" s="63">
        <f t="shared" si="66"/>
        <v>184</v>
      </c>
      <c r="J194" s="292">
        <f t="shared" si="1"/>
        <v>0</v>
      </c>
      <c r="K194" s="292">
        <f t="shared" si="2"/>
        <v>0</v>
      </c>
      <c r="L194" s="292">
        <f t="shared" si="3"/>
        <v>0</v>
      </c>
      <c r="M194" s="292">
        <f t="shared" si="4"/>
        <v>11479167</v>
      </c>
      <c r="N194" s="292">
        <f t="shared" si="39"/>
        <v>0</v>
      </c>
      <c r="O194" s="292">
        <f t="shared" si="40"/>
        <v>0</v>
      </c>
      <c r="P194" s="292">
        <f t="shared" si="5"/>
        <v>0</v>
      </c>
      <c r="Q194" s="292">
        <f t="shared" si="6"/>
        <v>0</v>
      </c>
      <c r="R194" s="292">
        <f t="shared" si="60"/>
        <v>0</v>
      </c>
      <c r="S194" s="292">
        <f t="shared" si="61"/>
        <v>0</v>
      </c>
      <c r="T194" s="292">
        <f t="shared" si="7"/>
        <v>0</v>
      </c>
      <c r="U194" s="292">
        <f t="shared" si="8"/>
        <v>0</v>
      </c>
      <c r="V194" s="292">
        <f t="shared" si="62"/>
        <v>0</v>
      </c>
      <c r="W194" s="292">
        <f t="shared" si="63"/>
        <v>0</v>
      </c>
      <c r="X194" s="292">
        <f t="shared" si="64"/>
        <v>0</v>
      </c>
      <c r="Y194" s="292">
        <f t="shared" si="65"/>
        <v>0</v>
      </c>
      <c r="Z194" s="292">
        <f t="shared" si="47"/>
        <v>0</v>
      </c>
      <c r="AA194" s="292">
        <f t="shared" si="48"/>
        <v>0</v>
      </c>
      <c r="AB194" s="292">
        <f t="shared" si="9"/>
        <v>0</v>
      </c>
      <c r="AC194" s="292">
        <f t="shared" si="10"/>
        <v>0</v>
      </c>
      <c r="AD194" s="292">
        <f t="shared" si="11"/>
        <v>0</v>
      </c>
      <c r="AE194" s="292">
        <f t="shared" si="12"/>
        <v>0</v>
      </c>
      <c r="AF194" s="292">
        <f t="shared" si="13"/>
        <v>0</v>
      </c>
      <c r="AG194" s="292">
        <f t="shared" si="14"/>
        <v>0</v>
      </c>
      <c r="AH194" s="292">
        <f t="shared" si="15"/>
        <v>0</v>
      </c>
      <c r="AI194" s="292">
        <f t="shared" si="16"/>
        <v>0</v>
      </c>
      <c r="AJ194" s="292">
        <f t="shared" si="17"/>
        <v>0</v>
      </c>
      <c r="AK194" s="292">
        <f t="shared" si="18"/>
        <v>0</v>
      </c>
      <c r="AL194" s="292">
        <f t="shared" si="49"/>
        <v>0</v>
      </c>
      <c r="AM194" s="292">
        <f t="shared" si="50"/>
        <v>0</v>
      </c>
      <c r="AN194" s="292">
        <f t="shared" si="19"/>
        <v>0</v>
      </c>
      <c r="AO194" s="292">
        <f t="shared" si="20"/>
        <v>0</v>
      </c>
      <c r="AP194" s="292">
        <f t="shared" si="21"/>
        <v>0</v>
      </c>
      <c r="AQ194" s="292">
        <f t="shared" si="22"/>
        <v>0</v>
      </c>
      <c r="AR194" s="292">
        <f t="shared" si="23"/>
        <v>0</v>
      </c>
      <c r="AS194" s="292">
        <f t="shared" si="24"/>
        <v>0</v>
      </c>
      <c r="AT194" s="292">
        <f t="shared" si="25"/>
        <v>0</v>
      </c>
      <c r="AU194" s="292">
        <f t="shared" si="26"/>
        <v>0</v>
      </c>
      <c r="AV194" s="292">
        <f t="shared" si="27"/>
        <v>11479167</v>
      </c>
      <c r="AW194" s="292">
        <f t="shared" si="28"/>
        <v>0</v>
      </c>
      <c r="AX194" s="292">
        <f t="shared" si="29"/>
        <v>0</v>
      </c>
      <c r="AY194" s="292">
        <f t="shared" si="30"/>
        <v>0</v>
      </c>
      <c r="AZ194" s="292">
        <f t="shared" si="31"/>
        <v>0</v>
      </c>
      <c r="BA194" s="292">
        <f t="shared" si="32"/>
        <v>0</v>
      </c>
      <c r="BB194" s="292">
        <f t="shared" si="33"/>
        <v>0</v>
      </c>
      <c r="BC194" s="292">
        <f t="shared" si="34"/>
        <v>0</v>
      </c>
      <c r="BD194" s="292">
        <f t="shared" si="35"/>
        <v>0</v>
      </c>
      <c r="BE194" s="292">
        <f t="shared" si="36"/>
        <v>0</v>
      </c>
      <c r="BF194" s="292">
        <f t="shared" si="37"/>
        <v>0</v>
      </c>
      <c r="BG194" s="292">
        <f t="shared" si="38"/>
        <v>0</v>
      </c>
    </row>
    <row r="195" spans="1:59" s="289" customFormat="1" ht="15" customHeight="1">
      <c r="A195" s="63">
        <f t="array" ref="A195">IF(C195&lt;&gt;0,SUM(($C$11:C195&lt;&gt;0)*1),"")</f>
        <v>185</v>
      </c>
      <c r="B195" s="1099">
        <v>42448</v>
      </c>
      <c r="C195" s="290" t="s">
        <v>8</v>
      </c>
      <c r="D195" s="1099">
        <v>42448</v>
      </c>
      <c r="E195" s="344" t="s">
        <v>405</v>
      </c>
      <c r="F195" s="345">
        <v>7652778</v>
      </c>
      <c r="G195" s="346" t="s">
        <v>133</v>
      </c>
      <c r="H195" s="346" t="s">
        <v>31</v>
      </c>
      <c r="I195" s="63">
        <f t="shared" si="66"/>
        <v>185</v>
      </c>
      <c r="J195" s="292">
        <f t="shared" si="1"/>
        <v>0</v>
      </c>
      <c r="K195" s="292">
        <f t="shared" si="2"/>
        <v>0</v>
      </c>
      <c r="L195" s="292">
        <f t="shared" si="3"/>
        <v>0</v>
      </c>
      <c r="M195" s="292">
        <f t="shared" si="4"/>
        <v>7652778</v>
      </c>
      <c r="N195" s="292">
        <f t="shared" si="39"/>
        <v>0</v>
      </c>
      <c r="O195" s="292">
        <f t="shared" si="40"/>
        <v>0</v>
      </c>
      <c r="P195" s="292">
        <f t="shared" si="5"/>
        <v>0</v>
      </c>
      <c r="Q195" s="292">
        <f t="shared" si="6"/>
        <v>0</v>
      </c>
      <c r="R195" s="292">
        <f t="shared" si="60"/>
        <v>0</v>
      </c>
      <c r="S195" s="292">
        <f t="shared" si="61"/>
        <v>0</v>
      </c>
      <c r="T195" s="292">
        <f t="shared" si="7"/>
        <v>0</v>
      </c>
      <c r="U195" s="292">
        <f t="shared" si="8"/>
        <v>0</v>
      </c>
      <c r="V195" s="292">
        <f t="shared" si="62"/>
        <v>0</v>
      </c>
      <c r="W195" s="292">
        <f t="shared" si="63"/>
        <v>0</v>
      </c>
      <c r="X195" s="292">
        <f t="shared" si="64"/>
        <v>0</v>
      </c>
      <c r="Y195" s="292">
        <f t="shared" si="65"/>
        <v>0</v>
      </c>
      <c r="Z195" s="292">
        <f t="shared" si="47"/>
        <v>0</v>
      </c>
      <c r="AA195" s="292">
        <f t="shared" si="48"/>
        <v>0</v>
      </c>
      <c r="AB195" s="292">
        <f t="shared" si="9"/>
        <v>0</v>
      </c>
      <c r="AC195" s="292">
        <f t="shared" si="10"/>
        <v>0</v>
      </c>
      <c r="AD195" s="292">
        <f t="shared" si="11"/>
        <v>0</v>
      </c>
      <c r="AE195" s="292">
        <f t="shared" si="12"/>
        <v>0</v>
      </c>
      <c r="AF195" s="292">
        <f t="shared" si="13"/>
        <v>0</v>
      </c>
      <c r="AG195" s="292">
        <f t="shared" si="14"/>
        <v>0</v>
      </c>
      <c r="AH195" s="292">
        <f t="shared" si="15"/>
        <v>0</v>
      </c>
      <c r="AI195" s="292">
        <f t="shared" si="16"/>
        <v>0</v>
      </c>
      <c r="AJ195" s="292">
        <f t="shared" si="17"/>
        <v>0</v>
      </c>
      <c r="AK195" s="292">
        <f t="shared" si="18"/>
        <v>0</v>
      </c>
      <c r="AL195" s="292">
        <f t="shared" si="49"/>
        <v>0</v>
      </c>
      <c r="AM195" s="292">
        <f t="shared" si="50"/>
        <v>0</v>
      </c>
      <c r="AN195" s="292">
        <f t="shared" si="19"/>
        <v>0</v>
      </c>
      <c r="AO195" s="292">
        <f t="shared" si="20"/>
        <v>0</v>
      </c>
      <c r="AP195" s="292">
        <f t="shared" si="21"/>
        <v>0</v>
      </c>
      <c r="AQ195" s="292">
        <f t="shared" si="22"/>
        <v>0</v>
      </c>
      <c r="AR195" s="292">
        <f t="shared" si="23"/>
        <v>0</v>
      </c>
      <c r="AS195" s="292">
        <f t="shared" si="24"/>
        <v>0</v>
      </c>
      <c r="AT195" s="292">
        <f t="shared" si="25"/>
        <v>0</v>
      </c>
      <c r="AU195" s="292">
        <f t="shared" si="26"/>
        <v>0</v>
      </c>
      <c r="AV195" s="292">
        <f t="shared" si="27"/>
        <v>7652778</v>
      </c>
      <c r="AW195" s="292">
        <f t="shared" si="28"/>
        <v>0</v>
      </c>
      <c r="AX195" s="292">
        <f t="shared" si="29"/>
        <v>0</v>
      </c>
      <c r="AY195" s="292">
        <f t="shared" si="30"/>
        <v>0</v>
      </c>
      <c r="AZ195" s="292">
        <f t="shared" si="31"/>
        <v>0</v>
      </c>
      <c r="BA195" s="292">
        <f t="shared" si="32"/>
        <v>0</v>
      </c>
      <c r="BB195" s="292">
        <f t="shared" si="33"/>
        <v>0</v>
      </c>
      <c r="BC195" s="292">
        <f t="shared" si="34"/>
        <v>0</v>
      </c>
      <c r="BD195" s="292">
        <f t="shared" si="35"/>
        <v>0</v>
      </c>
      <c r="BE195" s="292">
        <f t="shared" si="36"/>
        <v>0</v>
      </c>
      <c r="BF195" s="292">
        <f t="shared" si="37"/>
        <v>0</v>
      </c>
      <c r="BG195" s="292">
        <f t="shared" si="38"/>
        <v>0</v>
      </c>
    </row>
    <row r="196" spans="1:59" s="289" customFormat="1" ht="15" customHeight="1">
      <c r="A196" s="63">
        <f t="array" ref="A196">IF(C196&lt;&gt;0,SUM(($C$11:C196&lt;&gt;0)*1),"")</f>
        <v>186</v>
      </c>
      <c r="B196" s="1099">
        <v>42448</v>
      </c>
      <c r="C196" s="290" t="s">
        <v>8</v>
      </c>
      <c r="D196" s="1099">
        <v>42448</v>
      </c>
      <c r="E196" s="344" t="s">
        <v>405</v>
      </c>
      <c r="F196" s="345">
        <v>11479167</v>
      </c>
      <c r="G196" s="346" t="s">
        <v>133</v>
      </c>
      <c r="H196" s="346" t="s">
        <v>31</v>
      </c>
      <c r="I196" s="63">
        <f t="shared" si="66"/>
        <v>186</v>
      </c>
      <c r="J196" s="292">
        <f t="shared" si="1"/>
        <v>0</v>
      </c>
      <c r="K196" s="292">
        <f t="shared" si="2"/>
        <v>0</v>
      </c>
      <c r="L196" s="292">
        <f t="shared" si="3"/>
        <v>0</v>
      </c>
      <c r="M196" s="292">
        <f t="shared" si="4"/>
        <v>11479167</v>
      </c>
      <c r="N196" s="292">
        <f t="shared" si="39"/>
        <v>0</v>
      </c>
      <c r="O196" s="292">
        <f t="shared" si="40"/>
        <v>0</v>
      </c>
      <c r="P196" s="292">
        <f t="shared" si="5"/>
        <v>0</v>
      </c>
      <c r="Q196" s="292">
        <f t="shared" si="6"/>
        <v>0</v>
      </c>
      <c r="R196" s="292">
        <f t="shared" si="60"/>
        <v>0</v>
      </c>
      <c r="S196" s="292">
        <f t="shared" si="61"/>
        <v>0</v>
      </c>
      <c r="T196" s="292">
        <f t="shared" si="7"/>
        <v>0</v>
      </c>
      <c r="U196" s="292">
        <f t="shared" si="8"/>
        <v>0</v>
      </c>
      <c r="V196" s="292">
        <f t="shared" si="62"/>
        <v>0</v>
      </c>
      <c r="W196" s="292">
        <f t="shared" si="63"/>
        <v>0</v>
      </c>
      <c r="X196" s="292">
        <f t="shared" si="64"/>
        <v>0</v>
      </c>
      <c r="Y196" s="292">
        <f t="shared" si="65"/>
        <v>0</v>
      </c>
      <c r="Z196" s="292">
        <f t="shared" si="47"/>
        <v>0</v>
      </c>
      <c r="AA196" s="292">
        <f t="shared" si="48"/>
        <v>0</v>
      </c>
      <c r="AB196" s="292">
        <f t="shared" si="9"/>
        <v>0</v>
      </c>
      <c r="AC196" s="292">
        <f t="shared" si="10"/>
        <v>0</v>
      </c>
      <c r="AD196" s="292">
        <f t="shared" si="11"/>
        <v>0</v>
      </c>
      <c r="AE196" s="292">
        <f t="shared" si="12"/>
        <v>0</v>
      </c>
      <c r="AF196" s="292">
        <f t="shared" si="13"/>
        <v>0</v>
      </c>
      <c r="AG196" s="292">
        <f t="shared" si="14"/>
        <v>0</v>
      </c>
      <c r="AH196" s="292">
        <f t="shared" si="15"/>
        <v>0</v>
      </c>
      <c r="AI196" s="292">
        <f t="shared" si="16"/>
        <v>0</v>
      </c>
      <c r="AJ196" s="292">
        <f t="shared" si="17"/>
        <v>0</v>
      </c>
      <c r="AK196" s="292">
        <f t="shared" si="18"/>
        <v>0</v>
      </c>
      <c r="AL196" s="292">
        <f t="shared" si="49"/>
        <v>0</v>
      </c>
      <c r="AM196" s="292">
        <f t="shared" si="50"/>
        <v>0</v>
      </c>
      <c r="AN196" s="292">
        <f t="shared" si="19"/>
        <v>0</v>
      </c>
      <c r="AO196" s="292">
        <f t="shared" si="20"/>
        <v>0</v>
      </c>
      <c r="AP196" s="292">
        <f t="shared" si="21"/>
        <v>0</v>
      </c>
      <c r="AQ196" s="292">
        <f t="shared" si="22"/>
        <v>0</v>
      </c>
      <c r="AR196" s="292">
        <f t="shared" si="23"/>
        <v>0</v>
      </c>
      <c r="AS196" s="292">
        <f t="shared" si="24"/>
        <v>0</v>
      </c>
      <c r="AT196" s="292">
        <f t="shared" si="25"/>
        <v>0</v>
      </c>
      <c r="AU196" s="292">
        <f t="shared" si="26"/>
        <v>0</v>
      </c>
      <c r="AV196" s="292">
        <f t="shared" si="27"/>
        <v>11479167</v>
      </c>
      <c r="AW196" s="292">
        <f t="shared" si="28"/>
        <v>0</v>
      </c>
      <c r="AX196" s="292">
        <f t="shared" si="29"/>
        <v>0</v>
      </c>
      <c r="AY196" s="292">
        <f t="shared" si="30"/>
        <v>0</v>
      </c>
      <c r="AZ196" s="292">
        <f t="shared" si="31"/>
        <v>0</v>
      </c>
      <c r="BA196" s="292">
        <f t="shared" si="32"/>
        <v>0</v>
      </c>
      <c r="BB196" s="292">
        <f t="shared" si="33"/>
        <v>0</v>
      </c>
      <c r="BC196" s="292">
        <f t="shared" si="34"/>
        <v>0</v>
      </c>
      <c r="BD196" s="292">
        <f t="shared" si="35"/>
        <v>0</v>
      </c>
      <c r="BE196" s="292">
        <f t="shared" si="36"/>
        <v>0</v>
      </c>
      <c r="BF196" s="292">
        <f t="shared" si="37"/>
        <v>0</v>
      </c>
      <c r="BG196" s="292">
        <f t="shared" si="38"/>
        <v>0</v>
      </c>
    </row>
    <row r="197" spans="1:59" s="289" customFormat="1" ht="15" customHeight="1">
      <c r="A197" s="63">
        <f t="array" ref="A197">IF(C197&lt;&gt;0,SUM(($C$11:C197&lt;&gt;0)*1),"")</f>
        <v>187</v>
      </c>
      <c r="B197" s="1099">
        <v>42448</v>
      </c>
      <c r="C197" s="290" t="s">
        <v>8</v>
      </c>
      <c r="D197" s="1099">
        <v>42448</v>
      </c>
      <c r="E197" s="344" t="s">
        <v>405</v>
      </c>
      <c r="F197" s="345">
        <v>15305556</v>
      </c>
      <c r="G197" s="346" t="s">
        <v>133</v>
      </c>
      <c r="H197" s="346" t="s">
        <v>31</v>
      </c>
      <c r="I197" s="63">
        <f t="shared" si="66"/>
        <v>187</v>
      </c>
      <c r="J197" s="292">
        <f t="shared" si="1"/>
        <v>0</v>
      </c>
      <c r="K197" s="292">
        <f t="shared" si="2"/>
        <v>0</v>
      </c>
      <c r="L197" s="292">
        <f t="shared" si="3"/>
        <v>0</v>
      </c>
      <c r="M197" s="292">
        <f t="shared" si="4"/>
        <v>15305556</v>
      </c>
      <c r="N197" s="292">
        <f t="shared" si="39"/>
        <v>0</v>
      </c>
      <c r="O197" s="292">
        <f t="shared" si="40"/>
        <v>0</v>
      </c>
      <c r="P197" s="292">
        <f t="shared" si="5"/>
        <v>0</v>
      </c>
      <c r="Q197" s="292">
        <f t="shared" si="6"/>
        <v>0</v>
      </c>
      <c r="R197" s="292">
        <f t="shared" si="60"/>
        <v>0</v>
      </c>
      <c r="S197" s="292">
        <f t="shared" si="61"/>
        <v>0</v>
      </c>
      <c r="T197" s="292">
        <f t="shared" si="7"/>
        <v>0</v>
      </c>
      <c r="U197" s="292">
        <f t="shared" si="8"/>
        <v>0</v>
      </c>
      <c r="V197" s="292">
        <f t="shared" si="62"/>
        <v>0</v>
      </c>
      <c r="W197" s="292">
        <f t="shared" si="63"/>
        <v>0</v>
      </c>
      <c r="X197" s="292">
        <f t="shared" si="64"/>
        <v>0</v>
      </c>
      <c r="Y197" s="292">
        <f t="shared" si="65"/>
        <v>0</v>
      </c>
      <c r="Z197" s="292">
        <f t="shared" si="47"/>
        <v>0</v>
      </c>
      <c r="AA197" s="292">
        <f t="shared" si="48"/>
        <v>0</v>
      </c>
      <c r="AB197" s="292">
        <f t="shared" si="9"/>
        <v>0</v>
      </c>
      <c r="AC197" s="292">
        <f t="shared" si="10"/>
        <v>0</v>
      </c>
      <c r="AD197" s="292">
        <f t="shared" si="11"/>
        <v>0</v>
      </c>
      <c r="AE197" s="292">
        <f t="shared" si="12"/>
        <v>0</v>
      </c>
      <c r="AF197" s="292">
        <f t="shared" si="13"/>
        <v>0</v>
      </c>
      <c r="AG197" s="292">
        <f t="shared" si="14"/>
        <v>0</v>
      </c>
      <c r="AH197" s="292">
        <f t="shared" si="15"/>
        <v>0</v>
      </c>
      <c r="AI197" s="292">
        <f t="shared" si="16"/>
        <v>0</v>
      </c>
      <c r="AJ197" s="292">
        <f t="shared" si="17"/>
        <v>0</v>
      </c>
      <c r="AK197" s="292">
        <f t="shared" si="18"/>
        <v>0</v>
      </c>
      <c r="AL197" s="292">
        <f t="shared" si="49"/>
        <v>0</v>
      </c>
      <c r="AM197" s="292">
        <f t="shared" si="50"/>
        <v>0</v>
      </c>
      <c r="AN197" s="292">
        <f t="shared" si="19"/>
        <v>0</v>
      </c>
      <c r="AO197" s="292">
        <f t="shared" si="20"/>
        <v>0</v>
      </c>
      <c r="AP197" s="292">
        <f t="shared" si="21"/>
        <v>0</v>
      </c>
      <c r="AQ197" s="292">
        <f t="shared" si="22"/>
        <v>0</v>
      </c>
      <c r="AR197" s="292">
        <f t="shared" si="23"/>
        <v>0</v>
      </c>
      <c r="AS197" s="292">
        <f t="shared" si="24"/>
        <v>0</v>
      </c>
      <c r="AT197" s="292">
        <f t="shared" si="25"/>
        <v>0</v>
      </c>
      <c r="AU197" s="292">
        <f t="shared" si="26"/>
        <v>0</v>
      </c>
      <c r="AV197" s="292">
        <f t="shared" si="27"/>
        <v>15305556</v>
      </c>
      <c r="AW197" s="292">
        <f t="shared" si="28"/>
        <v>0</v>
      </c>
      <c r="AX197" s="292">
        <f t="shared" si="29"/>
        <v>0</v>
      </c>
      <c r="AY197" s="292">
        <f t="shared" si="30"/>
        <v>0</v>
      </c>
      <c r="AZ197" s="292">
        <f t="shared" si="31"/>
        <v>0</v>
      </c>
      <c r="BA197" s="292">
        <f t="shared" si="32"/>
        <v>0</v>
      </c>
      <c r="BB197" s="292">
        <f t="shared" si="33"/>
        <v>0</v>
      </c>
      <c r="BC197" s="292">
        <f t="shared" si="34"/>
        <v>0</v>
      </c>
      <c r="BD197" s="292">
        <f t="shared" si="35"/>
        <v>0</v>
      </c>
      <c r="BE197" s="292">
        <f t="shared" si="36"/>
        <v>0</v>
      </c>
      <c r="BF197" s="292">
        <f t="shared" si="37"/>
        <v>0</v>
      </c>
      <c r="BG197" s="292">
        <f t="shared" si="38"/>
        <v>0</v>
      </c>
    </row>
    <row r="198" spans="1:59" s="289" customFormat="1" ht="15" customHeight="1">
      <c r="A198" s="63">
        <f t="array" ref="A198">IF(C198&lt;&gt;0,SUM(($C$11:C198&lt;&gt;0)*1),"")</f>
        <v>188</v>
      </c>
      <c r="B198" s="1099">
        <v>42448</v>
      </c>
      <c r="C198" s="290" t="s">
        <v>8</v>
      </c>
      <c r="D198" s="1099">
        <v>42448</v>
      </c>
      <c r="E198" s="344" t="s">
        <v>405</v>
      </c>
      <c r="F198" s="345">
        <v>10713889</v>
      </c>
      <c r="G198" s="346" t="s">
        <v>133</v>
      </c>
      <c r="H198" s="346" t="s">
        <v>31</v>
      </c>
      <c r="I198" s="63">
        <f t="shared" si="66"/>
        <v>188</v>
      </c>
      <c r="J198" s="292">
        <f t="shared" si="1"/>
        <v>0</v>
      </c>
      <c r="K198" s="292">
        <f t="shared" si="2"/>
        <v>0</v>
      </c>
      <c r="L198" s="292">
        <f t="shared" si="3"/>
        <v>0</v>
      </c>
      <c r="M198" s="292">
        <f t="shared" si="4"/>
        <v>10713889</v>
      </c>
      <c r="N198" s="292">
        <f t="shared" si="39"/>
        <v>0</v>
      </c>
      <c r="O198" s="292">
        <f t="shared" si="40"/>
        <v>0</v>
      </c>
      <c r="P198" s="292">
        <f t="shared" si="5"/>
        <v>0</v>
      </c>
      <c r="Q198" s="292">
        <f t="shared" si="6"/>
        <v>0</v>
      </c>
      <c r="R198" s="292">
        <f t="shared" si="60"/>
        <v>0</v>
      </c>
      <c r="S198" s="292">
        <f t="shared" si="61"/>
        <v>0</v>
      </c>
      <c r="T198" s="292">
        <f t="shared" si="7"/>
        <v>0</v>
      </c>
      <c r="U198" s="292">
        <f t="shared" si="8"/>
        <v>0</v>
      </c>
      <c r="V198" s="292">
        <f t="shared" si="62"/>
        <v>0</v>
      </c>
      <c r="W198" s="292">
        <f t="shared" si="63"/>
        <v>0</v>
      </c>
      <c r="X198" s="292">
        <f t="shared" si="64"/>
        <v>0</v>
      </c>
      <c r="Y198" s="292">
        <f t="shared" si="65"/>
        <v>0</v>
      </c>
      <c r="Z198" s="292">
        <f t="shared" si="47"/>
        <v>0</v>
      </c>
      <c r="AA198" s="292">
        <f t="shared" si="48"/>
        <v>0</v>
      </c>
      <c r="AB198" s="292">
        <f t="shared" si="9"/>
        <v>0</v>
      </c>
      <c r="AC198" s="292">
        <f t="shared" si="10"/>
        <v>0</v>
      </c>
      <c r="AD198" s="292">
        <f t="shared" si="11"/>
        <v>0</v>
      </c>
      <c r="AE198" s="292">
        <f t="shared" si="12"/>
        <v>0</v>
      </c>
      <c r="AF198" s="292">
        <f t="shared" si="13"/>
        <v>0</v>
      </c>
      <c r="AG198" s="292">
        <f t="shared" si="14"/>
        <v>0</v>
      </c>
      <c r="AH198" s="292">
        <f t="shared" si="15"/>
        <v>0</v>
      </c>
      <c r="AI198" s="292">
        <f t="shared" si="16"/>
        <v>0</v>
      </c>
      <c r="AJ198" s="292">
        <f t="shared" si="17"/>
        <v>0</v>
      </c>
      <c r="AK198" s="292">
        <f t="shared" si="18"/>
        <v>0</v>
      </c>
      <c r="AL198" s="292">
        <f t="shared" si="49"/>
        <v>0</v>
      </c>
      <c r="AM198" s="292">
        <f t="shared" si="50"/>
        <v>0</v>
      </c>
      <c r="AN198" s="292">
        <f t="shared" si="19"/>
        <v>0</v>
      </c>
      <c r="AO198" s="292">
        <f t="shared" si="20"/>
        <v>0</v>
      </c>
      <c r="AP198" s="292">
        <f t="shared" si="21"/>
        <v>0</v>
      </c>
      <c r="AQ198" s="292">
        <f t="shared" si="22"/>
        <v>0</v>
      </c>
      <c r="AR198" s="292">
        <f t="shared" si="23"/>
        <v>0</v>
      </c>
      <c r="AS198" s="292">
        <f t="shared" si="24"/>
        <v>0</v>
      </c>
      <c r="AT198" s="292">
        <f t="shared" si="25"/>
        <v>0</v>
      </c>
      <c r="AU198" s="292">
        <f t="shared" si="26"/>
        <v>0</v>
      </c>
      <c r="AV198" s="292">
        <f t="shared" si="27"/>
        <v>10713889</v>
      </c>
      <c r="AW198" s="292">
        <f t="shared" si="28"/>
        <v>0</v>
      </c>
      <c r="AX198" s="292">
        <f t="shared" si="29"/>
        <v>0</v>
      </c>
      <c r="AY198" s="292">
        <f t="shared" si="30"/>
        <v>0</v>
      </c>
      <c r="AZ198" s="292">
        <f t="shared" si="31"/>
        <v>0</v>
      </c>
      <c r="BA198" s="292">
        <f t="shared" si="32"/>
        <v>0</v>
      </c>
      <c r="BB198" s="292">
        <f t="shared" si="33"/>
        <v>0</v>
      </c>
      <c r="BC198" s="292">
        <f t="shared" si="34"/>
        <v>0</v>
      </c>
      <c r="BD198" s="292">
        <f t="shared" si="35"/>
        <v>0</v>
      </c>
      <c r="BE198" s="292">
        <f t="shared" si="36"/>
        <v>0</v>
      </c>
      <c r="BF198" s="292">
        <f t="shared" si="37"/>
        <v>0</v>
      </c>
      <c r="BG198" s="292">
        <f t="shared" si="38"/>
        <v>0</v>
      </c>
    </row>
    <row r="199" spans="1:59" s="289" customFormat="1" ht="15" customHeight="1">
      <c r="A199" s="63">
        <f t="array" ref="A199">IF(C199&lt;&gt;0,SUM(($C$11:C199&lt;&gt;0)*1),"")</f>
        <v>189</v>
      </c>
      <c r="B199" s="1099">
        <v>42448</v>
      </c>
      <c r="C199" s="290" t="s">
        <v>8</v>
      </c>
      <c r="D199" s="1099">
        <v>42448</v>
      </c>
      <c r="E199" s="344" t="s">
        <v>405</v>
      </c>
      <c r="F199" s="345">
        <v>11479167</v>
      </c>
      <c r="G199" s="346" t="s">
        <v>133</v>
      </c>
      <c r="H199" s="346" t="s">
        <v>31</v>
      </c>
      <c r="I199" s="63">
        <f t="shared" si="66"/>
        <v>189</v>
      </c>
      <c r="J199" s="292">
        <f t="shared" si="1"/>
        <v>0</v>
      </c>
      <c r="K199" s="292">
        <f t="shared" si="2"/>
        <v>0</v>
      </c>
      <c r="L199" s="292">
        <f t="shared" si="3"/>
        <v>0</v>
      </c>
      <c r="M199" s="292">
        <f t="shared" si="4"/>
        <v>11479167</v>
      </c>
      <c r="N199" s="292">
        <f t="shared" si="39"/>
        <v>0</v>
      </c>
      <c r="O199" s="292">
        <f t="shared" si="40"/>
        <v>0</v>
      </c>
      <c r="P199" s="292">
        <f t="shared" si="5"/>
        <v>0</v>
      </c>
      <c r="Q199" s="292">
        <f t="shared" si="6"/>
        <v>0</v>
      </c>
      <c r="R199" s="292">
        <f t="shared" si="60"/>
        <v>0</v>
      </c>
      <c r="S199" s="292">
        <f t="shared" si="61"/>
        <v>0</v>
      </c>
      <c r="T199" s="292">
        <f t="shared" si="7"/>
        <v>0</v>
      </c>
      <c r="U199" s="292">
        <f t="shared" si="8"/>
        <v>0</v>
      </c>
      <c r="V199" s="292">
        <f t="shared" si="62"/>
        <v>0</v>
      </c>
      <c r="W199" s="292">
        <f t="shared" si="63"/>
        <v>0</v>
      </c>
      <c r="X199" s="292">
        <f t="shared" si="64"/>
        <v>0</v>
      </c>
      <c r="Y199" s="292">
        <f t="shared" si="65"/>
        <v>0</v>
      </c>
      <c r="Z199" s="292">
        <f t="shared" si="47"/>
        <v>0</v>
      </c>
      <c r="AA199" s="292">
        <f t="shared" si="48"/>
        <v>0</v>
      </c>
      <c r="AB199" s="292">
        <f t="shared" si="9"/>
        <v>0</v>
      </c>
      <c r="AC199" s="292">
        <f t="shared" si="10"/>
        <v>0</v>
      </c>
      <c r="AD199" s="292">
        <f t="shared" si="11"/>
        <v>0</v>
      </c>
      <c r="AE199" s="292">
        <f t="shared" si="12"/>
        <v>0</v>
      </c>
      <c r="AF199" s="292">
        <f t="shared" si="13"/>
        <v>0</v>
      </c>
      <c r="AG199" s="292">
        <f t="shared" si="14"/>
        <v>0</v>
      </c>
      <c r="AH199" s="292">
        <f t="shared" si="15"/>
        <v>0</v>
      </c>
      <c r="AI199" s="292">
        <f t="shared" si="16"/>
        <v>0</v>
      </c>
      <c r="AJ199" s="292">
        <f t="shared" si="17"/>
        <v>0</v>
      </c>
      <c r="AK199" s="292">
        <f t="shared" si="18"/>
        <v>0</v>
      </c>
      <c r="AL199" s="292">
        <f t="shared" si="49"/>
        <v>0</v>
      </c>
      <c r="AM199" s="292">
        <f t="shared" si="50"/>
        <v>0</v>
      </c>
      <c r="AN199" s="292">
        <f t="shared" si="19"/>
        <v>0</v>
      </c>
      <c r="AO199" s="292">
        <f t="shared" si="20"/>
        <v>0</v>
      </c>
      <c r="AP199" s="292">
        <f t="shared" si="21"/>
        <v>0</v>
      </c>
      <c r="AQ199" s="292">
        <f t="shared" si="22"/>
        <v>0</v>
      </c>
      <c r="AR199" s="292">
        <f t="shared" si="23"/>
        <v>0</v>
      </c>
      <c r="AS199" s="292">
        <f t="shared" si="24"/>
        <v>0</v>
      </c>
      <c r="AT199" s="292">
        <f t="shared" si="25"/>
        <v>0</v>
      </c>
      <c r="AU199" s="292">
        <f t="shared" si="26"/>
        <v>0</v>
      </c>
      <c r="AV199" s="292">
        <f t="shared" si="27"/>
        <v>11479167</v>
      </c>
      <c r="AW199" s="292">
        <f t="shared" si="28"/>
        <v>0</v>
      </c>
      <c r="AX199" s="292">
        <f t="shared" si="29"/>
        <v>0</v>
      </c>
      <c r="AY199" s="292">
        <f t="shared" si="30"/>
        <v>0</v>
      </c>
      <c r="AZ199" s="292">
        <f t="shared" si="31"/>
        <v>0</v>
      </c>
      <c r="BA199" s="292">
        <f t="shared" si="32"/>
        <v>0</v>
      </c>
      <c r="BB199" s="292">
        <f t="shared" si="33"/>
        <v>0</v>
      </c>
      <c r="BC199" s="292">
        <f t="shared" si="34"/>
        <v>0</v>
      </c>
      <c r="BD199" s="292">
        <f t="shared" si="35"/>
        <v>0</v>
      </c>
      <c r="BE199" s="292">
        <f t="shared" si="36"/>
        <v>0</v>
      </c>
      <c r="BF199" s="292">
        <f t="shared" si="37"/>
        <v>0</v>
      </c>
      <c r="BG199" s="292">
        <f t="shared" si="38"/>
        <v>0</v>
      </c>
    </row>
    <row r="200" spans="1:59" s="289" customFormat="1" ht="15" customHeight="1">
      <c r="A200" s="63">
        <f t="array" ref="A200">IF(C200&lt;&gt;0,SUM(($C$11:C200&lt;&gt;0)*1),"")</f>
        <v>190</v>
      </c>
      <c r="B200" s="1099">
        <v>42448</v>
      </c>
      <c r="C200" s="290" t="s">
        <v>8</v>
      </c>
      <c r="D200" s="1099">
        <v>42448</v>
      </c>
      <c r="E200" s="344" t="s">
        <v>405</v>
      </c>
      <c r="F200" s="345">
        <v>11479167</v>
      </c>
      <c r="G200" s="346" t="s">
        <v>133</v>
      </c>
      <c r="H200" s="346" t="s">
        <v>31</v>
      </c>
      <c r="I200" s="63">
        <f t="shared" si="66"/>
        <v>190</v>
      </c>
      <c r="J200" s="292">
        <f t="shared" si="1"/>
        <v>0</v>
      </c>
      <c r="K200" s="292">
        <f t="shared" si="2"/>
        <v>0</v>
      </c>
      <c r="L200" s="292">
        <f t="shared" si="3"/>
        <v>0</v>
      </c>
      <c r="M200" s="292">
        <f t="shared" si="4"/>
        <v>11479167</v>
      </c>
      <c r="N200" s="292">
        <f t="shared" si="39"/>
        <v>0</v>
      </c>
      <c r="O200" s="292">
        <f t="shared" si="40"/>
        <v>0</v>
      </c>
      <c r="P200" s="292">
        <f t="shared" si="5"/>
        <v>0</v>
      </c>
      <c r="Q200" s="292">
        <f t="shared" si="6"/>
        <v>0</v>
      </c>
      <c r="R200" s="292">
        <f t="shared" si="60"/>
        <v>0</v>
      </c>
      <c r="S200" s="292">
        <f t="shared" si="61"/>
        <v>0</v>
      </c>
      <c r="T200" s="292">
        <f t="shared" si="7"/>
        <v>0</v>
      </c>
      <c r="U200" s="292">
        <f t="shared" si="8"/>
        <v>0</v>
      </c>
      <c r="V200" s="292">
        <f t="shared" si="62"/>
        <v>0</v>
      </c>
      <c r="W200" s="292">
        <f t="shared" si="63"/>
        <v>0</v>
      </c>
      <c r="X200" s="292">
        <f t="shared" si="64"/>
        <v>0</v>
      </c>
      <c r="Y200" s="292">
        <f t="shared" si="65"/>
        <v>0</v>
      </c>
      <c r="Z200" s="292">
        <f t="shared" si="47"/>
        <v>0</v>
      </c>
      <c r="AA200" s="292">
        <f t="shared" si="48"/>
        <v>0</v>
      </c>
      <c r="AB200" s="292">
        <f t="shared" si="9"/>
        <v>0</v>
      </c>
      <c r="AC200" s="292">
        <f t="shared" si="10"/>
        <v>0</v>
      </c>
      <c r="AD200" s="292">
        <f t="shared" si="11"/>
        <v>0</v>
      </c>
      <c r="AE200" s="292">
        <f t="shared" si="12"/>
        <v>0</v>
      </c>
      <c r="AF200" s="292">
        <f t="shared" si="13"/>
        <v>0</v>
      </c>
      <c r="AG200" s="292">
        <f t="shared" si="14"/>
        <v>0</v>
      </c>
      <c r="AH200" s="292">
        <f t="shared" si="15"/>
        <v>0</v>
      </c>
      <c r="AI200" s="292">
        <f t="shared" si="16"/>
        <v>0</v>
      </c>
      <c r="AJ200" s="292">
        <f t="shared" si="17"/>
        <v>0</v>
      </c>
      <c r="AK200" s="292">
        <f t="shared" si="18"/>
        <v>0</v>
      </c>
      <c r="AL200" s="292">
        <f t="shared" si="49"/>
        <v>0</v>
      </c>
      <c r="AM200" s="292">
        <f t="shared" si="50"/>
        <v>0</v>
      </c>
      <c r="AN200" s="292">
        <f t="shared" si="19"/>
        <v>0</v>
      </c>
      <c r="AO200" s="292">
        <f t="shared" si="20"/>
        <v>0</v>
      </c>
      <c r="AP200" s="292">
        <f t="shared" si="21"/>
        <v>0</v>
      </c>
      <c r="AQ200" s="292">
        <f t="shared" si="22"/>
        <v>0</v>
      </c>
      <c r="AR200" s="292">
        <f t="shared" si="23"/>
        <v>0</v>
      </c>
      <c r="AS200" s="292">
        <f t="shared" si="24"/>
        <v>0</v>
      </c>
      <c r="AT200" s="292">
        <f t="shared" si="25"/>
        <v>0</v>
      </c>
      <c r="AU200" s="292">
        <f t="shared" si="26"/>
        <v>0</v>
      </c>
      <c r="AV200" s="292">
        <f t="shared" si="27"/>
        <v>11479167</v>
      </c>
      <c r="AW200" s="292">
        <f t="shared" si="28"/>
        <v>0</v>
      </c>
      <c r="AX200" s="292">
        <f t="shared" si="29"/>
        <v>0</v>
      </c>
      <c r="AY200" s="292">
        <f t="shared" si="30"/>
        <v>0</v>
      </c>
      <c r="AZ200" s="292">
        <f t="shared" si="31"/>
        <v>0</v>
      </c>
      <c r="BA200" s="292">
        <f t="shared" si="32"/>
        <v>0</v>
      </c>
      <c r="BB200" s="292">
        <f t="shared" si="33"/>
        <v>0</v>
      </c>
      <c r="BC200" s="292">
        <f t="shared" si="34"/>
        <v>0</v>
      </c>
      <c r="BD200" s="292">
        <f t="shared" si="35"/>
        <v>0</v>
      </c>
      <c r="BE200" s="292">
        <f t="shared" si="36"/>
        <v>0</v>
      </c>
      <c r="BF200" s="292">
        <f t="shared" si="37"/>
        <v>0</v>
      </c>
      <c r="BG200" s="292">
        <f t="shared" si="38"/>
        <v>0</v>
      </c>
    </row>
    <row r="201" spans="1:59" s="289" customFormat="1" ht="15" customHeight="1">
      <c r="A201" s="63">
        <f t="array" ref="A201">IF(C201&lt;&gt;0,SUM(($C$11:C201&lt;&gt;0)*1),"")</f>
        <v>191</v>
      </c>
      <c r="B201" s="1099">
        <v>42448</v>
      </c>
      <c r="C201" s="290" t="s">
        <v>8</v>
      </c>
      <c r="D201" s="1099">
        <v>42448</v>
      </c>
      <c r="E201" s="344" t="s">
        <v>405</v>
      </c>
      <c r="F201" s="345">
        <v>11479167</v>
      </c>
      <c r="G201" s="346" t="s">
        <v>133</v>
      </c>
      <c r="H201" s="346" t="s">
        <v>31</v>
      </c>
      <c r="I201" s="63">
        <f t="shared" si="66"/>
        <v>191</v>
      </c>
      <c r="J201" s="292">
        <f t="shared" si="1"/>
        <v>0</v>
      </c>
      <c r="K201" s="292">
        <f t="shared" si="2"/>
        <v>0</v>
      </c>
      <c r="L201" s="292">
        <f t="shared" si="3"/>
        <v>0</v>
      </c>
      <c r="M201" s="292">
        <f t="shared" si="4"/>
        <v>11479167</v>
      </c>
      <c r="N201" s="292">
        <f t="shared" si="39"/>
        <v>0</v>
      </c>
      <c r="O201" s="292">
        <f t="shared" si="40"/>
        <v>0</v>
      </c>
      <c r="P201" s="292">
        <f t="shared" si="5"/>
        <v>0</v>
      </c>
      <c r="Q201" s="292">
        <f t="shared" si="6"/>
        <v>0</v>
      </c>
      <c r="R201" s="292">
        <f t="shared" si="60"/>
        <v>0</v>
      </c>
      <c r="S201" s="292">
        <f t="shared" si="61"/>
        <v>0</v>
      </c>
      <c r="T201" s="292">
        <f t="shared" si="7"/>
        <v>0</v>
      </c>
      <c r="U201" s="292">
        <f t="shared" si="8"/>
        <v>0</v>
      </c>
      <c r="V201" s="292">
        <f t="shared" si="62"/>
        <v>0</v>
      </c>
      <c r="W201" s="292">
        <f t="shared" si="63"/>
        <v>0</v>
      </c>
      <c r="X201" s="292">
        <f t="shared" si="64"/>
        <v>0</v>
      </c>
      <c r="Y201" s="292">
        <f t="shared" si="65"/>
        <v>0</v>
      </c>
      <c r="Z201" s="292">
        <f t="shared" si="47"/>
        <v>0</v>
      </c>
      <c r="AA201" s="292">
        <f t="shared" si="48"/>
        <v>0</v>
      </c>
      <c r="AB201" s="292">
        <f t="shared" si="9"/>
        <v>0</v>
      </c>
      <c r="AC201" s="292">
        <f t="shared" si="10"/>
        <v>0</v>
      </c>
      <c r="AD201" s="292">
        <f t="shared" si="11"/>
        <v>0</v>
      </c>
      <c r="AE201" s="292">
        <f t="shared" si="12"/>
        <v>0</v>
      </c>
      <c r="AF201" s="292">
        <f t="shared" si="13"/>
        <v>0</v>
      </c>
      <c r="AG201" s="292">
        <f t="shared" si="14"/>
        <v>0</v>
      </c>
      <c r="AH201" s="292">
        <f t="shared" si="15"/>
        <v>0</v>
      </c>
      <c r="AI201" s="292">
        <f t="shared" si="16"/>
        <v>0</v>
      </c>
      <c r="AJ201" s="292">
        <f t="shared" si="17"/>
        <v>0</v>
      </c>
      <c r="AK201" s="292">
        <f t="shared" si="18"/>
        <v>0</v>
      </c>
      <c r="AL201" s="292">
        <f t="shared" si="49"/>
        <v>0</v>
      </c>
      <c r="AM201" s="292">
        <f t="shared" si="50"/>
        <v>0</v>
      </c>
      <c r="AN201" s="292">
        <f t="shared" si="19"/>
        <v>0</v>
      </c>
      <c r="AO201" s="292">
        <f t="shared" si="20"/>
        <v>0</v>
      </c>
      <c r="AP201" s="292">
        <f t="shared" si="21"/>
        <v>0</v>
      </c>
      <c r="AQ201" s="292">
        <f t="shared" si="22"/>
        <v>0</v>
      </c>
      <c r="AR201" s="292">
        <f t="shared" si="23"/>
        <v>0</v>
      </c>
      <c r="AS201" s="292">
        <f t="shared" si="24"/>
        <v>0</v>
      </c>
      <c r="AT201" s="292">
        <f t="shared" si="25"/>
        <v>0</v>
      </c>
      <c r="AU201" s="292">
        <f t="shared" si="26"/>
        <v>0</v>
      </c>
      <c r="AV201" s="292">
        <f t="shared" si="27"/>
        <v>11479167</v>
      </c>
      <c r="AW201" s="292">
        <f t="shared" si="28"/>
        <v>0</v>
      </c>
      <c r="AX201" s="292">
        <f t="shared" si="29"/>
        <v>0</v>
      </c>
      <c r="AY201" s="292">
        <f t="shared" si="30"/>
        <v>0</v>
      </c>
      <c r="AZ201" s="292">
        <f t="shared" si="31"/>
        <v>0</v>
      </c>
      <c r="BA201" s="292">
        <f t="shared" si="32"/>
        <v>0</v>
      </c>
      <c r="BB201" s="292">
        <f t="shared" si="33"/>
        <v>0</v>
      </c>
      <c r="BC201" s="292">
        <f t="shared" si="34"/>
        <v>0</v>
      </c>
      <c r="BD201" s="292">
        <f t="shared" si="35"/>
        <v>0</v>
      </c>
      <c r="BE201" s="292">
        <f t="shared" si="36"/>
        <v>0</v>
      </c>
      <c r="BF201" s="292">
        <f t="shared" si="37"/>
        <v>0</v>
      </c>
      <c r="BG201" s="292">
        <f t="shared" si="38"/>
        <v>0</v>
      </c>
    </row>
    <row r="202" spans="1:59" s="289" customFormat="1" ht="15" customHeight="1">
      <c r="A202" s="63">
        <f t="array" ref="A202">IF(C202&lt;&gt;0,SUM(($C$11:C202&lt;&gt;0)*1),"")</f>
        <v>192</v>
      </c>
      <c r="B202" s="1099">
        <v>42448</v>
      </c>
      <c r="C202" s="290" t="s">
        <v>8</v>
      </c>
      <c r="D202" s="1099">
        <v>42448</v>
      </c>
      <c r="E202" s="344" t="s">
        <v>405</v>
      </c>
      <c r="F202" s="345">
        <v>11479167</v>
      </c>
      <c r="G202" s="346" t="s">
        <v>133</v>
      </c>
      <c r="H202" s="346" t="s">
        <v>31</v>
      </c>
      <c r="I202" s="63">
        <f t="shared" si="66"/>
        <v>192</v>
      </c>
      <c r="J202" s="292">
        <f t="shared" si="1"/>
        <v>0</v>
      </c>
      <c r="K202" s="292">
        <f t="shared" si="2"/>
        <v>0</v>
      </c>
      <c r="L202" s="292">
        <f t="shared" si="3"/>
        <v>0</v>
      </c>
      <c r="M202" s="292">
        <f t="shared" si="4"/>
        <v>11479167</v>
      </c>
      <c r="N202" s="292">
        <f t="shared" si="39"/>
        <v>0</v>
      </c>
      <c r="O202" s="292">
        <f t="shared" si="40"/>
        <v>0</v>
      </c>
      <c r="P202" s="292">
        <f t="shared" si="5"/>
        <v>0</v>
      </c>
      <c r="Q202" s="292">
        <f t="shared" si="6"/>
        <v>0</v>
      </c>
      <c r="R202" s="292">
        <f t="shared" si="60"/>
        <v>0</v>
      </c>
      <c r="S202" s="292">
        <f t="shared" si="61"/>
        <v>0</v>
      </c>
      <c r="T202" s="292">
        <f t="shared" si="7"/>
        <v>0</v>
      </c>
      <c r="U202" s="292">
        <f t="shared" si="8"/>
        <v>0</v>
      </c>
      <c r="V202" s="292">
        <f t="shared" si="62"/>
        <v>0</v>
      </c>
      <c r="W202" s="292">
        <f t="shared" si="63"/>
        <v>0</v>
      </c>
      <c r="X202" s="292">
        <f t="shared" si="64"/>
        <v>0</v>
      </c>
      <c r="Y202" s="292">
        <f t="shared" si="65"/>
        <v>0</v>
      </c>
      <c r="Z202" s="292">
        <f t="shared" si="47"/>
        <v>0</v>
      </c>
      <c r="AA202" s="292">
        <f t="shared" si="48"/>
        <v>0</v>
      </c>
      <c r="AB202" s="292">
        <f t="shared" si="9"/>
        <v>0</v>
      </c>
      <c r="AC202" s="292">
        <f t="shared" si="10"/>
        <v>0</v>
      </c>
      <c r="AD202" s="292">
        <f t="shared" si="11"/>
        <v>0</v>
      </c>
      <c r="AE202" s="292">
        <f t="shared" si="12"/>
        <v>0</v>
      </c>
      <c r="AF202" s="292">
        <f t="shared" si="13"/>
        <v>0</v>
      </c>
      <c r="AG202" s="292">
        <f t="shared" si="14"/>
        <v>0</v>
      </c>
      <c r="AH202" s="292">
        <f t="shared" si="15"/>
        <v>0</v>
      </c>
      <c r="AI202" s="292">
        <f t="shared" si="16"/>
        <v>0</v>
      </c>
      <c r="AJ202" s="292">
        <f t="shared" si="17"/>
        <v>0</v>
      </c>
      <c r="AK202" s="292">
        <f t="shared" si="18"/>
        <v>0</v>
      </c>
      <c r="AL202" s="292">
        <f t="shared" si="49"/>
        <v>0</v>
      </c>
      <c r="AM202" s="292">
        <f t="shared" si="50"/>
        <v>0</v>
      </c>
      <c r="AN202" s="292">
        <f t="shared" si="19"/>
        <v>0</v>
      </c>
      <c r="AO202" s="292">
        <f t="shared" si="20"/>
        <v>0</v>
      </c>
      <c r="AP202" s="292">
        <f t="shared" si="21"/>
        <v>0</v>
      </c>
      <c r="AQ202" s="292">
        <f t="shared" si="22"/>
        <v>0</v>
      </c>
      <c r="AR202" s="292">
        <f t="shared" si="23"/>
        <v>0</v>
      </c>
      <c r="AS202" s="292">
        <f t="shared" si="24"/>
        <v>0</v>
      </c>
      <c r="AT202" s="292">
        <f t="shared" si="25"/>
        <v>0</v>
      </c>
      <c r="AU202" s="292">
        <f t="shared" si="26"/>
        <v>0</v>
      </c>
      <c r="AV202" s="292">
        <f t="shared" si="27"/>
        <v>11479167</v>
      </c>
      <c r="AW202" s="292">
        <f t="shared" si="28"/>
        <v>0</v>
      </c>
      <c r="AX202" s="292">
        <f t="shared" si="29"/>
        <v>0</v>
      </c>
      <c r="AY202" s="292">
        <f t="shared" si="30"/>
        <v>0</v>
      </c>
      <c r="AZ202" s="292">
        <f t="shared" si="31"/>
        <v>0</v>
      </c>
      <c r="BA202" s="292">
        <f t="shared" si="32"/>
        <v>0</v>
      </c>
      <c r="BB202" s="292">
        <f t="shared" si="33"/>
        <v>0</v>
      </c>
      <c r="BC202" s="292">
        <f t="shared" si="34"/>
        <v>0</v>
      </c>
      <c r="BD202" s="292">
        <f t="shared" si="35"/>
        <v>0</v>
      </c>
      <c r="BE202" s="292">
        <f t="shared" si="36"/>
        <v>0</v>
      </c>
      <c r="BF202" s="292">
        <f t="shared" si="37"/>
        <v>0</v>
      </c>
      <c r="BG202" s="292">
        <f t="shared" si="38"/>
        <v>0</v>
      </c>
    </row>
    <row r="203" spans="1:59" s="289" customFormat="1" ht="15" customHeight="1">
      <c r="A203" s="63">
        <f t="array" ref="A203">IF(C203&lt;&gt;0,SUM(($C$11:C203&lt;&gt;0)*1),"")</f>
        <v>193</v>
      </c>
      <c r="B203" s="1099">
        <v>42448</v>
      </c>
      <c r="C203" s="290" t="s">
        <v>8</v>
      </c>
      <c r="D203" s="1099">
        <v>42448</v>
      </c>
      <c r="E203" s="344" t="s">
        <v>405</v>
      </c>
      <c r="F203" s="345">
        <v>7652778</v>
      </c>
      <c r="G203" s="346" t="s">
        <v>133</v>
      </c>
      <c r="H203" s="346" t="s">
        <v>31</v>
      </c>
      <c r="I203" s="63">
        <f t="shared" si="66"/>
        <v>193</v>
      </c>
      <c r="J203" s="292">
        <f t="shared" si="1"/>
        <v>0</v>
      </c>
      <c r="K203" s="292">
        <f t="shared" si="2"/>
        <v>0</v>
      </c>
      <c r="L203" s="292">
        <f t="shared" si="3"/>
        <v>0</v>
      </c>
      <c r="M203" s="292">
        <f t="shared" si="4"/>
        <v>7652778</v>
      </c>
      <c r="N203" s="292">
        <f t="shared" si="39"/>
        <v>0</v>
      </c>
      <c r="O203" s="292">
        <f t="shared" si="40"/>
        <v>0</v>
      </c>
      <c r="P203" s="292">
        <f t="shared" si="5"/>
        <v>0</v>
      </c>
      <c r="Q203" s="292">
        <f t="shared" si="6"/>
        <v>0</v>
      </c>
      <c r="R203" s="292">
        <f t="shared" si="60"/>
        <v>0</v>
      </c>
      <c r="S203" s="292">
        <f t="shared" si="61"/>
        <v>0</v>
      </c>
      <c r="T203" s="292">
        <f t="shared" si="7"/>
        <v>0</v>
      </c>
      <c r="U203" s="292">
        <f t="shared" si="8"/>
        <v>0</v>
      </c>
      <c r="V203" s="292">
        <f t="shared" si="62"/>
        <v>0</v>
      </c>
      <c r="W203" s="292">
        <f t="shared" si="63"/>
        <v>0</v>
      </c>
      <c r="X203" s="292">
        <f t="shared" si="64"/>
        <v>0</v>
      </c>
      <c r="Y203" s="292">
        <f t="shared" si="65"/>
        <v>0</v>
      </c>
      <c r="Z203" s="292">
        <f t="shared" si="47"/>
        <v>0</v>
      </c>
      <c r="AA203" s="292">
        <f t="shared" si="48"/>
        <v>0</v>
      </c>
      <c r="AB203" s="292">
        <f t="shared" si="9"/>
        <v>0</v>
      </c>
      <c r="AC203" s="292">
        <f t="shared" si="10"/>
        <v>0</v>
      </c>
      <c r="AD203" s="292">
        <f t="shared" si="11"/>
        <v>0</v>
      </c>
      <c r="AE203" s="292">
        <f t="shared" si="12"/>
        <v>0</v>
      </c>
      <c r="AF203" s="292">
        <f t="shared" si="13"/>
        <v>0</v>
      </c>
      <c r="AG203" s="292">
        <f t="shared" si="14"/>
        <v>0</v>
      </c>
      <c r="AH203" s="292">
        <f t="shared" si="15"/>
        <v>0</v>
      </c>
      <c r="AI203" s="292">
        <f t="shared" si="16"/>
        <v>0</v>
      </c>
      <c r="AJ203" s="292">
        <f t="shared" si="17"/>
        <v>0</v>
      </c>
      <c r="AK203" s="292">
        <f t="shared" si="18"/>
        <v>0</v>
      </c>
      <c r="AL203" s="292">
        <f t="shared" si="49"/>
        <v>0</v>
      </c>
      <c r="AM203" s="292">
        <f t="shared" si="50"/>
        <v>0</v>
      </c>
      <c r="AN203" s="292">
        <f t="shared" si="19"/>
        <v>0</v>
      </c>
      <c r="AO203" s="292">
        <f t="shared" si="20"/>
        <v>0</v>
      </c>
      <c r="AP203" s="292">
        <f t="shared" si="21"/>
        <v>0</v>
      </c>
      <c r="AQ203" s="292">
        <f t="shared" si="22"/>
        <v>0</v>
      </c>
      <c r="AR203" s="292">
        <f t="shared" si="23"/>
        <v>0</v>
      </c>
      <c r="AS203" s="292">
        <f t="shared" si="24"/>
        <v>0</v>
      </c>
      <c r="AT203" s="292">
        <f t="shared" si="25"/>
        <v>0</v>
      </c>
      <c r="AU203" s="292">
        <f t="shared" si="26"/>
        <v>0</v>
      </c>
      <c r="AV203" s="292">
        <f t="shared" si="27"/>
        <v>7652778</v>
      </c>
      <c r="AW203" s="292">
        <f t="shared" si="28"/>
        <v>0</v>
      </c>
      <c r="AX203" s="292">
        <f t="shared" si="29"/>
        <v>0</v>
      </c>
      <c r="AY203" s="292">
        <f t="shared" si="30"/>
        <v>0</v>
      </c>
      <c r="AZ203" s="292">
        <f t="shared" si="31"/>
        <v>0</v>
      </c>
      <c r="BA203" s="292">
        <f t="shared" si="32"/>
        <v>0</v>
      </c>
      <c r="BB203" s="292">
        <f t="shared" si="33"/>
        <v>0</v>
      </c>
      <c r="BC203" s="292">
        <f t="shared" si="34"/>
        <v>0</v>
      </c>
      <c r="BD203" s="292">
        <f t="shared" si="35"/>
        <v>0</v>
      </c>
      <c r="BE203" s="292">
        <f t="shared" si="36"/>
        <v>0</v>
      </c>
      <c r="BF203" s="292">
        <f t="shared" si="37"/>
        <v>0</v>
      </c>
      <c r="BG203" s="292">
        <f t="shared" si="38"/>
        <v>0</v>
      </c>
    </row>
    <row r="204" spans="1:59" s="289" customFormat="1" ht="15" customHeight="1">
      <c r="A204" s="63">
        <f t="array" ref="A204">IF(C204&lt;&gt;0,SUM(($C$11:C204&lt;&gt;0)*1),"")</f>
        <v>194</v>
      </c>
      <c r="B204" s="1099">
        <v>42448</v>
      </c>
      <c r="C204" s="290" t="s">
        <v>8</v>
      </c>
      <c r="D204" s="1099">
        <v>42448</v>
      </c>
      <c r="E204" s="344" t="s">
        <v>405</v>
      </c>
      <c r="F204" s="345">
        <v>7652778</v>
      </c>
      <c r="G204" s="346" t="s">
        <v>133</v>
      </c>
      <c r="H204" s="346" t="s">
        <v>31</v>
      </c>
      <c r="I204" s="63">
        <f t="shared" si="66"/>
        <v>194</v>
      </c>
      <c r="J204" s="292">
        <f t="shared" si="1"/>
        <v>0</v>
      </c>
      <c r="K204" s="292">
        <f t="shared" si="2"/>
        <v>0</v>
      </c>
      <c r="L204" s="292">
        <f t="shared" si="3"/>
        <v>0</v>
      </c>
      <c r="M204" s="292">
        <f t="shared" si="4"/>
        <v>7652778</v>
      </c>
      <c r="N204" s="292">
        <f t="shared" si="39"/>
        <v>0</v>
      </c>
      <c r="O204" s="292">
        <f t="shared" si="40"/>
        <v>0</v>
      </c>
      <c r="P204" s="292">
        <f t="shared" si="5"/>
        <v>0</v>
      </c>
      <c r="Q204" s="292">
        <f t="shared" si="6"/>
        <v>0</v>
      </c>
      <c r="R204" s="292">
        <f t="shared" ref="R204:R267" si="67">IF($G204="1332",$F204,0)</f>
        <v>0</v>
      </c>
      <c r="S204" s="292">
        <f t="shared" ref="S204:S267" si="68">IF($H204="1332",$F204,0)</f>
        <v>0</v>
      </c>
      <c r="T204" s="292">
        <f t="shared" si="7"/>
        <v>0</v>
      </c>
      <c r="U204" s="292">
        <f t="shared" si="8"/>
        <v>0</v>
      </c>
      <c r="V204" s="292">
        <f t="shared" ref="V204:V267" si="69">IF($G204="1522",$F204,0)</f>
        <v>0</v>
      </c>
      <c r="W204" s="292">
        <f t="shared" ref="W204:W267" si="70">IF($H204="1522",$F204,0)</f>
        <v>0</v>
      </c>
      <c r="X204" s="292">
        <f t="shared" ref="X204:X267" si="71">IF($G204="154",$F204,0)</f>
        <v>0</v>
      </c>
      <c r="Y204" s="292">
        <f t="shared" ref="Y204:Y267" si="72">IF($H204="154",$F204,0)</f>
        <v>0</v>
      </c>
      <c r="Z204" s="292">
        <f t="shared" si="47"/>
        <v>0</v>
      </c>
      <c r="AA204" s="292">
        <f t="shared" si="48"/>
        <v>0</v>
      </c>
      <c r="AB204" s="292">
        <f t="shared" si="9"/>
        <v>0</v>
      </c>
      <c r="AC204" s="292">
        <f t="shared" si="10"/>
        <v>0</v>
      </c>
      <c r="AD204" s="292">
        <f t="shared" si="11"/>
        <v>0</v>
      </c>
      <c r="AE204" s="292">
        <f t="shared" si="12"/>
        <v>0</v>
      </c>
      <c r="AF204" s="292">
        <f t="shared" si="13"/>
        <v>0</v>
      </c>
      <c r="AG204" s="292">
        <f t="shared" si="14"/>
        <v>0</v>
      </c>
      <c r="AH204" s="292">
        <f t="shared" si="15"/>
        <v>0</v>
      </c>
      <c r="AI204" s="292">
        <f t="shared" si="16"/>
        <v>0</v>
      </c>
      <c r="AJ204" s="292">
        <f t="shared" si="17"/>
        <v>0</v>
      </c>
      <c r="AK204" s="292">
        <f t="shared" si="18"/>
        <v>0</v>
      </c>
      <c r="AL204" s="292">
        <f t="shared" si="49"/>
        <v>0</v>
      </c>
      <c r="AM204" s="292">
        <f t="shared" si="50"/>
        <v>0</v>
      </c>
      <c r="AN204" s="292">
        <f t="shared" si="19"/>
        <v>0</v>
      </c>
      <c r="AO204" s="292">
        <f t="shared" si="20"/>
        <v>0</v>
      </c>
      <c r="AP204" s="292">
        <f t="shared" si="21"/>
        <v>0</v>
      </c>
      <c r="AQ204" s="292">
        <f t="shared" si="22"/>
        <v>0</v>
      </c>
      <c r="AR204" s="292">
        <f t="shared" si="23"/>
        <v>0</v>
      </c>
      <c r="AS204" s="292">
        <f t="shared" si="24"/>
        <v>0</v>
      </c>
      <c r="AT204" s="292">
        <f t="shared" si="25"/>
        <v>0</v>
      </c>
      <c r="AU204" s="292">
        <f t="shared" si="26"/>
        <v>0</v>
      </c>
      <c r="AV204" s="292">
        <f t="shared" si="27"/>
        <v>7652778</v>
      </c>
      <c r="AW204" s="292">
        <f t="shared" si="28"/>
        <v>0</v>
      </c>
      <c r="AX204" s="292">
        <f t="shared" si="29"/>
        <v>0</v>
      </c>
      <c r="AY204" s="292">
        <f t="shared" si="30"/>
        <v>0</v>
      </c>
      <c r="AZ204" s="292">
        <f t="shared" si="31"/>
        <v>0</v>
      </c>
      <c r="BA204" s="292">
        <f t="shared" si="32"/>
        <v>0</v>
      </c>
      <c r="BB204" s="292">
        <f t="shared" si="33"/>
        <v>0</v>
      </c>
      <c r="BC204" s="292">
        <f t="shared" si="34"/>
        <v>0</v>
      </c>
      <c r="BD204" s="292">
        <f t="shared" si="35"/>
        <v>0</v>
      </c>
      <c r="BE204" s="292">
        <f t="shared" si="36"/>
        <v>0</v>
      </c>
      <c r="BF204" s="292">
        <f t="shared" si="37"/>
        <v>0</v>
      </c>
      <c r="BG204" s="292">
        <f t="shared" si="38"/>
        <v>0</v>
      </c>
    </row>
    <row r="205" spans="1:59" s="289" customFormat="1" ht="15" customHeight="1">
      <c r="A205" s="63">
        <f t="array" ref="A205">IF(C205&lt;&gt;0,SUM(($C$11:C205&lt;&gt;0)*1),"")</f>
        <v>195</v>
      </c>
      <c r="B205" s="1099">
        <v>42448</v>
      </c>
      <c r="C205" s="290" t="s">
        <v>8</v>
      </c>
      <c r="D205" s="1099">
        <v>42448</v>
      </c>
      <c r="E205" s="344" t="s">
        <v>788</v>
      </c>
      <c r="F205" s="345">
        <v>50000000</v>
      </c>
      <c r="G205" s="346" t="s">
        <v>24</v>
      </c>
      <c r="H205" s="346" t="s">
        <v>31</v>
      </c>
      <c r="I205" s="63">
        <f t="shared" ref="I205:I273" si="73">A205</f>
        <v>195</v>
      </c>
      <c r="J205" s="292">
        <f t="shared" si="1"/>
        <v>0</v>
      </c>
      <c r="K205" s="292">
        <f t="shared" si="2"/>
        <v>0</v>
      </c>
      <c r="L205" s="292">
        <f t="shared" si="3"/>
        <v>0</v>
      </c>
      <c r="M205" s="292">
        <f t="shared" si="4"/>
        <v>50000000</v>
      </c>
      <c r="N205" s="292">
        <f t="shared" si="39"/>
        <v>0</v>
      </c>
      <c r="O205" s="292">
        <f t="shared" si="40"/>
        <v>0</v>
      </c>
      <c r="P205" s="292">
        <f t="shared" si="5"/>
        <v>0</v>
      </c>
      <c r="Q205" s="292">
        <f t="shared" si="6"/>
        <v>0</v>
      </c>
      <c r="R205" s="292">
        <f t="shared" si="67"/>
        <v>0</v>
      </c>
      <c r="S205" s="292">
        <f t="shared" si="68"/>
        <v>0</v>
      </c>
      <c r="T205" s="292">
        <f t="shared" si="7"/>
        <v>0</v>
      </c>
      <c r="U205" s="292">
        <f t="shared" si="8"/>
        <v>0</v>
      </c>
      <c r="V205" s="292">
        <f t="shared" si="69"/>
        <v>0</v>
      </c>
      <c r="W205" s="292">
        <f t="shared" si="70"/>
        <v>0</v>
      </c>
      <c r="X205" s="292">
        <f t="shared" si="71"/>
        <v>0</v>
      </c>
      <c r="Y205" s="292">
        <f t="shared" si="72"/>
        <v>0</v>
      </c>
      <c r="Z205" s="292">
        <f t="shared" si="47"/>
        <v>0</v>
      </c>
      <c r="AA205" s="292">
        <f t="shared" si="48"/>
        <v>0</v>
      </c>
      <c r="AB205" s="292">
        <f t="shared" si="9"/>
        <v>0</v>
      </c>
      <c r="AC205" s="292">
        <f t="shared" si="10"/>
        <v>0</v>
      </c>
      <c r="AD205" s="292">
        <f t="shared" si="11"/>
        <v>0</v>
      </c>
      <c r="AE205" s="292">
        <f t="shared" si="12"/>
        <v>0</v>
      </c>
      <c r="AF205" s="292">
        <f t="shared" si="13"/>
        <v>0</v>
      </c>
      <c r="AG205" s="292">
        <f t="shared" si="14"/>
        <v>0</v>
      </c>
      <c r="AH205" s="292">
        <f t="shared" si="15"/>
        <v>50000000</v>
      </c>
      <c r="AI205" s="292">
        <f t="shared" si="16"/>
        <v>0</v>
      </c>
      <c r="AJ205" s="292">
        <f t="shared" si="17"/>
        <v>0</v>
      </c>
      <c r="AK205" s="292">
        <f t="shared" si="18"/>
        <v>0</v>
      </c>
      <c r="AL205" s="292">
        <f t="shared" si="49"/>
        <v>0</v>
      </c>
      <c r="AM205" s="292">
        <f t="shared" si="50"/>
        <v>0</v>
      </c>
      <c r="AN205" s="292">
        <f t="shared" si="19"/>
        <v>0</v>
      </c>
      <c r="AO205" s="292">
        <f t="shared" si="20"/>
        <v>0</v>
      </c>
      <c r="AP205" s="292">
        <f t="shared" si="21"/>
        <v>0</v>
      </c>
      <c r="AQ205" s="292">
        <f t="shared" si="22"/>
        <v>0</v>
      </c>
      <c r="AR205" s="292">
        <f t="shared" si="23"/>
        <v>0</v>
      </c>
      <c r="AS205" s="292">
        <f t="shared" si="24"/>
        <v>0</v>
      </c>
      <c r="AT205" s="292">
        <f t="shared" si="25"/>
        <v>0</v>
      </c>
      <c r="AU205" s="292">
        <f t="shared" si="26"/>
        <v>0</v>
      </c>
      <c r="AV205" s="292">
        <f t="shared" si="27"/>
        <v>0</v>
      </c>
      <c r="AW205" s="292">
        <f t="shared" si="28"/>
        <v>0</v>
      </c>
      <c r="AX205" s="292">
        <f t="shared" si="29"/>
        <v>0</v>
      </c>
      <c r="AY205" s="292">
        <f t="shared" si="30"/>
        <v>0</v>
      </c>
      <c r="AZ205" s="292">
        <f t="shared" si="31"/>
        <v>0</v>
      </c>
      <c r="BA205" s="292">
        <f t="shared" si="32"/>
        <v>0</v>
      </c>
      <c r="BB205" s="292">
        <f t="shared" si="33"/>
        <v>0</v>
      </c>
      <c r="BC205" s="292">
        <f t="shared" si="34"/>
        <v>0</v>
      </c>
      <c r="BD205" s="292">
        <f t="shared" si="35"/>
        <v>0</v>
      </c>
      <c r="BE205" s="292">
        <f t="shared" si="36"/>
        <v>0</v>
      </c>
      <c r="BF205" s="292">
        <f t="shared" si="37"/>
        <v>0</v>
      </c>
      <c r="BG205" s="292">
        <f t="shared" si="38"/>
        <v>0</v>
      </c>
    </row>
    <row r="206" spans="1:59" s="289" customFormat="1" ht="15" customHeight="1">
      <c r="A206" s="63">
        <f t="array" ref="A206">IF(C206&lt;&gt;0,SUM(($C$11:C206&lt;&gt;0)*1),"")</f>
        <v>196</v>
      </c>
      <c r="B206" s="1099">
        <v>42448</v>
      </c>
      <c r="C206" s="290" t="s">
        <v>892</v>
      </c>
      <c r="D206" s="1099">
        <v>42448</v>
      </c>
      <c r="E206" s="344" t="s">
        <v>797</v>
      </c>
      <c r="F206" s="345">
        <v>50000000</v>
      </c>
      <c r="G206" s="346" t="s">
        <v>97</v>
      </c>
      <c r="H206" s="346" t="s">
        <v>24</v>
      </c>
      <c r="I206" s="63">
        <f t="shared" si="73"/>
        <v>196</v>
      </c>
      <c r="J206" s="292">
        <f t="shared" si="1"/>
        <v>50000000</v>
      </c>
      <c r="K206" s="292">
        <f t="shared" si="2"/>
        <v>0</v>
      </c>
      <c r="L206" s="292">
        <f t="shared" si="3"/>
        <v>0</v>
      </c>
      <c r="M206" s="292">
        <f t="shared" si="4"/>
        <v>0</v>
      </c>
      <c r="N206" s="292">
        <f t="shared" si="39"/>
        <v>0</v>
      </c>
      <c r="O206" s="292">
        <f t="shared" si="40"/>
        <v>0</v>
      </c>
      <c r="P206" s="292">
        <f t="shared" si="5"/>
        <v>0</v>
      </c>
      <c r="Q206" s="292">
        <f t="shared" si="6"/>
        <v>0</v>
      </c>
      <c r="R206" s="292">
        <f t="shared" si="67"/>
        <v>0</v>
      </c>
      <c r="S206" s="292">
        <f t="shared" si="68"/>
        <v>0</v>
      </c>
      <c r="T206" s="292">
        <f t="shared" si="7"/>
        <v>0</v>
      </c>
      <c r="U206" s="292">
        <f t="shared" si="8"/>
        <v>0</v>
      </c>
      <c r="V206" s="292">
        <f t="shared" si="69"/>
        <v>0</v>
      </c>
      <c r="W206" s="292">
        <f t="shared" si="70"/>
        <v>0</v>
      </c>
      <c r="X206" s="292">
        <f t="shared" si="71"/>
        <v>0</v>
      </c>
      <c r="Y206" s="292">
        <f t="shared" si="72"/>
        <v>0</v>
      </c>
      <c r="Z206" s="292">
        <f t="shared" si="47"/>
        <v>0</v>
      </c>
      <c r="AA206" s="292">
        <f t="shared" si="48"/>
        <v>0</v>
      </c>
      <c r="AB206" s="292">
        <f t="shared" si="9"/>
        <v>0</v>
      </c>
      <c r="AC206" s="292">
        <f t="shared" si="10"/>
        <v>0</v>
      </c>
      <c r="AD206" s="292">
        <f t="shared" si="11"/>
        <v>0</v>
      </c>
      <c r="AE206" s="292">
        <f t="shared" si="12"/>
        <v>0</v>
      </c>
      <c r="AF206" s="292">
        <f t="shared" si="13"/>
        <v>0</v>
      </c>
      <c r="AG206" s="292">
        <f t="shared" si="14"/>
        <v>0</v>
      </c>
      <c r="AH206" s="292">
        <f t="shared" si="15"/>
        <v>0</v>
      </c>
      <c r="AI206" s="292">
        <f t="shared" si="16"/>
        <v>50000000</v>
      </c>
      <c r="AJ206" s="292">
        <f t="shared" si="17"/>
        <v>0</v>
      </c>
      <c r="AK206" s="292">
        <f t="shared" si="18"/>
        <v>0</v>
      </c>
      <c r="AL206" s="292">
        <f t="shared" si="49"/>
        <v>0</v>
      </c>
      <c r="AM206" s="292">
        <f t="shared" si="50"/>
        <v>0</v>
      </c>
      <c r="AN206" s="292">
        <f t="shared" si="19"/>
        <v>0</v>
      </c>
      <c r="AO206" s="292">
        <f t="shared" si="20"/>
        <v>0</v>
      </c>
      <c r="AP206" s="292">
        <f t="shared" si="21"/>
        <v>0</v>
      </c>
      <c r="AQ206" s="292">
        <f t="shared" si="22"/>
        <v>0</v>
      </c>
      <c r="AR206" s="292">
        <f t="shared" si="23"/>
        <v>0</v>
      </c>
      <c r="AS206" s="292">
        <f t="shared" si="24"/>
        <v>0</v>
      </c>
      <c r="AT206" s="292">
        <f t="shared" si="25"/>
        <v>0</v>
      </c>
      <c r="AU206" s="292">
        <f t="shared" si="26"/>
        <v>0</v>
      </c>
      <c r="AV206" s="292">
        <f t="shared" si="27"/>
        <v>0</v>
      </c>
      <c r="AW206" s="292">
        <f t="shared" si="28"/>
        <v>0</v>
      </c>
      <c r="AX206" s="292">
        <f t="shared" si="29"/>
        <v>0</v>
      </c>
      <c r="AY206" s="292">
        <f t="shared" si="30"/>
        <v>0</v>
      </c>
      <c r="AZ206" s="292">
        <f t="shared" si="31"/>
        <v>0</v>
      </c>
      <c r="BA206" s="292">
        <f t="shared" si="32"/>
        <v>0</v>
      </c>
      <c r="BB206" s="292">
        <f t="shared" si="33"/>
        <v>0</v>
      </c>
      <c r="BC206" s="292">
        <f t="shared" si="34"/>
        <v>0</v>
      </c>
      <c r="BD206" s="292">
        <f t="shared" si="35"/>
        <v>0</v>
      </c>
      <c r="BE206" s="292">
        <f t="shared" si="36"/>
        <v>0</v>
      </c>
      <c r="BF206" s="292">
        <f t="shared" si="37"/>
        <v>0</v>
      </c>
      <c r="BG206" s="292">
        <f t="shared" si="38"/>
        <v>0</v>
      </c>
    </row>
    <row r="207" spans="1:59" s="289" customFormat="1" ht="15" customHeight="1">
      <c r="A207" s="63">
        <f t="array" ref="A207">IF(C207&lt;&gt;0,SUM(($C$11:C207&lt;&gt;0)*1),"")</f>
        <v>197</v>
      </c>
      <c r="B207" s="1099">
        <v>42450</v>
      </c>
      <c r="C207" s="290" t="s">
        <v>799</v>
      </c>
      <c r="D207" s="1099">
        <v>42450</v>
      </c>
      <c r="E207" s="344" t="s">
        <v>800</v>
      </c>
      <c r="F207" s="345">
        <v>4141091</v>
      </c>
      <c r="G207" s="346" t="s">
        <v>135</v>
      </c>
      <c r="H207" s="346" t="s">
        <v>97</v>
      </c>
      <c r="I207" s="63">
        <f t="shared" si="73"/>
        <v>197</v>
      </c>
      <c r="J207" s="292">
        <f t="shared" si="1"/>
        <v>0</v>
      </c>
      <c r="K207" s="292">
        <f t="shared" si="2"/>
        <v>4141091</v>
      </c>
      <c r="L207" s="292">
        <f t="shared" si="3"/>
        <v>0</v>
      </c>
      <c r="M207" s="292">
        <f t="shared" si="4"/>
        <v>0</v>
      </c>
      <c r="N207" s="292">
        <f t="shared" si="39"/>
        <v>0</v>
      </c>
      <c r="O207" s="292">
        <f t="shared" si="40"/>
        <v>0</v>
      </c>
      <c r="P207" s="292">
        <f t="shared" si="5"/>
        <v>0</v>
      </c>
      <c r="Q207" s="292">
        <f t="shared" si="6"/>
        <v>0</v>
      </c>
      <c r="R207" s="292">
        <f t="shared" si="67"/>
        <v>0</v>
      </c>
      <c r="S207" s="292">
        <f t="shared" si="68"/>
        <v>0</v>
      </c>
      <c r="T207" s="292">
        <f t="shared" si="7"/>
        <v>0</v>
      </c>
      <c r="U207" s="292">
        <f t="shared" si="8"/>
        <v>0</v>
      </c>
      <c r="V207" s="292">
        <f t="shared" si="69"/>
        <v>0</v>
      </c>
      <c r="W207" s="292">
        <f t="shared" si="70"/>
        <v>0</v>
      </c>
      <c r="X207" s="292">
        <f t="shared" si="71"/>
        <v>0</v>
      </c>
      <c r="Y207" s="292">
        <f t="shared" si="72"/>
        <v>0</v>
      </c>
      <c r="Z207" s="292">
        <f t="shared" si="47"/>
        <v>0</v>
      </c>
      <c r="AA207" s="292">
        <f t="shared" si="48"/>
        <v>0</v>
      </c>
      <c r="AB207" s="292">
        <f t="shared" si="9"/>
        <v>0</v>
      </c>
      <c r="AC207" s="292">
        <f t="shared" si="10"/>
        <v>0</v>
      </c>
      <c r="AD207" s="292">
        <f t="shared" si="11"/>
        <v>0</v>
      </c>
      <c r="AE207" s="292">
        <f t="shared" si="12"/>
        <v>0</v>
      </c>
      <c r="AF207" s="292">
        <f t="shared" si="13"/>
        <v>0</v>
      </c>
      <c r="AG207" s="292">
        <f t="shared" si="14"/>
        <v>0</v>
      </c>
      <c r="AH207" s="292">
        <f t="shared" si="15"/>
        <v>0</v>
      </c>
      <c r="AI207" s="292">
        <f t="shared" si="16"/>
        <v>0</v>
      </c>
      <c r="AJ207" s="292">
        <f t="shared" si="17"/>
        <v>0</v>
      </c>
      <c r="AK207" s="292">
        <f t="shared" si="18"/>
        <v>0</v>
      </c>
      <c r="AL207" s="292">
        <f t="shared" si="49"/>
        <v>0</v>
      </c>
      <c r="AM207" s="292">
        <f t="shared" si="50"/>
        <v>0</v>
      </c>
      <c r="AN207" s="292">
        <f t="shared" si="19"/>
        <v>0</v>
      </c>
      <c r="AO207" s="292">
        <f t="shared" si="20"/>
        <v>0</v>
      </c>
      <c r="AP207" s="292">
        <f t="shared" si="21"/>
        <v>0</v>
      </c>
      <c r="AQ207" s="292">
        <f t="shared" si="22"/>
        <v>0</v>
      </c>
      <c r="AR207" s="292">
        <f t="shared" si="23"/>
        <v>0</v>
      </c>
      <c r="AS207" s="292">
        <f t="shared" si="24"/>
        <v>0</v>
      </c>
      <c r="AT207" s="292">
        <f t="shared" si="25"/>
        <v>0</v>
      </c>
      <c r="AU207" s="292">
        <f t="shared" si="26"/>
        <v>0</v>
      </c>
      <c r="AV207" s="292">
        <f t="shared" si="27"/>
        <v>0</v>
      </c>
      <c r="AW207" s="292">
        <f t="shared" si="28"/>
        <v>0</v>
      </c>
      <c r="AX207" s="292">
        <f t="shared" si="29"/>
        <v>4141091</v>
      </c>
      <c r="AY207" s="292">
        <f t="shared" si="30"/>
        <v>0</v>
      </c>
      <c r="AZ207" s="292">
        <f t="shared" si="31"/>
        <v>0</v>
      </c>
      <c r="BA207" s="292">
        <f t="shared" si="32"/>
        <v>0</v>
      </c>
      <c r="BB207" s="292">
        <f t="shared" si="33"/>
        <v>0</v>
      </c>
      <c r="BC207" s="292">
        <f t="shared" si="34"/>
        <v>0</v>
      </c>
      <c r="BD207" s="292">
        <f t="shared" si="35"/>
        <v>0</v>
      </c>
      <c r="BE207" s="292">
        <f t="shared" si="36"/>
        <v>0</v>
      </c>
      <c r="BF207" s="292">
        <f t="shared" si="37"/>
        <v>0</v>
      </c>
      <c r="BG207" s="292">
        <f t="shared" si="38"/>
        <v>0</v>
      </c>
    </row>
    <row r="208" spans="1:59" s="289" customFormat="1" ht="15" customHeight="1">
      <c r="A208" s="63">
        <f t="array" ref="A208">IF(C208&lt;&gt;0,SUM(($C$11:C208&lt;&gt;0)*1),"")</f>
        <v>198</v>
      </c>
      <c r="B208" s="1099">
        <v>42450</v>
      </c>
      <c r="C208" s="290" t="s">
        <v>799</v>
      </c>
      <c r="D208" s="1099">
        <v>42450</v>
      </c>
      <c r="E208" s="344" t="s">
        <v>802</v>
      </c>
      <c r="F208" s="345">
        <v>414109</v>
      </c>
      <c r="G208" s="346" t="s">
        <v>10</v>
      </c>
      <c r="H208" s="346" t="s">
        <v>97</v>
      </c>
      <c r="I208" s="63">
        <f t="shared" si="73"/>
        <v>198</v>
      </c>
      <c r="J208" s="292">
        <f t="shared" si="1"/>
        <v>0</v>
      </c>
      <c r="K208" s="292">
        <f t="shared" si="2"/>
        <v>414109</v>
      </c>
      <c r="L208" s="292">
        <f t="shared" si="3"/>
        <v>0</v>
      </c>
      <c r="M208" s="292">
        <f t="shared" si="4"/>
        <v>0</v>
      </c>
      <c r="N208" s="292">
        <f t="shared" si="39"/>
        <v>0</v>
      </c>
      <c r="O208" s="292">
        <f t="shared" si="40"/>
        <v>0</v>
      </c>
      <c r="P208" s="292">
        <f t="shared" si="5"/>
        <v>414109</v>
      </c>
      <c r="Q208" s="292">
        <f t="shared" si="6"/>
        <v>0</v>
      </c>
      <c r="R208" s="292">
        <f t="shared" si="67"/>
        <v>0</v>
      </c>
      <c r="S208" s="292">
        <f t="shared" si="68"/>
        <v>0</v>
      </c>
      <c r="T208" s="292">
        <f t="shared" si="7"/>
        <v>0</v>
      </c>
      <c r="U208" s="292">
        <f t="shared" si="8"/>
        <v>0</v>
      </c>
      <c r="V208" s="292">
        <f t="shared" si="69"/>
        <v>0</v>
      </c>
      <c r="W208" s="292">
        <f t="shared" si="70"/>
        <v>0</v>
      </c>
      <c r="X208" s="292">
        <f t="shared" si="71"/>
        <v>0</v>
      </c>
      <c r="Y208" s="292">
        <f t="shared" si="72"/>
        <v>0</v>
      </c>
      <c r="Z208" s="292">
        <f t="shared" si="47"/>
        <v>0</v>
      </c>
      <c r="AA208" s="292">
        <f t="shared" si="48"/>
        <v>0</v>
      </c>
      <c r="AB208" s="292">
        <f t="shared" si="9"/>
        <v>0</v>
      </c>
      <c r="AC208" s="292">
        <f t="shared" si="10"/>
        <v>0</v>
      </c>
      <c r="AD208" s="292">
        <f t="shared" si="11"/>
        <v>0</v>
      </c>
      <c r="AE208" s="292">
        <f t="shared" si="12"/>
        <v>0</v>
      </c>
      <c r="AF208" s="292">
        <f t="shared" si="13"/>
        <v>0</v>
      </c>
      <c r="AG208" s="292">
        <f t="shared" si="14"/>
        <v>0</v>
      </c>
      <c r="AH208" s="292">
        <f t="shared" si="15"/>
        <v>0</v>
      </c>
      <c r="AI208" s="292">
        <f t="shared" si="16"/>
        <v>0</v>
      </c>
      <c r="AJ208" s="292">
        <f t="shared" si="17"/>
        <v>0</v>
      </c>
      <c r="AK208" s="292">
        <f t="shared" si="18"/>
        <v>0</v>
      </c>
      <c r="AL208" s="292">
        <f t="shared" si="49"/>
        <v>0</v>
      </c>
      <c r="AM208" s="292">
        <f t="shared" si="50"/>
        <v>0</v>
      </c>
      <c r="AN208" s="292">
        <f t="shared" si="19"/>
        <v>0</v>
      </c>
      <c r="AO208" s="292">
        <f t="shared" si="20"/>
        <v>0</v>
      </c>
      <c r="AP208" s="292">
        <f t="shared" si="21"/>
        <v>0</v>
      </c>
      <c r="AQ208" s="292">
        <f t="shared" si="22"/>
        <v>0</v>
      </c>
      <c r="AR208" s="292">
        <f t="shared" si="23"/>
        <v>0</v>
      </c>
      <c r="AS208" s="292">
        <f t="shared" si="24"/>
        <v>0</v>
      </c>
      <c r="AT208" s="292">
        <f t="shared" si="25"/>
        <v>0</v>
      </c>
      <c r="AU208" s="292">
        <f t="shared" si="26"/>
        <v>0</v>
      </c>
      <c r="AV208" s="292">
        <f t="shared" si="27"/>
        <v>0</v>
      </c>
      <c r="AW208" s="292">
        <f t="shared" si="28"/>
        <v>0</v>
      </c>
      <c r="AX208" s="292">
        <f t="shared" si="29"/>
        <v>0</v>
      </c>
      <c r="AY208" s="292">
        <f t="shared" si="30"/>
        <v>0</v>
      </c>
      <c r="AZ208" s="292">
        <f t="shared" si="31"/>
        <v>0</v>
      </c>
      <c r="BA208" s="292">
        <f t="shared" si="32"/>
        <v>0</v>
      </c>
      <c r="BB208" s="292">
        <f t="shared" si="33"/>
        <v>0</v>
      </c>
      <c r="BC208" s="292">
        <f t="shared" si="34"/>
        <v>0</v>
      </c>
      <c r="BD208" s="292">
        <f t="shared" si="35"/>
        <v>0</v>
      </c>
      <c r="BE208" s="292">
        <f t="shared" si="36"/>
        <v>0</v>
      </c>
      <c r="BF208" s="292">
        <f t="shared" si="37"/>
        <v>0</v>
      </c>
      <c r="BG208" s="292">
        <f t="shared" si="38"/>
        <v>0</v>
      </c>
    </row>
    <row r="209" spans="1:59" s="289" customFormat="1" ht="15" customHeight="1">
      <c r="A209" s="63">
        <f t="array" ref="A209">IF(C209&lt;&gt;0,SUM(($C$11:C209&lt;&gt;0)*1),"")</f>
        <v>199</v>
      </c>
      <c r="B209" s="1099">
        <v>42450</v>
      </c>
      <c r="C209" s="290" t="s">
        <v>803</v>
      </c>
      <c r="D209" s="1099">
        <v>42450</v>
      </c>
      <c r="E209" s="344" t="s">
        <v>765</v>
      </c>
      <c r="F209" s="345">
        <v>2222000</v>
      </c>
      <c r="G209" s="346" t="s">
        <v>135</v>
      </c>
      <c r="H209" s="346" t="s">
        <v>97</v>
      </c>
      <c r="I209" s="63">
        <f t="shared" si="73"/>
        <v>199</v>
      </c>
      <c r="J209" s="292">
        <f t="shared" si="1"/>
        <v>0</v>
      </c>
      <c r="K209" s="292">
        <f t="shared" si="2"/>
        <v>2222000</v>
      </c>
      <c r="L209" s="292">
        <f t="shared" si="3"/>
        <v>0</v>
      </c>
      <c r="M209" s="292">
        <f t="shared" si="4"/>
        <v>0</v>
      </c>
      <c r="N209" s="292">
        <f t="shared" si="39"/>
        <v>0</v>
      </c>
      <c r="O209" s="292">
        <f t="shared" si="40"/>
        <v>0</v>
      </c>
      <c r="P209" s="292">
        <f t="shared" si="5"/>
        <v>0</v>
      </c>
      <c r="Q209" s="292">
        <f t="shared" si="6"/>
        <v>0</v>
      </c>
      <c r="R209" s="292">
        <f t="shared" si="67"/>
        <v>0</v>
      </c>
      <c r="S209" s="292">
        <f t="shared" si="68"/>
        <v>0</v>
      </c>
      <c r="T209" s="292">
        <f t="shared" si="7"/>
        <v>0</v>
      </c>
      <c r="U209" s="292">
        <f t="shared" si="8"/>
        <v>0</v>
      </c>
      <c r="V209" s="292">
        <f t="shared" si="69"/>
        <v>0</v>
      </c>
      <c r="W209" s="292">
        <f t="shared" si="70"/>
        <v>0</v>
      </c>
      <c r="X209" s="292">
        <f t="shared" si="71"/>
        <v>0</v>
      </c>
      <c r="Y209" s="292">
        <f t="shared" si="72"/>
        <v>0</v>
      </c>
      <c r="Z209" s="292">
        <f t="shared" si="47"/>
        <v>0</v>
      </c>
      <c r="AA209" s="292">
        <f t="shared" si="48"/>
        <v>0</v>
      </c>
      <c r="AB209" s="292">
        <f t="shared" si="9"/>
        <v>0</v>
      </c>
      <c r="AC209" s="292">
        <f t="shared" si="10"/>
        <v>0</v>
      </c>
      <c r="AD209" s="292">
        <f t="shared" si="11"/>
        <v>0</v>
      </c>
      <c r="AE209" s="292">
        <f t="shared" si="12"/>
        <v>0</v>
      </c>
      <c r="AF209" s="292">
        <f t="shared" si="13"/>
        <v>0</v>
      </c>
      <c r="AG209" s="292">
        <f t="shared" si="14"/>
        <v>0</v>
      </c>
      <c r="AH209" s="292">
        <f t="shared" si="15"/>
        <v>0</v>
      </c>
      <c r="AI209" s="292">
        <f t="shared" si="16"/>
        <v>0</v>
      </c>
      <c r="AJ209" s="292">
        <f t="shared" si="17"/>
        <v>0</v>
      </c>
      <c r="AK209" s="292">
        <f t="shared" si="18"/>
        <v>0</v>
      </c>
      <c r="AL209" s="292">
        <f t="shared" si="49"/>
        <v>0</v>
      </c>
      <c r="AM209" s="292">
        <f t="shared" si="50"/>
        <v>0</v>
      </c>
      <c r="AN209" s="292">
        <f t="shared" si="19"/>
        <v>0</v>
      </c>
      <c r="AO209" s="292">
        <f t="shared" si="20"/>
        <v>0</v>
      </c>
      <c r="AP209" s="292">
        <f t="shared" si="21"/>
        <v>0</v>
      </c>
      <c r="AQ209" s="292">
        <f t="shared" si="22"/>
        <v>0</v>
      </c>
      <c r="AR209" s="292">
        <f t="shared" si="23"/>
        <v>0</v>
      </c>
      <c r="AS209" s="292">
        <f t="shared" si="24"/>
        <v>0</v>
      </c>
      <c r="AT209" s="292">
        <f t="shared" si="25"/>
        <v>0</v>
      </c>
      <c r="AU209" s="292">
        <f t="shared" si="26"/>
        <v>0</v>
      </c>
      <c r="AV209" s="292">
        <f t="shared" si="27"/>
        <v>0</v>
      </c>
      <c r="AW209" s="292">
        <f t="shared" si="28"/>
        <v>0</v>
      </c>
      <c r="AX209" s="292">
        <f t="shared" si="29"/>
        <v>2222000</v>
      </c>
      <c r="AY209" s="292">
        <f t="shared" si="30"/>
        <v>0</v>
      </c>
      <c r="AZ209" s="292">
        <f t="shared" si="31"/>
        <v>0</v>
      </c>
      <c r="BA209" s="292">
        <f t="shared" si="32"/>
        <v>0</v>
      </c>
      <c r="BB209" s="292">
        <f t="shared" si="33"/>
        <v>0</v>
      </c>
      <c r="BC209" s="292">
        <f t="shared" si="34"/>
        <v>0</v>
      </c>
      <c r="BD209" s="292">
        <f t="shared" si="35"/>
        <v>0</v>
      </c>
      <c r="BE209" s="292">
        <f t="shared" si="36"/>
        <v>0</v>
      </c>
      <c r="BF209" s="292">
        <f t="shared" si="37"/>
        <v>0</v>
      </c>
      <c r="BG209" s="292">
        <f t="shared" si="38"/>
        <v>0</v>
      </c>
    </row>
    <row r="210" spans="1:59" s="289" customFormat="1" ht="15" customHeight="1">
      <c r="A210" s="63">
        <f t="array" ref="A210">IF(C210&lt;&gt;0,SUM(($C$11:C210&lt;&gt;0)*1),"")</f>
        <v>200</v>
      </c>
      <c r="B210" s="1099">
        <v>42451</v>
      </c>
      <c r="C210" s="290" t="s">
        <v>805</v>
      </c>
      <c r="D210" s="1099">
        <v>42451</v>
      </c>
      <c r="E210" s="344" t="s">
        <v>806</v>
      </c>
      <c r="F210" s="345">
        <v>1200000</v>
      </c>
      <c r="G210" s="346" t="s">
        <v>135</v>
      </c>
      <c r="H210" s="346" t="s">
        <v>97</v>
      </c>
      <c r="I210" s="63">
        <f t="shared" si="73"/>
        <v>200</v>
      </c>
      <c r="J210" s="292">
        <f t="shared" si="1"/>
        <v>0</v>
      </c>
      <c r="K210" s="292">
        <f t="shared" si="2"/>
        <v>1200000</v>
      </c>
      <c r="L210" s="292">
        <f t="shared" si="3"/>
        <v>0</v>
      </c>
      <c r="M210" s="292">
        <f t="shared" si="4"/>
        <v>0</v>
      </c>
      <c r="N210" s="292">
        <f t="shared" si="39"/>
        <v>0</v>
      </c>
      <c r="O210" s="292">
        <f t="shared" si="40"/>
        <v>0</v>
      </c>
      <c r="P210" s="292">
        <f t="shared" si="5"/>
        <v>0</v>
      </c>
      <c r="Q210" s="292">
        <f t="shared" si="6"/>
        <v>0</v>
      </c>
      <c r="R210" s="292">
        <f t="shared" si="67"/>
        <v>0</v>
      </c>
      <c r="S210" s="292">
        <f t="shared" si="68"/>
        <v>0</v>
      </c>
      <c r="T210" s="292">
        <f t="shared" si="7"/>
        <v>0</v>
      </c>
      <c r="U210" s="292">
        <f t="shared" si="8"/>
        <v>0</v>
      </c>
      <c r="V210" s="292">
        <f t="shared" si="69"/>
        <v>0</v>
      </c>
      <c r="W210" s="292">
        <f t="shared" si="70"/>
        <v>0</v>
      </c>
      <c r="X210" s="292">
        <f t="shared" si="71"/>
        <v>0</v>
      </c>
      <c r="Y210" s="292">
        <f t="shared" si="72"/>
        <v>0</v>
      </c>
      <c r="Z210" s="292">
        <f t="shared" si="47"/>
        <v>0</v>
      </c>
      <c r="AA210" s="292">
        <f t="shared" si="48"/>
        <v>0</v>
      </c>
      <c r="AB210" s="292">
        <f t="shared" si="9"/>
        <v>0</v>
      </c>
      <c r="AC210" s="292">
        <f t="shared" si="10"/>
        <v>0</v>
      </c>
      <c r="AD210" s="292">
        <f t="shared" si="11"/>
        <v>0</v>
      </c>
      <c r="AE210" s="292">
        <f t="shared" si="12"/>
        <v>0</v>
      </c>
      <c r="AF210" s="292">
        <f t="shared" si="13"/>
        <v>0</v>
      </c>
      <c r="AG210" s="292">
        <f t="shared" si="14"/>
        <v>0</v>
      </c>
      <c r="AH210" s="292">
        <f t="shared" si="15"/>
        <v>0</v>
      </c>
      <c r="AI210" s="292">
        <f t="shared" si="16"/>
        <v>0</v>
      </c>
      <c r="AJ210" s="292">
        <f t="shared" si="17"/>
        <v>0</v>
      </c>
      <c r="AK210" s="292">
        <f t="shared" si="18"/>
        <v>0</v>
      </c>
      <c r="AL210" s="292">
        <f t="shared" si="49"/>
        <v>0</v>
      </c>
      <c r="AM210" s="292">
        <f t="shared" si="50"/>
        <v>0</v>
      </c>
      <c r="AN210" s="292">
        <f t="shared" si="19"/>
        <v>0</v>
      </c>
      <c r="AO210" s="292">
        <f t="shared" si="20"/>
        <v>0</v>
      </c>
      <c r="AP210" s="292">
        <f t="shared" si="21"/>
        <v>0</v>
      </c>
      <c r="AQ210" s="292">
        <f t="shared" si="22"/>
        <v>0</v>
      </c>
      <c r="AR210" s="292">
        <f t="shared" si="23"/>
        <v>0</v>
      </c>
      <c r="AS210" s="292">
        <f t="shared" si="24"/>
        <v>0</v>
      </c>
      <c r="AT210" s="292">
        <f t="shared" si="25"/>
        <v>0</v>
      </c>
      <c r="AU210" s="292">
        <f t="shared" si="26"/>
        <v>0</v>
      </c>
      <c r="AV210" s="292">
        <f t="shared" si="27"/>
        <v>0</v>
      </c>
      <c r="AW210" s="292">
        <f t="shared" si="28"/>
        <v>0</v>
      </c>
      <c r="AX210" s="292">
        <f t="shared" si="29"/>
        <v>1200000</v>
      </c>
      <c r="AY210" s="292">
        <f t="shared" si="30"/>
        <v>0</v>
      </c>
      <c r="AZ210" s="292">
        <f t="shared" si="31"/>
        <v>0</v>
      </c>
      <c r="BA210" s="292">
        <f t="shared" si="32"/>
        <v>0</v>
      </c>
      <c r="BB210" s="292">
        <f t="shared" si="33"/>
        <v>0</v>
      </c>
      <c r="BC210" s="292">
        <f t="shared" si="34"/>
        <v>0</v>
      </c>
      <c r="BD210" s="292">
        <f t="shared" si="35"/>
        <v>0</v>
      </c>
      <c r="BE210" s="292">
        <f t="shared" si="36"/>
        <v>0</v>
      </c>
      <c r="BF210" s="292">
        <f t="shared" si="37"/>
        <v>0</v>
      </c>
      <c r="BG210" s="292">
        <f t="shared" si="38"/>
        <v>0</v>
      </c>
    </row>
    <row r="211" spans="1:59" s="289" customFormat="1" ht="15" customHeight="1">
      <c r="A211" s="63">
        <f t="array" ref="A211">IF(C211&lt;&gt;0,SUM(($C$11:C211&lt;&gt;0)*1),"")</f>
        <v>201</v>
      </c>
      <c r="B211" s="1099">
        <v>42453</v>
      </c>
      <c r="C211" s="290" t="s">
        <v>809</v>
      </c>
      <c r="D211" s="1099">
        <v>42453</v>
      </c>
      <c r="E211" s="344" t="s">
        <v>810</v>
      </c>
      <c r="F211" s="345">
        <v>17050899</v>
      </c>
      <c r="G211" s="346" t="s">
        <v>135</v>
      </c>
      <c r="H211" s="346" t="s">
        <v>97</v>
      </c>
      <c r="I211" s="63">
        <f t="shared" si="73"/>
        <v>201</v>
      </c>
      <c r="J211" s="292">
        <f t="shared" si="1"/>
        <v>0</v>
      </c>
      <c r="K211" s="292">
        <f t="shared" si="2"/>
        <v>17050899</v>
      </c>
      <c r="L211" s="292">
        <f t="shared" si="3"/>
        <v>0</v>
      </c>
      <c r="M211" s="292">
        <f t="shared" si="4"/>
        <v>0</v>
      </c>
      <c r="N211" s="292">
        <f t="shared" si="39"/>
        <v>0</v>
      </c>
      <c r="O211" s="292">
        <f t="shared" si="40"/>
        <v>0</v>
      </c>
      <c r="P211" s="292">
        <f t="shared" si="5"/>
        <v>0</v>
      </c>
      <c r="Q211" s="292">
        <f t="shared" si="6"/>
        <v>0</v>
      </c>
      <c r="R211" s="292">
        <f t="shared" si="67"/>
        <v>0</v>
      </c>
      <c r="S211" s="292">
        <f t="shared" si="68"/>
        <v>0</v>
      </c>
      <c r="T211" s="292">
        <f t="shared" si="7"/>
        <v>0</v>
      </c>
      <c r="U211" s="292">
        <f t="shared" si="8"/>
        <v>0</v>
      </c>
      <c r="V211" s="292">
        <f t="shared" si="69"/>
        <v>0</v>
      </c>
      <c r="W211" s="292">
        <f t="shared" si="70"/>
        <v>0</v>
      </c>
      <c r="X211" s="292">
        <f t="shared" si="71"/>
        <v>0</v>
      </c>
      <c r="Y211" s="292">
        <f t="shared" si="72"/>
        <v>0</v>
      </c>
      <c r="Z211" s="292">
        <f t="shared" si="47"/>
        <v>0</v>
      </c>
      <c r="AA211" s="292">
        <f t="shared" si="48"/>
        <v>0</v>
      </c>
      <c r="AB211" s="292">
        <f t="shared" si="9"/>
        <v>0</v>
      </c>
      <c r="AC211" s="292">
        <f t="shared" si="10"/>
        <v>0</v>
      </c>
      <c r="AD211" s="292">
        <f t="shared" si="11"/>
        <v>0</v>
      </c>
      <c r="AE211" s="292">
        <f t="shared" si="12"/>
        <v>0</v>
      </c>
      <c r="AF211" s="292">
        <f t="shared" si="13"/>
        <v>0</v>
      </c>
      <c r="AG211" s="292">
        <f t="shared" si="14"/>
        <v>0</v>
      </c>
      <c r="AH211" s="292">
        <f t="shared" si="15"/>
        <v>0</v>
      </c>
      <c r="AI211" s="292">
        <f t="shared" si="16"/>
        <v>0</v>
      </c>
      <c r="AJ211" s="292">
        <f t="shared" si="17"/>
        <v>0</v>
      </c>
      <c r="AK211" s="292">
        <f t="shared" si="18"/>
        <v>0</v>
      </c>
      <c r="AL211" s="292">
        <f t="shared" si="49"/>
        <v>0</v>
      </c>
      <c r="AM211" s="292">
        <f t="shared" si="50"/>
        <v>0</v>
      </c>
      <c r="AN211" s="292">
        <f t="shared" si="19"/>
        <v>0</v>
      </c>
      <c r="AO211" s="292">
        <f t="shared" si="20"/>
        <v>0</v>
      </c>
      <c r="AP211" s="292">
        <f t="shared" si="21"/>
        <v>0</v>
      </c>
      <c r="AQ211" s="292">
        <f t="shared" si="22"/>
        <v>0</v>
      </c>
      <c r="AR211" s="292">
        <f t="shared" si="23"/>
        <v>0</v>
      </c>
      <c r="AS211" s="292">
        <f t="shared" si="24"/>
        <v>0</v>
      </c>
      <c r="AT211" s="292">
        <f t="shared" si="25"/>
        <v>0</v>
      </c>
      <c r="AU211" s="292">
        <f t="shared" si="26"/>
        <v>0</v>
      </c>
      <c r="AV211" s="292">
        <f t="shared" si="27"/>
        <v>0</v>
      </c>
      <c r="AW211" s="292">
        <f t="shared" si="28"/>
        <v>0</v>
      </c>
      <c r="AX211" s="292">
        <f t="shared" si="29"/>
        <v>17050899</v>
      </c>
      <c r="AY211" s="292">
        <f t="shared" si="30"/>
        <v>0</v>
      </c>
      <c r="AZ211" s="292">
        <f t="shared" si="31"/>
        <v>0</v>
      </c>
      <c r="BA211" s="292">
        <f t="shared" si="32"/>
        <v>0</v>
      </c>
      <c r="BB211" s="292">
        <f t="shared" si="33"/>
        <v>0</v>
      </c>
      <c r="BC211" s="292">
        <f t="shared" si="34"/>
        <v>0</v>
      </c>
      <c r="BD211" s="292">
        <f t="shared" si="35"/>
        <v>0</v>
      </c>
      <c r="BE211" s="292">
        <f t="shared" si="36"/>
        <v>0</v>
      </c>
      <c r="BF211" s="292">
        <f t="shared" si="37"/>
        <v>0</v>
      </c>
      <c r="BG211" s="292">
        <f t="shared" si="38"/>
        <v>0</v>
      </c>
    </row>
    <row r="212" spans="1:59" s="289" customFormat="1" ht="15" customHeight="1">
      <c r="A212" s="63">
        <f t="array" ref="A212">IF(C212&lt;&gt;0,SUM(($C$11:C212&lt;&gt;0)*1),"")</f>
        <v>202</v>
      </c>
      <c r="B212" s="1099">
        <v>42453</v>
      </c>
      <c r="C212" s="290" t="s">
        <v>809</v>
      </c>
      <c r="D212" s="1099">
        <v>42453</v>
      </c>
      <c r="E212" s="344" t="s">
        <v>813</v>
      </c>
      <c r="F212" s="345">
        <v>1705089</v>
      </c>
      <c r="G212" s="346" t="s">
        <v>10</v>
      </c>
      <c r="H212" s="346" t="s">
        <v>97</v>
      </c>
      <c r="I212" s="63">
        <f t="shared" si="73"/>
        <v>202</v>
      </c>
      <c r="J212" s="292">
        <f t="shared" si="1"/>
        <v>0</v>
      </c>
      <c r="K212" s="292">
        <f t="shared" si="2"/>
        <v>1705089</v>
      </c>
      <c r="L212" s="292">
        <f t="shared" si="3"/>
        <v>0</v>
      </c>
      <c r="M212" s="292">
        <f t="shared" si="4"/>
        <v>0</v>
      </c>
      <c r="N212" s="292">
        <f t="shared" si="39"/>
        <v>0</v>
      </c>
      <c r="O212" s="292">
        <f t="shared" si="40"/>
        <v>0</v>
      </c>
      <c r="P212" s="292">
        <f t="shared" si="5"/>
        <v>1705089</v>
      </c>
      <c r="Q212" s="292">
        <f t="shared" si="6"/>
        <v>0</v>
      </c>
      <c r="R212" s="292">
        <f t="shared" si="67"/>
        <v>0</v>
      </c>
      <c r="S212" s="292">
        <f t="shared" si="68"/>
        <v>0</v>
      </c>
      <c r="T212" s="292">
        <f t="shared" si="7"/>
        <v>0</v>
      </c>
      <c r="U212" s="292">
        <f t="shared" si="8"/>
        <v>0</v>
      </c>
      <c r="V212" s="292">
        <f t="shared" si="69"/>
        <v>0</v>
      </c>
      <c r="W212" s="292">
        <f t="shared" si="70"/>
        <v>0</v>
      </c>
      <c r="X212" s="292">
        <f t="shared" si="71"/>
        <v>0</v>
      </c>
      <c r="Y212" s="292">
        <f t="shared" si="72"/>
        <v>0</v>
      </c>
      <c r="Z212" s="292">
        <f t="shared" si="47"/>
        <v>0</v>
      </c>
      <c r="AA212" s="292">
        <f t="shared" si="48"/>
        <v>0</v>
      </c>
      <c r="AB212" s="292">
        <f t="shared" si="9"/>
        <v>0</v>
      </c>
      <c r="AC212" s="292">
        <f t="shared" si="10"/>
        <v>0</v>
      </c>
      <c r="AD212" s="292">
        <f t="shared" si="11"/>
        <v>0</v>
      </c>
      <c r="AE212" s="292">
        <f t="shared" si="12"/>
        <v>0</v>
      </c>
      <c r="AF212" s="292">
        <f t="shared" si="13"/>
        <v>0</v>
      </c>
      <c r="AG212" s="292">
        <f t="shared" si="14"/>
        <v>0</v>
      </c>
      <c r="AH212" s="292">
        <f t="shared" si="15"/>
        <v>0</v>
      </c>
      <c r="AI212" s="292">
        <f t="shared" si="16"/>
        <v>0</v>
      </c>
      <c r="AJ212" s="292">
        <f t="shared" si="17"/>
        <v>0</v>
      </c>
      <c r="AK212" s="292">
        <f t="shared" si="18"/>
        <v>0</v>
      </c>
      <c r="AL212" s="292">
        <f t="shared" si="49"/>
        <v>0</v>
      </c>
      <c r="AM212" s="292">
        <f t="shared" si="50"/>
        <v>0</v>
      </c>
      <c r="AN212" s="292">
        <f t="shared" si="19"/>
        <v>0</v>
      </c>
      <c r="AO212" s="292">
        <f t="shared" si="20"/>
        <v>0</v>
      </c>
      <c r="AP212" s="292">
        <f t="shared" si="21"/>
        <v>0</v>
      </c>
      <c r="AQ212" s="292">
        <f t="shared" si="22"/>
        <v>0</v>
      </c>
      <c r="AR212" s="292">
        <f t="shared" si="23"/>
        <v>0</v>
      </c>
      <c r="AS212" s="292">
        <f t="shared" si="24"/>
        <v>0</v>
      </c>
      <c r="AT212" s="292">
        <f t="shared" si="25"/>
        <v>0</v>
      </c>
      <c r="AU212" s="292">
        <f t="shared" si="26"/>
        <v>0</v>
      </c>
      <c r="AV212" s="292">
        <f t="shared" si="27"/>
        <v>0</v>
      </c>
      <c r="AW212" s="292">
        <f t="shared" si="28"/>
        <v>0</v>
      </c>
      <c r="AX212" s="292">
        <f t="shared" si="29"/>
        <v>0</v>
      </c>
      <c r="AY212" s="292">
        <f t="shared" si="30"/>
        <v>0</v>
      </c>
      <c r="AZ212" s="292">
        <f t="shared" si="31"/>
        <v>0</v>
      </c>
      <c r="BA212" s="292">
        <f t="shared" si="32"/>
        <v>0</v>
      </c>
      <c r="BB212" s="292">
        <f t="shared" si="33"/>
        <v>0</v>
      </c>
      <c r="BC212" s="292">
        <f t="shared" si="34"/>
        <v>0</v>
      </c>
      <c r="BD212" s="292">
        <f t="shared" si="35"/>
        <v>0</v>
      </c>
      <c r="BE212" s="292">
        <f t="shared" si="36"/>
        <v>0</v>
      </c>
      <c r="BF212" s="292">
        <f t="shared" si="37"/>
        <v>0</v>
      </c>
      <c r="BG212" s="292">
        <f t="shared" si="38"/>
        <v>0</v>
      </c>
    </row>
    <row r="213" spans="1:59" s="289" customFormat="1" ht="15" customHeight="1">
      <c r="A213" s="63">
        <f t="array" ref="A213">IF(C213&lt;&gt;0,SUM(($C$11:C213&lt;&gt;0)*1),"")</f>
        <v>203</v>
      </c>
      <c r="B213" s="1099">
        <v>42453</v>
      </c>
      <c r="C213" s="290" t="s">
        <v>12</v>
      </c>
      <c r="D213" s="1099">
        <v>42453</v>
      </c>
      <c r="E213" s="344" t="s">
        <v>827</v>
      </c>
      <c r="F213" s="345">
        <v>9459</v>
      </c>
      <c r="G213" s="346" t="s">
        <v>31</v>
      </c>
      <c r="H213" s="346" t="s">
        <v>58</v>
      </c>
      <c r="I213" s="63">
        <f t="shared" si="73"/>
        <v>203</v>
      </c>
      <c r="J213" s="292">
        <f t="shared" si="1"/>
        <v>0</v>
      </c>
      <c r="K213" s="292">
        <f t="shared" si="2"/>
        <v>0</v>
      </c>
      <c r="L213" s="292">
        <f t="shared" si="3"/>
        <v>9459</v>
      </c>
      <c r="M213" s="292">
        <f t="shared" si="4"/>
        <v>0</v>
      </c>
      <c r="N213" s="292">
        <f t="shared" si="39"/>
        <v>0</v>
      </c>
      <c r="O213" s="292">
        <f t="shared" si="40"/>
        <v>0</v>
      </c>
      <c r="P213" s="292">
        <f t="shared" si="5"/>
        <v>0</v>
      </c>
      <c r="Q213" s="292">
        <f t="shared" si="6"/>
        <v>0</v>
      </c>
      <c r="R213" s="292">
        <f t="shared" si="67"/>
        <v>0</v>
      </c>
      <c r="S213" s="292">
        <f t="shared" si="68"/>
        <v>0</v>
      </c>
      <c r="T213" s="292">
        <f t="shared" si="7"/>
        <v>0</v>
      </c>
      <c r="U213" s="292">
        <f t="shared" si="8"/>
        <v>0</v>
      </c>
      <c r="V213" s="292">
        <f t="shared" si="69"/>
        <v>0</v>
      </c>
      <c r="W213" s="292">
        <f t="shared" si="70"/>
        <v>0</v>
      </c>
      <c r="X213" s="292">
        <f t="shared" si="71"/>
        <v>0</v>
      </c>
      <c r="Y213" s="292">
        <f t="shared" si="72"/>
        <v>0</v>
      </c>
      <c r="Z213" s="292">
        <f t="shared" si="47"/>
        <v>0</v>
      </c>
      <c r="AA213" s="292">
        <f t="shared" si="48"/>
        <v>0</v>
      </c>
      <c r="AB213" s="292">
        <f t="shared" si="9"/>
        <v>0</v>
      </c>
      <c r="AC213" s="292">
        <f t="shared" si="10"/>
        <v>0</v>
      </c>
      <c r="AD213" s="292">
        <f t="shared" si="11"/>
        <v>0</v>
      </c>
      <c r="AE213" s="292">
        <f t="shared" si="12"/>
        <v>0</v>
      </c>
      <c r="AF213" s="292">
        <f t="shared" si="13"/>
        <v>0</v>
      </c>
      <c r="AG213" s="292">
        <f t="shared" si="14"/>
        <v>0</v>
      </c>
      <c r="AH213" s="292">
        <f t="shared" si="15"/>
        <v>0</v>
      </c>
      <c r="AI213" s="292">
        <f t="shared" si="16"/>
        <v>0</v>
      </c>
      <c r="AJ213" s="292">
        <f t="shared" si="17"/>
        <v>0</v>
      </c>
      <c r="AK213" s="292">
        <f t="shared" si="18"/>
        <v>0</v>
      </c>
      <c r="AL213" s="292">
        <f t="shared" si="49"/>
        <v>0</v>
      </c>
      <c r="AM213" s="292">
        <f t="shared" si="50"/>
        <v>0</v>
      </c>
      <c r="AN213" s="292">
        <f t="shared" si="19"/>
        <v>0</v>
      </c>
      <c r="AO213" s="292">
        <f t="shared" si="20"/>
        <v>0</v>
      </c>
      <c r="AP213" s="292">
        <f t="shared" si="21"/>
        <v>0</v>
      </c>
      <c r="AQ213" s="292">
        <f t="shared" si="22"/>
        <v>0</v>
      </c>
      <c r="AR213" s="292">
        <f t="shared" si="23"/>
        <v>0</v>
      </c>
      <c r="AS213" s="292">
        <f t="shared" si="24"/>
        <v>0</v>
      </c>
      <c r="AT213" s="292">
        <f t="shared" si="25"/>
        <v>0</v>
      </c>
      <c r="AU213" s="292">
        <f t="shared" si="26"/>
        <v>9459</v>
      </c>
      <c r="AV213" s="292">
        <f t="shared" si="27"/>
        <v>0</v>
      </c>
      <c r="AW213" s="292">
        <f t="shared" si="28"/>
        <v>0</v>
      </c>
      <c r="AX213" s="292">
        <f t="shared" si="29"/>
        <v>0</v>
      </c>
      <c r="AY213" s="292">
        <f t="shared" si="30"/>
        <v>0</v>
      </c>
      <c r="AZ213" s="292">
        <f t="shared" si="31"/>
        <v>0</v>
      </c>
      <c r="BA213" s="292">
        <f t="shared" si="32"/>
        <v>0</v>
      </c>
      <c r="BB213" s="292">
        <f t="shared" si="33"/>
        <v>0</v>
      </c>
      <c r="BC213" s="292">
        <f t="shared" si="34"/>
        <v>0</v>
      </c>
      <c r="BD213" s="292">
        <f t="shared" si="35"/>
        <v>0</v>
      </c>
      <c r="BE213" s="292">
        <f t="shared" si="36"/>
        <v>0</v>
      </c>
      <c r="BF213" s="292">
        <f t="shared" si="37"/>
        <v>0</v>
      </c>
      <c r="BG213" s="292">
        <f t="shared" si="38"/>
        <v>0</v>
      </c>
    </row>
    <row r="214" spans="1:59" s="289" customFormat="1" ht="15" customHeight="1">
      <c r="A214" s="63">
        <f t="array" ref="A214">IF(C214&lt;&gt;0,SUM(($C$11:C214&lt;&gt;0)*1),"")</f>
        <v>204</v>
      </c>
      <c r="B214" s="1099">
        <v>42454</v>
      </c>
      <c r="C214" s="290" t="s">
        <v>8</v>
      </c>
      <c r="D214" s="1099">
        <v>42454</v>
      </c>
      <c r="E214" s="344" t="s">
        <v>822</v>
      </c>
      <c r="F214" s="345">
        <v>50000</v>
      </c>
      <c r="G214" s="346" t="s">
        <v>135</v>
      </c>
      <c r="H214" s="346" t="s">
        <v>31</v>
      </c>
      <c r="I214" s="63">
        <f t="shared" si="73"/>
        <v>204</v>
      </c>
      <c r="J214" s="292">
        <f t="shared" si="1"/>
        <v>0</v>
      </c>
      <c r="K214" s="292">
        <f t="shared" si="2"/>
        <v>0</v>
      </c>
      <c r="L214" s="292">
        <f t="shared" si="3"/>
        <v>0</v>
      </c>
      <c r="M214" s="292">
        <f t="shared" si="4"/>
        <v>50000</v>
      </c>
      <c r="N214" s="292">
        <f t="shared" si="39"/>
        <v>0</v>
      </c>
      <c r="O214" s="292">
        <f t="shared" si="40"/>
        <v>0</v>
      </c>
      <c r="P214" s="292">
        <f t="shared" si="5"/>
        <v>0</v>
      </c>
      <c r="Q214" s="292">
        <f t="shared" si="6"/>
        <v>0</v>
      </c>
      <c r="R214" s="292">
        <f t="shared" si="67"/>
        <v>0</v>
      </c>
      <c r="S214" s="292">
        <f t="shared" si="68"/>
        <v>0</v>
      </c>
      <c r="T214" s="292">
        <f t="shared" si="7"/>
        <v>0</v>
      </c>
      <c r="U214" s="292">
        <f t="shared" si="8"/>
        <v>0</v>
      </c>
      <c r="V214" s="292">
        <f t="shared" si="69"/>
        <v>0</v>
      </c>
      <c r="W214" s="292">
        <f t="shared" si="70"/>
        <v>0</v>
      </c>
      <c r="X214" s="292">
        <f t="shared" si="71"/>
        <v>0</v>
      </c>
      <c r="Y214" s="292">
        <f t="shared" si="72"/>
        <v>0</v>
      </c>
      <c r="Z214" s="292">
        <f t="shared" si="47"/>
        <v>0</v>
      </c>
      <c r="AA214" s="292">
        <f t="shared" si="48"/>
        <v>0</v>
      </c>
      <c r="AB214" s="292">
        <f t="shared" si="9"/>
        <v>0</v>
      </c>
      <c r="AC214" s="292">
        <f t="shared" si="10"/>
        <v>0</v>
      </c>
      <c r="AD214" s="292">
        <f t="shared" si="11"/>
        <v>0</v>
      </c>
      <c r="AE214" s="292">
        <f t="shared" si="12"/>
        <v>0</v>
      </c>
      <c r="AF214" s="292">
        <f t="shared" si="13"/>
        <v>0</v>
      </c>
      <c r="AG214" s="292">
        <f t="shared" si="14"/>
        <v>0</v>
      </c>
      <c r="AH214" s="292">
        <f t="shared" si="15"/>
        <v>0</v>
      </c>
      <c r="AI214" s="292">
        <f t="shared" si="16"/>
        <v>0</v>
      </c>
      <c r="AJ214" s="292">
        <f t="shared" si="17"/>
        <v>0</v>
      </c>
      <c r="AK214" s="292">
        <f t="shared" si="18"/>
        <v>0</v>
      </c>
      <c r="AL214" s="292">
        <f t="shared" si="49"/>
        <v>0</v>
      </c>
      <c r="AM214" s="292">
        <f t="shared" si="50"/>
        <v>0</v>
      </c>
      <c r="AN214" s="292">
        <f t="shared" si="19"/>
        <v>0</v>
      </c>
      <c r="AO214" s="292">
        <f t="shared" si="20"/>
        <v>0</v>
      </c>
      <c r="AP214" s="292">
        <f t="shared" si="21"/>
        <v>0</v>
      </c>
      <c r="AQ214" s="292">
        <f t="shared" si="22"/>
        <v>0</v>
      </c>
      <c r="AR214" s="292">
        <f t="shared" si="23"/>
        <v>0</v>
      </c>
      <c r="AS214" s="292">
        <f t="shared" si="24"/>
        <v>0</v>
      </c>
      <c r="AT214" s="292">
        <f t="shared" si="25"/>
        <v>0</v>
      </c>
      <c r="AU214" s="292">
        <f t="shared" si="26"/>
        <v>0</v>
      </c>
      <c r="AV214" s="292">
        <f t="shared" si="27"/>
        <v>0</v>
      </c>
      <c r="AW214" s="292">
        <f t="shared" si="28"/>
        <v>0</v>
      </c>
      <c r="AX214" s="292">
        <f t="shared" si="29"/>
        <v>50000</v>
      </c>
      <c r="AY214" s="292">
        <f t="shared" si="30"/>
        <v>0</v>
      </c>
      <c r="AZ214" s="292">
        <f t="shared" si="31"/>
        <v>0</v>
      </c>
      <c r="BA214" s="292">
        <f t="shared" si="32"/>
        <v>0</v>
      </c>
      <c r="BB214" s="292">
        <f t="shared" si="33"/>
        <v>0</v>
      </c>
      <c r="BC214" s="292">
        <f t="shared" si="34"/>
        <v>0</v>
      </c>
      <c r="BD214" s="292">
        <f t="shared" si="35"/>
        <v>0</v>
      </c>
      <c r="BE214" s="292">
        <f t="shared" si="36"/>
        <v>0</v>
      </c>
      <c r="BF214" s="292">
        <f t="shared" si="37"/>
        <v>0</v>
      </c>
      <c r="BG214" s="292">
        <f t="shared" si="38"/>
        <v>0</v>
      </c>
    </row>
    <row r="215" spans="1:59" s="289" customFormat="1" ht="15" customHeight="1">
      <c r="A215" s="63">
        <f t="array" ref="A215">IF(C215&lt;&gt;0,SUM(($C$11:C215&lt;&gt;0)*1),"")</f>
        <v>205</v>
      </c>
      <c r="B215" s="1099">
        <v>42454</v>
      </c>
      <c r="C215" s="290" t="s">
        <v>8</v>
      </c>
      <c r="D215" s="1099">
        <v>42454</v>
      </c>
      <c r="E215" s="344" t="s">
        <v>824</v>
      </c>
      <c r="F215" s="345">
        <v>5000</v>
      </c>
      <c r="G215" s="346" t="s">
        <v>10</v>
      </c>
      <c r="H215" s="346" t="s">
        <v>31</v>
      </c>
      <c r="I215" s="63">
        <f t="shared" si="73"/>
        <v>205</v>
      </c>
      <c r="J215" s="292">
        <f t="shared" si="1"/>
        <v>0</v>
      </c>
      <c r="K215" s="292">
        <f t="shared" si="2"/>
        <v>0</v>
      </c>
      <c r="L215" s="292">
        <f t="shared" si="3"/>
        <v>0</v>
      </c>
      <c r="M215" s="292">
        <f t="shared" si="4"/>
        <v>5000</v>
      </c>
      <c r="N215" s="292">
        <f t="shared" si="39"/>
        <v>0</v>
      </c>
      <c r="O215" s="292">
        <f t="shared" si="40"/>
        <v>0</v>
      </c>
      <c r="P215" s="292">
        <f t="shared" si="5"/>
        <v>5000</v>
      </c>
      <c r="Q215" s="292">
        <f t="shared" si="6"/>
        <v>0</v>
      </c>
      <c r="R215" s="292">
        <f t="shared" si="67"/>
        <v>0</v>
      </c>
      <c r="S215" s="292">
        <f t="shared" si="68"/>
        <v>0</v>
      </c>
      <c r="T215" s="292">
        <f t="shared" si="7"/>
        <v>0</v>
      </c>
      <c r="U215" s="292">
        <f t="shared" si="8"/>
        <v>0</v>
      </c>
      <c r="V215" s="292">
        <f t="shared" si="69"/>
        <v>0</v>
      </c>
      <c r="W215" s="292">
        <f t="shared" si="70"/>
        <v>0</v>
      </c>
      <c r="X215" s="292">
        <f t="shared" si="71"/>
        <v>0</v>
      </c>
      <c r="Y215" s="292">
        <f t="shared" si="72"/>
        <v>0</v>
      </c>
      <c r="Z215" s="292">
        <f t="shared" si="47"/>
        <v>0</v>
      </c>
      <c r="AA215" s="292">
        <f t="shared" si="48"/>
        <v>0</v>
      </c>
      <c r="AB215" s="292">
        <f t="shared" si="9"/>
        <v>0</v>
      </c>
      <c r="AC215" s="292">
        <f t="shared" si="10"/>
        <v>0</v>
      </c>
      <c r="AD215" s="292">
        <f t="shared" si="11"/>
        <v>0</v>
      </c>
      <c r="AE215" s="292">
        <f t="shared" si="12"/>
        <v>0</v>
      </c>
      <c r="AF215" s="292">
        <f t="shared" si="13"/>
        <v>0</v>
      </c>
      <c r="AG215" s="292">
        <f t="shared" si="14"/>
        <v>0</v>
      </c>
      <c r="AH215" s="292">
        <f t="shared" si="15"/>
        <v>0</v>
      </c>
      <c r="AI215" s="292">
        <f t="shared" si="16"/>
        <v>0</v>
      </c>
      <c r="AJ215" s="292">
        <f t="shared" si="17"/>
        <v>0</v>
      </c>
      <c r="AK215" s="292">
        <f t="shared" si="18"/>
        <v>0</v>
      </c>
      <c r="AL215" s="292">
        <f t="shared" si="49"/>
        <v>0</v>
      </c>
      <c r="AM215" s="292">
        <f t="shared" si="50"/>
        <v>0</v>
      </c>
      <c r="AN215" s="292">
        <f t="shared" si="19"/>
        <v>0</v>
      </c>
      <c r="AO215" s="292">
        <f t="shared" si="20"/>
        <v>0</v>
      </c>
      <c r="AP215" s="292">
        <f t="shared" si="21"/>
        <v>0</v>
      </c>
      <c r="AQ215" s="292">
        <f t="shared" si="22"/>
        <v>0</v>
      </c>
      <c r="AR215" s="292">
        <f t="shared" si="23"/>
        <v>0</v>
      </c>
      <c r="AS215" s="292">
        <f t="shared" si="24"/>
        <v>0</v>
      </c>
      <c r="AT215" s="292">
        <f t="shared" si="25"/>
        <v>0</v>
      </c>
      <c r="AU215" s="292">
        <f t="shared" si="26"/>
        <v>0</v>
      </c>
      <c r="AV215" s="292">
        <f t="shared" si="27"/>
        <v>0</v>
      </c>
      <c r="AW215" s="292">
        <f t="shared" si="28"/>
        <v>0</v>
      </c>
      <c r="AX215" s="292">
        <f t="shared" si="29"/>
        <v>0</v>
      </c>
      <c r="AY215" s="292">
        <f t="shared" si="30"/>
        <v>0</v>
      </c>
      <c r="AZ215" s="292">
        <f t="shared" si="31"/>
        <v>0</v>
      </c>
      <c r="BA215" s="292">
        <f t="shared" si="32"/>
        <v>0</v>
      </c>
      <c r="BB215" s="292">
        <f t="shared" si="33"/>
        <v>0</v>
      </c>
      <c r="BC215" s="292">
        <f t="shared" si="34"/>
        <v>0</v>
      </c>
      <c r="BD215" s="292">
        <f t="shared" si="35"/>
        <v>0</v>
      </c>
      <c r="BE215" s="292">
        <f t="shared" si="36"/>
        <v>0</v>
      </c>
      <c r="BF215" s="292">
        <f t="shared" si="37"/>
        <v>0</v>
      </c>
      <c r="BG215" s="292">
        <f t="shared" si="38"/>
        <v>0</v>
      </c>
    </row>
    <row r="216" spans="1:59" s="289" customFormat="1" ht="15" customHeight="1">
      <c r="A216" s="63">
        <f t="array" ref="A216">IF(C216&lt;&gt;0,SUM(($C$11:C216&lt;&gt;0)*1),"")</f>
        <v>206</v>
      </c>
      <c r="B216" s="1099">
        <v>42454</v>
      </c>
      <c r="C216" s="290" t="s">
        <v>8</v>
      </c>
      <c r="D216" s="1099">
        <v>42454</v>
      </c>
      <c r="E216" s="344" t="s">
        <v>823</v>
      </c>
      <c r="F216" s="345">
        <v>50000</v>
      </c>
      <c r="G216" s="346" t="s">
        <v>135</v>
      </c>
      <c r="H216" s="346" t="s">
        <v>31</v>
      </c>
      <c r="I216" s="63">
        <f t="shared" si="73"/>
        <v>206</v>
      </c>
      <c r="J216" s="292">
        <f t="shared" si="1"/>
        <v>0</v>
      </c>
      <c r="K216" s="292">
        <f t="shared" si="2"/>
        <v>0</v>
      </c>
      <c r="L216" s="292">
        <f t="shared" si="3"/>
        <v>0</v>
      </c>
      <c r="M216" s="292">
        <f t="shared" si="4"/>
        <v>50000</v>
      </c>
      <c r="N216" s="292">
        <f t="shared" si="39"/>
        <v>0</v>
      </c>
      <c r="O216" s="292">
        <f t="shared" si="40"/>
        <v>0</v>
      </c>
      <c r="P216" s="292">
        <f t="shared" si="5"/>
        <v>0</v>
      </c>
      <c r="Q216" s="292">
        <f t="shared" si="6"/>
        <v>0</v>
      </c>
      <c r="R216" s="292">
        <f t="shared" si="67"/>
        <v>0</v>
      </c>
      <c r="S216" s="292">
        <f t="shared" si="68"/>
        <v>0</v>
      </c>
      <c r="T216" s="292">
        <f t="shared" si="7"/>
        <v>0</v>
      </c>
      <c r="U216" s="292">
        <f t="shared" si="8"/>
        <v>0</v>
      </c>
      <c r="V216" s="292">
        <f t="shared" si="69"/>
        <v>0</v>
      </c>
      <c r="W216" s="292">
        <f t="shared" si="70"/>
        <v>0</v>
      </c>
      <c r="X216" s="292">
        <f t="shared" si="71"/>
        <v>0</v>
      </c>
      <c r="Y216" s="292">
        <f t="shared" si="72"/>
        <v>0</v>
      </c>
      <c r="Z216" s="292">
        <f t="shared" si="47"/>
        <v>0</v>
      </c>
      <c r="AA216" s="292">
        <f t="shared" si="48"/>
        <v>0</v>
      </c>
      <c r="AB216" s="292">
        <f t="shared" si="9"/>
        <v>0</v>
      </c>
      <c r="AC216" s="292">
        <f t="shared" si="10"/>
        <v>0</v>
      </c>
      <c r="AD216" s="292">
        <f t="shared" si="11"/>
        <v>0</v>
      </c>
      <c r="AE216" s="292">
        <f t="shared" si="12"/>
        <v>0</v>
      </c>
      <c r="AF216" s="292">
        <f t="shared" si="13"/>
        <v>0</v>
      </c>
      <c r="AG216" s="292">
        <f t="shared" si="14"/>
        <v>0</v>
      </c>
      <c r="AH216" s="292">
        <f t="shared" si="15"/>
        <v>0</v>
      </c>
      <c r="AI216" s="292">
        <f t="shared" si="16"/>
        <v>0</v>
      </c>
      <c r="AJ216" s="292">
        <f t="shared" si="17"/>
        <v>0</v>
      </c>
      <c r="AK216" s="292">
        <f t="shared" si="18"/>
        <v>0</v>
      </c>
      <c r="AL216" s="292">
        <f t="shared" si="49"/>
        <v>0</v>
      </c>
      <c r="AM216" s="292">
        <f t="shared" si="50"/>
        <v>0</v>
      </c>
      <c r="AN216" s="292">
        <f t="shared" si="19"/>
        <v>0</v>
      </c>
      <c r="AO216" s="292">
        <f t="shared" si="20"/>
        <v>0</v>
      </c>
      <c r="AP216" s="292">
        <f t="shared" si="21"/>
        <v>0</v>
      </c>
      <c r="AQ216" s="292">
        <f t="shared" si="22"/>
        <v>0</v>
      </c>
      <c r="AR216" s="292">
        <f t="shared" si="23"/>
        <v>0</v>
      </c>
      <c r="AS216" s="292">
        <f t="shared" si="24"/>
        <v>0</v>
      </c>
      <c r="AT216" s="292">
        <f t="shared" si="25"/>
        <v>0</v>
      </c>
      <c r="AU216" s="292">
        <f t="shared" si="26"/>
        <v>0</v>
      </c>
      <c r="AV216" s="292">
        <f t="shared" si="27"/>
        <v>0</v>
      </c>
      <c r="AW216" s="292">
        <f t="shared" si="28"/>
        <v>0</v>
      </c>
      <c r="AX216" s="292">
        <f t="shared" si="29"/>
        <v>50000</v>
      </c>
      <c r="AY216" s="292">
        <f t="shared" si="30"/>
        <v>0</v>
      </c>
      <c r="AZ216" s="292">
        <f t="shared" si="31"/>
        <v>0</v>
      </c>
      <c r="BA216" s="292">
        <f t="shared" si="32"/>
        <v>0</v>
      </c>
      <c r="BB216" s="292">
        <f t="shared" si="33"/>
        <v>0</v>
      </c>
      <c r="BC216" s="292">
        <f t="shared" si="34"/>
        <v>0</v>
      </c>
      <c r="BD216" s="292">
        <f t="shared" si="35"/>
        <v>0</v>
      </c>
      <c r="BE216" s="292">
        <f t="shared" si="36"/>
        <v>0</v>
      </c>
      <c r="BF216" s="292">
        <f t="shared" si="37"/>
        <v>0</v>
      </c>
      <c r="BG216" s="292">
        <f t="shared" si="38"/>
        <v>0</v>
      </c>
    </row>
    <row r="217" spans="1:59" s="289" customFormat="1" ht="15" customHeight="1">
      <c r="A217" s="63">
        <f t="array" ref="A217">IF(C217&lt;&gt;0,SUM(($C$11:C217&lt;&gt;0)*1),"")</f>
        <v>207</v>
      </c>
      <c r="B217" s="1099">
        <v>42454</v>
      </c>
      <c r="C217" s="290" t="s">
        <v>8</v>
      </c>
      <c r="D217" s="1099">
        <v>42454</v>
      </c>
      <c r="E217" s="344" t="s">
        <v>824</v>
      </c>
      <c r="F217" s="345">
        <v>5000</v>
      </c>
      <c r="G217" s="346" t="s">
        <v>10</v>
      </c>
      <c r="H217" s="346" t="s">
        <v>31</v>
      </c>
      <c r="I217" s="63">
        <f t="shared" si="73"/>
        <v>207</v>
      </c>
      <c r="J217" s="292">
        <f t="shared" si="1"/>
        <v>0</v>
      </c>
      <c r="K217" s="292">
        <f t="shared" si="2"/>
        <v>0</v>
      </c>
      <c r="L217" s="292">
        <f t="shared" si="3"/>
        <v>0</v>
      </c>
      <c r="M217" s="292">
        <f t="shared" si="4"/>
        <v>5000</v>
      </c>
      <c r="N217" s="292">
        <f t="shared" si="39"/>
        <v>0</v>
      </c>
      <c r="O217" s="292">
        <f t="shared" si="40"/>
        <v>0</v>
      </c>
      <c r="P217" s="292">
        <f t="shared" si="5"/>
        <v>5000</v>
      </c>
      <c r="Q217" s="292">
        <f t="shared" si="6"/>
        <v>0</v>
      </c>
      <c r="R217" s="292">
        <f t="shared" si="67"/>
        <v>0</v>
      </c>
      <c r="S217" s="292">
        <f t="shared" si="68"/>
        <v>0</v>
      </c>
      <c r="T217" s="292">
        <f t="shared" si="7"/>
        <v>0</v>
      </c>
      <c r="U217" s="292">
        <f t="shared" si="8"/>
        <v>0</v>
      </c>
      <c r="V217" s="292">
        <f t="shared" si="69"/>
        <v>0</v>
      </c>
      <c r="W217" s="292">
        <f t="shared" si="70"/>
        <v>0</v>
      </c>
      <c r="X217" s="292">
        <f t="shared" si="71"/>
        <v>0</v>
      </c>
      <c r="Y217" s="292">
        <f t="shared" si="72"/>
        <v>0</v>
      </c>
      <c r="Z217" s="292">
        <f t="shared" si="47"/>
        <v>0</v>
      </c>
      <c r="AA217" s="292">
        <f t="shared" si="48"/>
        <v>0</v>
      </c>
      <c r="AB217" s="292">
        <f t="shared" si="9"/>
        <v>0</v>
      </c>
      <c r="AC217" s="292">
        <f t="shared" si="10"/>
        <v>0</v>
      </c>
      <c r="AD217" s="292">
        <f t="shared" si="11"/>
        <v>0</v>
      </c>
      <c r="AE217" s="292">
        <f t="shared" si="12"/>
        <v>0</v>
      </c>
      <c r="AF217" s="292">
        <f t="shared" si="13"/>
        <v>0</v>
      </c>
      <c r="AG217" s="292">
        <f t="shared" si="14"/>
        <v>0</v>
      </c>
      <c r="AH217" s="292">
        <f t="shared" si="15"/>
        <v>0</v>
      </c>
      <c r="AI217" s="292">
        <f t="shared" si="16"/>
        <v>0</v>
      </c>
      <c r="AJ217" s="292">
        <f t="shared" si="17"/>
        <v>0</v>
      </c>
      <c r="AK217" s="292">
        <f t="shared" si="18"/>
        <v>0</v>
      </c>
      <c r="AL217" s="292">
        <f t="shared" si="49"/>
        <v>0</v>
      </c>
      <c r="AM217" s="292">
        <f t="shared" si="50"/>
        <v>0</v>
      </c>
      <c r="AN217" s="292">
        <f t="shared" si="19"/>
        <v>0</v>
      </c>
      <c r="AO217" s="292">
        <f t="shared" si="20"/>
        <v>0</v>
      </c>
      <c r="AP217" s="292">
        <f t="shared" si="21"/>
        <v>0</v>
      </c>
      <c r="AQ217" s="292">
        <f t="shared" si="22"/>
        <v>0</v>
      </c>
      <c r="AR217" s="292">
        <f t="shared" si="23"/>
        <v>0</v>
      </c>
      <c r="AS217" s="292">
        <f t="shared" si="24"/>
        <v>0</v>
      </c>
      <c r="AT217" s="292">
        <f t="shared" si="25"/>
        <v>0</v>
      </c>
      <c r="AU217" s="292">
        <f t="shared" si="26"/>
        <v>0</v>
      </c>
      <c r="AV217" s="292">
        <f t="shared" si="27"/>
        <v>0</v>
      </c>
      <c r="AW217" s="292">
        <f t="shared" si="28"/>
        <v>0</v>
      </c>
      <c r="AX217" s="292">
        <f t="shared" si="29"/>
        <v>0</v>
      </c>
      <c r="AY217" s="292">
        <f t="shared" si="30"/>
        <v>0</v>
      </c>
      <c r="AZ217" s="292">
        <f t="shared" si="31"/>
        <v>0</v>
      </c>
      <c r="BA217" s="292">
        <f t="shared" si="32"/>
        <v>0</v>
      </c>
      <c r="BB217" s="292">
        <f t="shared" si="33"/>
        <v>0</v>
      </c>
      <c r="BC217" s="292">
        <f t="shared" si="34"/>
        <v>0</v>
      </c>
      <c r="BD217" s="292">
        <f t="shared" si="35"/>
        <v>0</v>
      </c>
      <c r="BE217" s="292">
        <f t="shared" si="36"/>
        <v>0</v>
      </c>
      <c r="BF217" s="292">
        <f t="shared" si="37"/>
        <v>0</v>
      </c>
      <c r="BG217" s="292">
        <f t="shared" si="38"/>
        <v>0</v>
      </c>
    </row>
    <row r="218" spans="1:59" s="289" customFormat="1" ht="15" customHeight="1">
      <c r="A218" s="63">
        <f t="array" ref="A218">IF(C218&lt;&gt;0,SUM(($C$11:C218&lt;&gt;0)*1),"")</f>
        <v>208</v>
      </c>
      <c r="B218" s="1099">
        <v>42454</v>
      </c>
      <c r="C218" s="290" t="s">
        <v>1016</v>
      </c>
      <c r="D218" s="1099">
        <v>42440</v>
      </c>
      <c r="E218" s="344" t="s">
        <v>828</v>
      </c>
      <c r="F218" s="345">
        <v>38625700</v>
      </c>
      <c r="G218" s="346" t="s">
        <v>135</v>
      </c>
      <c r="H218" s="346" t="s">
        <v>9</v>
      </c>
      <c r="I218" s="63">
        <f t="shared" si="73"/>
        <v>208</v>
      </c>
      <c r="J218" s="292">
        <f t="shared" si="1"/>
        <v>0</v>
      </c>
      <c r="K218" s="292">
        <f t="shared" si="2"/>
        <v>0</v>
      </c>
      <c r="L218" s="292">
        <f t="shared" si="3"/>
        <v>0</v>
      </c>
      <c r="M218" s="292">
        <f t="shared" si="4"/>
        <v>0</v>
      </c>
      <c r="N218" s="292">
        <f t="shared" si="39"/>
        <v>0</v>
      </c>
      <c r="O218" s="292">
        <f t="shared" si="40"/>
        <v>0</v>
      </c>
      <c r="P218" s="292">
        <f t="shared" si="5"/>
        <v>0</v>
      </c>
      <c r="Q218" s="292">
        <f t="shared" si="6"/>
        <v>0</v>
      </c>
      <c r="R218" s="292">
        <f t="shared" si="67"/>
        <v>0</v>
      </c>
      <c r="S218" s="292">
        <f t="shared" si="68"/>
        <v>0</v>
      </c>
      <c r="T218" s="292">
        <f t="shared" si="7"/>
        <v>0</v>
      </c>
      <c r="U218" s="292">
        <f t="shared" si="8"/>
        <v>0</v>
      </c>
      <c r="V218" s="292">
        <f t="shared" si="69"/>
        <v>0</v>
      </c>
      <c r="W218" s="292">
        <f t="shared" si="70"/>
        <v>0</v>
      </c>
      <c r="X218" s="292">
        <f t="shared" si="71"/>
        <v>0</v>
      </c>
      <c r="Y218" s="292">
        <f t="shared" si="72"/>
        <v>0</v>
      </c>
      <c r="Z218" s="292">
        <f t="shared" si="47"/>
        <v>0</v>
      </c>
      <c r="AA218" s="292">
        <f t="shared" si="48"/>
        <v>0</v>
      </c>
      <c r="AB218" s="292">
        <f t="shared" si="9"/>
        <v>0</v>
      </c>
      <c r="AC218" s="292">
        <f t="shared" si="10"/>
        <v>38625700</v>
      </c>
      <c r="AD218" s="292">
        <f t="shared" si="11"/>
        <v>0</v>
      </c>
      <c r="AE218" s="292">
        <f t="shared" si="12"/>
        <v>0</v>
      </c>
      <c r="AF218" s="292">
        <f t="shared" si="13"/>
        <v>0</v>
      </c>
      <c r="AG218" s="292">
        <f t="shared" si="14"/>
        <v>0</v>
      </c>
      <c r="AH218" s="292">
        <f t="shared" si="15"/>
        <v>0</v>
      </c>
      <c r="AI218" s="292">
        <f t="shared" si="16"/>
        <v>0</v>
      </c>
      <c r="AJ218" s="292">
        <f t="shared" si="17"/>
        <v>0</v>
      </c>
      <c r="AK218" s="292">
        <f t="shared" si="18"/>
        <v>0</v>
      </c>
      <c r="AL218" s="292">
        <f t="shared" si="49"/>
        <v>0</v>
      </c>
      <c r="AM218" s="292">
        <f t="shared" si="50"/>
        <v>0</v>
      </c>
      <c r="AN218" s="292">
        <f t="shared" si="19"/>
        <v>0</v>
      </c>
      <c r="AO218" s="292">
        <f t="shared" si="20"/>
        <v>0</v>
      </c>
      <c r="AP218" s="292">
        <f t="shared" si="21"/>
        <v>0</v>
      </c>
      <c r="AQ218" s="292">
        <f t="shared" si="22"/>
        <v>0</v>
      </c>
      <c r="AR218" s="292">
        <f t="shared" si="23"/>
        <v>0</v>
      </c>
      <c r="AS218" s="292">
        <f t="shared" si="24"/>
        <v>0</v>
      </c>
      <c r="AT218" s="292">
        <f t="shared" si="25"/>
        <v>0</v>
      </c>
      <c r="AU218" s="292">
        <f t="shared" si="26"/>
        <v>0</v>
      </c>
      <c r="AV218" s="292">
        <f t="shared" si="27"/>
        <v>0</v>
      </c>
      <c r="AW218" s="292">
        <f t="shared" si="28"/>
        <v>0</v>
      </c>
      <c r="AX218" s="292">
        <f t="shared" si="29"/>
        <v>38625700</v>
      </c>
      <c r="AY218" s="292">
        <f t="shared" si="30"/>
        <v>0</v>
      </c>
      <c r="AZ218" s="292">
        <f t="shared" si="31"/>
        <v>0</v>
      </c>
      <c r="BA218" s="292">
        <f t="shared" si="32"/>
        <v>0</v>
      </c>
      <c r="BB218" s="292">
        <f t="shared" si="33"/>
        <v>0</v>
      </c>
      <c r="BC218" s="292">
        <f t="shared" si="34"/>
        <v>0</v>
      </c>
      <c r="BD218" s="292">
        <f t="shared" si="35"/>
        <v>0</v>
      </c>
      <c r="BE218" s="292">
        <f t="shared" si="36"/>
        <v>0</v>
      </c>
      <c r="BF218" s="292">
        <f t="shared" si="37"/>
        <v>0</v>
      </c>
      <c r="BG218" s="292">
        <f t="shared" si="38"/>
        <v>0</v>
      </c>
    </row>
    <row r="219" spans="1:59" s="289" customFormat="1" ht="15" customHeight="1">
      <c r="A219" s="63">
        <f t="array" ref="A219">IF(C219&lt;&gt;0,SUM(($C$11:C219&lt;&gt;0)*1),"")</f>
        <v>209</v>
      </c>
      <c r="B219" s="1099">
        <v>42454</v>
      </c>
      <c r="C219" s="290" t="s">
        <v>1016</v>
      </c>
      <c r="D219" s="1099">
        <v>42440</v>
      </c>
      <c r="E219" s="344" t="s">
        <v>831</v>
      </c>
      <c r="F219" s="345">
        <v>3862570</v>
      </c>
      <c r="G219" s="346" t="s">
        <v>10</v>
      </c>
      <c r="H219" s="346" t="s">
        <v>9</v>
      </c>
      <c r="I219" s="63">
        <f t="shared" si="73"/>
        <v>209</v>
      </c>
      <c r="J219" s="292">
        <f t="shared" si="1"/>
        <v>0</v>
      </c>
      <c r="K219" s="292">
        <f t="shared" si="2"/>
        <v>0</v>
      </c>
      <c r="L219" s="292">
        <f t="shared" si="3"/>
        <v>0</v>
      </c>
      <c r="M219" s="292">
        <f t="shared" si="4"/>
        <v>0</v>
      </c>
      <c r="N219" s="292">
        <f t="shared" si="39"/>
        <v>0</v>
      </c>
      <c r="O219" s="292">
        <f t="shared" si="40"/>
        <v>0</v>
      </c>
      <c r="P219" s="292">
        <f t="shared" si="5"/>
        <v>3862570</v>
      </c>
      <c r="Q219" s="292">
        <f t="shared" si="6"/>
        <v>0</v>
      </c>
      <c r="R219" s="292">
        <f t="shared" si="67"/>
        <v>0</v>
      </c>
      <c r="S219" s="292">
        <f t="shared" si="68"/>
        <v>0</v>
      </c>
      <c r="T219" s="292">
        <f t="shared" si="7"/>
        <v>0</v>
      </c>
      <c r="U219" s="292">
        <f t="shared" si="8"/>
        <v>0</v>
      </c>
      <c r="V219" s="292">
        <f t="shared" si="69"/>
        <v>0</v>
      </c>
      <c r="W219" s="292">
        <f t="shared" si="70"/>
        <v>0</v>
      </c>
      <c r="X219" s="292">
        <f t="shared" si="71"/>
        <v>0</v>
      </c>
      <c r="Y219" s="292">
        <f t="shared" si="72"/>
        <v>0</v>
      </c>
      <c r="Z219" s="292">
        <f t="shared" si="47"/>
        <v>0</v>
      </c>
      <c r="AA219" s="292">
        <f t="shared" si="48"/>
        <v>0</v>
      </c>
      <c r="AB219" s="292">
        <f t="shared" si="9"/>
        <v>0</v>
      </c>
      <c r="AC219" s="292">
        <f t="shared" si="10"/>
        <v>3862570</v>
      </c>
      <c r="AD219" s="292">
        <f t="shared" si="11"/>
        <v>0</v>
      </c>
      <c r="AE219" s="292">
        <f t="shared" si="12"/>
        <v>0</v>
      </c>
      <c r="AF219" s="292">
        <f t="shared" si="13"/>
        <v>0</v>
      </c>
      <c r="AG219" s="292">
        <f t="shared" si="14"/>
        <v>0</v>
      </c>
      <c r="AH219" s="292">
        <f t="shared" si="15"/>
        <v>0</v>
      </c>
      <c r="AI219" s="292">
        <f t="shared" si="16"/>
        <v>0</v>
      </c>
      <c r="AJ219" s="292">
        <f t="shared" si="17"/>
        <v>0</v>
      </c>
      <c r="AK219" s="292">
        <f t="shared" si="18"/>
        <v>0</v>
      </c>
      <c r="AL219" s="292">
        <f t="shared" si="49"/>
        <v>0</v>
      </c>
      <c r="AM219" s="292">
        <f t="shared" si="50"/>
        <v>0</v>
      </c>
      <c r="AN219" s="292">
        <f t="shared" si="19"/>
        <v>0</v>
      </c>
      <c r="AO219" s="292">
        <f t="shared" si="20"/>
        <v>0</v>
      </c>
      <c r="AP219" s="292">
        <f t="shared" si="21"/>
        <v>0</v>
      </c>
      <c r="AQ219" s="292">
        <f t="shared" si="22"/>
        <v>0</v>
      </c>
      <c r="AR219" s="292">
        <f t="shared" si="23"/>
        <v>0</v>
      </c>
      <c r="AS219" s="292">
        <f t="shared" si="24"/>
        <v>0</v>
      </c>
      <c r="AT219" s="292">
        <f t="shared" si="25"/>
        <v>0</v>
      </c>
      <c r="AU219" s="292">
        <f t="shared" si="26"/>
        <v>0</v>
      </c>
      <c r="AV219" s="292">
        <f t="shared" si="27"/>
        <v>0</v>
      </c>
      <c r="AW219" s="292">
        <f t="shared" si="28"/>
        <v>0</v>
      </c>
      <c r="AX219" s="292">
        <f t="shared" si="29"/>
        <v>0</v>
      </c>
      <c r="AY219" s="292">
        <f t="shared" si="30"/>
        <v>0</v>
      </c>
      <c r="AZ219" s="292">
        <f t="shared" si="31"/>
        <v>0</v>
      </c>
      <c r="BA219" s="292">
        <f t="shared" si="32"/>
        <v>0</v>
      </c>
      <c r="BB219" s="292">
        <f t="shared" si="33"/>
        <v>0</v>
      </c>
      <c r="BC219" s="292">
        <f t="shared" si="34"/>
        <v>0</v>
      </c>
      <c r="BD219" s="292">
        <f t="shared" si="35"/>
        <v>0</v>
      </c>
      <c r="BE219" s="292">
        <f t="shared" si="36"/>
        <v>0</v>
      </c>
      <c r="BF219" s="292">
        <f t="shared" si="37"/>
        <v>0</v>
      </c>
      <c r="BG219" s="292">
        <f t="shared" si="38"/>
        <v>0</v>
      </c>
    </row>
    <row r="220" spans="1:59" s="289" customFormat="1" ht="15" customHeight="1">
      <c r="A220" s="63">
        <f t="array" ref="A220">IF(C220&lt;&gt;0,SUM(($C$11:C220&lt;&gt;0)*1),"")</f>
        <v>210</v>
      </c>
      <c r="B220" s="1099">
        <v>42454</v>
      </c>
      <c r="C220" s="290" t="s">
        <v>1016</v>
      </c>
      <c r="D220" s="1099">
        <v>42443</v>
      </c>
      <c r="E220" s="344" t="s">
        <v>834</v>
      </c>
      <c r="F220" s="345">
        <v>2050000000</v>
      </c>
      <c r="G220" s="346" t="s">
        <v>242</v>
      </c>
      <c r="H220" s="346" t="s">
        <v>9</v>
      </c>
      <c r="I220" s="63">
        <f t="shared" si="73"/>
        <v>210</v>
      </c>
      <c r="J220" s="292">
        <f t="shared" si="1"/>
        <v>0</v>
      </c>
      <c r="K220" s="292">
        <f t="shared" si="2"/>
        <v>0</v>
      </c>
      <c r="L220" s="292">
        <f t="shared" si="3"/>
        <v>0</v>
      </c>
      <c r="M220" s="292">
        <f t="shared" si="4"/>
        <v>0</v>
      </c>
      <c r="N220" s="292">
        <f t="shared" si="39"/>
        <v>0</v>
      </c>
      <c r="O220" s="292">
        <f t="shared" si="40"/>
        <v>0</v>
      </c>
      <c r="P220" s="292">
        <f t="shared" si="5"/>
        <v>0</v>
      </c>
      <c r="Q220" s="292">
        <f t="shared" si="6"/>
        <v>0</v>
      </c>
      <c r="R220" s="292">
        <f t="shared" si="67"/>
        <v>0</v>
      </c>
      <c r="S220" s="292">
        <f t="shared" si="68"/>
        <v>0</v>
      </c>
      <c r="T220" s="292">
        <f t="shared" si="7"/>
        <v>0</v>
      </c>
      <c r="U220" s="292">
        <f t="shared" si="8"/>
        <v>0</v>
      </c>
      <c r="V220" s="292">
        <f t="shared" si="69"/>
        <v>0</v>
      </c>
      <c r="W220" s="292">
        <f t="shared" si="70"/>
        <v>0</v>
      </c>
      <c r="X220" s="292">
        <f t="shared" si="71"/>
        <v>0</v>
      </c>
      <c r="Y220" s="292">
        <f t="shared" si="72"/>
        <v>0</v>
      </c>
      <c r="Z220" s="292">
        <f t="shared" si="47"/>
        <v>2050000000</v>
      </c>
      <c r="AA220" s="292">
        <f t="shared" si="48"/>
        <v>0</v>
      </c>
      <c r="AB220" s="292">
        <f t="shared" si="9"/>
        <v>0</v>
      </c>
      <c r="AC220" s="292">
        <f t="shared" si="10"/>
        <v>2050000000</v>
      </c>
      <c r="AD220" s="292">
        <f t="shared" si="11"/>
        <v>0</v>
      </c>
      <c r="AE220" s="292">
        <f t="shared" si="12"/>
        <v>0</v>
      </c>
      <c r="AF220" s="292">
        <f t="shared" si="13"/>
        <v>0</v>
      </c>
      <c r="AG220" s="292">
        <f t="shared" si="14"/>
        <v>0</v>
      </c>
      <c r="AH220" s="292">
        <f t="shared" si="15"/>
        <v>0</v>
      </c>
      <c r="AI220" s="292">
        <f t="shared" si="16"/>
        <v>0</v>
      </c>
      <c r="AJ220" s="292">
        <f t="shared" si="17"/>
        <v>0</v>
      </c>
      <c r="AK220" s="292">
        <f t="shared" si="18"/>
        <v>0</v>
      </c>
      <c r="AL220" s="292">
        <f t="shared" si="49"/>
        <v>0</v>
      </c>
      <c r="AM220" s="292">
        <f t="shared" si="50"/>
        <v>0</v>
      </c>
      <c r="AN220" s="292">
        <f t="shared" si="19"/>
        <v>0</v>
      </c>
      <c r="AO220" s="292">
        <f t="shared" si="20"/>
        <v>0</v>
      </c>
      <c r="AP220" s="292">
        <f t="shared" si="21"/>
        <v>0</v>
      </c>
      <c r="AQ220" s="292">
        <f t="shared" si="22"/>
        <v>0</v>
      </c>
      <c r="AR220" s="292">
        <f t="shared" si="23"/>
        <v>0</v>
      </c>
      <c r="AS220" s="292">
        <f t="shared" si="24"/>
        <v>0</v>
      </c>
      <c r="AT220" s="292">
        <f t="shared" si="25"/>
        <v>0</v>
      </c>
      <c r="AU220" s="292">
        <f t="shared" si="26"/>
        <v>0</v>
      </c>
      <c r="AV220" s="292">
        <f t="shared" si="27"/>
        <v>0</v>
      </c>
      <c r="AW220" s="292">
        <f t="shared" si="28"/>
        <v>0</v>
      </c>
      <c r="AX220" s="292">
        <f t="shared" si="29"/>
        <v>0</v>
      </c>
      <c r="AY220" s="292">
        <f t="shared" si="30"/>
        <v>0</v>
      </c>
      <c r="AZ220" s="292">
        <f t="shared" si="31"/>
        <v>0</v>
      </c>
      <c r="BA220" s="292">
        <f t="shared" si="32"/>
        <v>0</v>
      </c>
      <c r="BB220" s="292">
        <f t="shared" si="33"/>
        <v>0</v>
      </c>
      <c r="BC220" s="292">
        <f t="shared" si="34"/>
        <v>0</v>
      </c>
      <c r="BD220" s="292">
        <f t="shared" si="35"/>
        <v>0</v>
      </c>
      <c r="BE220" s="292">
        <f t="shared" si="36"/>
        <v>0</v>
      </c>
      <c r="BF220" s="292">
        <f t="shared" si="37"/>
        <v>0</v>
      </c>
      <c r="BG220" s="292">
        <f t="shared" si="38"/>
        <v>0</v>
      </c>
    </row>
    <row r="221" spans="1:59" s="289" customFormat="1" ht="15" customHeight="1">
      <c r="A221" s="63">
        <f t="array" ref="A221">IF(C221&lt;&gt;0,SUM(($C$11:C221&lt;&gt;0)*1),"")</f>
        <v>211</v>
      </c>
      <c r="B221" s="1099">
        <v>42454</v>
      </c>
      <c r="C221" s="290" t="s">
        <v>1016</v>
      </c>
      <c r="D221" s="1099">
        <v>42443</v>
      </c>
      <c r="E221" s="344" t="s">
        <v>835</v>
      </c>
      <c r="F221" s="345">
        <v>205000000</v>
      </c>
      <c r="G221" s="346" t="s">
        <v>981</v>
      </c>
      <c r="H221" s="346" t="s">
        <v>9</v>
      </c>
      <c r="I221" s="63">
        <f t="shared" si="73"/>
        <v>211</v>
      </c>
      <c r="J221" s="292">
        <f t="shared" si="1"/>
        <v>0</v>
      </c>
      <c r="K221" s="292">
        <f t="shared" si="2"/>
        <v>0</v>
      </c>
      <c r="L221" s="292">
        <f t="shared" si="3"/>
        <v>0</v>
      </c>
      <c r="M221" s="292">
        <f t="shared" si="4"/>
        <v>0</v>
      </c>
      <c r="N221" s="292">
        <f t="shared" si="39"/>
        <v>0</v>
      </c>
      <c r="O221" s="292">
        <f t="shared" si="40"/>
        <v>0</v>
      </c>
      <c r="P221" s="292">
        <f t="shared" si="5"/>
        <v>0</v>
      </c>
      <c r="Q221" s="292">
        <f t="shared" si="6"/>
        <v>0</v>
      </c>
      <c r="R221" s="292">
        <f t="shared" si="67"/>
        <v>205000000</v>
      </c>
      <c r="S221" s="292">
        <f t="shared" si="68"/>
        <v>0</v>
      </c>
      <c r="T221" s="292">
        <f t="shared" si="7"/>
        <v>0</v>
      </c>
      <c r="U221" s="292">
        <f t="shared" si="8"/>
        <v>0</v>
      </c>
      <c r="V221" s="292">
        <f t="shared" si="69"/>
        <v>0</v>
      </c>
      <c r="W221" s="292">
        <f t="shared" si="70"/>
        <v>0</v>
      </c>
      <c r="X221" s="292">
        <f t="shared" si="71"/>
        <v>0</v>
      </c>
      <c r="Y221" s="292">
        <f t="shared" si="72"/>
        <v>0</v>
      </c>
      <c r="Z221" s="292">
        <f t="shared" si="47"/>
        <v>0</v>
      </c>
      <c r="AA221" s="292">
        <f t="shared" si="48"/>
        <v>0</v>
      </c>
      <c r="AB221" s="292">
        <f t="shared" si="9"/>
        <v>0</v>
      </c>
      <c r="AC221" s="292">
        <f t="shared" si="10"/>
        <v>205000000</v>
      </c>
      <c r="AD221" s="292">
        <f t="shared" si="11"/>
        <v>0</v>
      </c>
      <c r="AE221" s="292">
        <f t="shared" si="12"/>
        <v>0</v>
      </c>
      <c r="AF221" s="292">
        <f t="shared" si="13"/>
        <v>0</v>
      </c>
      <c r="AG221" s="292">
        <f t="shared" si="14"/>
        <v>0</v>
      </c>
      <c r="AH221" s="292">
        <f t="shared" si="15"/>
        <v>0</v>
      </c>
      <c r="AI221" s="292">
        <f t="shared" si="16"/>
        <v>0</v>
      </c>
      <c r="AJ221" s="292">
        <f t="shared" si="17"/>
        <v>0</v>
      </c>
      <c r="AK221" s="292">
        <f t="shared" si="18"/>
        <v>0</v>
      </c>
      <c r="AL221" s="292">
        <f t="shared" si="49"/>
        <v>0</v>
      </c>
      <c r="AM221" s="292">
        <f t="shared" si="50"/>
        <v>0</v>
      </c>
      <c r="AN221" s="292">
        <f t="shared" si="19"/>
        <v>0</v>
      </c>
      <c r="AO221" s="292">
        <f t="shared" si="20"/>
        <v>0</v>
      </c>
      <c r="AP221" s="292">
        <f t="shared" si="21"/>
        <v>0</v>
      </c>
      <c r="AQ221" s="292">
        <f t="shared" si="22"/>
        <v>0</v>
      </c>
      <c r="AR221" s="292">
        <f t="shared" si="23"/>
        <v>0</v>
      </c>
      <c r="AS221" s="292">
        <f t="shared" si="24"/>
        <v>0</v>
      </c>
      <c r="AT221" s="292">
        <f t="shared" si="25"/>
        <v>0</v>
      </c>
      <c r="AU221" s="292">
        <f t="shared" si="26"/>
        <v>0</v>
      </c>
      <c r="AV221" s="292">
        <f t="shared" si="27"/>
        <v>0</v>
      </c>
      <c r="AW221" s="292">
        <f t="shared" si="28"/>
        <v>0</v>
      </c>
      <c r="AX221" s="292">
        <f t="shared" si="29"/>
        <v>0</v>
      </c>
      <c r="AY221" s="292">
        <f t="shared" si="30"/>
        <v>0</v>
      </c>
      <c r="AZ221" s="292">
        <f t="shared" si="31"/>
        <v>0</v>
      </c>
      <c r="BA221" s="292">
        <f t="shared" si="32"/>
        <v>0</v>
      </c>
      <c r="BB221" s="292">
        <f t="shared" si="33"/>
        <v>0</v>
      </c>
      <c r="BC221" s="292">
        <f t="shared" si="34"/>
        <v>0</v>
      </c>
      <c r="BD221" s="292">
        <f t="shared" si="35"/>
        <v>0</v>
      </c>
      <c r="BE221" s="292">
        <f t="shared" si="36"/>
        <v>0</v>
      </c>
      <c r="BF221" s="292">
        <f t="shared" si="37"/>
        <v>0</v>
      </c>
      <c r="BG221" s="292">
        <f t="shared" si="38"/>
        <v>0</v>
      </c>
    </row>
    <row r="222" spans="1:59" s="289" customFormat="1" ht="15" customHeight="1">
      <c r="A222" s="63">
        <f t="array" ref="A222">IF(C222&lt;&gt;0,SUM(($C$11:C222&lt;&gt;0)*1),"")</f>
        <v>212</v>
      </c>
      <c r="B222" s="1099">
        <v>42454</v>
      </c>
      <c r="C222" s="290" t="s">
        <v>1016</v>
      </c>
      <c r="D222" s="1099">
        <v>42446</v>
      </c>
      <c r="E222" s="344" t="s">
        <v>789</v>
      </c>
      <c r="F222" s="345">
        <v>31280000</v>
      </c>
      <c r="G222" s="346" t="s">
        <v>135</v>
      </c>
      <c r="H222" s="346" t="s">
        <v>9</v>
      </c>
      <c r="I222" s="63">
        <f t="shared" si="73"/>
        <v>212</v>
      </c>
      <c r="J222" s="292">
        <f t="shared" si="1"/>
        <v>0</v>
      </c>
      <c r="K222" s="292">
        <f t="shared" si="2"/>
        <v>0</v>
      </c>
      <c r="L222" s="292">
        <f t="shared" si="3"/>
        <v>0</v>
      </c>
      <c r="M222" s="292">
        <f t="shared" si="4"/>
        <v>0</v>
      </c>
      <c r="N222" s="292">
        <f t="shared" si="39"/>
        <v>0</v>
      </c>
      <c r="O222" s="292">
        <f t="shared" si="40"/>
        <v>0</v>
      </c>
      <c r="P222" s="292">
        <f t="shared" si="5"/>
        <v>0</v>
      </c>
      <c r="Q222" s="292">
        <f t="shared" si="6"/>
        <v>0</v>
      </c>
      <c r="R222" s="292">
        <f t="shared" si="67"/>
        <v>0</v>
      </c>
      <c r="S222" s="292">
        <f t="shared" si="68"/>
        <v>0</v>
      </c>
      <c r="T222" s="292">
        <f t="shared" si="7"/>
        <v>0</v>
      </c>
      <c r="U222" s="292">
        <f t="shared" si="8"/>
        <v>0</v>
      </c>
      <c r="V222" s="292">
        <f t="shared" si="69"/>
        <v>0</v>
      </c>
      <c r="W222" s="292">
        <f t="shared" si="70"/>
        <v>0</v>
      </c>
      <c r="X222" s="292">
        <f t="shared" si="71"/>
        <v>0</v>
      </c>
      <c r="Y222" s="292">
        <f t="shared" si="72"/>
        <v>0</v>
      </c>
      <c r="Z222" s="292">
        <f t="shared" si="47"/>
        <v>0</v>
      </c>
      <c r="AA222" s="292">
        <f t="shared" si="48"/>
        <v>0</v>
      </c>
      <c r="AB222" s="292">
        <f t="shared" si="9"/>
        <v>0</v>
      </c>
      <c r="AC222" s="292">
        <f t="shared" si="10"/>
        <v>31280000</v>
      </c>
      <c r="AD222" s="292">
        <f t="shared" si="11"/>
        <v>0</v>
      </c>
      <c r="AE222" s="292">
        <f t="shared" si="12"/>
        <v>0</v>
      </c>
      <c r="AF222" s="292">
        <f t="shared" si="13"/>
        <v>0</v>
      </c>
      <c r="AG222" s="292">
        <f t="shared" si="14"/>
        <v>0</v>
      </c>
      <c r="AH222" s="292">
        <f t="shared" si="15"/>
        <v>0</v>
      </c>
      <c r="AI222" s="292">
        <f t="shared" si="16"/>
        <v>0</v>
      </c>
      <c r="AJ222" s="292">
        <f t="shared" si="17"/>
        <v>0</v>
      </c>
      <c r="AK222" s="292">
        <f t="shared" si="18"/>
        <v>0</v>
      </c>
      <c r="AL222" s="292">
        <f t="shared" si="49"/>
        <v>0</v>
      </c>
      <c r="AM222" s="292">
        <f t="shared" si="50"/>
        <v>0</v>
      </c>
      <c r="AN222" s="292">
        <f t="shared" si="19"/>
        <v>0</v>
      </c>
      <c r="AO222" s="292">
        <f t="shared" si="20"/>
        <v>0</v>
      </c>
      <c r="AP222" s="292">
        <f t="shared" si="21"/>
        <v>0</v>
      </c>
      <c r="AQ222" s="292">
        <f t="shared" si="22"/>
        <v>0</v>
      </c>
      <c r="AR222" s="292">
        <f t="shared" si="23"/>
        <v>0</v>
      </c>
      <c r="AS222" s="292">
        <f t="shared" si="24"/>
        <v>0</v>
      </c>
      <c r="AT222" s="292">
        <f t="shared" si="25"/>
        <v>0</v>
      </c>
      <c r="AU222" s="292">
        <f t="shared" si="26"/>
        <v>0</v>
      </c>
      <c r="AV222" s="292">
        <f t="shared" si="27"/>
        <v>0</v>
      </c>
      <c r="AW222" s="292">
        <f t="shared" si="28"/>
        <v>0</v>
      </c>
      <c r="AX222" s="292">
        <f t="shared" si="29"/>
        <v>31280000</v>
      </c>
      <c r="AY222" s="292">
        <f t="shared" si="30"/>
        <v>0</v>
      </c>
      <c r="AZ222" s="292">
        <f t="shared" si="31"/>
        <v>0</v>
      </c>
      <c r="BA222" s="292">
        <f t="shared" si="32"/>
        <v>0</v>
      </c>
      <c r="BB222" s="292">
        <f t="shared" si="33"/>
        <v>0</v>
      </c>
      <c r="BC222" s="292">
        <f t="shared" si="34"/>
        <v>0</v>
      </c>
      <c r="BD222" s="292">
        <f t="shared" si="35"/>
        <v>0</v>
      </c>
      <c r="BE222" s="292">
        <f t="shared" si="36"/>
        <v>0</v>
      </c>
      <c r="BF222" s="292">
        <f t="shared" si="37"/>
        <v>0</v>
      </c>
      <c r="BG222" s="292">
        <f t="shared" si="38"/>
        <v>0</v>
      </c>
    </row>
    <row r="223" spans="1:59" s="289" customFormat="1" ht="15" customHeight="1">
      <c r="A223" s="63">
        <f t="array" ref="A223">IF(C223&lt;&gt;0,SUM(($C$11:C223&lt;&gt;0)*1),"")</f>
        <v>213</v>
      </c>
      <c r="B223" s="1099">
        <v>42454</v>
      </c>
      <c r="C223" s="290" t="s">
        <v>1016</v>
      </c>
      <c r="D223" s="1099">
        <v>42446</v>
      </c>
      <c r="E223" s="344" t="s">
        <v>815</v>
      </c>
      <c r="F223" s="345">
        <v>3128000</v>
      </c>
      <c r="G223" s="346" t="s">
        <v>10</v>
      </c>
      <c r="H223" s="346" t="s">
        <v>9</v>
      </c>
      <c r="I223" s="63">
        <f t="shared" si="73"/>
        <v>213</v>
      </c>
      <c r="J223" s="292">
        <f t="shared" si="1"/>
        <v>0</v>
      </c>
      <c r="K223" s="292">
        <f t="shared" si="2"/>
        <v>0</v>
      </c>
      <c r="L223" s="292">
        <f t="shared" si="3"/>
        <v>0</v>
      </c>
      <c r="M223" s="292">
        <f t="shared" si="4"/>
        <v>0</v>
      </c>
      <c r="N223" s="292">
        <f t="shared" si="39"/>
        <v>0</v>
      </c>
      <c r="O223" s="292">
        <f t="shared" si="40"/>
        <v>0</v>
      </c>
      <c r="P223" s="292">
        <f t="shared" si="5"/>
        <v>3128000</v>
      </c>
      <c r="Q223" s="292">
        <f t="shared" si="6"/>
        <v>0</v>
      </c>
      <c r="R223" s="292">
        <f t="shared" si="67"/>
        <v>0</v>
      </c>
      <c r="S223" s="292">
        <f t="shared" si="68"/>
        <v>0</v>
      </c>
      <c r="T223" s="292">
        <f t="shared" si="7"/>
        <v>0</v>
      </c>
      <c r="U223" s="292">
        <f t="shared" si="8"/>
        <v>0</v>
      </c>
      <c r="V223" s="292">
        <f t="shared" si="69"/>
        <v>0</v>
      </c>
      <c r="W223" s="292">
        <f t="shared" si="70"/>
        <v>0</v>
      </c>
      <c r="X223" s="292">
        <f t="shared" si="71"/>
        <v>0</v>
      </c>
      <c r="Y223" s="292">
        <f t="shared" si="72"/>
        <v>0</v>
      </c>
      <c r="Z223" s="292">
        <f t="shared" si="47"/>
        <v>0</v>
      </c>
      <c r="AA223" s="292">
        <f t="shared" si="48"/>
        <v>0</v>
      </c>
      <c r="AB223" s="292">
        <f t="shared" si="9"/>
        <v>0</v>
      </c>
      <c r="AC223" s="292">
        <f t="shared" si="10"/>
        <v>3128000</v>
      </c>
      <c r="AD223" s="292">
        <f t="shared" si="11"/>
        <v>0</v>
      </c>
      <c r="AE223" s="292">
        <f t="shared" si="12"/>
        <v>0</v>
      </c>
      <c r="AF223" s="292">
        <f t="shared" si="13"/>
        <v>0</v>
      </c>
      <c r="AG223" s="292">
        <f t="shared" si="14"/>
        <v>0</v>
      </c>
      <c r="AH223" s="292">
        <f t="shared" si="15"/>
        <v>0</v>
      </c>
      <c r="AI223" s="292">
        <f t="shared" si="16"/>
        <v>0</v>
      </c>
      <c r="AJ223" s="292">
        <f t="shared" si="17"/>
        <v>0</v>
      </c>
      <c r="AK223" s="292">
        <f t="shared" si="18"/>
        <v>0</v>
      </c>
      <c r="AL223" s="292">
        <f t="shared" si="49"/>
        <v>0</v>
      </c>
      <c r="AM223" s="292">
        <f t="shared" si="50"/>
        <v>0</v>
      </c>
      <c r="AN223" s="292">
        <f t="shared" si="19"/>
        <v>0</v>
      </c>
      <c r="AO223" s="292">
        <f t="shared" si="20"/>
        <v>0</v>
      </c>
      <c r="AP223" s="292">
        <f t="shared" si="21"/>
        <v>0</v>
      </c>
      <c r="AQ223" s="292">
        <f t="shared" si="22"/>
        <v>0</v>
      </c>
      <c r="AR223" s="292">
        <f t="shared" si="23"/>
        <v>0</v>
      </c>
      <c r="AS223" s="292">
        <f t="shared" si="24"/>
        <v>0</v>
      </c>
      <c r="AT223" s="292">
        <f t="shared" si="25"/>
        <v>0</v>
      </c>
      <c r="AU223" s="292">
        <f t="shared" si="26"/>
        <v>0</v>
      </c>
      <c r="AV223" s="292">
        <f t="shared" si="27"/>
        <v>0</v>
      </c>
      <c r="AW223" s="292">
        <f t="shared" si="28"/>
        <v>0</v>
      </c>
      <c r="AX223" s="292">
        <f t="shared" si="29"/>
        <v>0</v>
      </c>
      <c r="AY223" s="292">
        <f t="shared" si="30"/>
        <v>0</v>
      </c>
      <c r="AZ223" s="292">
        <f t="shared" si="31"/>
        <v>0</v>
      </c>
      <c r="BA223" s="292">
        <f t="shared" si="32"/>
        <v>0</v>
      </c>
      <c r="BB223" s="292">
        <f t="shared" si="33"/>
        <v>0</v>
      </c>
      <c r="BC223" s="292">
        <f t="shared" si="34"/>
        <v>0</v>
      </c>
      <c r="BD223" s="292">
        <f t="shared" si="35"/>
        <v>0</v>
      </c>
      <c r="BE223" s="292">
        <f t="shared" si="36"/>
        <v>0</v>
      </c>
      <c r="BF223" s="292">
        <f t="shared" si="37"/>
        <v>0</v>
      </c>
      <c r="BG223" s="292">
        <f t="shared" si="38"/>
        <v>0</v>
      </c>
    </row>
    <row r="224" spans="1:59" s="289" customFormat="1" ht="15" customHeight="1">
      <c r="A224" s="63">
        <f t="array" ref="A224">IF(C224&lt;&gt;0,SUM(($C$11:C224&lt;&gt;0)*1),"")</f>
        <v>214</v>
      </c>
      <c r="B224" s="1099">
        <v>42454</v>
      </c>
      <c r="C224" s="290" t="s">
        <v>1016</v>
      </c>
      <c r="D224" s="1099">
        <v>42454</v>
      </c>
      <c r="E224" s="344" t="s">
        <v>829</v>
      </c>
      <c r="F224" s="345">
        <v>42452300</v>
      </c>
      <c r="G224" s="346" t="s">
        <v>135</v>
      </c>
      <c r="H224" s="346" t="s">
        <v>9</v>
      </c>
      <c r="I224" s="63">
        <f t="shared" si="73"/>
        <v>214</v>
      </c>
      <c r="J224" s="292">
        <f t="shared" si="1"/>
        <v>0</v>
      </c>
      <c r="K224" s="292">
        <f t="shared" si="2"/>
        <v>0</v>
      </c>
      <c r="L224" s="292">
        <f t="shared" si="3"/>
        <v>0</v>
      </c>
      <c r="M224" s="292">
        <f t="shared" si="4"/>
        <v>0</v>
      </c>
      <c r="N224" s="292">
        <f t="shared" si="39"/>
        <v>0</v>
      </c>
      <c r="O224" s="292">
        <f t="shared" si="40"/>
        <v>0</v>
      </c>
      <c r="P224" s="292">
        <f t="shared" si="5"/>
        <v>0</v>
      </c>
      <c r="Q224" s="292">
        <f t="shared" si="6"/>
        <v>0</v>
      </c>
      <c r="R224" s="292">
        <f t="shared" si="67"/>
        <v>0</v>
      </c>
      <c r="S224" s="292">
        <f t="shared" si="68"/>
        <v>0</v>
      </c>
      <c r="T224" s="292">
        <f t="shared" si="7"/>
        <v>0</v>
      </c>
      <c r="U224" s="292">
        <f t="shared" si="8"/>
        <v>0</v>
      </c>
      <c r="V224" s="292">
        <f t="shared" si="69"/>
        <v>0</v>
      </c>
      <c r="W224" s="292">
        <f t="shared" si="70"/>
        <v>0</v>
      </c>
      <c r="X224" s="292">
        <f t="shared" si="71"/>
        <v>0</v>
      </c>
      <c r="Y224" s="292">
        <f t="shared" si="72"/>
        <v>0</v>
      </c>
      <c r="Z224" s="292">
        <f t="shared" si="47"/>
        <v>0</v>
      </c>
      <c r="AA224" s="292">
        <f t="shared" si="48"/>
        <v>0</v>
      </c>
      <c r="AB224" s="292">
        <f t="shared" si="9"/>
        <v>0</v>
      </c>
      <c r="AC224" s="292">
        <f t="shared" si="10"/>
        <v>42452300</v>
      </c>
      <c r="AD224" s="292">
        <f t="shared" si="11"/>
        <v>0</v>
      </c>
      <c r="AE224" s="292">
        <f t="shared" si="12"/>
        <v>0</v>
      </c>
      <c r="AF224" s="292">
        <f t="shared" si="13"/>
        <v>0</v>
      </c>
      <c r="AG224" s="292">
        <f t="shared" si="14"/>
        <v>0</v>
      </c>
      <c r="AH224" s="292">
        <f t="shared" si="15"/>
        <v>0</v>
      </c>
      <c r="AI224" s="292">
        <f t="shared" si="16"/>
        <v>0</v>
      </c>
      <c r="AJ224" s="292">
        <f t="shared" si="17"/>
        <v>0</v>
      </c>
      <c r="AK224" s="292">
        <f t="shared" si="18"/>
        <v>0</v>
      </c>
      <c r="AL224" s="292">
        <f t="shared" si="49"/>
        <v>0</v>
      </c>
      <c r="AM224" s="292">
        <f t="shared" si="50"/>
        <v>0</v>
      </c>
      <c r="AN224" s="292">
        <f t="shared" si="19"/>
        <v>0</v>
      </c>
      <c r="AO224" s="292">
        <f t="shared" si="20"/>
        <v>0</v>
      </c>
      <c r="AP224" s="292">
        <f t="shared" si="21"/>
        <v>0</v>
      </c>
      <c r="AQ224" s="292">
        <f t="shared" si="22"/>
        <v>0</v>
      </c>
      <c r="AR224" s="292">
        <f t="shared" si="23"/>
        <v>0</v>
      </c>
      <c r="AS224" s="292">
        <f t="shared" si="24"/>
        <v>0</v>
      </c>
      <c r="AT224" s="292">
        <f t="shared" si="25"/>
        <v>0</v>
      </c>
      <c r="AU224" s="292">
        <f t="shared" si="26"/>
        <v>0</v>
      </c>
      <c r="AV224" s="292">
        <f t="shared" si="27"/>
        <v>0</v>
      </c>
      <c r="AW224" s="292">
        <f t="shared" si="28"/>
        <v>0</v>
      </c>
      <c r="AX224" s="292">
        <f t="shared" si="29"/>
        <v>42452300</v>
      </c>
      <c r="AY224" s="292">
        <f t="shared" si="30"/>
        <v>0</v>
      </c>
      <c r="AZ224" s="292">
        <f t="shared" si="31"/>
        <v>0</v>
      </c>
      <c r="BA224" s="292">
        <f t="shared" si="32"/>
        <v>0</v>
      </c>
      <c r="BB224" s="292">
        <f t="shared" si="33"/>
        <v>0</v>
      </c>
      <c r="BC224" s="292">
        <f t="shared" si="34"/>
        <v>0</v>
      </c>
      <c r="BD224" s="292">
        <f t="shared" si="35"/>
        <v>0</v>
      </c>
      <c r="BE224" s="292">
        <f t="shared" si="36"/>
        <v>0</v>
      </c>
      <c r="BF224" s="292">
        <f t="shared" si="37"/>
        <v>0</v>
      </c>
      <c r="BG224" s="292">
        <f t="shared" si="38"/>
        <v>0</v>
      </c>
    </row>
    <row r="225" spans="1:59" s="289" customFormat="1" ht="15" customHeight="1">
      <c r="A225" s="63">
        <f t="array" ref="A225">IF(C225&lt;&gt;0,SUM(($C$11:C225&lt;&gt;0)*1),"")</f>
        <v>215</v>
      </c>
      <c r="B225" s="1099">
        <v>42454</v>
      </c>
      <c r="C225" s="290" t="s">
        <v>1016</v>
      </c>
      <c r="D225" s="1099">
        <v>42454</v>
      </c>
      <c r="E225" s="344" t="s">
        <v>830</v>
      </c>
      <c r="F225" s="345">
        <v>4245230</v>
      </c>
      <c r="G225" s="346" t="s">
        <v>10</v>
      </c>
      <c r="H225" s="346" t="s">
        <v>9</v>
      </c>
      <c r="I225" s="63">
        <f t="shared" si="73"/>
        <v>215</v>
      </c>
      <c r="J225" s="292">
        <f t="shared" si="1"/>
        <v>0</v>
      </c>
      <c r="K225" s="292">
        <f t="shared" si="2"/>
        <v>0</v>
      </c>
      <c r="L225" s="292">
        <f t="shared" si="3"/>
        <v>0</v>
      </c>
      <c r="M225" s="292">
        <f t="shared" si="4"/>
        <v>0</v>
      </c>
      <c r="N225" s="292">
        <f t="shared" si="39"/>
        <v>0</v>
      </c>
      <c r="O225" s="292">
        <f t="shared" si="40"/>
        <v>0</v>
      </c>
      <c r="P225" s="292">
        <f t="shared" si="5"/>
        <v>4245230</v>
      </c>
      <c r="Q225" s="292">
        <f t="shared" si="6"/>
        <v>0</v>
      </c>
      <c r="R225" s="292">
        <f t="shared" si="67"/>
        <v>0</v>
      </c>
      <c r="S225" s="292">
        <f t="shared" si="68"/>
        <v>0</v>
      </c>
      <c r="T225" s="292">
        <f t="shared" si="7"/>
        <v>0</v>
      </c>
      <c r="U225" s="292">
        <f t="shared" si="8"/>
        <v>0</v>
      </c>
      <c r="V225" s="292">
        <f t="shared" si="69"/>
        <v>0</v>
      </c>
      <c r="W225" s="292">
        <f t="shared" si="70"/>
        <v>0</v>
      </c>
      <c r="X225" s="292">
        <f t="shared" si="71"/>
        <v>0</v>
      </c>
      <c r="Y225" s="292">
        <f t="shared" si="72"/>
        <v>0</v>
      </c>
      <c r="Z225" s="292">
        <f t="shared" si="47"/>
        <v>0</v>
      </c>
      <c r="AA225" s="292">
        <f t="shared" si="48"/>
        <v>0</v>
      </c>
      <c r="AB225" s="292">
        <f t="shared" si="9"/>
        <v>0</v>
      </c>
      <c r="AC225" s="292">
        <f t="shared" si="10"/>
        <v>4245230</v>
      </c>
      <c r="AD225" s="292">
        <f t="shared" si="11"/>
        <v>0</v>
      </c>
      <c r="AE225" s="292">
        <f t="shared" si="12"/>
        <v>0</v>
      </c>
      <c r="AF225" s="292">
        <f t="shared" si="13"/>
        <v>0</v>
      </c>
      <c r="AG225" s="292">
        <f t="shared" si="14"/>
        <v>0</v>
      </c>
      <c r="AH225" s="292">
        <f t="shared" si="15"/>
        <v>0</v>
      </c>
      <c r="AI225" s="292">
        <f t="shared" si="16"/>
        <v>0</v>
      </c>
      <c r="AJ225" s="292">
        <f t="shared" si="17"/>
        <v>0</v>
      </c>
      <c r="AK225" s="292">
        <f t="shared" si="18"/>
        <v>0</v>
      </c>
      <c r="AL225" s="292">
        <f t="shared" si="49"/>
        <v>0</v>
      </c>
      <c r="AM225" s="292">
        <f t="shared" si="50"/>
        <v>0</v>
      </c>
      <c r="AN225" s="292">
        <f t="shared" si="19"/>
        <v>0</v>
      </c>
      <c r="AO225" s="292">
        <f t="shared" si="20"/>
        <v>0</v>
      </c>
      <c r="AP225" s="292">
        <f t="shared" si="21"/>
        <v>0</v>
      </c>
      <c r="AQ225" s="292">
        <f t="shared" si="22"/>
        <v>0</v>
      </c>
      <c r="AR225" s="292">
        <f t="shared" si="23"/>
        <v>0</v>
      </c>
      <c r="AS225" s="292">
        <f t="shared" si="24"/>
        <v>0</v>
      </c>
      <c r="AT225" s="292">
        <f t="shared" si="25"/>
        <v>0</v>
      </c>
      <c r="AU225" s="292">
        <f t="shared" si="26"/>
        <v>0</v>
      </c>
      <c r="AV225" s="292">
        <f t="shared" si="27"/>
        <v>0</v>
      </c>
      <c r="AW225" s="292">
        <f t="shared" si="28"/>
        <v>0</v>
      </c>
      <c r="AX225" s="292">
        <f t="shared" si="29"/>
        <v>0</v>
      </c>
      <c r="AY225" s="292">
        <f t="shared" si="30"/>
        <v>0</v>
      </c>
      <c r="AZ225" s="292">
        <f t="shared" si="31"/>
        <v>0</v>
      </c>
      <c r="BA225" s="292">
        <f t="shared" si="32"/>
        <v>0</v>
      </c>
      <c r="BB225" s="292">
        <f t="shared" si="33"/>
        <v>0</v>
      </c>
      <c r="BC225" s="292">
        <f t="shared" si="34"/>
        <v>0</v>
      </c>
      <c r="BD225" s="292">
        <f t="shared" si="35"/>
        <v>0</v>
      </c>
      <c r="BE225" s="292">
        <f t="shared" si="36"/>
        <v>0</v>
      </c>
      <c r="BF225" s="292">
        <f t="shared" si="37"/>
        <v>0</v>
      </c>
      <c r="BG225" s="292">
        <f t="shared" si="38"/>
        <v>0</v>
      </c>
    </row>
    <row r="226" spans="1:59" s="289" customFormat="1" ht="15" customHeight="1">
      <c r="A226" s="63">
        <f t="array" ref="A226">IF(C226&lt;&gt;0,SUM(($C$11:C226&lt;&gt;0)*1),"")</f>
        <v>216</v>
      </c>
      <c r="B226" s="1099">
        <v>42458</v>
      </c>
      <c r="C226" s="290" t="s">
        <v>836</v>
      </c>
      <c r="D226" s="1099">
        <v>42458</v>
      </c>
      <c r="E226" s="344" t="s">
        <v>410</v>
      </c>
      <c r="F226" s="345">
        <v>50000000</v>
      </c>
      <c r="G226" s="346" t="s">
        <v>31</v>
      </c>
      <c r="H226" s="346" t="s">
        <v>97</v>
      </c>
      <c r="I226" s="63">
        <f t="shared" si="73"/>
        <v>216</v>
      </c>
      <c r="J226" s="292">
        <f t="shared" si="1"/>
        <v>0</v>
      </c>
      <c r="K226" s="292">
        <f t="shared" si="2"/>
        <v>50000000</v>
      </c>
      <c r="L226" s="292">
        <f t="shared" si="3"/>
        <v>50000000</v>
      </c>
      <c r="M226" s="292">
        <f t="shared" si="4"/>
        <v>0</v>
      </c>
      <c r="N226" s="292">
        <f t="shared" si="39"/>
        <v>0</v>
      </c>
      <c r="O226" s="292">
        <f t="shared" si="40"/>
        <v>0</v>
      </c>
      <c r="P226" s="292">
        <f t="shared" si="5"/>
        <v>0</v>
      </c>
      <c r="Q226" s="292">
        <f t="shared" si="6"/>
        <v>0</v>
      </c>
      <c r="R226" s="292">
        <f t="shared" si="67"/>
        <v>0</v>
      </c>
      <c r="S226" s="292">
        <f t="shared" si="68"/>
        <v>0</v>
      </c>
      <c r="T226" s="292">
        <f t="shared" si="7"/>
        <v>0</v>
      </c>
      <c r="U226" s="292">
        <f t="shared" si="8"/>
        <v>0</v>
      </c>
      <c r="V226" s="292">
        <f t="shared" si="69"/>
        <v>0</v>
      </c>
      <c r="W226" s="292">
        <f t="shared" si="70"/>
        <v>0</v>
      </c>
      <c r="X226" s="292">
        <f t="shared" si="71"/>
        <v>0</v>
      </c>
      <c r="Y226" s="292">
        <f t="shared" si="72"/>
        <v>0</v>
      </c>
      <c r="Z226" s="292">
        <f t="shared" si="47"/>
        <v>0</v>
      </c>
      <c r="AA226" s="292">
        <f t="shared" si="48"/>
        <v>0</v>
      </c>
      <c r="AB226" s="292">
        <f t="shared" si="9"/>
        <v>0</v>
      </c>
      <c r="AC226" s="292">
        <f t="shared" si="10"/>
        <v>0</v>
      </c>
      <c r="AD226" s="292">
        <f t="shared" si="11"/>
        <v>0</v>
      </c>
      <c r="AE226" s="292">
        <f t="shared" si="12"/>
        <v>0</v>
      </c>
      <c r="AF226" s="292">
        <f t="shared" si="13"/>
        <v>0</v>
      </c>
      <c r="AG226" s="292">
        <f t="shared" si="14"/>
        <v>0</v>
      </c>
      <c r="AH226" s="292">
        <f t="shared" si="15"/>
        <v>0</v>
      </c>
      <c r="AI226" s="292">
        <f t="shared" si="16"/>
        <v>0</v>
      </c>
      <c r="AJ226" s="292">
        <f t="shared" si="17"/>
        <v>0</v>
      </c>
      <c r="AK226" s="292">
        <f t="shared" si="18"/>
        <v>0</v>
      </c>
      <c r="AL226" s="292">
        <f t="shared" si="49"/>
        <v>0</v>
      </c>
      <c r="AM226" s="292">
        <f t="shared" si="50"/>
        <v>0</v>
      </c>
      <c r="AN226" s="292">
        <f t="shared" si="19"/>
        <v>0</v>
      </c>
      <c r="AO226" s="292">
        <f t="shared" si="20"/>
        <v>0</v>
      </c>
      <c r="AP226" s="292">
        <f t="shared" si="21"/>
        <v>0</v>
      </c>
      <c r="AQ226" s="292">
        <f t="shared" si="22"/>
        <v>0</v>
      </c>
      <c r="AR226" s="292">
        <f t="shared" si="23"/>
        <v>0</v>
      </c>
      <c r="AS226" s="292">
        <f t="shared" si="24"/>
        <v>0</v>
      </c>
      <c r="AT226" s="292">
        <f t="shared" si="25"/>
        <v>0</v>
      </c>
      <c r="AU226" s="292">
        <f t="shared" si="26"/>
        <v>0</v>
      </c>
      <c r="AV226" s="292">
        <f t="shared" si="27"/>
        <v>0</v>
      </c>
      <c r="AW226" s="292">
        <f t="shared" si="28"/>
        <v>0</v>
      </c>
      <c r="AX226" s="292">
        <f t="shared" si="29"/>
        <v>0</v>
      </c>
      <c r="AY226" s="292">
        <f t="shared" si="30"/>
        <v>0</v>
      </c>
      <c r="AZ226" s="292">
        <f t="shared" si="31"/>
        <v>0</v>
      </c>
      <c r="BA226" s="292">
        <f t="shared" si="32"/>
        <v>0</v>
      </c>
      <c r="BB226" s="292">
        <f t="shared" si="33"/>
        <v>0</v>
      </c>
      <c r="BC226" s="292">
        <f t="shared" si="34"/>
        <v>0</v>
      </c>
      <c r="BD226" s="292">
        <f t="shared" si="35"/>
        <v>0</v>
      </c>
      <c r="BE226" s="292">
        <f t="shared" si="36"/>
        <v>0</v>
      </c>
      <c r="BF226" s="292">
        <f t="shared" si="37"/>
        <v>0</v>
      </c>
      <c r="BG226" s="292">
        <f t="shared" si="38"/>
        <v>0</v>
      </c>
    </row>
    <row r="227" spans="1:59" s="289" customFormat="1" ht="15" customHeight="1">
      <c r="A227" s="63">
        <f t="array" ref="A227">IF(C227&lt;&gt;0,SUM(($C$11:C227&lt;&gt;0)*1),"")</f>
        <v>217</v>
      </c>
      <c r="B227" s="1099">
        <v>42458</v>
      </c>
      <c r="C227" s="290" t="s">
        <v>8</v>
      </c>
      <c r="D227" s="1099">
        <v>42458</v>
      </c>
      <c r="E227" s="344" t="s">
        <v>163</v>
      </c>
      <c r="F227" s="345">
        <v>50000000</v>
      </c>
      <c r="G227" s="346" t="s">
        <v>9</v>
      </c>
      <c r="H227" s="346" t="s">
        <v>31</v>
      </c>
      <c r="I227" s="63">
        <f t="shared" si="73"/>
        <v>217</v>
      </c>
      <c r="J227" s="292">
        <f t="shared" si="1"/>
        <v>0</v>
      </c>
      <c r="K227" s="292">
        <f t="shared" si="2"/>
        <v>0</v>
      </c>
      <c r="L227" s="292">
        <f t="shared" si="3"/>
        <v>0</v>
      </c>
      <c r="M227" s="292">
        <f t="shared" si="4"/>
        <v>50000000</v>
      </c>
      <c r="N227" s="292">
        <f t="shared" si="39"/>
        <v>0</v>
      </c>
      <c r="O227" s="292">
        <f t="shared" si="40"/>
        <v>0</v>
      </c>
      <c r="P227" s="292">
        <f t="shared" si="5"/>
        <v>0</v>
      </c>
      <c r="Q227" s="292">
        <f t="shared" si="6"/>
        <v>0</v>
      </c>
      <c r="R227" s="292">
        <f t="shared" si="67"/>
        <v>0</v>
      </c>
      <c r="S227" s="292">
        <f t="shared" si="68"/>
        <v>0</v>
      </c>
      <c r="T227" s="292">
        <f t="shared" si="7"/>
        <v>0</v>
      </c>
      <c r="U227" s="292">
        <f t="shared" si="8"/>
        <v>0</v>
      </c>
      <c r="V227" s="292">
        <f t="shared" si="69"/>
        <v>0</v>
      </c>
      <c r="W227" s="292">
        <f t="shared" si="70"/>
        <v>0</v>
      </c>
      <c r="X227" s="292">
        <f t="shared" si="71"/>
        <v>0</v>
      </c>
      <c r="Y227" s="292">
        <f t="shared" si="72"/>
        <v>0</v>
      </c>
      <c r="Z227" s="292">
        <f t="shared" si="47"/>
        <v>0</v>
      </c>
      <c r="AA227" s="292">
        <f t="shared" si="48"/>
        <v>0</v>
      </c>
      <c r="AB227" s="292">
        <f t="shared" si="9"/>
        <v>50000000</v>
      </c>
      <c r="AC227" s="292">
        <f t="shared" si="10"/>
        <v>0</v>
      </c>
      <c r="AD227" s="292">
        <f t="shared" si="11"/>
        <v>0</v>
      </c>
      <c r="AE227" s="292">
        <f t="shared" si="12"/>
        <v>0</v>
      </c>
      <c r="AF227" s="292">
        <f t="shared" si="13"/>
        <v>0</v>
      </c>
      <c r="AG227" s="292">
        <f t="shared" si="14"/>
        <v>0</v>
      </c>
      <c r="AH227" s="292">
        <f t="shared" si="15"/>
        <v>0</v>
      </c>
      <c r="AI227" s="292">
        <f t="shared" si="16"/>
        <v>0</v>
      </c>
      <c r="AJ227" s="292">
        <f t="shared" si="17"/>
        <v>0</v>
      </c>
      <c r="AK227" s="292">
        <f t="shared" si="18"/>
        <v>0</v>
      </c>
      <c r="AL227" s="292">
        <f t="shared" si="49"/>
        <v>0</v>
      </c>
      <c r="AM227" s="292">
        <f t="shared" si="50"/>
        <v>0</v>
      </c>
      <c r="AN227" s="292">
        <f t="shared" si="19"/>
        <v>0</v>
      </c>
      <c r="AO227" s="292">
        <f t="shared" si="20"/>
        <v>0</v>
      </c>
      <c r="AP227" s="292">
        <f t="shared" si="21"/>
        <v>0</v>
      </c>
      <c r="AQ227" s="292">
        <f t="shared" si="22"/>
        <v>0</v>
      </c>
      <c r="AR227" s="292">
        <f t="shared" si="23"/>
        <v>0</v>
      </c>
      <c r="AS227" s="292">
        <f t="shared" si="24"/>
        <v>0</v>
      </c>
      <c r="AT227" s="292">
        <f t="shared" si="25"/>
        <v>0</v>
      </c>
      <c r="AU227" s="292">
        <f t="shared" si="26"/>
        <v>0</v>
      </c>
      <c r="AV227" s="292">
        <f t="shared" si="27"/>
        <v>0</v>
      </c>
      <c r="AW227" s="292">
        <f t="shared" si="28"/>
        <v>0</v>
      </c>
      <c r="AX227" s="292">
        <f t="shared" si="29"/>
        <v>0</v>
      </c>
      <c r="AY227" s="292">
        <f t="shared" si="30"/>
        <v>0</v>
      </c>
      <c r="AZ227" s="292">
        <f t="shared" si="31"/>
        <v>0</v>
      </c>
      <c r="BA227" s="292">
        <f t="shared" si="32"/>
        <v>0</v>
      </c>
      <c r="BB227" s="292">
        <f t="shared" si="33"/>
        <v>0</v>
      </c>
      <c r="BC227" s="292">
        <f t="shared" si="34"/>
        <v>0</v>
      </c>
      <c r="BD227" s="292">
        <f t="shared" si="35"/>
        <v>0</v>
      </c>
      <c r="BE227" s="292">
        <f t="shared" si="36"/>
        <v>0</v>
      </c>
      <c r="BF227" s="292">
        <f t="shared" si="37"/>
        <v>0</v>
      </c>
      <c r="BG227" s="292">
        <f t="shared" si="38"/>
        <v>0</v>
      </c>
    </row>
    <row r="228" spans="1:59" s="289" customFormat="1" ht="15" customHeight="1">
      <c r="A228" s="63">
        <f t="array" ref="A228">IF(C228&lt;&gt;0,SUM(($C$11:C228&lt;&gt;0)*1),"")</f>
        <v>218</v>
      </c>
      <c r="B228" s="1099">
        <v>42458</v>
      </c>
      <c r="C228" s="290" t="s">
        <v>8</v>
      </c>
      <c r="D228" s="1099">
        <v>42458</v>
      </c>
      <c r="E228" s="344" t="s">
        <v>22</v>
      </c>
      <c r="F228" s="345">
        <v>40000</v>
      </c>
      <c r="G228" s="346" t="s">
        <v>135</v>
      </c>
      <c r="H228" s="346" t="s">
        <v>31</v>
      </c>
      <c r="I228" s="63">
        <f t="shared" si="73"/>
        <v>218</v>
      </c>
      <c r="J228" s="292">
        <f t="shared" si="1"/>
        <v>0</v>
      </c>
      <c r="K228" s="292">
        <f t="shared" si="2"/>
        <v>0</v>
      </c>
      <c r="L228" s="292">
        <f t="shared" si="3"/>
        <v>0</v>
      </c>
      <c r="M228" s="292">
        <f t="shared" si="4"/>
        <v>40000</v>
      </c>
      <c r="N228" s="292">
        <f t="shared" si="39"/>
        <v>0</v>
      </c>
      <c r="O228" s="292">
        <f t="shared" si="40"/>
        <v>0</v>
      </c>
      <c r="P228" s="292">
        <f t="shared" si="5"/>
        <v>0</v>
      </c>
      <c r="Q228" s="292">
        <f t="shared" si="6"/>
        <v>0</v>
      </c>
      <c r="R228" s="292">
        <f t="shared" si="67"/>
        <v>0</v>
      </c>
      <c r="S228" s="292">
        <f t="shared" si="68"/>
        <v>0</v>
      </c>
      <c r="T228" s="292">
        <f t="shared" si="7"/>
        <v>0</v>
      </c>
      <c r="U228" s="292">
        <f t="shared" si="8"/>
        <v>0</v>
      </c>
      <c r="V228" s="292">
        <f t="shared" si="69"/>
        <v>0</v>
      </c>
      <c r="W228" s="292">
        <f t="shared" si="70"/>
        <v>0</v>
      </c>
      <c r="X228" s="292">
        <f t="shared" si="71"/>
        <v>0</v>
      </c>
      <c r="Y228" s="292">
        <f t="shared" si="72"/>
        <v>0</v>
      </c>
      <c r="Z228" s="292">
        <f t="shared" si="47"/>
        <v>0</v>
      </c>
      <c r="AA228" s="292">
        <f t="shared" si="48"/>
        <v>0</v>
      </c>
      <c r="AB228" s="292">
        <f t="shared" si="9"/>
        <v>0</v>
      </c>
      <c r="AC228" s="292">
        <f t="shared" si="10"/>
        <v>0</v>
      </c>
      <c r="AD228" s="292">
        <f t="shared" si="11"/>
        <v>0</v>
      </c>
      <c r="AE228" s="292">
        <f t="shared" si="12"/>
        <v>0</v>
      </c>
      <c r="AF228" s="292">
        <f t="shared" si="13"/>
        <v>0</v>
      </c>
      <c r="AG228" s="292">
        <f t="shared" si="14"/>
        <v>0</v>
      </c>
      <c r="AH228" s="292">
        <f t="shared" si="15"/>
        <v>0</v>
      </c>
      <c r="AI228" s="292">
        <f t="shared" si="16"/>
        <v>0</v>
      </c>
      <c r="AJ228" s="292">
        <f t="shared" si="17"/>
        <v>0</v>
      </c>
      <c r="AK228" s="292">
        <f t="shared" si="18"/>
        <v>0</v>
      </c>
      <c r="AL228" s="292">
        <f t="shared" si="49"/>
        <v>0</v>
      </c>
      <c r="AM228" s="292">
        <f t="shared" si="50"/>
        <v>0</v>
      </c>
      <c r="AN228" s="292">
        <f t="shared" si="19"/>
        <v>0</v>
      </c>
      <c r="AO228" s="292">
        <f t="shared" si="20"/>
        <v>0</v>
      </c>
      <c r="AP228" s="292">
        <f t="shared" si="21"/>
        <v>0</v>
      </c>
      <c r="AQ228" s="292">
        <f t="shared" si="22"/>
        <v>0</v>
      </c>
      <c r="AR228" s="292">
        <f t="shared" si="23"/>
        <v>0</v>
      </c>
      <c r="AS228" s="292">
        <f t="shared" si="24"/>
        <v>0</v>
      </c>
      <c r="AT228" s="292">
        <f t="shared" si="25"/>
        <v>0</v>
      </c>
      <c r="AU228" s="292">
        <f t="shared" si="26"/>
        <v>0</v>
      </c>
      <c r="AV228" s="292">
        <f t="shared" si="27"/>
        <v>0</v>
      </c>
      <c r="AW228" s="292">
        <f t="shared" si="28"/>
        <v>0</v>
      </c>
      <c r="AX228" s="292">
        <f t="shared" si="29"/>
        <v>40000</v>
      </c>
      <c r="AY228" s="292">
        <f t="shared" si="30"/>
        <v>0</v>
      </c>
      <c r="AZ228" s="292">
        <f t="shared" si="31"/>
        <v>0</v>
      </c>
      <c r="BA228" s="292">
        <f t="shared" si="32"/>
        <v>0</v>
      </c>
      <c r="BB228" s="292">
        <f t="shared" si="33"/>
        <v>0</v>
      </c>
      <c r="BC228" s="292">
        <f t="shared" si="34"/>
        <v>0</v>
      </c>
      <c r="BD228" s="292">
        <f t="shared" si="35"/>
        <v>0</v>
      </c>
      <c r="BE228" s="292">
        <f t="shared" si="36"/>
        <v>0</v>
      </c>
      <c r="BF228" s="292">
        <f t="shared" si="37"/>
        <v>0</v>
      </c>
      <c r="BG228" s="292">
        <f t="shared" si="38"/>
        <v>0</v>
      </c>
    </row>
    <row r="229" spans="1:59" s="289" customFormat="1" ht="15" customHeight="1">
      <c r="A229" s="63">
        <f t="array" ref="A229">IF(C229&lt;&gt;0,SUM(($C$11:C229&lt;&gt;0)*1),"")</f>
        <v>219</v>
      </c>
      <c r="B229" s="1099">
        <v>42458</v>
      </c>
      <c r="C229" s="290" t="s">
        <v>8</v>
      </c>
      <c r="D229" s="1099">
        <v>42458</v>
      </c>
      <c r="E229" s="344" t="s">
        <v>23</v>
      </c>
      <c r="F229" s="345">
        <v>4000</v>
      </c>
      <c r="G229" s="346" t="s">
        <v>10</v>
      </c>
      <c r="H229" s="346" t="s">
        <v>31</v>
      </c>
      <c r="I229" s="63">
        <f t="shared" si="73"/>
        <v>219</v>
      </c>
      <c r="J229" s="292">
        <f t="shared" si="1"/>
        <v>0</v>
      </c>
      <c r="K229" s="292">
        <f t="shared" si="2"/>
        <v>0</v>
      </c>
      <c r="L229" s="292">
        <f t="shared" si="3"/>
        <v>0</v>
      </c>
      <c r="M229" s="292">
        <f t="shared" si="4"/>
        <v>4000</v>
      </c>
      <c r="N229" s="292">
        <f t="shared" si="39"/>
        <v>0</v>
      </c>
      <c r="O229" s="292">
        <f t="shared" si="40"/>
        <v>0</v>
      </c>
      <c r="P229" s="292">
        <f t="shared" si="5"/>
        <v>4000</v>
      </c>
      <c r="Q229" s="292">
        <f t="shared" si="6"/>
        <v>0</v>
      </c>
      <c r="R229" s="292">
        <f t="shared" si="67"/>
        <v>0</v>
      </c>
      <c r="S229" s="292">
        <f t="shared" si="68"/>
        <v>0</v>
      </c>
      <c r="T229" s="292">
        <f t="shared" si="7"/>
        <v>0</v>
      </c>
      <c r="U229" s="292">
        <f t="shared" si="8"/>
        <v>0</v>
      </c>
      <c r="V229" s="292">
        <f t="shared" si="69"/>
        <v>0</v>
      </c>
      <c r="W229" s="292">
        <f t="shared" si="70"/>
        <v>0</v>
      </c>
      <c r="X229" s="292">
        <f t="shared" si="71"/>
        <v>0</v>
      </c>
      <c r="Y229" s="292">
        <f t="shared" si="72"/>
        <v>0</v>
      </c>
      <c r="Z229" s="292">
        <f t="shared" si="47"/>
        <v>0</v>
      </c>
      <c r="AA229" s="292">
        <f t="shared" si="48"/>
        <v>0</v>
      </c>
      <c r="AB229" s="292">
        <f t="shared" si="9"/>
        <v>0</v>
      </c>
      <c r="AC229" s="292">
        <f t="shared" si="10"/>
        <v>0</v>
      </c>
      <c r="AD229" s="292">
        <f t="shared" si="11"/>
        <v>0</v>
      </c>
      <c r="AE229" s="292">
        <f t="shared" si="12"/>
        <v>0</v>
      </c>
      <c r="AF229" s="292">
        <f t="shared" si="13"/>
        <v>0</v>
      </c>
      <c r="AG229" s="292">
        <f t="shared" si="14"/>
        <v>0</v>
      </c>
      <c r="AH229" s="292">
        <f t="shared" si="15"/>
        <v>0</v>
      </c>
      <c r="AI229" s="292">
        <f t="shared" si="16"/>
        <v>0</v>
      </c>
      <c r="AJ229" s="292">
        <f t="shared" si="17"/>
        <v>0</v>
      </c>
      <c r="AK229" s="292">
        <f t="shared" si="18"/>
        <v>0</v>
      </c>
      <c r="AL229" s="292">
        <f t="shared" si="49"/>
        <v>0</v>
      </c>
      <c r="AM229" s="292">
        <f t="shared" si="50"/>
        <v>0</v>
      </c>
      <c r="AN229" s="292">
        <f t="shared" si="19"/>
        <v>0</v>
      </c>
      <c r="AO229" s="292">
        <f t="shared" si="20"/>
        <v>0</v>
      </c>
      <c r="AP229" s="292">
        <f t="shared" si="21"/>
        <v>0</v>
      </c>
      <c r="AQ229" s="292">
        <f t="shared" si="22"/>
        <v>0</v>
      </c>
      <c r="AR229" s="292">
        <f t="shared" si="23"/>
        <v>0</v>
      </c>
      <c r="AS229" s="292">
        <f t="shared" si="24"/>
        <v>0</v>
      </c>
      <c r="AT229" s="292">
        <f t="shared" si="25"/>
        <v>0</v>
      </c>
      <c r="AU229" s="292">
        <f t="shared" si="26"/>
        <v>0</v>
      </c>
      <c r="AV229" s="292">
        <f t="shared" si="27"/>
        <v>0</v>
      </c>
      <c r="AW229" s="292">
        <f t="shared" si="28"/>
        <v>0</v>
      </c>
      <c r="AX229" s="292">
        <f t="shared" si="29"/>
        <v>0</v>
      </c>
      <c r="AY229" s="292">
        <f t="shared" si="30"/>
        <v>0</v>
      </c>
      <c r="AZ229" s="292">
        <f t="shared" si="31"/>
        <v>0</v>
      </c>
      <c r="BA229" s="292">
        <f t="shared" si="32"/>
        <v>0</v>
      </c>
      <c r="BB229" s="292">
        <f t="shared" si="33"/>
        <v>0</v>
      </c>
      <c r="BC229" s="292">
        <f t="shared" si="34"/>
        <v>0</v>
      </c>
      <c r="BD229" s="292">
        <f t="shared" si="35"/>
        <v>0</v>
      </c>
      <c r="BE229" s="292">
        <f t="shared" si="36"/>
        <v>0</v>
      </c>
      <c r="BF229" s="292">
        <f t="shared" si="37"/>
        <v>0</v>
      </c>
      <c r="BG229" s="292">
        <f t="shared" si="38"/>
        <v>0</v>
      </c>
    </row>
    <row r="230" spans="1:59" s="289" customFormat="1" ht="15" customHeight="1">
      <c r="A230" s="63">
        <f t="array" ref="A230">IF(C230&lt;&gt;0,SUM(($C$11:C230&lt;&gt;0)*1),"")</f>
        <v>220</v>
      </c>
      <c r="B230" s="1099">
        <v>42459</v>
      </c>
      <c r="C230" s="290" t="s">
        <v>842</v>
      </c>
      <c r="D230" s="1099">
        <v>42459</v>
      </c>
      <c r="E230" s="344" t="s">
        <v>410</v>
      </c>
      <c r="F230" s="345">
        <v>45000000</v>
      </c>
      <c r="G230" s="346" t="s">
        <v>31</v>
      </c>
      <c r="H230" s="346" t="s">
        <v>97</v>
      </c>
      <c r="I230" s="63">
        <f t="shared" si="73"/>
        <v>220</v>
      </c>
      <c r="J230" s="292">
        <f t="shared" si="1"/>
        <v>0</v>
      </c>
      <c r="K230" s="292">
        <f t="shared" si="2"/>
        <v>45000000</v>
      </c>
      <c r="L230" s="292">
        <f t="shared" si="3"/>
        <v>45000000</v>
      </c>
      <c r="M230" s="292">
        <f t="shared" si="4"/>
        <v>0</v>
      </c>
      <c r="N230" s="292">
        <f t="shared" si="39"/>
        <v>0</v>
      </c>
      <c r="O230" s="292">
        <f t="shared" si="40"/>
        <v>0</v>
      </c>
      <c r="P230" s="292">
        <f t="shared" si="5"/>
        <v>0</v>
      </c>
      <c r="Q230" s="292">
        <f t="shared" si="6"/>
        <v>0</v>
      </c>
      <c r="R230" s="292">
        <f t="shared" si="67"/>
        <v>0</v>
      </c>
      <c r="S230" s="292">
        <f t="shared" si="68"/>
        <v>0</v>
      </c>
      <c r="T230" s="292">
        <f t="shared" si="7"/>
        <v>0</v>
      </c>
      <c r="U230" s="292">
        <f t="shared" si="8"/>
        <v>0</v>
      </c>
      <c r="V230" s="292">
        <f t="shared" si="69"/>
        <v>0</v>
      </c>
      <c r="W230" s="292">
        <f t="shared" si="70"/>
        <v>0</v>
      </c>
      <c r="X230" s="292">
        <f t="shared" si="71"/>
        <v>0</v>
      </c>
      <c r="Y230" s="292">
        <f t="shared" si="72"/>
        <v>0</v>
      </c>
      <c r="Z230" s="292">
        <f t="shared" si="47"/>
        <v>0</v>
      </c>
      <c r="AA230" s="292">
        <f t="shared" si="48"/>
        <v>0</v>
      </c>
      <c r="AB230" s="292">
        <f t="shared" si="9"/>
        <v>0</v>
      </c>
      <c r="AC230" s="292">
        <f t="shared" si="10"/>
        <v>0</v>
      </c>
      <c r="AD230" s="292">
        <f t="shared" si="11"/>
        <v>0</v>
      </c>
      <c r="AE230" s="292">
        <f t="shared" si="12"/>
        <v>0</v>
      </c>
      <c r="AF230" s="292">
        <f t="shared" si="13"/>
        <v>0</v>
      </c>
      <c r="AG230" s="292">
        <f t="shared" si="14"/>
        <v>0</v>
      </c>
      <c r="AH230" s="292">
        <f t="shared" si="15"/>
        <v>0</v>
      </c>
      <c r="AI230" s="292">
        <f t="shared" si="16"/>
        <v>0</v>
      </c>
      <c r="AJ230" s="292">
        <f t="shared" si="17"/>
        <v>0</v>
      </c>
      <c r="AK230" s="292">
        <f t="shared" si="18"/>
        <v>0</v>
      </c>
      <c r="AL230" s="292">
        <f t="shared" si="49"/>
        <v>0</v>
      </c>
      <c r="AM230" s="292">
        <f t="shared" si="50"/>
        <v>0</v>
      </c>
      <c r="AN230" s="292">
        <f t="shared" si="19"/>
        <v>0</v>
      </c>
      <c r="AO230" s="292">
        <f t="shared" si="20"/>
        <v>0</v>
      </c>
      <c r="AP230" s="292">
        <f t="shared" si="21"/>
        <v>0</v>
      </c>
      <c r="AQ230" s="292">
        <f t="shared" si="22"/>
        <v>0</v>
      </c>
      <c r="AR230" s="292">
        <f t="shared" si="23"/>
        <v>0</v>
      </c>
      <c r="AS230" s="292">
        <f t="shared" si="24"/>
        <v>0</v>
      </c>
      <c r="AT230" s="292">
        <f t="shared" si="25"/>
        <v>0</v>
      </c>
      <c r="AU230" s="292">
        <f t="shared" si="26"/>
        <v>0</v>
      </c>
      <c r="AV230" s="292">
        <f t="shared" si="27"/>
        <v>0</v>
      </c>
      <c r="AW230" s="292">
        <f t="shared" si="28"/>
        <v>0</v>
      </c>
      <c r="AX230" s="292">
        <f t="shared" si="29"/>
        <v>0</v>
      </c>
      <c r="AY230" s="292">
        <f t="shared" si="30"/>
        <v>0</v>
      </c>
      <c r="AZ230" s="292">
        <f t="shared" si="31"/>
        <v>0</v>
      </c>
      <c r="BA230" s="292">
        <f t="shared" si="32"/>
        <v>0</v>
      </c>
      <c r="BB230" s="292">
        <f t="shared" si="33"/>
        <v>0</v>
      </c>
      <c r="BC230" s="292">
        <f t="shared" si="34"/>
        <v>0</v>
      </c>
      <c r="BD230" s="292">
        <f t="shared" si="35"/>
        <v>0</v>
      </c>
      <c r="BE230" s="292">
        <f t="shared" si="36"/>
        <v>0</v>
      </c>
      <c r="BF230" s="292">
        <f t="shared" si="37"/>
        <v>0</v>
      </c>
      <c r="BG230" s="292">
        <f t="shared" si="38"/>
        <v>0</v>
      </c>
    </row>
    <row r="231" spans="1:59" s="289" customFormat="1" ht="15" customHeight="1">
      <c r="A231" s="63">
        <f t="array" ref="A231">IF(C231&lt;&gt;0,SUM(($C$11:C231&lt;&gt;0)*1),"")</f>
        <v>221</v>
      </c>
      <c r="B231" s="1099">
        <v>42459</v>
      </c>
      <c r="C231" s="290" t="s">
        <v>8</v>
      </c>
      <c r="D231" s="1099">
        <v>42459</v>
      </c>
      <c r="E231" s="344" t="s">
        <v>826</v>
      </c>
      <c r="F231" s="345">
        <v>42488270</v>
      </c>
      <c r="G231" s="346" t="s">
        <v>9</v>
      </c>
      <c r="H231" s="346" t="s">
        <v>31</v>
      </c>
      <c r="I231" s="63">
        <f t="shared" si="73"/>
        <v>221</v>
      </c>
      <c r="J231" s="292">
        <f t="shared" si="1"/>
        <v>0</v>
      </c>
      <c r="K231" s="292">
        <f t="shared" si="2"/>
        <v>0</v>
      </c>
      <c r="L231" s="292">
        <f t="shared" si="3"/>
        <v>0</v>
      </c>
      <c r="M231" s="292">
        <f t="shared" si="4"/>
        <v>42488270</v>
      </c>
      <c r="N231" s="292">
        <f t="shared" si="39"/>
        <v>0</v>
      </c>
      <c r="O231" s="292">
        <f t="shared" si="40"/>
        <v>0</v>
      </c>
      <c r="P231" s="292">
        <f t="shared" si="5"/>
        <v>0</v>
      </c>
      <c r="Q231" s="292">
        <f t="shared" si="6"/>
        <v>0</v>
      </c>
      <c r="R231" s="292">
        <f t="shared" si="67"/>
        <v>0</v>
      </c>
      <c r="S231" s="292">
        <f t="shared" si="68"/>
        <v>0</v>
      </c>
      <c r="T231" s="292">
        <f t="shared" si="7"/>
        <v>0</v>
      </c>
      <c r="U231" s="292">
        <f t="shared" si="8"/>
        <v>0</v>
      </c>
      <c r="V231" s="292">
        <f t="shared" si="69"/>
        <v>0</v>
      </c>
      <c r="W231" s="292">
        <f t="shared" si="70"/>
        <v>0</v>
      </c>
      <c r="X231" s="292">
        <f t="shared" si="71"/>
        <v>0</v>
      </c>
      <c r="Y231" s="292">
        <f t="shared" si="72"/>
        <v>0</v>
      </c>
      <c r="Z231" s="292">
        <f t="shared" si="47"/>
        <v>0</v>
      </c>
      <c r="AA231" s="292">
        <f t="shared" si="48"/>
        <v>0</v>
      </c>
      <c r="AB231" s="292">
        <f t="shared" si="9"/>
        <v>42488270</v>
      </c>
      <c r="AC231" s="292">
        <f t="shared" si="10"/>
        <v>0</v>
      </c>
      <c r="AD231" s="292">
        <f t="shared" si="11"/>
        <v>0</v>
      </c>
      <c r="AE231" s="292">
        <f t="shared" si="12"/>
        <v>0</v>
      </c>
      <c r="AF231" s="292">
        <f t="shared" si="13"/>
        <v>0</v>
      </c>
      <c r="AG231" s="292">
        <f t="shared" si="14"/>
        <v>0</v>
      </c>
      <c r="AH231" s="292">
        <f t="shared" si="15"/>
        <v>0</v>
      </c>
      <c r="AI231" s="292">
        <f t="shared" si="16"/>
        <v>0</v>
      </c>
      <c r="AJ231" s="292">
        <f t="shared" si="17"/>
        <v>0</v>
      </c>
      <c r="AK231" s="292">
        <f t="shared" si="18"/>
        <v>0</v>
      </c>
      <c r="AL231" s="292">
        <f t="shared" si="49"/>
        <v>0</v>
      </c>
      <c r="AM231" s="292">
        <f t="shared" si="50"/>
        <v>0</v>
      </c>
      <c r="AN231" s="292">
        <f t="shared" si="19"/>
        <v>0</v>
      </c>
      <c r="AO231" s="292">
        <f t="shared" si="20"/>
        <v>0</v>
      </c>
      <c r="AP231" s="292">
        <f t="shared" si="21"/>
        <v>0</v>
      </c>
      <c r="AQ231" s="292">
        <f t="shared" si="22"/>
        <v>0</v>
      </c>
      <c r="AR231" s="292">
        <f t="shared" si="23"/>
        <v>0</v>
      </c>
      <c r="AS231" s="292">
        <f t="shared" si="24"/>
        <v>0</v>
      </c>
      <c r="AT231" s="292">
        <f t="shared" si="25"/>
        <v>0</v>
      </c>
      <c r="AU231" s="292">
        <f t="shared" si="26"/>
        <v>0</v>
      </c>
      <c r="AV231" s="292">
        <f t="shared" si="27"/>
        <v>0</v>
      </c>
      <c r="AW231" s="292">
        <f t="shared" si="28"/>
        <v>0</v>
      </c>
      <c r="AX231" s="292">
        <f t="shared" si="29"/>
        <v>0</v>
      </c>
      <c r="AY231" s="292">
        <f t="shared" si="30"/>
        <v>0</v>
      </c>
      <c r="AZ231" s="292">
        <f t="shared" si="31"/>
        <v>0</v>
      </c>
      <c r="BA231" s="292">
        <f t="shared" si="32"/>
        <v>0</v>
      </c>
      <c r="BB231" s="292">
        <f t="shared" si="33"/>
        <v>0</v>
      </c>
      <c r="BC231" s="292">
        <f t="shared" si="34"/>
        <v>0</v>
      </c>
      <c r="BD231" s="292">
        <f t="shared" si="35"/>
        <v>0</v>
      </c>
      <c r="BE231" s="292">
        <f t="shared" si="36"/>
        <v>0</v>
      </c>
      <c r="BF231" s="292">
        <f t="shared" si="37"/>
        <v>0</v>
      </c>
      <c r="BG231" s="292">
        <f t="shared" si="38"/>
        <v>0</v>
      </c>
    </row>
    <row r="232" spans="1:59" s="289" customFormat="1" ht="15" customHeight="1">
      <c r="A232" s="63">
        <f t="array" ref="A232">IF(C232&lt;&gt;0,SUM(($C$11:C232&lt;&gt;0)*1),"")</f>
        <v>222</v>
      </c>
      <c r="B232" s="1099">
        <v>42459</v>
      </c>
      <c r="C232" s="290" t="s">
        <v>8</v>
      </c>
      <c r="D232" s="1099">
        <v>42459</v>
      </c>
      <c r="E232" s="344" t="s">
        <v>22</v>
      </c>
      <c r="F232" s="345">
        <v>45000</v>
      </c>
      <c r="G232" s="346" t="s">
        <v>135</v>
      </c>
      <c r="H232" s="346" t="s">
        <v>31</v>
      </c>
      <c r="I232" s="63">
        <f t="shared" si="73"/>
        <v>222</v>
      </c>
      <c r="J232" s="292">
        <f t="shared" si="1"/>
        <v>0</v>
      </c>
      <c r="K232" s="292">
        <f t="shared" si="2"/>
        <v>0</v>
      </c>
      <c r="L232" s="292">
        <f t="shared" si="3"/>
        <v>0</v>
      </c>
      <c r="M232" s="292">
        <f t="shared" si="4"/>
        <v>45000</v>
      </c>
      <c r="N232" s="292">
        <f t="shared" si="39"/>
        <v>0</v>
      </c>
      <c r="O232" s="292">
        <f t="shared" si="40"/>
        <v>0</v>
      </c>
      <c r="P232" s="292">
        <f t="shared" si="5"/>
        <v>0</v>
      </c>
      <c r="Q232" s="292">
        <f t="shared" si="6"/>
        <v>0</v>
      </c>
      <c r="R232" s="292">
        <f t="shared" si="67"/>
        <v>0</v>
      </c>
      <c r="S232" s="292">
        <f t="shared" si="68"/>
        <v>0</v>
      </c>
      <c r="T232" s="292">
        <f t="shared" si="7"/>
        <v>0</v>
      </c>
      <c r="U232" s="292">
        <f t="shared" si="8"/>
        <v>0</v>
      </c>
      <c r="V232" s="292">
        <f t="shared" si="69"/>
        <v>0</v>
      </c>
      <c r="W232" s="292">
        <f t="shared" si="70"/>
        <v>0</v>
      </c>
      <c r="X232" s="292">
        <f t="shared" si="71"/>
        <v>0</v>
      </c>
      <c r="Y232" s="292">
        <f t="shared" si="72"/>
        <v>0</v>
      </c>
      <c r="Z232" s="292">
        <f t="shared" si="47"/>
        <v>0</v>
      </c>
      <c r="AA232" s="292">
        <f t="shared" si="48"/>
        <v>0</v>
      </c>
      <c r="AB232" s="292">
        <f t="shared" si="9"/>
        <v>0</v>
      </c>
      <c r="AC232" s="292">
        <f t="shared" si="10"/>
        <v>0</v>
      </c>
      <c r="AD232" s="292">
        <f t="shared" si="11"/>
        <v>0</v>
      </c>
      <c r="AE232" s="292">
        <f t="shared" si="12"/>
        <v>0</v>
      </c>
      <c r="AF232" s="292">
        <f t="shared" si="13"/>
        <v>0</v>
      </c>
      <c r="AG232" s="292">
        <f t="shared" si="14"/>
        <v>0</v>
      </c>
      <c r="AH232" s="292">
        <f t="shared" si="15"/>
        <v>0</v>
      </c>
      <c r="AI232" s="292">
        <f t="shared" si="16"/>
        <v>0</v>
      </c>
      <c r="AJ232" s="292">
        <f t="shared" si="17"/>
        <v>0</v>
      </c>
      <c r="AK232" s="292">
        <f t="shared" si="18"/>
        <v>0</v>
      </c>
      <c r="AL232" s="292">
        <f t="shared" si="49"/>
        <v>0</v>
      </c>
      <c r="AM232" s="292">
        <f t="shared" si="50"/>
        <v>0</v>
      </c>
      <c r="AN232" s="292">
        <f t="shared" si="19"/>
        <v>0</v>
      </c>
      <c r="AO232" s="292">
        <f t="shared" si="20"/>
        <v>0</v>
      </c>
      <c r="AP232" s="292">
        <f t="shared" si="21"/>
        <v>0</v>
      </c>
      <c r="AQ232" s="292">
        <f t="shared" si="22"/>
        <v>0</v>
      </c>
      <c r="AR232" s="292">
        <f t="shared" si="23"/>
        <v>0</v>
      </c>
      <c r="AS232" s="292">
        <f t="shared" si="24"/>
        <v>0</v>
      </c>
      <c r="AT232" s="292">
        <f t="shared" si="25"/>
        <v>0</v>
      </c>
      <c r="AU232" s="292">
        <f t="shared" si="26"/>
        <v>0</v>
      </c>
      <c r="AV232" s="292">
        <f t="shared" si="27"/>
        <v>0</v>
      </c>
      <c r="AW232" s="292">
        <f t="shared" si="28"/>
        <v>0</v>
      </c>
      <c r="AX232" s="292">
        <f t="shared" si="29"/>
        <v>45000</v>
      </c>
      <c r="AY232" s="292">
        <f t="shared" si="30"/>
        <v>0</v>
      </c>
      <c r="AZ232" s="292">
        <f t="shared" si="31"/>
        <v>0</v>
      </c>
      <c r="BA232" s="292">
        <f t="shared" si="32"/>
        <v>0</v>
      </c>
      <c r="BB232" s="292">
        <f t="shared" si="33"/>
        <v>0</v>
      </c>
      <c r="BC232" s="292">
        <f t="shared" si="34"/>
        <v>0</v>
      </c>
      <c r="BD232" s="292">
        <f t="shared" si="35"/>
        <v>0</v>
      </c>
      <c r="BE232" s="292">
        <f t="shared" si="36"/>
        <v>0</v>
      </c>
      <c r="BF232" s="292">
        <f t="shared" si="37"/>
        <v>0</v>
      </c>
      <c r="BG232" s="292">
        <f t="shared" si="38"/>
        <v>0</v>
      </c>
    </row>
    <row r="233" spans="1:59" s="289" customFormat="1" ht="15" customHeight="1">
      <c r="A233" s="63">
        <f t="array" ref="A233">IF(C233&lt;&gt;0,SUM(($C$11:C233&lt;&gt;0)*1),"")</f>
        <v>223</v>
      </c>
      <c r="B233" s="1099">
        <v>42459</v>
      </c>
      <c r="C233" s="290" t="s">
        <v>8</v>
      </c>
      <c r="D233" s="1099">
        <v>42459</v>
      </c>
      <c r="E233" s="344" t="s">
        <v>23</v>
      </c>
      <c r="F233" s="345">
        <v>4500</v>
      </c>
      <c r="G233" s="346" t="s">
        <v>10</v>
      </c>
      <c r="H233" s="346" t="s">
        <v>31</v>
      </c>
      <c r="I233" s="63">
        <f t="shared" si="73"/>
        <v>223</v>
      </c>
      <c r="J233" s="292">
        <f t="shared" si="1"/>
        <v>0</v>
      </c>
      <c r="K233" s="292">
        <f t="shared" si="2"/>
        <v>0</v>
      </c>
      <c r="L233" s="292">
        <f t="shared" si="3"/>
        <v>0</v>
      </c>
      <c r="M233" s="292">
        <f t="shared" si="4"/>
        <v>4500</v>
      </c>
      <c r="N233" s="292">
        <f t="shared" si="39"/>
        <v>0</v>
      </c>
      <c r="O233" s="292">
        <f t="shared" si="40"/>
        <v>0</v>
      </c>
      <c r="P233" s="292">
        <f t="shared" si="5"/>
        <v>4500</v>
      </c>
      <c r="Q233" s="292">
        <f t="shared" si="6"/>
        <v>0</v>
      </c>
      <c r="R233" s="292">
        <f t="shared" si="67"/>
        <v>0</v>
      </c>
      <c r="S233" s="292">
        <f t="shared" si="68"/>
        <v>0</v>
      </c>
      <c r="T233" s="292">
        <f t="shared" si="7"/>
        <v>0</v>
      </c>
      <c r="U233" s="292">
        <f t="shared" si="8"/>
        <v>0</v>
      </c>
      <c r="V233" s="292">
        <f t="shared" si="69"/>
        <v>0</v>
      </c>
      <c r="W233" s="292">
        <f t="shared" si="70"/>
        <v>0</v>
      </c>
      <c r="X233" s="292">
        <f t="shared" si="71"/>
        <v>0</v>
      </c>
      <c r="Y233" s="292">
        <f t="shared" si="72"/>
        <v>0</v>
      </c>
      <c r="Z233" s="292">
        <f t="shared" si="47"/>
        <v>0</v>
      </c>
      <c r="AA233" s="292">
        <f t="shared" si="48"/>
        <v>0</v>
      </c>
      <c r="AB233" s="292">
        <f t="shared" si="9"/>
        <v>0</v>
      </c>
      <c r="AC233" s="292">
        <f t="shared" si="10"/>
        <v>0</v>
      </c>
      <c r="AD233" s="292">
        <f t="shared" si="11"/>
        <v>0</v>
      </c>
      <c r="AE233" s="292">
        <f t="shared" si="12"/>
        <v>0</v>
      </c>
      <c r="AF233" s="292">
        <f t="shared" si="13"/>
        <v>0</v>
      </c>
      <c r="AG233" s="292">
        <f t="shared" si="14"/>
        <v>0</v>
      </c>
      <c r="AH233" s="292">
        <f t="shared" si="15"/>
        <v>0</v>
      </c>
      <c r="AI233" s="292">
        <f t="shared" si="16"/>
        <v>0</v>
      </c>
      <c r="AJ233" s="292">
        <f t="shared" si="17"/>
        <v>0</v>
      </c>
      <c r="AK233" s="292">
        <f t="shared" si="18"/>
        <v>0</v>
      </c>
      <c r="AL233" s="292">
        <f t="shared" si="49"/>
        <v>0</v>
      </c>
      <c r="AM233" s="292">
        <f t="shared" si="50"/>
        <v>0</v>
      </c>
      <c r="AN233" s="292">
        <f t="shared" si="19"/>
        <v>0</v>
      </c>
      <c r="AO233" s="292">
        <f t="shared" si="20"/>
        <v>0</v>
      </c>
      <c r="AP233" s="292">
        <f t="shared" si="21"/>
        <v>0</v>
      </c>
      <c r="AQ233" s="292">
        <f t="shared" si="22"/>
        <v>0</v>
      </c>
      <c r="AR233" s="292">
        <f t="shared" si="23"/>
        <v>0</v>
      </c>
      <c r="AS233" s="292">
        <f t="shared" si="24"/>
        <v>0</v>
      </c>
      <c r="AT233" s="292">
        <f t="shared" si="25"/>
        <v>0</v>
      </c>
      <c r="AU233" s="292">
        <f t="shared" si="26"/>
        <v>0</v>
      </c>
      <c r="AV233" s="292">
        <f t="shared" si="27"/>
        <v>0</v>
      </c>
      <c r="AW233" s="292">
        <f t="shared" si="28"/>
        <v>0</v>
      </c>
      <c r="AX233" s="292">
        <f t="shared" si="29"/>
        <v>0</v>
      </c>
      <c r="AY233" s="292">
        <f t="shared" si="30"/>
        <v>0</v>
      </c>
      <c r="AZ233" s="292">
        <f t="shared" si="31"/>
        <v>0</v>
      </c>
      <c r="BA233" s="292">
        <f t="shared" si="32"/>
        <v>0</v>
      </c>
      <c r="BB233" s="292">
        <f t="shared" si="33"/>
        <v>0</v>
      </c>
      <c r="BC233" s="292">
        <f t="shared" si="34"/>
        <v>0</v>
      </c>
      <c r="BD233" s="292">
        <f t="shared" si="35"/>
        <v>0</v>
      </c>
      <c r="BE233" s="292">
        <f t="shared" si="36"/>
        <v>0</v>
      </c>
      <c r="BF233" s="292">
        <f t="shared" si="37"/>
        <v>0</v>
      </c>
      <c r="BG233" s="292">
        <f t="shared" si="38"/>
        <v>0</v>
      </c>
    </row>
    <row r="234" spans="1:59" s="289" customFormat="1" ht="15" customHeight="1">
      <c r="A234" s="63">
        <f t="array" ref="A234">IF(C234&lt;&gt;0,SUM(($C$11:C234&lt;&gt;0)*1),"")</f>
        <v>224</v>
      </c>
      <c r="B234" s="1099">
        <v>42460</v>
      </c>
      <c r="C234" s="290" t="s">
        <v>843</v>
      </c>
      <c r="D234" s="1099">
        <v>42460</v>
      </c>
      <c r="E234" s="344" t="s">
        <v>837</v>
      </c>
      <c r="F234" s="345">
        <v>415000</v>
      </c>
      <c r="G234" s="346" t="s">
        <v>242</v>
      </c>
      <c r="H234" s="346" t="s">
        <v>97</v>
      </c>
      <c r="I234" s="63">
        <f t="shared" si="73"/>
        <v>224</v>
      </c>
      <c r="J234" s="292">
        <f t="shared" si="1"/>
        <v>0</v>
      </c>
      <c r="K234" s="292">
        <f t="shared" si="2"/>
        <v>415000</v>
      </c>
      <c r="L234" s="292">
        <f t="shared" si="3"/>
        <v>0</v>
      </c>
      <c r="M234" s="292">
        <f t="shared" si="4"/>
        <v>0</v>
      </c>
      <c r="N234" s="292">
        <f t="shared" si="39"/>
        <v>0</v>
      </c>
      <c r="O234" s="292">
        <f t="shared" si="40"/>
        <v>0</v>
      </c>
      <c r="P234" s="292">
        <f t="shared" si="5"/>
        <v>0</v>
      </c>
      <c r="Q234" s="292">
        <f t="shared" si="6"/>
        <v>0</v>
      </c>
      <c r="R234" s="292">
        <f t="shared" si="67"/>
        <v>0</v>
      </c>
      <c r="S234" s="292">
        <f t="shared" si="68"/>
        <v>0</v>
      </c>
      <c r="T234" s="292">
        <f t="shared" si="7"/>
        <v>0</v>
      </c>
      <c r="U234" s="292">
        <f t="shared" si="8"/>
        <v>0</v>
      </c>
      <c r="V234" s="292">
        <f t="shared" si="69"/>
        <v>0</v>
      </c>
      <c r="W234" s="292">
        <f t="shared" si="70"/>
        <v>0</v>
      </c>
      <c r="X234" s="292">
        <f t="shared" si="71"/>
        <v>0</v>
      </c>
      <c r="Y234" s="292">
        <f t="shared" si="72"/>
        <v>0</v>
      </c>
      <c r="Z234" s="292">
        <f t="shared" si="47"/>
        <v>415000</v>
      </c>
      <c r="AA234" s="292">
        <f t="shared" si="48"/>
        <v>0</v>
      </c>
      <c r="AB234" s="292">
        <f t="shared" si="9"/>
        <v>0</v>
      </c>
      <c r="AC234" s="292">
        <f t="shared" si="10"/>
        <v>0</v>
      </c>
      <c r="AD234" s="292">
        <f t="shared" si="11"/>
        <v>0</v>
      </c>
      <c r="AE234" s="292">
        <f t="shared" si="12"/>
        <v>0</v>
      </c>
      <c r="AF234" s="292">
        <f t="shared" si="13"/>
        <v>0</v>
      </c>
      <c r="AG234" s="292">
        <f t="shared" si="14"/>
        <v>0</v>
      </c>
      <c r="AH234" s="292">
        <f t="shared" si="15"/>
        <v>0</v>
      </c>
      <c r="AI234" s="292">
        <f t="shared" si="16"/>
        <v>0</v>
      </c>
      <c r="AJ234" s="292">
        <f t="shared" si="17"/>
        <v>0</v>
      </c>
      <c r="AK234" s="292">
        <f t="shared" si="18"/>
        <v>0</v>
      </c>
      <c r="AL234" s="292">
        <f t="shared" si="49"/>
        <v>0</v>
      </c>
      <c r="AM234" s="292">
        <f t="shared" si="50"/>
        <v>0</v>
      </c>
      <c r="AN234" s="292">
        <f t="shared" si="19"/>
        <v>0</v>
      </c>
      <c r="AO234" s="292">
        <f t="shared" si="20"/>
        <v>0</v>
      </c>
      <c r="AP234" s="292">
        <f t="shared" si="21"/>
        <v>0</v>
      </c>
      <c r="AQ234" s="292">
        <f t="shared" si="22"/>
        <v>0</v>
      </c>
      <c r="AR234" s="292">
        <f t="shared" si="23"/>
        <v>0</v>
      </c>
      <c r="AS234" s="292">
        <f t="shared" si="24"/>
        <v>0</v>
      </c>
      <c r="AT234" s="292">
        <f t="shared" si="25"/>
        <v>0</v>
      </c>
      <c r="AU234" s="292">
        <f t="shared" si="26"/>
        <v>0</v>
      </c>
      <c r="AV234" s="292">
        <f t="shared" si="27"/>
        <v>0</v>
      </c>
      <c r="AW234" s="292">
        <f t="shared" si="28"/>
        <v>0</v>
      </c>
      <c r="AX234" s="292">
        <f t="shared" si="29"/>
        <v>0</v>
      </c>
      <c r="AY234" s="292">
        <f t="shared" si="30"/>
        <v>0</v>
      </c>
      <c r="AZ234" s="292">
        <f t="shared" si="31"/>
        <v>0</v>
      </c>
      <c r="BA234" s="292">
        <f t="shared" si="32"/>
        <v>0</v>
      </c>
      <c r="BB234" s="292">
        <f t="shared" si="33"/>
        <v>0</v>
      </c>
      <c r="BC234" s="292">
        <f t="shared" si="34"/>
        <v>0</v>
      </c>
      <c r="BD234" s="292">
        <f t="shared" si="35"/>
        <v>0</v>
      </c>
      <c r="BE234" s="292">
        <f t="shared" si="36"/>
        <v>0</v>
      </c>
      <c r="BF234" s="292">
        <f t="shared" si="37"/>
        <v>0</v>
      </c>
      <c r="BG234" s="292">
        <f t="shared" si="38"/>
        <v>0</v>
      </c>
    </row>
    <row r="235" spans="1:59" s="289" customFormat="1" ht="15" customHeight="1">
      <c r="A235" s="63">
        <f t="array" ref="A235">IF(C235&lt;&gt;0,SUM(($C$11:C235&lt;&gt;0)*1),"")</f>
        <v>225</v>
      </c>
      <c r="B235" s="1099">
        <v>42460</v>
      </c>
      <c r="C235" s="290" t="s">
        <v>890</v>
      </c>
      <c r="D235" s="1099">
        <v>42460</v>
      </c>
      <c r="E235" s="344" t="s">
        <v>839</v>
      </c>
      <c r="F235" s="345">
        <v>2850000</v>
      </c>
      <c r="G235" s="346" t="s">
        <v>242</v>
      </c>
      <c r="H235" s="346" t="s">
        <v>97</v>
      </c>
      <c r="I235" s="63">
        <f t="shared" si="73"/>
        <v>225</v>
      </c>
      <c r="J235" s="292">
        <f t="shared" si="1"/>
        <v>0</v>
      </c>
      <c r="K235" s="292">
        <f t="shared" si="2"/>
        <v>2850000</v>
      </c>
      <c r="L235" s="292">
        <f t="shared" si="3"/>
        <v>0</v>
      </c>
      <c r="M235" s="292">
        <f t="shared" si="4"/>
        <v>0</v>
      </c>
      <c r="N235" s="292">
        <f t="shared" si="39"/>
        <v>0</v>
      </c>
      <c r="O235" s="292">
        <f t="shared" si="40"/>
        <v>0</v>
      </c>
      <c r="P235" s="292">
        <f t="shared" si="5"/>
        <v>0</v>
      </c>
      <c r="Q235" s="292">
        <f t="shared" si="6"/>
        <v>0</v>
      </c>
      <c r="R235" s="292">
        <f t="shared" si="67"/>
        <v>0</v>
      </c>
      <c r="S235" s="292">
        <f t="shared" si="68"/>
        <v>0</v>
      </c>
      <c r="T235" s="292">
        <f t="shared" si="7"/>
        <v>0</v>
      </c>
      <c r="U235" s="292">
        <f t="shared" si="8"/>
        <v>0</v>
      </c>
      <c r="V235" s="292">
        <f t="shared" si="69"/>
        <v>0</v>
      </c>
      <c r="W235" s="292">
        <f t="shared" si="70"/>
        <v>0</v>
      </c>
      <c r="X235" s="292">
        <f t="shared" si="71"/>
        <v>0</v>
      </c>
      <c r="Y235" s="292">
        <f t="shared" si="72"/>
        <v>0</v>
      </c>
      <c r="Z235" s="292">
        <f t="shared" si="47"/>
        <v>2850000</v>
      </c>
      <c r="AA235" s="292">
        <f t="shared" si="48"/>
        <v>0</v>
      </c>
      <c r="AB235" s="292">
        <f t="shared" si="9"/>
        <v>0</v>
      </c>
      <c r="AC235" s="292">
        <f t="shared" si="10"/>
        <v>0</v>
      </c>
      <c r="AD235" s="292">
        <f t="shared" si="11"/>
        <v>0</v>
      </c>
      <c r="AE235" s="292">
        <f t="shared" si="12"/>
        <v>0</v>
      </c>
      <c r="AF235" s="292">
        <f t="shared" si="13"/>
        <v>0</v>
      </c>
      <c r="AG235" s="292">
        <f t="shared" si="14"/>
        <v>0</v>
      </c>
      <c r="AH235" s="292">
        <f t="shared" si="15"/>
        <v>0</v>
      </c>
      <c r="AI235" s="292">
        <f t="shared" si="16"/>
        <v>0</v>
      </c>
      <c r="AJ235" s="292">
        <f t="shared" si="17"/>
        <v>0</v>
      </c>
      <c r="AK235" s="292">
        <f t="shared" si="18"/>
        <v>0</v>
      </c>
      <c r="AL235" s="292">
        <f t="shared" si="49"/>
        <v>0</v>
      </c>
      <c r="AM235" s="292">
        <f t="shared" si="50"/>
        <v>0</v>
      </c>
      <c r="AN235" s="292">
        <f t="shared" si="19"/>
        <v>0</v>
      </c>
      <c r="AO235" s="292">
        <f t="shared" si="20"/>
        <v>0</v>
      </c>
      <c r="AP235" s="292">
        <f t="shared" si="21"/>
        <v>0</v>
      </c>
      <c r="AQ235" s="292">
        <f t="shared" si="22"/>
        <v>0</v>
      </c>
      <c r="AR235" s="292">
        <f t="shared" si="23"/>
        <v>0</v>
      </c>
      <c r="AS235" s="292">
        <f t="shared" si="24"/>
        <v>0</v>
      </c>
      <c r="AT235" s="292">
        <f t="shared" si="25"/>
        <v>0</v>
      </c>
      <c r="AU235" s="292">
        <f t="shared" si="26"/>
        <v>0</v>
      </c>
      <c r="AV235" s="292">
        <f t="shared" si="27"/>
        <v>0</v>
      </c>
      <c r="AW235" s="292">
        <f t="shared" si="28"/>
        <v>0</v>
      </c>
      <c r="AX235" s="292">
        <f t="shared" si="29"/>
        <v>0</v>
      </c>
      <c r="AY235" s="292">
        <f t="shared" si="30"/>
        <v>0</v>
      </c>
      <c r="AZ235" s="292">
        <f t="shared" si="31"/>
        <v>0</v>
      </c>
      <c r="BA235" s="292">
        <f t="shared" si="32"/>
        <v>0</v>
      </c>
      <c r="BB235" s="292">
        <f t="shared" si="33"/>
        <v>0</v>
      </c>
      <c r="BC235" s="292">
        <f t="shared" si="34"/>
        <v>0</v>
      </c>
      <c r="BD235" s="292">
        <f t="shared" si="35"/>
        <v>0</v>
      </c>
      <c r="BE235" s="292">
        <f t="shared" si="36"/>
        <v>0</v>
      </c>
      <c r="BF235" s="292">
        <f t="shared" si="37"/>
        <v>0</v>
      </c>
      <c r="BG235" s="292">
        <f t="shared" si="38"/>
        <v>0</v>
      </c>
    </row>
    <row r="236" spans="1:59" s="289" customFormat="1" ht="15" customHeight="1">
      <c r="A236" s="63">
        <f t="array" ref="A236">IF(C236&lt;&gt;0,SUM(($C$11:C236&lt;&gt;0)*1),"")</f>
        <v>226</v>
      </c>
      <c r="B236" s="1099">
        <v>42460</v>
      </c>
      <c r="C236" s="290" t="s">
        <v>891</v>
      </c>
      <c r="D236" s="1099">
        <v>42450</v>
      </c>
      <c r="E236" s="344" t="s">
        <v>845</v>
      </c>
      <c r="F236" s="345">
        <v>11063000</v>
      </c>
      <c r="G236" s="346" t="s">
        <v>135</v>
      </c>
      <c r="H236" s="346" t="s">
        <v>97</v>
      </c>
      <c r="I236" s="63">
        <f t="shared" si="73"/>
        <v>226</v>
      </c>
      <c r="J236" s="292">
        <f t="shared" si="1"/>
        <v>0</v>
      </c>
      <c r="K236" s="292">
        <f t="shared" si="2"/>
        <v>11063000</v>
      </c>
      <c r="L236" s="292">
        <f t="shared" si="3"/>
        <v>0</v>
      </c>
      <c r="M236" s="292">
        <f t="shared" si="4"/>
        <v>0</v>
      </c>
      <c r="N236" s="292">
        <f t="shared" si="39"/>
        <v>0</v>
      </c>
      <c r="O236" s="292">
        <f t="shared" si="40"/>
        <v>0</v>
      </c>
      <c r="P236" s="292">
        <f t="shared" si="5"/>
        <v>0</v>
      </c>
      <c r="Q236" s="292">
        <f t="shared" si="6"/>
        <v>0</v>
      </c>
      <c r="R236" s="292">
        <f t="shared" si="67"/>
        <v>0</v>
      </c>
      <c r="S236" s="292">
        <f t="shared" si="68"/>
        <v>0</v>
      </c>
      <c r="T236" s="292">
        <f t="shared" si="7"/>
        <v>0</v>
      </c>
      <c r="U236" s="292">
        <f t="shared" si="8"/>
        <v>0</v>
      </c>
      <c r="V236" s="292">
        <f t="shared" si="69"/>
        <v>0</v>
      </c>
      <c r="W236" s="292">
        <f t="shared" si="70"/>
        <v>0</v>
      </c>
      <c r="X236" s="292">
        <f t="shared" si="71"/>
        <v>0</v>
      </c>
      <c r="Y236" s="292">
        <f t="shared" si="72"/>
        <v>0</v>
      </c>
      <c r="Z236" s="292">
        <f t="shared" si="47"/>
        <v>0</v>
      </c>
      <c r="AA236" s="292">
        <f t="shared" si="48"/>
        <v>0</v>
      </c>
      <c r="AB236" s="292">
        <f t="shared" si="9"/>
        <v>0</v>
      </c>
      <c r="AC236" s="292">
        <f t="shared" si="10"/>
        <v>0</v>
      </c>
      <c r="AD236" s="292">
        <f t="shared" si="11"/>
        <v>0</v>
      </c>
      <c r="AE236" s="292">
        <f t="shared" si="12"/>
        <v>0</v>
      </c>
      <c r="AF236" s="292">
        <f t="shared" si="13"/>
        <v>0</v>
      </c>
      <c r="AG236" s="292">
        <f t="shared" si="14"/>
        <v>0</v>
      </c>
      <c r="AH236" s="292">
        <f t="shared" si="15"/>
        <v>0</v>
      </c>
      <c r="AI236" s="292">
        <f t="shared" si="16"/>
        <v>0</v>
      </c>
      <c r="AJ236" s="292">
        <f t="shared" si="17"/>
        <v>0</v>
      </c>
      <c r="AK236" s="292">
        <f t="shared" si="18"/>
        <v>0</v>
      </c>
      <c r="AL236" s="292">
        <f t="shared" si="49"/>
        <v>0</v>
      </c>
      <c r="AM236" s="292">
        <f t="shared" si="50"/>
        <v>0</v>
      </c>
      <c r="AN236" s="292">
        <f t="shared" si="19"/>
        <v>0</v>
      </c>
      <c r="AO236" s="292">
        <f t="shared" si="20"/>
        <v>0</v>
      </c>
      <c r="AP236" s="292">
        <f t="shared" si="21"/>
        <v>0</v>
      </c>
      <c r="AQ236" s="292">
        <f t="shared" si="22"/>
        <v>0</v>
      </c>
      <c r="AR236" s="292">
        <f t="shared" si="23"/>
        <v>0</v>
      </c>
      <c r="AS236" s="292">
        <f t="shared" si="24"/>
        <v>0</v>
      </c>
      <c r="AT236" s="292">
        <f t="shared" si="25"/>
        <v>0</v>
      </c>
      <c r="AU236" s="292">
        <f t="shared" si="26"/>
        <v>0</v>
      </c>
      <c r="AV236" s="292">
        <f t="shared" si="27"/>
        <v>0</v>
      </c>
      <c r="AW236" s="292">
        <f t="shared" si="28"/>
        <v>0</v>
      </c>
      <c r="AX236" s="292">
        <f t="shared" si="29"/>
        <v>11063000</v>
      </c>
      <c r="AY236" s="292">
        <f t="shared" si="30"/>
        <v>0</v>
      </c>
      <c r="AZ236" s="292">
        <f t="shared" si="31"/>
        <v>0</v>
      </c>
      <c r="BA236" s="292">
        <f t="shared" si="32"/>
        <v>0</v>
      </c>
      <c r="BB236" s="292">
        <f t="shared" si="33"/>
        <v>0</v>
      </c>
      <c r="BC236" s="292">
        <f t="shared" si="34"/>
        <v>0</v>
      </c>
      <c r="BD236" s="292">
        <f t="shared" si="35"/>
        <v>0</v>
      </c>
      <c r="BE236" s="292">
        <f t="shared" si="36"/>
        <v>0</v>
      </c>
      <c r="BF236" s="292">
        <f t="shared" si="37"/>
        <v>0</v>
      </c>
      <c r="BG236" s="292">
        <f t="shared" si="38"/>
        <v>0</v>
      </c>
    </row>
    <row r="237" spans="1:59" s="289" customFormat="1" ht="15" customHeight="1">
      <c r="A237" s="63">
        <f t="array" ref="A237">IF(C237&lt;&gt;0,SUM(($C$11:C237&lt;&gt;0)*1),"")</f>
        <v>227</v>
      </c>
      <c r="B237" s="1099">
        <v>42460</v>
      </c>
      <c r="C237" s="290" t="s">
        <v>891</v>
      </c>
      <c r="D237" s="1099">
        <v>42450</v>
      </c>
      <c r="E237" s="344" t="s">
        <v>846</v>
      </c>
      <c r="F237" s="345">
        <v>553150</v>
      </c>
      <c r="G237" s="346" t="s">
        <v>10</v>
      </c>
      <c r="H237" s="346" t="s">
        <v>97</v>
      </c>
      <c r="I237" s="63">
        <f t="shared" si="73"/>
        <v>227</v>
      </c>
      <c r="J237" s="292">
        <f t="shared" si="1"/>
        <v>0</v>
      </c>
      <c r="K237" s="292">
        <f t="shared" si="2"/>
        <v>553150</v>
      </c>
      <c r="L237" s="292">
        <f t="shared" si="3"/>
        <v>0</v>
      </c>
      <c r="M237" s="292">
        <f t="shared" si="4"/>
        <v>0</v>
      </c>
      <c r="N237" s="292">
        <f t="shared" si="39"/>
        <v>0</v>
      </c>
      <c r="O237" s="292">
        <f t="shared" si="40"/>
        <v>0</v>
      </c>
      <c r="P237" s="292">
        <f t="shared" si="5"/>
        <v>553150</v>
      </c>
      <c r="Q237" s="292">
        <f t="shared" si="6"/>
        <v>0</v>
      </c>
      <c r="R237" s="292">
        <f t="shared" si="67"/>
        <v>0</v>
      </c>
      <c r="S237" s="292">
        <f t="shared" si="68"/>
        <v>0</v>
      </c>
      <c r="T237" s="292">
        <f t="shared" si="7"/>
        <v>0</v>
      </c>
      <c r="U237" s="292">
        <f t="shared" si="8"/>
        <v>0</v>
      </c>
      <c r="V237" s="292">
        <f t="shared" si="69"/>
        <v>0</v>
      </c>
      <c r="W237" s="292">
        <f t="shared" si="70"/>
        <v>0</v>
      </c>
      <c r="X237" s="292">
        <f t="shared" si="71"/>
        <v>0</v>
      </c>
      <c r="Y237" s="292">
        <f t="shared" si="72"/>
        <v>0</v>
      </c>
      <c r="Z237" s="292">
        <f t="shared" si="47"/>
        <v>0</v>
      </c>
      <c r="AA237" s="292">
        <f t="shared" si="48"/>
        <v>0</v>
      </c>
      <c r="AB237" s="292">
        <f t="shared" si="9"/>
        <v>0</v>
      </c>
      <c r="AC237" s="292">
        <f t="shared" si="10"/>
        <v>0</v>
      </c>
      <c r="AD237" s="292">
        <f t="shared" si="11"/>
        <v>0</v>
      </c>
      <c r="AE237" s="292">
        <f t="shared" si="12"/>
        <v>0</v>
      </c>
      <c r="AF237" s="292">
        <f t="shared" si="13"/>
        <v>0</v>
      </c>
      <c r="AG237" s="292">
        <f t="shared" si="14"/>
        <v>0</v>
      </c>
      <c r="AH237" s="292">
        <f t="shared" si="15"/>
        <v>0</v>
      </c>
      <c r="AI237" s="292">
        <f t="shared" si="16"/>
        <v>0</v>
      </c>
      <c r="AJ237" s="292">
        <f t="shared" si="17"/>
        <v>0</v>
      </c>
      <c r="AK237" s="292">
        <f t="shared" si="18"/>
        <v>0</v>
      </c>
      <c r="AL237" s="292">
        <f t="shared" si="49"/>
        <v>0</v>
      </c>
      <c r="AM237" s="292">
        <f t="shared" si="50"/>
        <v>0</v>
      </c>
      <c r="AN237" s="292">
        <f t="shared" si="19"/>
        <v>0</v>
      </c>
      <c r="AO237" s="292">
        <f t="shared" si="20"/>
        <v>0</v>
      </c>
      <c r="AP237" s="292">
        <f t="shared" si="21"/>
        <v>0</v>
      </c>
      <c r="AQ237" s="292">
        <f t="shared" si="22"/>
        <v>0</v>
      </c>
      <c r="AR237" s="292">
        <f t="shared" si="23"/>
        <v>0</v>
      </c>
      <c r="AS237" s="292">
        <f t="shared" si="24"/>
        <v>0</v>
      </c>
      <c r="AT237" s="292">
        <f t="shared" si="25"/>
        <v>0</v>
      </c>
      <c r="AU237" s="292">
        <f t="shared" si="26"/>
        <v>0</v>
      </c>
      <c r="AV237" s="292">
        <f t="shared" si="27"/>
        <v>0</v>
      </c>
      <c r="AW237" s="292">
        <f t="shared" si="28"/>
        <v>0</v>
      </c>
      <c r="AX237" s="292">
        <f t="shared" si="29"/>
        <v>0</v>
      </c>
      <c r="AY237" s="292">
        <f t="shared" si="30"/>
        <v>0</v>
      </c>
      <c r="AZ237" s="292">
        <f t="shared" si="31"/>
        <v>0</v>
      </c>
      <c r="BA237" s="292">
        <f t="shared" si="32"/>
        <v>0</v>
      </c>
      <c r="BB237" s="292">
        <f t="shared" si="33"/>
        <v>0</v>
      </c>
      <c r="BC237" s="292">
        <f t="shared" si="34"/>
        <v>0</v>
      </c>
      <c r="BD237" s="292">
        <f t="shared" si="35"/>
        <v>0</v>
      </c>
      <c r="BE237" s="292">
        <f t="shared" si="36"/>
        <v>0</v>
      </c>
      <c r="BF237" s="292">
        <f t="shared" si="37"/>
        <v>0</v>
      </c>
      <c r="BG237" s="292">
        <f t="shared" si="38"/>
        <v>0</v>
      </c>
    </row>
    <row r="238" spans="1:59" s="289" customFormat="1" ht="15" customHeight="1">
      <c r="A238" s="63">
        <f t="array" ref="A238">IF(C238&lt;&gt;0,SUM(($C$11:C238&lt;&gt;0)*1),"")</f>
        <v>228</v>
      </c>
      <c r="B238" s="1099">
        <v>42460</v>
      </c>
      <c r="C238" s="290" t="s">
        <v>149</v>
      </c>
      <c r="D238" s="1099">
        <v>42460</v>
      </c>
      <c r="E238" s="344" t="s">
        <v>1043</v>
      </c>
      <c r="F238" s="345">
        <v>359476733</v>
      </c>
      <c r="G238" s="346" t="s">
        <v>126</v>
      </c>
      <c r="H238" s="346" t="s">
        <v>128</v>
      </c>
      <c r="I238" s="63">
        <f>A238</f>
        <v>228</v>
      </c>
      <c r="J238" s="292">
        <f>IF($G238="1111",$F238,0)</f>
        <v>0</v>
      </c>
      <c r="K238" s="292">
        <f>IF($H238="1111",$F238,0)</f>
        <v>0</v>
      </c>
      <c r="L238" s="292">
        <f>IF($G238="1121",$F238,0)</f>
        <v>0</v>
      </c>
      <c r="M238" s="292">
        <f>IF($H238="1121",$F238,0)</f>
        <v>0</v>
      </c>
      <c r="N238" s="292">
        <f>IF($G238="1122",$F238,0)</f>
        <v>0</v>
      </c>
      <c r="O238" s="292">
        <f>IF($H238="1122",$F238,0)</f>
        <v>0</v>
      </c>
      <c r="P238" s="292">
        <f>IF($G238="1331",$F238,0)</f>
        <v>0</v>
      </c>
      <c r="Q238" s="292">
        <f>IF($H238="1331",$F238,0)</f>
        <v>0</v>
      </c>
      <c r="R238" s="292">
        <f t="shared" si="67"/>
        <v>0</v>
      </c>
      <c r="S238" s="292">
        <f t="shared" si="68"/>
        <v>0</v>
      </c>
      <c r="T238" s="292">
        <f>IF($G238="1388",$F238,0)</f>
        <v>0</v>
      </c>
      <c r="U238" s="292">
        <f>IF($H238="1388",$F238,0)</f>
        <v>0</v>
      </c>
      <c r="V238" s="292">
        <f t="shared" si="69"/>
        <v>0</v>
      </c>
      <c r="W238" s="292">
        <f t="shared" si="70"/>
        <v>0</v>
      </c>
      <c r="X238" s="292">
        <f t="shared" si="71"/>
        <v>0</v>
      </c>
      <c r="Y238" s="292">
        <f t="shared" si="72"/>
        <v>0</v>
      </c>
      <c r="Z238" s="292">
        <f>IF($G238="2412",$F238,0)</f>
        <v>0</v>
      </c>
      <c r="AA238" s="292">
        <f>IF($H238="2412",$F238,0)</f>
        <v>0</v>
      </c>
      <c r="AB238" s="292">
        <f>IF($G238="331",$F238,0)</f>
        <v>0</v>
      </c>
      <c r="AC238" s="292">
        <f>IF($H238="331",$F238,0)</f>
        <v>0</v>
      </c>
      <c r="AD238" s="292">
        <f>IF($G238="3334",$F238,0)</f>
        <v>0</v>
      </c>
      <c r="AE238" s="292">
        <f>IF($H238="3334",$F238,0)</f>
        <v>0</v>
      </c>
      <c r="AF238" s="292">
        <f>IF($G238="33382",$F238,0)</f>
        <v>0</v>
      </c>
      <c r="AG238" s="292">
        <f>IF($H238="33382",$F238,0)</f>
        <v>0</v>
      </c>
      <c r="AH238" s="292">
        <f>IF($G238="3388",$F238,0)</f>
        <v>0</v>
      </c>
      <c r="AI238" s="292">
        <f>IF($H238="3388",$F238,0)</f>
        <v>0</v>
      </c>
      <c r="AJ238" s="292">
        <f>IF($G238="3411",$F238,0)</f>
        <v>0</v>
      </c>
      <c r="AK238" s="292">
        <f>IF($H238="3411",$F238,0)</f>
        <v>0</v>
      </c>
      <c r="AL238" s="292">
        <f>IF($G238="3412",$F238,0)</f>
        <v>0</v>
      </c>
      <c r="AM238" s="292">
        <f>IF($H238="3412",$F238,0)</f>
        <v>0</v>
      </c>
      <c r="AN238" s="292">
        <f>IF($G238="4111",$F238,0)</f>
        <v>0</v>
      </c>
      <c r="AO238" s="292">
        <f>IF($H238="4111",$F238,0)</f>
        <v>0</v>
      </c>
      <c r="AP238" s="292">
        <f>IF($G238="4211",$F238,0)</f>
        <v>359476733</v>
      </c>
      <c r="AQ238" s="292">
        <f>IF($H238="4211",$F238,0)</f>
        <v>0</v>
      </c>
      <c r="AR238" s="292">
        <f>IF($G238="4212",$F238,0)</f>
        <v>0</v>
      </c>
      <c r="AS238" s="292">
        <f>IF($H238="4212",$F238,0)</f>
        <v>359476733</v>
      </c>
      <c r="AT238" s="292">
        <f>IF($G238="515",$F238,0)</f>
        <v>0</v>
      </c>
      <c r="AU238" s="292">
        <f>IF($H238="515",$F238,0)</f>
        <v>0</v>
      </c>
      <c r="AV238" s="292">
        <f>IF($G238="635",$F238,0)</f>
        <v>0</v>
      </c>
      <c r="AW238" s="292">
        <f>IF($H238="635",$F238,0)</f>
        <v>0</v>
      </c>
      <c r="AX238" s="292">
        <f>IF($G238="642",$F238,0)</f>
        <v>0</v>
      </c>
      <c r="AY238" s="292">
        <f>IF($H238="642",$F238,0)</f>
        <v>0</v>
      </c>
      <c r="AZ238" s="292">
        <f>IF($G238="711",$F238,0)</f>
        <v>0</v>
      </c>
      <c r="BA238" s="292">
        <f>IF($H238="711",$F238,0)</f>
        <v>0</v>
      </c>
      <c r="BB238" s="292">
        <f>IF($G238="811",$F238,0)</f>
        <v>0</v>
      </c>
      <c r="BC238" s="292">
        <f>IF($H238="811",$F238,0)</f>
        <v>0</v>
      </c>
      <c r="BD238" s="292">
        <f>IF($G238="821",$F238,0)</f>
        <v>0</v>
      </c>
      <c r="BE238" s="292">
        <f>IF($H238="821",$F238,0)</f>
        <v>0</v>
      </c>
      <c r="BF238" s="292">
        <f>IF($G238="911",$F238,0)</f>
        <v>0</v>
      </c>
      <c r="BG238" s="292">
        <f>IF($H238="911",$F238,0)</f>
        <v>0</v>
      </c>
    </row>
    <row r="239" spans="1:59" s="289" customFormat="1" ht="15" customHeight="1">
      <c r="A239" s="63">
        <f t="array" ref="A239">IF(C239&lt;&gt;0,SUM(($C$11:C239&lt;&gt;0)*1),"")</f>
        <v>229</v>
      </c>
      <c r="B239" s="1099">
        <v>42460</v>
      </c>
      <c r="C239" s="290" t="s">
        <v>149</v>
      </c>
      <c r="D239" s="1099">
        <v>42460</v>
      </c>
      <c r="E239" s="344" t="s">
        <v>151</v>
      </c>
      <c r="F239" s="345">
        <v>337253452</v>
      </c>
      <c r="G239" s="346" t="s">
        <v>143</v>
      </c>
      <c r="H239" s="346" t="s">
        <v>135</v>
      </c>
      <c r="I239" s="63">
        <f>A239</f>
        <v>229</v>
      </c>
      <c r="J239" s="292">
        <f>IF($G239="1111",$F239,0)</f>
        <v>0</v>
      </c>
      <c r="K239" s="292">
        <f>IF($H239="1111",$F239,0)</f>
        <v>0</v>
      </c>
      <c r="L239" s="292">
        <f>IF($G239="1121",$F239,0)</f>
        <v>0</v>
      </c>
      <c r="M239" s="292">
        <f>IF($H239="1121",$F239,0)</f>
        <v>0</v>
      </c>
      <c r="N239" s="292">
        <f>IF($G239="1122",$F239,0)</f>
        <v>0</v>
      </c>
      <c r="O239" s="292">
        <f>IF($H239="1122",$F239,0)</f>
        <v>0</v>
      </c>
      <c r="P239" s="292">
        <f>IF($G239="1331",$F239,0)</f>
        <v>0</v>
      </c>
      <c r="Q239" s="292">
        <f>IF($H239="1331",$F239,0)</f>
        <v>0</v>
      </c>
      <c r="R239" s="292">
        <f t="shared" si="67"/>
        <v>0</v>
      </c>
      <c r="S239" s="292">
        <f t="shared" si="68"/>
        <v>0</v>
      </c>
      <c r="T239" s="292">
        <f>IF($G239="1388",$F239,0)</f>
        <v>0</v>
      </c>
      <c r="U239" s="292">
        <f>IF($H239="1388",$F239,0)</f>
        <v>0</v>
      </c>
      <c r="V239" s="292">
        <f t="shared" si="69"/>
        <v>0</v>
      </c>
      <c r="W239" s="292">
        <f t="shared" si="70"/>
        <v>0</v>
      </c>
      <c r="X239" s="292">
        <f t="shared" si="71"/>
        <v>0</v>
      </c>
      <c r="Y239" s="292">
        <f t="shared" si="72"/>
        <v>0</v>
      </c>
      <c r="Z239" s="292">
        <f>IF($G239="2412",$F239,0)</f>
        <v>0</v>
      </c>
      <c r="AA239" s="292">
        <f>IF($H239="2412",$F239,0)</f>
        <v>0</v>
      </c>
      <c r="AB239" s="292">
        <f>IF($G239="331",$F239,0)</f>
        <v>0</v>
      </c>
      <c r="AC239" s="292">
        <f>IF($H239="331",$F239,0)</f>
        <v>0</v>
      </c>
      <c r="AD239" s="292">
        <f>IF($G239="3334",$F239,0)</f>
        <v>0</v>
      </c>
      <c r="AE239" s="292">
        <f>IF($H239="3334",$F239,0)</f>
        <v>0</v>
      </c>
      <c r="AF239" s="292">
        <f>IF($G239="33382",$F239,0)</f>
        <v>0</v>
      </c>
      <c r="AG239" s="292">
        <f>IF($H239="33382",$F239,0)</f>
        <v>0</v>
      </c>
      <c r="AH239" s="292">
        <f>IF($G239="3388",$F239,0)</f>
        <v>0</v>
      </c>
      <c r="AI239" s="292">
        <f>IF($H239="3388",$F239,0)</f>
        <v>0</v>
      </c>
      <c r="AJ239" s="292">
        <f>IF($G239="3411",$F239,0)</f>
        <v>0</v>
      </c>
      <c r="AK239" s="292">
        <f>IF($H239="3411",$F239,0)</f>
        <v>0</v>
      </c>
      <c r="AL239" s="292">
        <f>IF($G239="3412",$F239,0)</f>
        <v>0</v>
      </c>
      <c r="AM239" s="292">
        <f>IF($H239="3412",$F239,0)</f>
        <v>0</v>
      </c>
      <c r="AN239" s="292">
        <f>IF($G239="4111",$F239,0)</f>
        <v>0</v>
      </c>
      <c r="AO239" s="292">
        <f>IF($H239="4111",$F239,0)</f>
        <v>0</v>
      </c>
      <c r="AP239" s="292">
        <f>IF($G239="4211",$F239,0)</f>
        <v>0</v>
      </c>
      <c r="AQ239" s="292">
        <f>IF($H239="4211",$F239,0)</f>
        <v>0</v>
      </c>
      <c r="AR239" s="292">
        <f>IF($G239="4212",$F239,0)</f>
        <v>0</v>
      </c>
      <c r="AS239" s="292">
        <f>IF($H239="4212",$F239,0)</f>
        <v>0</v>
      </c>
      <c r="AT239" s="292">
        <f>IF($G239="515",$F239,0)</f>
        <v>0</v>
      </c>
      <c r="AU239" s="292">
        <f>IF($H239="515",$F239,0)</f>
        <v>0</v>
      </c>
      <c r="AV239" s="292">
        <f>IF($G239="635",$F239,0)</f>
        <v>0</v>
      </c>
      <c r="AW239" s="292">
        <f>IF($H239="635",$F239,0)</f>
        <v>0</v>
      </c>
      <c r="AX239" s="292">
        <f>IF($G239="642",$F239,0)</f>
        <v>0</v>
      </c>
      <c r="AY239" s="292">
        <f>IF($H239="642",$F239,0)</f>
        <v>337253452</v>
      </c>
      <c r="AZ239" s="292">
        <f>IF($G239="711",$F239,0)</f>
        <v>0</v>
      </c>
      <c r="BA239" s="292">
        <f>IF($H239="711",$F239,0)</f>
        <v>0</v>
      </c>
      <c r="BB239" s="292">
        <f>IF($G239="811",$F239,0)</f>
        <v>0</v>
      </c>
      <c r="BC239" s="292">
        <f>IF($H239="811",$F239,0)</f>
        <v>0</v>
      </c>
      <c r="BD239" s="292">
        <f>IF($G239="821",$F239,0)</f>
        <v>0</v>
      </c>
      <c r="BE239" s="292">
        <f>IF($H239="821",$F239,0)</f>
        <v>0</v>
      </c>
      <c r="BF239" s="292">
        <f>IF($G239="911",$F239,0)</f>
        <v>337253452</v>
      </c>
      <c r="BG239" s="292">
        <f>IF($H239="911",$F239,0)</f>
        <v>0</v>
      </c>
    </row>
    <row r="240" spans="1:59" s="289" customFormat="1" ht="15" customHeight="1">
      <c r="A240" s="63">
        <f t="array" ref="A240">IF(C240&lt;&gt;0,SUM(($C$11:C240&lt;&gt;0)*1),"")</f>
        <v>230</v>
      </c>
      <c r="B240" s="1099">
        <v>42460</v>
      </c>
      <c r="C240" s="290" t="s">
        <v>149</v>
      </c>
      <c r="D240" s="1099">
        <v>42460</v>
      </c>
      <c r="E240" s="344" t="s">
        <v>153</v>
      </c>
      <c r="F240" s="345">
        <v>178278</v>
      </c>
      <c r="G240" s="346" t="s">
        <v>58</v>
      </c>
      <c r="H240" s="346" t="s">
        <v>143</v>
      </c>
      <c r="I240" s="63">
        <f>A240</f>
        <v>230</v>
      </c>
      <c r="J240" s="292">
        <f>IF($G240="1111",$F240,0)</f>
        <v>0</v>
      </c>
      <c r="K240" s="292">
        <f>IF($H240="1111",$F240,0)</f>
        <v>0</v>
      </c>
      <c r="L240" s="292">
        <f>IF($G240="1121",$F240,0)</f>
        <v>0</v>
      </c>
      <c r="M240" s="292">
        <f>IF($H240="1121",$F240,0)</f>
        <v>0</v>
      </c>
      <c r="N240" s="292">
        <f>IF($G240="1122",$F240,0)</f>
        <v>0</v>
      </c>
      <c r="O240" s="292">
        <f>IF($H240="1122",$F240,0)</f>
        <v>0</v>
      </c>
      <c r="P240" s="292">
        <f>IF($G240="1331",$F240,0)</f>
        <v>0</v>
      </c>
      <c r="Q240" s="292">
        <f>IF($H240="1331",$F240,0)</f>
        <v>0</v>
      </c>
      <c r="R240" s="292">
        <f t="shared" si="67"/>
        <v>0</v>
      </c>
      <c r="S240" s="292">
        <f t="shared" si="68"/>
        <v>0</v>
      </c>
      <c r="T240" s="292">
        <f>IF($G240="1388",$F240,0)</f>
        <v>0</v>
      </c>
      <c r="U240" s="292">
        <f>IF($H240="1388",$F240,0)</f>
        <v>0</v>
      </c>
      <c r="V240" s="292">
        <f t="shared" si="69"/>
        <v>0</v>
      </c>
      <c r="W240" s="292">
        <f t="shared" si="70"/>
        <v>0</v>
      </c>
      <c r="X240" s="292">
        <f t="shared" si="71"/>
        <v>0</v>
      </c>
      <c r="Y240" s="292">
        <f t="shared" si="72"/>
        <v>0</v>
      </c>
      <c r="Z240" s="292">
        <f>IF($G240="2412",$F240,0)</f>
        <v>0</v>
      </c>
      <c r="AA240" s="292">
        <f>IF($H240="2412",$F240,0)</f>
        <v>0</v>
      </c>
      <c r="AB240" s="292">
        <f>IF($G240="331",$F240,0)</f>
        <v>0</v>
      </c>
      <c r="AC240" s="292">
        <f>IF($H240="331",$F240,0)</f>
        <v>0</v>
      </c>
      <c r="AD240" s="292">
        <f>IF($G240="3334",$F240,0)</f>
        <v>0</v>
      </c>
      <c r="AE240" s="292">
        <f>IF($H240="3334",$F240,0)</f>
        <v>0</v>
      </c>
      <c r="AF240" s="292">
        <f>IF($G240="33382",$F240,0)</f>
        <v>0</v>
      </c>
      <c r="AG240" s="292">
        <f>IF($H240="33382",$F240,0)</f>
        <v>0</v>
      </c>
      <c r="AH240" s="292">
        <f>IF($G240="3388",$F240,0)</f>
        <v>0</v>
      </c>
      <c r="AI240" s="292">
        <f>IF($H240="3388",$F240,0)</f>
        <v>0</v>
      </c>
      <c r="AJ240" s="292">
        <f>IF($G240="3411",$F240,0)</f>
        <v>0</v>
      </c>
      <c r="AK240" s="292">
        <f>IF($H240="3411",$F240,0)</f>
        <v>0</v>
      </c>
      <c r="AL240" s="292">
        <f>IF($G240="3412",$F240,0)</f>
        <v>0</v>
      </c>
      <c r="AM240" s="292">
        <f>IF($H240="3412",$F240,0)</f>
        <v>0</v>
      </c>
      <c r="AN240" s="292">
        <f>IF($G240="4111",$F240,0)</f>
        <v>0</v>
      </c>
      <c r="AO240" s="292">
        <f>IF($H240="4111",$F240,0)</f>
        <v>0</v>
      </c>
      <c r="AP240" s="292">
        <f>IF($G240="4211",$F240,0)</f>
        <v>0</v>
      </c>
      <c r="AQ240" s="292">
        <f>IF($H240="4211",$F240,0)</f>
        <v>0</v>
      </c>
      <c r="AR240" s="292">
        <f>IF($G240="4212",$F240,0)</f>
        <v>0</v>
      </c>
      <c r="AS240" s="292">
        <f>IF($H240="4212",$F240,0)</f>
        <v>0</v>
      </c>
      <c r="AT240" s="292">
        <f>IF($G240="515",$F240,0)</f>
        <v>178278</v>
      </c>
      <c r="AU240" s="292">
        <f>IF($H240="515",$F240,0)</f>
        <v>0</v>
      </c>
      <c r="AV240" s="292">
        <f>IF($G240="635",$F240,0)</f>
        <v>0</v>
      </c>
      <c r="AW240" s="292">
        <f>IF($H240="635",$F240,0)</f>
        <v>0</v>
      </c>
      <c r="AX240" s="292">
        <f>IF($G240="642",$F240,0)</f>
        <v>0</v>
      </c>
      <c r="AY240" s="292">
        <f>IF($H240="642",$F240,0)</f>
        <v>0</v>
      </c>
      <c r="AZ240" s="292">
        <f>IF($G240="711",$F240,0)</f>
        <v>0</v>
      </c>
      <c r="BA240" s="292">
        <f>IF($H240="711",$F240,0)</f>
        <v>0</v>
      </c>
      <c r="BB240" s="292">
        <f>IF($G240="811",$F240,0)</f>
        <v>0</v>
      </c>
      <c r="BC240" s="292">
        <f>IF($H240="811",$F240,0)</f>
        <v>0</v>
      </c>
      <c r="BD240" s="292">
        <f>IF($G240="821",$F240,0)</f>
        <v>0</v>
      </c>
      <c r="BE240" s="292">
        <f>IF($H240="821",$F240,0)</f>
        <v>0</v>
      </c>
      <c r="BF240" s="292">
        <f>IF($G240="911",$F240,0)</f>
        <v>0</v>
      </c>
      <c r="BG240" s="292">
        <f>IF($H240="911",$F240,0)</f>
        <v>178278</v>
      </c>
    </row>
    <row r="241" spans="1:59" s="289" customFormat="1" ht="15" customHeight="1">
      <c r="A241" s="63">
        <f t="array" ref="A241">IF(C241&lt;&gt;0,SUM(($C$11:C241&lt;&gt;0)*1),"")</f>
        <v>231</v>
      </c>
      <c r="B241" s="1099">
        <v>42460</v>
      </c>
      <c r="C241" s="290" t="s">
        <v>149</v>
      </c>
      <c r="D241" s="1099">
        <v>42460</v>
      </c>
      <c r="E241" s="344" t="s">
        <v>150</v>
      </c>
      <c r="F241" s="345">
        <v>498736523</v>
      </c>
      <c r="G241" s="346" t="s">
        <v>242</v>
      </c>
      <c r="H241" s="346" t="s">
        <v>133</v>
      </c>
      <c r="I241" s="63">
        <f>A241</f>
        <v>231</v>
      </c>
      <c r="J241" s="292">
        <f>IF($G241="1111",$F241,0)</f>
        <v>0</v>
      </c>
      <c r="K241" s="292">
        <f>IF($H241="1111",$F241,0)</f>
        <v>0</v>
      </c>
      <c r="L241" s="292">
        <f>IF($G241="1121",$F241,0)</f>
        <v>0</v>
      </c>
      <c r="M241" s="292">
        <f>IF($H241="1121",$F241,0)</f>
        <v>0</v>
      </c>
      <c r="N241" s="292">
        <f>IF($G241="1122",$F241,0)</f>
        <v>0</v>
      </c>
      <c r="O241" s="292">
        <f>IF($H241="1122",$F241,0)</f>
        <v>0</v>
      </c>
      <c r="P241" s="292">
        <f>IF($G241="1331",$F241,0)</f>
        <v>0</v>
      </c>
      <c r="Q241" s="292">
        <f>IF($H241="1331",$F241,0)</f>
        <v>0</v>
      </c>
      <c r="R241" s="292">
        <f t="shared" si="67"/>
        <v>0</v>
      </c>
      <c r="S241" s="292">
        <f t="shared" si="68"/>
        <v>0</v>
      </c>
      <c r="T241" s="292">
        <f>IF($G241="1388",$F241,0)</f>
        <v>0</v>
      </c>
      <c r="U241" s="292">
        <f>IF($H241="1388",$F241,0)</f>
        <v>0</v>
      </c>
      <c r="V241" s="292">
        <f t="shared" si="69"/>
        <v>0</v>
      </c>
      <c r="W241" s="292">
        <f t="shared" si="70"/>
        <v>0</v>
      </c>
      <c r="X241" s="292">
        <f t="shared" si="71"/>
        <v>0</v>
      </c>
      <c r="Y241" s="292">
        <f t="shared" si="72"/>
        <v>0</v>
      </c>
      <c r="Z241" s="292">
        <f>IF($G241="2412",$F241,0)</f>
        <v>498736523</v>
      </c>
      <c r="AA241" s="292">
        <f>IF($H241="2412",$F241,0)</f>
        <v>0</v>
      </c>
      <c r="AB241" s="292">
        <f>IF($G241="331",$F241,0)</f>
        <v>0</v>
      </c>
      <c r="AC241" s="292">
        <f>IF($H241="331",$F241,0)</f>
        <v>0</v>
      </c>
      <c r="AD241" s="292">
        <f>IF($G241="3334",$F241,0)</f>
        <v>0</v>
      </c>
      <c r="AE241" s="292">
        <f>IF($H241="3334",$F241,0)</f>
        <v>0</v>
      </c>
      <c r="AF241" s="292">
        <f>IF($G241="33382",$F241,0)</f>
        <v>0</v>
      </c>
      <c r="AG241" s="292">
        <f>IF($H241="33382",$F241,0)</f>
        <v>0</v>
      </c>
      <c r="AH241" s="292">
        <f>IF($G241="3388",$F241,0)</f>
        <v>0</v>
      </c>
      <c r="AI241" s="292">
        <f>IF($H241="3388",$F241,0)</f>
        <v>0</v>
      </c>
      <c r="AJ241" s="292">
        <f>IF($G241="3411",$F241,0)</f>
        <v>0</v>
      </c>
      <c r="AK241" s="292">
        <f>IF($H241="3411",$F241,0)</f>
        <v>0</v>
      </c>
      <c r="AL241" s="292">
        <f>IF($G241="3412",$F241,0)</f>
        <v>0</v>
      </c>
      <c r="AM241" s="292">
        <f>IF($H241="3412",$F241,0)</f>
        <v>0</v>
      </c>
      <c r="AN241" s="292">
        <f>IF($G241="4111",$F241,0)</f>
        <v>0</v>
      </c>
      <c r="AO241" s="292">
        <f>IF($H241="4111",$F241,0)</f>
        <v>0</v>
      </c>
      <c r="AP241" s="292">
        <f>IF($G241="4211",$F241,0)</f>
        <v>0</v>
      </c>
      <c r="AQ241" s="292">
        <f>IF($H241="4211",$F241,0)</f>
        <v>0</v>
      </c>
      <c r="AR241" s="292">
        <f>IF($G241="4212",$F241,0)</f>
        <v>0</v>
      </c>
      <c r="AS241" s="292">
        <f>IF($H241="4212",$F241,0)</f>
        <v>0</v>
      </c>
      <c r="AT241" s="292">
        <f>IF($G241="515",$F241,0)</f>
        <v>0</v>
      </c>
      <c r="AU241" s="292">
        <f>IF($H241="515",$F241,0)</f>
        <v>0</v>
      </c>
      <c r="AV241" s="292">
        <f>IF($G241="635",$F241,0)</f>
        <v>0</v>
      </c>
      <c r="AW241" s="292">
        <f>IF($H241="635",$F241,0)</f>
        <v>498736523</v>
      </c>
      <c r="AX241" s="292">
        <f>IF($G241="642",$F241,0)</f>
        <v>0</v>
      </c>
      <c r="AY241" s="292">
        <f>IF($H241="642",$F241,0)</f>
        <v>0</v>
      </c>
      <c r="AZ241" s="292">
        <f>IF($G241="711",$F241,0)</f>
        <v>0</v>
      </c>
      <c r="BA241" s="292">
        <f>IF($H241="711",$F241,0)</f>
        <v>0</v>
      </c>
      <c r="BB241" s="292">
        <f>IF($G241="811",$F241,0)</f>
        <v>0</v>
      </c>
      <c r="BC241" s="292">
        <f>IF($H241="811",$F241,0)</f>
        <v>0</v>
      </c>
      <c r="BD241" s="292">
        <f>IF($G241="821",$F241,0)</f>
        <v>0</v>
      </c>
      <c r="BE241" s="292">
        <f>IF($H241="821",$F241,0)</f>
        <v>0</v>
      </c>
      <c r="BF241" s="292">
        <f>IF($G241="911",$F241,0)</f>
        <v>0</v>
      </c>
      <c r="BG241" s="292">
        <f>IF($H241="911",$F241,0)</f>
        <v>0</v>
      </c>
    </row>
    <row r="242" spans="1:59" s="289" customFormat="1" ht="15" customHeight="1">
      <c r="A242" s="63">
        <f t="array" ref="A242">IF(C242&lt;&gt;0,SUM(($C$11:C444&lt;&gt;0)*1),"")</f>
        <v>434</v>
      </c>
      <c r="B242" s="1099">
        <v>42460</v>
      </c>
      <c r="C242" s="290" t="s">
        <v>149</v>
      </c>
      <c r="D242" s="1099">
        <v>42460</v>
      </c>
      <c r="E242" s="344" t="s">
        <v>152</v>
      </c>
      <c r="F242" s="345">
        <v>337075174</v>
      </c>
      <c r="G242" s="346" t="s">
        <v>128</v>
      </c>
      <c r="H242" s="346" t="s">
        <v>143</v>
      </c>
      <c r="I242" s="63">
        <f>A242</f>
        <v>434</v>
      </c>
      <c r="J242" s="292">
        <f>IF($G242="1111",$F242,0)</f>
        <v>0</v>
      </c>
      <c r="K242" s="292">
        <f>IF($H242="1111",$F242,0)</f>
        <v>0</v>
      </c>
      <c r="L242" s="292">
        <f>IF($G242="1121",$F242,0)</f>
        <v>0</v>
      </c>
      <c r="M242" s="292">
        <f>IF($H242="1121",$F242,0)</f>
        <v>0</v>
      </c>
      <c r="N242" s="292">
        <f>IF($G242="1122",$F242,0)</f>
        <v>0</v>
      </c>
      <c r="O242" s="292">
        <f>IF($H242="1122",$F242,0)</f>
        <v>0</v>
      </c>
      <c r="P242" s="292">
        <f>IF($G242="1331",$F242,0)</f>
        <v>0</v>
      </c>
      <c r="Q242" s="292">
        <f>IF($H242="1331",$F242,0)</f>
        <v>0</v>
      </c>
      <c r="R242" s="292">
        <f t="shared" si="67"/>
        <v>0</v>
      </c>
      <c r="S242" s="292">
        <f t="shared" si="68"/>
        <v>0</v>
      </c>
      <c r="T242" s="292">
        <f>IF($G242="1388",$F242,0)</f>
        <v>0</v>
      </c>
      <c r="U242" s="292">
        <f>IF($H242="1388",$F242,0)</f>
        <v>0</v>
      </c>
      <c r="V242" s="292">
        <f t="shared" si="69"/>
        <v>0</v>
      </c>
      <c r="W242" s="292">
        <f t="shared" si="70"/>
        <v>0</v>
      </c>
      <c r="X242" s="292">
        <f t="shared" si="71"/>
        <v>0</v>
      </c>
      <c r="Y242" s="292">
        <f t="shared" si="72"/>
        <v>0</v>
      </c>
      <c r="Z242" s="292">
        <f>IF($G242="2412",$F242,0)</f>
        <v>0</v>
      </c>
      <c r="AA242" s="292">
        <f>IF($H242="2412",$F242,0)</f>
        <v>0</v>
      </c>
      <c r="AB242" s="292">
        <f>IF($G242="331",$F242,0)</f>
        <v>0</v>
      </c>
      <c r="AC242" s="292">
        <f>IF($H242="331",$F242,0)</f>
        <v>0</v>
      </c>
      <c r="AD242" s="292">
        <f>IF($G242="3334",$F242,0)</f>
        <v>0</v>
      </c>
      <c r="AE242" s="292">
        <f>IF($H242="3334",$F242,0)</f>
        <v>0</v>
      </c>
      <c r="AF242" s="292">
        <f>IF($G242="33382",$F242,0)</f>
        <v>0</v>
      </c>
      <c r="AG242" s="292">
        <f>IF($H242="33382",$F242,0)</f>
        <v>0</v>
      </c>
      <c r="AH242" s="292">
        <f>IF($G242="3388",$F242,0)</f>
        <v>0</v>
      </c>
      <c r="AI242" s="292">
        <f>IF($H242="3388",$F242,0)</f>
        <v>0</v>
      </c>
      <c r="AJ242" s="292">
        <f>IF($G242="3411",$F242,0)</f>
        <v>0</v>
      </c>
      <c r="AK242" s="292">
        <f>IF($H242="3411",$F242,0)</f>
        <v>0</v>
      </c>
      <c r="AL242" s="292">
        <f>IF($G242="3412",$F242,0)</f>
        <v>0</v>
      </c>
      <c r="AM242" s="292">
        <f>IF($H242="3412",$F242,0)</f>
        <v>0</v>
      </c>
      <c r="AN242" s="292">
        <f>IF($G242="4111",$F242,0)</f>
        <v>0</v>
      </c>
      <c r="AO242" s="292">
        <f>IF($H242="4111",$F242,0)</f>
        <v>0</v>
      </c>
      <c r="AP242" s="292">
        <f>IF($G242="4211",$F242,0)</f>
        <v>0</v>
      </c>
      <c r="AQ242" s="292">
        <f>IF($H242="4211",$F242,0)</f>
        <v>0</v>
      </c>
      <c r="AR242" s="292">
        <f>IF($G242="4212",$F242,0)</f>
        <v>337075174</v>
      </c>
      <c r="AS242" s="292">
        <f>IF($H242="4212",$F242,0)</f>
        <v>0</v>
      </c>
      <c r="AT242" s="292">
        <f>IF($G242="515",$F242,0)</f>
        <v>0</v>
      </c>
      <c r="AU242" s="292">
        <f>IF($H242="515",$F242,0)</f>
        <v>0</v>
      </c>
      <c r="AV242" s="292">
        <f>IF($G242="635",$F242,0)</f>
        <v>0</v>
      </c>
      <c r="AW242" s="292">
        <f>IF($H242="635",$F242,0)</f>
        <v>0</v>
      </c>
      <c r="AX242" s="292">
        <f>IF($G242="642",$F242,0)</f>
        <v>0</v>
      </c>
      <c r="AY242" s="292">
        <f>IF($H242="642",$F242,0)</f>
        <v>0</v>
      </c>
      <c r="AZ242" s="292">
        <f>IF($G242="711",$F242,0)</f>
        <v>0</v>
      </c>
      <c r="BA242" s="292">
        <f>IF($H242="711",$F242,0)</f>
        <v>0</v>
      </c>
      <c r="BB242" s="292">
        <f>IF($G242="811",$F242,0)</f>
        <v>0</v>
      </c>
      <c r="BC242" s="292">
        <f>IF($H242="811",$F242,0)</f>
        <v>0</v>
      </c>
      <c r="BD242" s="292">
        <f>IF($G242="821",$F242,0)</f>
        <v>0</v>
      </c>
      <c r="BE242" s="292">
        <f>IF($H242="821",$F242,0)</f>
        <v>0</v>
      </c>
      <c r="BF242" s="292">
        <f>IF($G242="911",$F242,0)</f>
        <v>0</v>
      </c>
      <c r="BG242" s="292">
        <f>IF($H242="911",$F242,0)</f>
        <v>337075174</v>
      </c>
    </row>
    <row r="243" spans="1:59" s="289" customFormat="1" ht="15" customHeight="1">
      <c r="A243" s="63">
        <f t="array" ref="A243">IF(C243&lt;&gt;0,SUM(($C$11:C243&lt;&gt;0)*1),"")</f>
        <v>233</v>
      </c>
      <c r="B243" s="1099">
        <v>42462</v>
      </c>
      <c r="C243" s="290" t="s">
        <v>42</v>
      </c>
      <c r="D243" s="1099">
        <v>42358</v>
      </c>
      <c r="E243" s="344" t="s">
        <v>856</v>
      </c>
      <c r="F243" s="345">
        <v>10087000</v>
      </c>
      <c r="G243" s="346" t="s">
        <v>242</v>
      </c>
      <c r="H243" s="346" t="s">
        <v>97</v>
      </c>
      <c r="I243" s="63">
        <f t="shared" si="73"/>
        <v>233</v>
      </c>
      <c r="J243" s="292">
        <f t="shared" si="1"/>
        <v>0</v>
      </c>
      <c r="K243" s="292">
        <f t="shared" si="2"/>
        <v>10087000</v>
      </c>
      <c r="L243" s="292">
        <f t="shared" si="3"/>
        <v>0</v>
      </c>
      <c r="M243" s="292">
        <f t="shared" si="4"/>
        <v>0</v>
      </c>
      <c r="N243" s="292">
        <f t="shared" si="39"/>
        <v>0</v>
      </c>
      <c r="O243" s="292">
        <f t="shared" si="40"/>
        <v>0</v>
      </c>
      <c r="P243" s="292">
        <f t="shared" si="5"/>
        <v>0</v>
      </c>
      <c r="Q243" s="292">
        <f t="shared" si="6"/>
        <v>0</v>
      </c>
      <c r="R243" s="292">
        <f t="shared" si="67"/>
        <v>0</v>
      </c>
      <c r="S243" s="292">
        <f t="shared" si="68"/>
        <v>0</v>
      </c>
      <c r="T243" s="292">
        <f t="shared" si="7"/>
        <v>0</v>
      </c>
      <c r="U243" s="292">
        <f t="shared" si="8"/>
        <v>0</v>
      </c>
      <c r="V243" s="292">
        <f t="shared" si="69"/>
        <v>0</v>
      </c>
      <c r="W243" s="292">
        <f t="shared" si="70"/>
        <v>0</v>
      </c>
      <c r="X243" s="292">
        <f t="shared" si="71"/>
        <v>0</v>
      </c>
      <c r="Y243" s="292">
        <f t="shared" si="72"/>
        <v>0</v>
      </c>
      <c r="Z243" s="292">
        <f t="shared" si="47"/>
        <v>10087000</v>
      </c>
      <c r="AA243" s="292">
        <f t="shared" si="48"/>
        <v>0</v>
      </c>
      <c r="AB243" s="292">
        <f t="shared" si="9"/>
        <v>0</v>
      </c>
      <c r="AC243" s="292">
        <f t="shared" si="10"/>
        <v>0</v>
      </c>
      <c r="AD243" s="292">
        <f t="shared" si="11"/>
        <v>0</v>
      </c>
      <c r="AE243" s="292">
        <f t="shared" si="12"/>
        <v>0</v>
      </c>
      <c r="AF243" s="292">
        <f t="shared" si="13"/>
        <v>0</v>
      </c>
      <c r="AG243" s="292">
        <f t="shared" si="14"/>
        <v>0</v>
      </c>
      <c r="AH243" s="292">
        <f t="shared" si="15"/>
        <v>0</v>
      </c>
      <c r="AI243" s="292">
        <f t="shared" si="16"/>
        <v>0</v>
      </c>
      <c r="AJ243" s="292">
        <f t="shared" si="17"/>
        <v>0</v>
      </c>
      <c r="AK243" s="292">
        <f t="shared" si="18"/>
        <v>0</v>
      </c>
      <c r="AL243" s="292">
        <f t="shared" si="49"/>
        <v>0</v>
      </c>
      <c r="AM243" s="292">
        <f t="shared" si="50"/>
        <v>0</v>
      </c>
      <c r="AN243" s="292">
        <f t="shared" si="19"/>
        <v>0</v>
      </c>
      <c r="AO243" s="292">
        <f t="shared" si="20"/>
        <v>0</v>
      </c>
      <c r="AP243" s="292">
        <f t="shared" si="21"/>
        <v>0</v>
      </c>
      <c r="AQ243" s="292">
        <f t="shared" si="22"/>
        <v>0</v>
      </c>
      <c r="AR243" s="292">
        <f t="shared" si="23"/>
        <v>0</v>
      </c>
      <c r="AS243" s="292">
        <f t="shared" si="24"/>
        <v>0</v>
      </c>
      <c r="AT243" s="292">
        <f t="shared" si="25"/>
        <v>0</v>
      </c>
      <c r="AU243" s="292">
        <f t="shared" si="26"/>
        <v>0</v>
      </c>
      <c r="AV243" s="292">
        <f t="shared" si="27"/>
        <v>0</v>
      </c>
      <c r="AW243" s="292">
        <f t="shared" si="28"/>
        <v>0</v>
      </c>
      <c r="AX243" s="292">
        <f t="shared" si="29"/>
        <v>0</v>
      </c>
      <c r="AY243" s="292">
        <f t="shared" si="30"/>
        <v>0</v>
      </c>
      <c r="AZ243" s="292">
        <f t="shared" si="31"/>
        <v>0</v>
      </c>
      <c r="BA243" s="292">
        <f t="shared" si="32"/>
        <v>0</v>
      </c>
      <c r="BB243" s="292">
        <f t="shared" si="33"/>
        <v>0</v>
      </c>
      <c r="BC243" s="292">
        <f t="shared" si="34"/>
        <v>0</v>
      </c>
      <c r="BD243" s="292">
        <f t="shared" si="35"/>
        <v>0</v>
      </c>
      <c r="BE243" s="292">
        <f t="shared" si="36"/>
        <v>0</v>
      </c>
      <c r="BF243" s="292">
        <f t="shared" si="37"/>
        <v>0</v>
      </c>
      <c r="BG243" s="292">
        <f t="shared" si="38"/>
        <v>0</v>
      </c>
    </row>
    <row r="244" spans="1:59" s="289" customFormat="1" ht="15" customHeight="1">
      <c r="A244" s="63">
        <f t="array" ref="A244">IF(C244&lt;&gt;0,SUM(($C$11:C244&lt;&gt;0)*1),"")</f>
        <v>234</v>
      </c>
      <c r="B244" s="1099">
        <v>42462</v>
      </c>
      <c r="C244" s="290" t="s">
        <v>42</v>
      </c>
      <c r="D244" s="1099">
        <v>42358</v>
      </c>
      <c r="E244" s="344" t="s">
        <v>857</v>
      </c>
      <c r="F244" s="345">
        <v>1008700</v>
      </c>
      <c r="G244" s="346" t="s">
        <v>981</v>
      </c>
      <c r="H244" s="346" t="s">
        <v>97</v>
      </c>
      <c r="I244" s="63">
        <f t="shared" si="73"/>
        <v>234</v>
      </c>
      <c r="J244" s="292">
        <f t="shared" si="1"/>
        <v>0</v>
      </c>
      <c r="K244" s="292">
        <f t="shared" si="2"/>
        <v>1008700</v>
      </c>
      <c r="L244" s="292">
        <f t="shared" si="3"/>
        <v>0</v>
      </c>
      <c r="M244" s="292">
        <f t="shared" si="4"/>
        <v>0</v>
      </c>
      <c r="N244" s="292">
        <f t="shared" si="39"/>
        <v>0</v>
      </c>
      <c r="O244" s="292">
        <f t="shared" si="40"/>
        <v>0</v>
      </c>
      <c r="P244" s="292">
        <f t="shared" si="5"/>
        <v>0</v>
      </c>
      <c r="Q244" s="292">
        <f t="shared" si="6"/>
        <v>0</v>
      </c>
      <c r="R244" s="292">
        <f t="shared" si="67"/>
        <v>1008700</v>
      </c>
      <c r="S244" s="292">
        <f t="shared" si="68"/>
        <v>0</v>
      </c>
      <c r="T244" s="292">
        <f t="shared" si="7"/>
        <v>0</v>
      </c>
      <c r="U244" s="292">
        <f t="shared" si="8"/>
        <v>0</v>
      </c>
      <c r="V244" s="292">
        <f t="shared" si="69"/>
        <v>0</v>
      </c>
      <c r="W244" s="292">
        <f t="shared" si="70"/>
        <v>0</v>
      </c>
      <c r="X244" s="292">
        <f t="shared" si="71"/>
        <v>0</v>
      </c>
      <c r="Y244" s="292">
        <f t="shared" si="72"/>
        <v>0</v>
      </c>
      <c r="Z244" s="292">
        <f t="shared" si="47"/>
        <v>0</v>
      </c>
      <c r="AA244" s="292">
        <f t="shared" si="48"/>
        <v>0</v>
      </c>
      <c r="AB244" s="292">
        <f t="shared" si="9"/>
        <v>0</v>
      </c>
      <c r="AC244" s="292">
        <f t="shared" si="10"/>
        <v>0</v>
      </c>
      <c r="AD244" s="292">
        <f t="shared" si="11"/>
        <v>0</v>
      </c>
      <c r="AE244" s="292">
        <f t="shared" si="12"/>
        <v>0</v>
      </c>
      <c r="AF244" s="292">
        <f t="shared" si="13"/>
        <v>0</v>
      </c>
      <c r="AG244" s="292">
        <f t="shared" si="14"/>
        <v>0</v>
      </c>
      <c r="AH244" s="292">
        <f t="shared" si="15"/>
        <v>0</v>
      </c>
      <c r="AI244" s="292">
        <f t="shared" si="16"/>
        <v>0</v>
      </c>
      <c r="AJ244" s="292">
        <f t="shared" si="17"/>
        <v>0</v>
      </c>
      <c r="AK244" s="292">
        <f t="shared" si="18"/>
        <v>0</v>
      </c>
      <c r="AL244" s="292">
        <f t="shared" si="49"/>
        <v>0</v>
      </c>
      <c r="AM244" s="292">
        <f t="shared" si="50"/>
        <v>0</v>
      </c>
      <c r="AN244" s="292">
        <f t="shared" si="19"/>
        <v>0</v>
      </c>
      <c r="AO244" s="292">
        <f t="shared" si="20"/>
        <v>0</v>
      </c>
      <c r="AP244" s="292">
        <f t="shared" si="21"/>
        <v>0</v>
      </c>
      <c r="AQ244" s="292">
        <f t="shared" si="22"/>
        <v>0</v>
      </c>
      <c r="AR244" s="292">
        <f t="shared" si="23"/>
        <v>0</v>
      </c>
      <c r="AS244" s="292">
        <f t="shared" si="24"/>
        <v>0</v>
      </c>
      <c r="AT244" s="292">
        <f t="shared" si="25"/>
        <v>0</v>
      </c>
      <c r="AU244" s="292">
        <f t="shared" si="26"/>
        <v>0</v>
      </c>
      <c r="AV244" s="292">
        <f t="shared" si="27"/>
        <v>0</v>
      </c>
      <c r="AW244" s="292">
        <f t="shared" si="28"/>
        <v>0</v>
      </c>
      <c r="AX244" s="292">
        <f t="shared" si="29"/>
        <v>0</v>
      </c>
      <c r="AY244" s="292">
        <f t="shared" si="30"/>
        <v>0</v>
      </c>
      <c r="AZ244" s="292">
        <f t="shared" si="31"/>
        <v>0</v>
      </c>
      <c r="BA244" s="292">
        <f t="shared" si="32"/>
        <v>0</v>
      </c>
      <c r="BB244" s="292">
        <f t="shared" si="33"/>
        <v>0</v>
      </c>
      <c r="BC244" s="292">
        <f t="shared" si="34"/>
        <v>0</v>
      </c>
      <c r="BD244" s="292">
        <f t="shared" si="35"/>
        <v>0</v>
      </c>
      <c r="BE244" s="292">
        <f t="shared" si="36"/>
        <v>0</v>
      </c>
      <c r="BF244" s="292">
        <f t="shared" si="37"/>
        <v>0</v>
      </c>
      <c r="BG244" s="292">
        <f t="shared" si="38"/>
        <v>0</v>
      </c>
    </row>
    <row r="245" spans="1:59" s="289" customFormat="1" ht="15" customHeight="1">
      <c r="A245" s="63">
        <f t="array" ref="A245">IF(C245&lt;&gt;0,SUM(($C$11:C245&lt;&gt;0)*1),"")</f>
        <v>235</v>
      </c>
      <c r="B245" s="1099">
        <v>42462</v>
      </c>
      <c r="C245" s="290" t="s">
        <v>53</v>
      </c>
      <c r="D245" s="1099">
        <v>42361</v>
      </c>
      <c r="E245" s="344" t="s">
        <v>948</v>
      </c>
      <c r="F245" s="345">
        <v>16730000</v>
      </c>
      <c r="G245" s="346" t="s">
        <v>242</v>
      </c>
      <c r="H245" s="346" t="s">
        <v>97</v>
      </c>
      <c r="I245" s="63">
        <f t="shared" si="73"/>
        <v>235</v>
      </c>
      <c r="J245" s="292">
        <f t="shared" si="1"/>
        <v>0</v>
      </c>
      <c r="K245" s="292">
        <f t="shared" si="2"/>
        <v>16730000</v>
      </c>
      <c r="L245" s="292">
        <f t="shared" si="3"/>
        <v>0</v>
      </c>
      <c r="M245" s="292">
        <f t="shared" si="4"/>
        <v>0</v>
      </c>
      <c r="N245" s="292">
        <f t="shared" si="39"/>
        <v>0</v>
      </c>
      <c r="O245" s="292">
        <f t="shared" si="40"/>
        <v>0</v>
      </c>
      <c r="P245" s="292">
        <f t="shared" si="5"/>
        <v>0</v>
      </c>
      <c r="Q245" s="292">
        <f t="shared" si="6"/>
        <v>0</v>
      </c>
      <c r="R245" s="292">
        <f t="shared" si="67"/>
        <v>0</v>
      </c>
      <c r="S245" s="292">
        <f t="shared" si="68"/>
        <v>0</v>
      </c>
      <c r="T245" s="292">
        <f t="shared" si="7"/>
        <v>0</v>
      </c>
      <c r="U245" s="292">
        <f t="shared" si="8"/>
        <v>0</v>
      </c>
      <c r="V245" s="292">
        <f t="shared" si="69"/>
        <v>0</v>
      </c>
      <c r="W245" s="292">
        <f t="shared" si="70"/>
        <v>0</v>
      </c>
      <c r="X245" s="292">
        <f t="shared" si="71"/>
        <v>0</v>
      </c>
      <c r="Y245" s="292">
        <f t="shared" si="72"/>
        <v>0</v>
      </c>
      <c r="Z245" s="292">
        <f t="shared" si="47"/>
        <v>16730000</v>
      </c>
      <c r="AA245" s="292">
        <f t="shared" si="48"/>
        <v>0</v>
      </c>
      <c r="AB245" s="292">
        <f t="shared" si="9"/>
        <v>0</v>
      </c>
      <c r="AC245" s="292">
        <f t="shared" si="10"/>
        <v>0</v>
      </c>
      <c r="AD245" s="292">
        <f t="shared" si="11"/>
        <v>0</v>
      </c>
      <c r="AE245" s="292">
        <f t="shared" si="12"/>
        <v>0</v>
      </c>
      <c r="AF245" s="292">
        <f t="shared" si="13"/>
        <v>0</v>
      </c>
      <c r="AG245" s="292">
        <f t="shared" si="14"/>
        <v>0</v>
      </c>
      <c r="AH245" s="292">
        <f t="shared" si="15"/>
        <v>0</v>
      </c>
      <c r="AI245" s="292">
        <f t="shared" si="16"/>
        <v>0</v>
      </c>
      <c r="AJ245" s="292">
        <f t="shared" si="17"/>
        <v>0</v>
      </c>
      <c r="AK245" s="292">
        <f t="shared" si="18"/>
        <v>0</v>
      </c>
      <c r="AL245" s="292">
        <f t="shared" si="49"/>
        <v>0</v>
      </c>
      <c r="AM245" s="292">
        <f t="shared" si="50"/>
        <v>0</v>
      </c>
      <c r="AN245" s="292">
        <f t="shared" si="19"/>
        <v>0</v>
      </c>
      <c r="AO245" s="292">
        <f t="shared" si="20"/>
        <v>0</v>
      </c>
      <c r="AP245" s="292">
        <f t="shared" si="21"/>
        <v>0</v>
      </c>
      <c r="AQ245" s="292">
        <f t="shared" si="22"/>
        <v>0</v>
      </c>
      <c r="AR245" s="292">
        <f t="shared" si="23"/>
        <v>0</v>
      </c>
      <c r="AS245" s="292">
        <f t="shared" si="24"/>
        <v>0</v>
      </c>
      <c r="AT245" s="292">
        <f t="shared" si="25"/>
        <v>0</v>
      </c>
      <c r="AU245" s="292">
        <f t="shared" si="26"/>
        <v>0</v>
      </c>
      <c r="AV245" s="292">
        <f t="shared" si="27"/>
        <v>0</v>
      </c>
      <c r="AW245" s="292">
        <f t="shared" si="28"/>
        <v>0</v>
      </c>
      <c r="AX245" s="292">
        <f t="shared" si="29"/>
        <v>0</v>
      </c>
      <c r="AY245" s="292">
        <f t="shared" si="30"/>
        <v>0</v>
      </c>
      <c r="AZ245" s="292">
        <f t="shared" si="31"/>
        <v>0</v>
      </c>
      <c r="BA245" s="292">
        <f t="shared" si="32"/>
        <v>0</v>
      </c>
      <c r="BB245" s="292">
        <f t="shared" si="33"/>
        <v>0</v>
      </c>
      <c r="BC245" s="292">
        <f t="shared" si="34"/>
        <v>0</v>
      </c>
      <c r="BD245" s="292">
        <f t="shared" si="35"/>
        <v>0</v>
      </c>
      <c r="BE245" s="292">
        <f t="shared" si="36"/>
        <v>0</v>
      </c>
      <c r="BF245" s="292">
        <f t="shared" si="37"/>
        <v>0</v>
      </c>
      <c r="BG245" s="292">
        <f t="shared" si="38"/>
        <v>0</v>
      </c>
    </row>
    <row r="246" spans="1:59" s="289" customFormat="1" ht="15" customHeight="1">
      <c r="A246" s="63">
        <f t="array" ref="A246">IF(C246&lt;&gt;0,SUM(($C$11:C246&lt;&gt;0)*1),"")</f>
        <v>236</v>
      </c>
      <c r="B246" s="1099">
        <v>42462</v>
      </c>
      <c r="C246" s="290" t="s">
        <v>53</v>
      </c>
      <c r="D246" s="1099">
        <v>42361</v>
      </c>
      <c r="E246" s="344" t="s">
        <v>949</v>
      </c>
      <c r="F246" s="345">
        <v>1673000</v>
      </c>
      <c r="G246" s="346" t="s">
        <v>981</v>
      </c>
      <c r="H246" s="346" t="s">
        <v>97</v>
      </c>
      <c r="I246" s="63">
        <f t="shared" si="73"/>
        <v>236</v>
      </c>
      <c r="J246" s="292">
        <f t="shared" si="1"/>
        <v>0</v>
      </c>
      <c r="K246" s="292">
        <f t="shared" si="2"/>
        <v>1673000</v>
      </c>
      <c r="L246" s="292">
        <f t="shared" si="3"/>
        <v>0</v>
      </c>
      <c r="M246" s="292">
        <f t="shared" si="4"/>
        <v>0</v>
      </c>
      <c r="N246" s="292">
        <f t="shared" si="39"/>
        <v>0</v>
      </c>
      <c r="O246" s="292">
        <f t="shared" si="40"/>
        <v>0</v>
      </c>
      <c r="P246" s="292">
        <f t="shared" si="5"/>
        <v>0</v>
      </c>
      <c r="Q246" s="292">
        <f t="shared" si="6"/>
        <v>0</v>
      </c>
      <c r="R246" s="292">
        <f t="shared" si="67"/>
        <v>1673000</v>
      </c>
      <c r="S246" s="292">
        <f t="shared" si="68"/>
        <v>0</v>
      </c>
      <c r="T246" s="292">
        <f t="shared" si="7"/>
        <v>0</v>
      </c>
      <c r="U246" s="292">
        <f t="shared" si="8"/>
        <v>0</v>
      </c>
      <c r="V246" s="292">
        <f t="shared" si="69"/>
        <v>0</v>
      </c>
      <c r="W246" s="292">
        <f t="shared" si="70"/>
        <v>0</v>
      </c>
      <c r="X246" s="292">
        <f t="shared" si="71"/>
        <v>0</v>
      </c>
      <c r="Y246" s="292">
        <f t="shared" si="72"/>
        <v>0</v>
      </c>
      <c r="Z246" s="292">
        <f t="shared" si="47"/>
        <v>0</v>
      </c>
      <c r="AA246" s="292">
        <f t="shared" si="48"/>
        <v>0</v>
      </c>
      <c r="AB246" s="292">
        <f t="shared" si="9"/>
        <v>0</v>
      </c>
      <c r="AC246" s="292">
        <f t="shared" si="10"/>
        <v>0</v>
      </c>
      <c r="AD246" s="292">
        <f t="shared" si="11"/>
        <v>0</v>
      </c>
      <c r="AE246" s="292">
        <f t="shared" si="12"/>
        <v>0</v>
      </c>
      <c r="AF246" s="292">
        <f t="shared" si="13"/>
        <v>0</v>
      </c>
      <c r="AG246" s="292">
        <f t="shared" si="14"/>
        <v>0</v>
      </c>
      <c r="AH246" s="292">
        <f t="shared" si="15"/>
        <v>0</v>
      </c>
      <c r="AI246" s="292">
        <f t="shared" si="16"/>
        <v>0</v>
      </c>
      <c r="AJ246" s="292">
        <f t="shared" si="17"/>
        <v>0</v>
      </c>
      <c r="AK246" s="292">
        <f t="shared" si="18"/>
        <v>0</v>
      </c>
      <c r="AL246" s="292">
        <f t="shared" si="49"/>
        <v>0</v>
      </c>
      <c r="AM246" s="292">
        <f t="shared" si="50"/>
        <v>0</v>
      </c>
      <c r="AN246" s="292">
        <f t="shared" si="19"/>
        <v>0</v>
      </c>
      <c r="AO246" s="292">
        <f t="shared" si="20"/>
        <v>0</v>
      </c>
      <c r="AP246" s="292">
        <f t="shared" si="21"/>
        <v>0</v>
      </c>
      <c r="AQ246" s="292">
        <f t="shared" si="22"/>
        <v>0</v>
      </c>
      <c r="AR246" s="292">
        <f t="shared" si="23"/>
        <v>0</v>
      </c>
      <c r="AS246" s="292">
        <f t="shared" si="24"/>
        <v>0</v>
      </c>
      <c r="AT246" s="292">
        <f t="shared" si="25"/>
        <v>0</v>
      </c>
      <c r="AU246" s="292">
        <f t="shared" si="26"/>
        <v>0</v>
      </c>
      <c r="AV246" s="292">
        <f t="shared" si="27"/>
        <v>0</v>
      </c>
      <c r="AW246" s="292">
        <f t="shared" si="28"/>
        <v>0</v>
      </c>
      <c r="AX246" s="292">
        <f t="shared" si="29"/>
        <v>0</v>
      </c>
      <c r="AY246" s="292">
        <f t="shared" si="30"/>
        <v>0</v>
      </c>
      <c r="AZ246" s="292">
        <f t="shared" si="31"/>
        <v>0</v>
      </c>
      <c r="BA246" s="292">
        <f t="shared" si="32"/>
        <v>0</v>
      </c>
      <c r="BB246" s="292">
        <f t="shared" si="33"/>
        <v>0</v>
      </c>
      <c r="BC246" s="292">
        <f t="shared" si="34"/>
        <v>0</v>
      </c>
      <c r="BD246" s="292">
        <f t="shared" si="35"/>
        <v>0</v>
      </c>
      <c r="BE246" s="292">
        <f t="shared" si="36"/>
        <v>0</v>
      </c>
      <c r="BF246" s="292">
        <f t="shared" si="37"/>
        <v>0</v>
      </c>
      <c r="BG246" s="292">
        <f t="shared" si="38"/>
        <v>0</v>
      </c>
    </row>
    <row r="247" spans="1:59" s="289" customFormat="1" ht="15" customHeight="1">
      <c r="A247" s="63">
        <f t="array" ref="A247">IF(C247&lt;&gt;0,SUM(($C$11:C247&lt;&gt;0)*1),"")</f>
        <v>237</v>
      </c>
      <c r="B247" s="1099">
        <v>42462</v>
      </c>
      <c r="C247" s="290" t="s">
        <v>54</v>
      </c>
      <c r="D247" s="1099">
        <v>42363</v>
      </c>
      <c r="E247" s="344" t="s">
        <v>952</v>
      </c>
      <c r="F247" s="345">
        <v>18000000</v>
      </c>
      <c r="G247" s="346" t="s">
        <v>242</v>
      </c>
      <c r="H247" s="346" t="s">
        <v>97</v>
      </c>
      <c r="I247" s="63">
        <f t="shared" si="73"/>
        <v>237</v>
      </c>
      <c r="J247" s="292">
        <f t="shared" si="1"/>
        <v>0</v>
      </c>
      <c r="K247" s="292">
        <f t="shared" si="2"/>
        <v>18000000</v>
      </c>
      <c r="L247" s="292">
        <f t="shared" si="3"/>
        <v>0</v>
      </c>
      <c r="M247" s="292">
        <f t="shared" si="4"/>
        <v>0</v>
      </c>
      <c r="N247" s="292">
        <f t="shared" si="39"/>
        <v>0</v>
      </c>
      <c r="O247" s="292">
        <f t="shared" si="40"/>
        <v>0</v>
      </c>
      <c r="P247" s="292">
        <f t="shared" si="5"/>
        <v>0</v>
      </c>
      <c r="Q247" s="292">
        <f t="shared" si="6"/>
        <v>0</v>
      </c>
      <c r="R247" s="292">
        <f t="shared" si="67"/>
        <v>0</v>
      </c>
      <c r="S247" s="292">
        <f t="shared" si="68"/>
        <v>0</v>
      </c>
      <c r="T247" s="292">
        <f t="shared" si="7"/>
        <v>0</v>
      </c>
      <c r="U247" s="292">
        <f t="shared" si="8"/>
        <v>0</v>
      </c>
      <c r="V247" s="292">
        <f t="shared" si="69"/>
        <v>0</v>
      </c>
      <c r="W247" s="292">
        <f t="shared" si="70"/>
        <v>0</v>
      </c>
      <c r="X247" s="292">
        <f t="shared" si="71"/>
        <v>0</v>
      </c>
      <c r="Y247" s="292">
        <f t="shared" si="72"/>
        <v>0</v>
      </c>
      <c r="Z247" s="292">
        <f t="shared" si="47"/>
        <v>18000000</v>
      </c>
      <c r="AA247" s="292">
        <f t="shared" si="48"/>
        <v>0</v>
      </c>
      <c r="AB247" s="292">
        <f t="shared" si="9"/>
        <v>0</v>
      </c>
      <c r="AC247" s="292">
        <f t="shared" si="10"/>
        <v>0</v>
      </c>
      <c r="AD247" s="292">
        <f t="shared" si="11"/>
        <v>0</v>
      </c>
      <c r="AE247" s="292">
        <f t="shared" si="12"/>
        <v>0</v>
      </c>
      <c r="AF247" s="292">
        <f t="shared" si="13"/>
        <v>0</v>
      </c>
      <c r="AG247" s="292">
        <f t="shared" si="14"/>
        <v>0</v>
      </c>
      <c r="AH247" s="292">
        <f t="shared" si="15"/>
        <v>0</v>
      </c>
      <c r="AI247" s="292">
        <f t="shared" si="16"/>
        <v>0</v>
      </c>
      <c r="AJ247" s="292">
        <f t="shared" si="17"/>
        <v>0</v>
      </c>
      <c r="AK247" s="292">
        <f t="shared" si="18"/>
        <v>0</v>
      </c>
      <c r="AL247" s="292">
        <f t="shared" si="49"/>
        <v>0</v>
      </c>
      <c r="AM247" s="292">
        <f t="shared" si="50"/>
        <v>0</v>
      </c>
      <c r="AN247" s="292">
        <f t="shared" si="19"/>
        <v>0</v>
      </c>
      <c r="AO247" s="292">
        <f t="shared" si="20"/>
        <v>0</v>
      </c>
      <c r="AP247" s="292">
        <f t="shared" si="21"/>
        <v>0</v>
      </c>
      <c r="AQ247" s="292">
        <f t="shared" si="22"/>
        <v>0</v>
      </c>
      <c r="AR247" s="292">
        <f t="shared" si="23"/>
        <v>0</v>
      </c>
      <c r="AS247" s="292">
        <f t="shared" si="24"/>
        <v>0</v>
      </c>
      <c r="AT247" s="292">
        <f t="shared" si="25"/>
        <v>0</v>
      </c>
      <c r="AU247" s="292">
        <f t="shared" si="26"/>
        <v>0</v>
      </c>
      <c r="AV247" s="292">
        <f t="shared" si="27"/>
        <v>0</v>
      </c>
      <c r="AW247" s="292">
        <f t="shared" si="28"/>
        <v>0</v>
      </c>
      <c r="AX247" s="292">
        <f t="shared" si="29"/>
        <v>0</v>
      </c>
      <c r="AY247" s="292">
        <f t="shared" si="30"/>
        <v>0</v>
      </c>
      <c r="AZ247" s="292">
        <f t="shared" si="31"/>
        <v>0</v>
      </c>
      <c r="BA247" s="292">
        <f t="shared" si="32"/>
        <v>0</v>
      </c>
      <c r="BB247" s="292">
        <f t="shared" si="33"/>
        <v>0</v>
      </c>
      <c r="BC247" s="292">
        <f t="shared" si="34"/>
        <v>0</v>
      </c>
      <c r="BD247" s="292">
        <f t="shared" si="35"/>
        <v>0</v>
      </c>
      <c r="BE247" s="292">
        <f t="shared" si="36"/>
        <v>0</v>
      </c>
      <c r="BF247" s="292">
        <f t="shared" si="37"/>
        <v>0</v>
      </c>
      <c r="BG247" s="292">
        <f t="shared" si="38"/>
        <v>0</v>
      </c>
    </row>
    <row r="248" spans="1:59" s="289" customFormat="1" ht="15" customHeight="1">
      <c r="A248" s="63">
        <f t="array" ref="A248">IF(C248&lt;&gt;0,SUM(($C$11:C248&lt;&gt;0)*1),"")</f>
        <v>238</v>
      </c>
      <c r="B248" s="1099">
        <v>42462</v>
      </c>
      <c r="C248" s="290" t="s">
        <v>54</v>
      </c>
      <c r="D248" s="1099">
        <v>42363</v>
      </c>
      <c r="E248" s="344" t="s">
        <v>953</v>
      </c>
      <c r="F248" s="345">
        <v>1800000</v>
      </c>
      <c r="G248" s="346" t="s">
        <v>981</v>
      </c>
      <c r="H248" s="346" t="s">
        <v>97</v>
      </c>
      <c r="I248" s="63">
        <f t="shared" si="73"/>
        <v>238</v>
      </c>
      <c r="J248" s="292">
        <f t="shared" si="1"/>
        <v>0</v>
      </c>
      <c r="K248" s="292">
        <f t="shared" si="2"/>
        <v>1800000</v>
      </c>
      <c r="L248" s="292">
        <f t="shared" si="3"/>
        <v>0</v>
      </c>
      <c r="M248" s="292">
        <f t="shared" si="4"/>
        <v>0</v>
      </c>
      <c r="N248" s="292">
        <f t="shared" si="39"/>
        <v>0</v>
      </c>
      <c r="O248" s="292">
        <f t="shared" si="40"/>
        <v>0</v>
      </c>
      <c r="P248" s="292">
        <f t="shared" si="5"/>
        <v>0</v>
      </c>
      <c r="Q248" s="292">
        <f t="shared" si="6"/>
        <v>0</v>
      </c>
      <c r="R248" s="292">
        <f t="shared" si="67"/>
        <v>1800000</v>
      </c>
      <c r="S248" s="292">
        <f t="shared" si="68"/>
        <v>0</v>
      </c>
      <c r="T248" s="292">
        <f t="shared" si="7"/>
        <v>0</v>
      </c>
      <c r="U248" s="292">
        <f t="shared" si="8"/>
        <v>0</v>
      </c>
      <c r="V248" s="292">
        <f t="shared" si="69"/>
        <v>0</v>
      </c>
      <c r="W248" s="292">
        <f t="shared" si="70"/>
        <v>0</v>
      </c>
      <c r="X248" s="292">
        <f t="shared" si="71"/>
        <v>0</v>
      </c>
      <c r="Y248" s="292">
        <f t="shared" si="72"/>
        <v>0</v>
      </c>
      <c r="Z248" s="292">
        <f t="shared" si="47"/>
        <v>0</v>
      </c>
      <c r="AA248" s="292">
        <f t="shared" si="48"/>
        <v>0</v>
      </c>
      <c r="AB248" s="292">
        <f t="shared" si="9"/>
        <v>0</v>
      </c>
      <c r="AC248" s="292">
        <f t="shared" si="10"/>
        <v>0</v>
      </c>
      <c r="AD248" s="292">
        <f t="shared" si="11"/>
        <v>0</v>
      </c>
      <c r="AE248" s="292">
        <f t="shared" si="12"/>
        <v>0</v>
      </c>
      <c r="AF248" s="292">
        <f t="shared" si="13"/>
        <v>0</v>
      </c>
      <c r="AG248" s="292">
        <f t="shared" si="14"/>
        <v>0</v>
      </c>
      <c r="AH248" s="292">
        <f t="shared" si="15"/>
        <v>0</v>
      </c>
      <c r="AI248" s="292">
        <f t="shared" si="16"/>
        <v>0</v>
      </c>
      <c r="AJ248" s="292">
        <f t="shared" si="17"/>
        <v>0</v>
      </c>
      <c r="AK248" s="292">
        <f t="shared" si="18"/>
        <v>0</v>
      </c>
      <c r="AL248" s="292">
        <f t="shared" si="49"/>
        <v>0</v>
      </c>
      <c r="AM248" s="292">
        <f t="shared" si="50"/>
        <v>0</v>
      </c>
      <c r="AN248" s="292">
        <f t="shared" si="19"/>
        <v>0</v>
      </c>
      <c r="AO248" s="292">
        <f t="shared" si="20"/>
        <v>0</v>
      </c>
      <c r="AP248" s="292">
        <f t="shared" si="21"/>
        <v>0</v>
      </c>
      <c r="AQ248" s="292">
        <f t="shared" si="22"/>
        <v>0</v>
      </c>
      <c r="AR248" s="292">
        <f t="shared" si="23"/>
        <v>0</v>
      </c>
      <c r="AS248" s="292">
        <f t="shared" si="24"/>
        <v>0</v>
      </c>
      <c r="AT248" s="292">
        <f t="shared" si="25"/>
        <v>0</v>
      </c>
      <c r="AU248" s="292">
        <f t="shared" si="26"/>
        <v>0</v>
      </c>
      <c r="AV248" s="292">
        <f t="shared" si="27"/>
        <v>0</v>
      </c>
      <c r="AW248" s="292">
        <f t="shared" si="28"/>
        <v>0</v>
      </c>
      <c r="AX248" s="292">
        <f t="shared" si="29"/>
        <v>0</v>
      </c>
      <c r="AY248" s="292">
        <f t="shared" si="30"/>
        <v>0</v>
      </c>
      <c r="AZ248" s="292">
        <f t="shared" si="31"/>
        <v>0</v>
      </c>
      <c r="BA248" s="292">
        <f t="shared" si="32"/>
        <v>0</v>
      </c>
      <c r="BB248" s="292">
        <f t="shared" si="33"/>
        <v>0</v>
      </c>
      <c r="BC248" s="292">
        <f t="shared" si="34"/>
        <v>0</v>
      </c>
      <c r="BD248" s="292">
        <f t="shared" si="35"/>
        <v>0</v>
      </c>
      <c r="BE248" s="292">
        <f t="shared" si="36"/>
        <v>0</v>
      </c>
      <c r="BF248" s="292">
        <f t="shared" si="37"/>
        <v>0</v>
      </c>
      <c r="BG248" s="292">
        <f t="shared" si="38"/>
        <v>0</v>
      </c>
    </row>
    <row r="249" spans="1:59" s="289" customFormat="1" ht="15" customHeight="1">
      <c r="A249" s="63">
        <f t="array" ref="A249">IF(C249&lt;&gt;0,SUM(($C$11:C249&lt;&gt;0)*1),"")</f>
        <v>239</v>
      </c>
      <c r="B249" s="1099">
        <v>42462</v>
      </c>
      <c r="C249" s="290" t="s">
        <v>41</v>
      </c>
      <c r="D249" s="1099">
        <v>42377</v>
      </c>
      <c r="E249" s="344" t="s">
        <v>859</v>
      </c>
      <c r="F249" s="345">
        <v>17792215</v>
      </c>
      <c r="G249" s="346" t="s">
        <v>242</v>
      </c>
      <c r="H249" s="346" t="s">
        <v>97</v>
      </c>
      <c r="I249" s="63">
        <f t="shared" si="73"/>
        <v>239</v>
      </c>
      <c r="J249" s="292">
        <f t="shared" si="1"/>
        <v>0</v>
      </c>
      <c r="K249" s="292">
        <f t="shared" si="2"/>
        <v>17792215</v>
      </c>
      <c r="L249" s="292">
        <f t="shared" si="3"/>
        <v>0</v>
      </c>
      <c r="M249" s="292">
        <f t="shared" si="4"/>
        <v>0</v>
      </c>
      <c r="N249" s="292">
        <f t="shared" si="39"/>
        <v>0</v>
      </c>
      <c r="O249" s="292">
        <f t="shared" si="40"/>
        <v>0</v>
      </c>
      <c r="P249" s="292">
        <f t="shared" si="5"/>
        <v>0</v>
      </c>
      <c r="Q249" s="292">
        <f t="shared" si="6"/>
        <v>0</v>
      </c>
      <c r="R249" s="292">
        <f t="shared" si="67"/>
        <v>0</v>
      </c>
      <c r="S249" s="292">
        <f t="shared" si="68"/>
        <v>0</v>
      </c>
      <c r="T249" s="292">
        <f t="shared" si="7"/>
        <v>0</v>
      </c>
      <c r="U249" s="292">
        <f t="shared" si="8"/>
        <v>0</v>
      </c>
      <c r="V249" s="292">
        <f t="shared" si="69"/>
        <v>0</v>
      </c>
      <c r="W249" s="292">
        <f t="shared" si="70"/>
        <v>0</v>
      </c>
      <c r="X249" s="292">
        <f t="shared" si="71"/>
        <v>0</v>
      </c>
      <c r="Y249" s="292">
        <f t="shared" si="72"/>
        <v>0</v>
      </c>
      <c r="Z249" s="292">
        <f t="shared" si="47"/>
        <v>17792215</v>
      </c>
      <c r="AA249" s="292">
        <f t="shared" si="48"/>
        <v>0</v>
      </c>
      <c r="AB249" s="292">
        <f t="shared" si="9"/>
        <v>0</v>
      </c>
      <c r="AC249" s="292">
        <f t="shared" si="10"/>
        <v>0</v>
      </c>
      <c r="AD249" s="292">
        <f t="shared" si="11"/>
        <v>0</v>
      </c>
      <c r="AE249" s="292">
        <f t="shared" si="12"/>
        <v>0</v>
      </c>
      <c r="AF249" s="292">
        <f t="shared" si="13"/>
        <v>0</v>
      </c>
      <c r="AG249" s="292">
        <f t="shared" si="14"/>
        <v>0</v>
      </c>
      <c r="AH249" s="292">
        <f t="shared" si="15"/>
        <v>0</v>
      </c>
      <c r="AI249" s="292">
        <f t="shared" si="16"/>
        <v>0</v>
      </c>
      <c r="AJ249" s="292">
        <f t="shared" si="17"/>
        <v>0</v>
      </c>
      <c r="AK249" s="292">
        <f t="shared" si="18"/>
        <v>0</v>
      </c>
      <c r="AL249" s="292">
        <f t="shared" si="49"/>
        <v>0</v>
      </c>
      <c r="AM249" s="292">
        <f t="shared" si="50"/>
        <v>0</v>
      </c>
      <c r="AN249" s="292">
        <f t="shared" si="19"/>
        <v>0</v>
      </c>
      <c r="AO249" s="292">
        <f t="shared" si="20"/>
        <v>0</v>
      </c>
      <c r="AP249" s="292">
        <f t="shared" si="21"/>
        <v>0</v>
      </c>
      <c r="AQ249" s="292">
        <f t="shared" si="22"/>
        <v>0</v>
      </c>
      <c r="AR249" s="292">
        <f t="shared" si="23"/>
        <v>0</v>
      </c>
      <c r="AS249" s="292">
        <f t="shared" si="24"/>
        <v>0</v>
      </c>
      <c r="AT249" s="292">
        <f t="shared" si="25"/>
        <v>0</v>
      </c>
      <c r="AU249" s="292">
        <f t="shared" si="26"/>
        <v>0</v>
      </c>
      <c r="AV249" s="292">
        <f t="shared" si="27"/>
        <v>0</v>
      </c>
      <c r="AW249" s="292">
        <f t="shared" si="28"/>
        <v>0</v>
      </c>
      <c r="AX249" s="292">
        <f t="shared" si="29"/>
        <v>0</v>
      </c>
      <c r="AY249" s="292">
        <f t="shared" si="30"/>
        <v>0</v>
      </c>
      <c r="AZ249" s="292">
        <f t="shared" si="31"/>
        <v>0</v>
      </c>
      <c r="BA249" s="292">
        <f t="shared" si="32"/>
        <v>0</v>
      </c>
      <c r="BB249" s="292">
        <f t="shared" si="33"/>
        <v>0</v>
      </c>
      <c r="BC249" s="292">
        <f t="shared" si="34"/>
        <v>0</v>
      </c>
      <c r="BD249" s="292">
        <f t="shared" si="35"/>
        <v>0</v>
      </c>
      <c r="BE249" s="292">
        <f t="shared" si="36"/>
        <v>0</v>
      </c>
      <c r="BF249" s="292">
        <f t="shared" si="37"/>
        <v>0</v>
      </c>
      <c r="BG249" s="292">
        <f t="shared" si="38"/>
        <v>0</v>
      </c>
    </row>
    <row r="250" spans="1:59" s="289" customFormat="1" ht="15" customHeight="1">
      <c r="A250" s="63">
        <f t="array" ref="A250">IF(C250&lt;&gt;0,SUM(($C$11:C250&lt;&gt;0)*1),"")</f>
        <v>240</v>
      </c>
      <c r="B250" s="1099">
        <v>42462</v>
      </c>
      <c r="C250" s="290" t="s">
        <v>41</v>
      </c>
      <c r="D250" s="1099">
        <v>42377</v>
      </c>
      <c r="E250" s="344" t="s">
        <v>860</v>
      </c>
      <c r="F250" s="345">
        <v>1779222</v>
      </c>
      <c r="G250" s="346" t="s">
        <v>981</v>
      </c>
      <c r="H250" s="346" t="s">
        <v>97</v>
      </c>
      <c r="I250" s="63">
        <f t="shared" si="73"/>
        <v>240</v>
      </c>
      <c r="J250" s="292">
        <f t="shared" si="1"/>
        <v>0</v>
      </c>
      <c r="K250" s="292">
        <f t="shared" si="2"/>
        <v>1779222</v>
      </c>
      <c r="L250" s="292">
        <f t="shared" si="3"/>
        <v>0</v>
      </c>
      <c r="M250" s="292">
        <f t="shared" si="4"/>
        <v>0</v>
      </c>
      <c r="N250" s="292">
        <f t="shared" si="39"/>
        <v>0</v>
      </c>
      <c r="O250" s="292">
        <f t="shared" si="40"/>
        <v>0</v>
      </c>
      <c r="P250" s="292">
        <f t="shared" si="5"/>
        <v>0</v>
      </c>
      <c r="Q250" s="292">
        <f t="shared" si="6"/>
        <v>0</v>
      </c>
      <c r="R250" s="292">
        <f t="shared" si="67"/>
        <v>1779222</v>
      </c>
      <c r="S250" s="292">
        <f t="shared" si="68"/>
        <v>0</v>
      </c>
      <c r="T250" s="292">
        <f t="shared" si="7"/>
        <v>0</v>
      </c>
      <c r="U250" s="292">
        <f t="shared" si="8"/>
        <v>0</v>
      </c>
      <c r="V250" s="292">
        <f t="shared" si="69"/>
        <v>0</v>
      </c>
      <c r="W250" s="292">
        <f t="shared" si="70"/>
        <v>0</v>
      </c>
      <c r="X250" s="292">
        <f t="shared" si="71"/>
        <v>0</v>
      </c>
      <c r="Y250" s="292">
        <f t="shared" si="72"/>
        <v>0</v>
      </c>
      <c r="Z250" s="292">
        <f t="shared" si="47"/>
        <v>0</v>
      </c>
      <c r="AA250" s="292">
        <f t="shared" si="48"/>
        <v>0</v>
      </c>
      <c r="AB250" s="292">
        <f t="shared" si="9"/>
        <v>0</v>
      </c>
      <c r="AC250" s="292">
        <f t="shared" si="10"/>
        <v>0</v>
      </c>
      <c r="AD250" s="292">
        <f t="shared" si="11"/>
        <v>0</v>
      </c>
      <c r="AE250" s="292">
        <f t="shared" si="12"/>
        <v>0</v>
      </c>
      <c r="AF250" s="292">
        <f t="shared" si="13"/>
        <v>0</v>
      </c>
      <c r="AG250" s="292">
        <f t="shared" si="14"/>
        <v>0</v>
      </c>
      <c r="AH250" s="292">
        <f t="shared" si="15"/>
        <v>0</v>
      </c>
      <c r="AI250" s="292">
        <f t="shared" si="16"/>
        <v>0</v>
      </c>
      <c r="AJ250" s="292">
        <f t="shared" si="17"/>
        <v>0</v>
      </c>
      <c r="AK250" s="292">
        <f t="shared" si="18"/>
        <v>0</v>
      </c>
      <c r="AL250" s="292">
        <f t="shared" si="49"/>
        <v>0</v>
      </c>
      <c r="AM250" s="292">
        <f t="shared" si="50"/>
        <v>0</v>
      </c>
      <c r="AN250" s="292">
        <f t="shared" si="19"/>
        <v>0</v>
      </c>
      <c r="AO250" s="292">
        <f t="shared" si="20"/>
        <v>0</v>
      </c>
      <c r="AP250" s="292">
        <f t="shared" si="21"/>
        <v>0</v>
      </c>
      <c r="AQ250" s="292">
        <f t="shared" si="22"/>
        <v>0</v>
      </c>
      <c r="AR250" s="292">
        <f t="shared" si="23"/>
        <v>0</v>
      </c>
      <c r="AS250" s="292">
        <f t="shared" si="24"/>
        <v>0</v>
      </c>
      <c r="AT250" s="292">
        <f t="shared" si="25"/>
        <v>0</v>
      </c>
      <c r="AU250" s="292">
        <f t="shared" si="26"/>
        <v>0</v>
      </c>
      <c r="AV250" s="292">
        <f t="shared" si="27"/>
        <v>0</v>
      </c>
      <c r="AW250" s="292">
        <f t="shared" si="28"/>
        <v>0</v>
      </c>
      <c r="AX250" s="292">
        <f t="shared" si="29"/>
        <v>0</v>
      </c>
      <c r="AY250" s="292">
        <f t="shared" si="30"/>
        <v>0</v>
      </c>
      <c r="AZ250" s="292">
        <f t="shared" si="31"/>
        <v>0</v>
      </c>
      <c r="BA250" s="292">
        <f t="shared" si="32"/>
        <v>0</v>
      </c>
      <c r="BB250" s="292">
        <f t="shared" si="33"/>
        <v>0</v>
      </c>
      <c r="BC250" s="292">
        <f t="shared" si="34"/>
        <v>0</v>
      </c>
      <c r="BD250" s="292">
        <f t="shared" si="35"/>
        <v>0</v>
      </c>
      <c r="BE250" s="292">
        <f t="shared" si="36"/>
        <v>0</v>
      </c>
      <c r="BF250" s="292">
        <f t="shared" si="37"/>
        <v>0</v>
      </c>
      <c r="BG250" s="292">
        <f t="shared" si="38"/>
        <v>0</v>
      </c>
    </row>
    <row r="251" spans="1:59" s="289" customFormat="1" ht="15" customHeight="1">
      <c r="A251" s="63">
        <f t="array" ref="A251">IF(C251&lt;&gt;0,SUM(($C$11:C251&lt;&gt;0)*1),"")</f>
        <v>241</v>
      </c>
      <c r="B251" s="1099">
        <v>42462</v>
      </c>
      <c r="C251" s="290" t="s">
        <v>40</v>
      </c>
      <c r="D251" s="1099">
        <v>42378</v>
      </c>
      <c r="E251" s="344" t="s">
        <v>862</v>
      </c>
      <c r="F251" s="345">
        <v>17347890</v>
      </c>
      <c r="G251" s="346" t="s">
        <v>242</v>
      </c>
      <c r="H251" s="346" t="s">
        <v>97</v>
      </c>
      <c r="I251" s="63">
        <f t="shared" si="73"/>
        <v>241</v>
      </c>
      <c r="J251" s="292">
        <f t="shared" si="1"/>
        <v>0</v>
      </c>
      <c r="K251" s="292">
        <f t="shared" si="2"/>
        <v>17347890</v>
      </c>
      <c r="L251" s="292">
        <f t="shared" si="3"/>
        <v>0</v>
      </c>
      <c r="M251" s="292">
        <f t="shared" si="4"/>
        <v>0</v>
      </c>
      <c r="N251" s="292">
        <f t="shared" si="39"/>
        <v>0</v>
      </c>
      <c r="O251" s="292">
        <f t="shared" si="40"/>
        <v>0</v>
      </c>
      <c r="P251" s="292">
        <f t="shared" si="5"/>
        <v>0</v>
      </c>
      <c r="Q251" s="292">
        <f t="shared" si="6"/>
        <v>0</v>
      </c>
      <c r="R251" s="292">
        <f t="shared" si="67"/>
        <v>0</v>
      </c>
      <c r="S251" s="292">
        <f t="shared" si="68"/>
        <v>0</v>
      </c>
      <c r="T251" s="292">
        <f t="shared" si="7"/>
        <v>0</v>
      </c>
      <c r="U251" s="292">
        <f t="shared" si="8"/>
        <v>0</v>
      </c>
      <c r="V251" s="292">
        <f t="shared" si="69"/>
        <v>0</v>
      </c>
      <c r="W251" s="292">
        <f t="shared" si="70"/>
        <v>0</v>
      </c>
      <c r="X251" s="292">
        <f t="shared" si="71"/>
        <v>0</v>
      </c>
      <c r="Y251" s="292">
        <f t="shared" si="72"/>
        <v>0</v>
      </c>
      <c r="Z251" s="292">
        <f t="shared" si="47"/>
        <v>17347890</v>
      </c>
      <c r="AA251" s="292">
        <f t="shared" si="48"/>
        <v>0</v>
      </c>
      <c r="AB251" s="292">
        <f t="shared" si="9"/>
        <v>0</v>
      </c>
      <c r="AC251" s="292">
        <f t="shared" si="10"/>
        <v>0</v>
      </c>
      <c r="AD251" s="292">
        <f t="shared" si="11"/>
        <v>0</v>
      </c>
      <c r="AE251" s="292">
        <f t="shared" si="12"/>
        <v>0</v>
      </c>
      <c r="AF251" s="292">
        <f t="shared" si="13"/>
        <v>0</v>
      </c>
      <c r="AG251" s="292">
        <f t="shared" si="14"/>
        <v>0</v>
      </c>
      <c r="AH251" s="292">
        <f t="shared" si="15"/>
        <v>0</v>
      </c>
      <c r="AI251" s="292">
        <f t="shared" si="16"/>
        <v>0</v>
      </c>
      <c r="AJ251" s="292">
        <f t="shared" si="17"/>
        <v>0</v>
      </c>
      <c r="AK251" s="292">
        <f t="shared" si="18"/>
        <v>0</v>
      </c>
      <c r="AL251" s="292">
        <f t="shared" si="49"/>
        <v>0</v>
      </c>
      <c r="AM251" s="292">
        <f t="shared" si="50"/>
        <v>0</v>
      </c>
      <c r="AN251" s="292">
        <f t="shared" si="19"/>
        <v>0</v>
      </c>
      <c r="AO251" s="292">
        <f t="shared" si="20"/>
        <v>0</v>
      </c>
      <c r="AP251" s="292">
        <f t="shared" si="21"/>
        <v>0</v>
      </c>
      <c r="AQ251" s="292">
        <f t="shared" si="22"/>
        <v>0</v>
      </c>
      <c r="AR251" s="292">
        <f t="shared" si="23"/>
        <v>0</v>
      </c>
      <c r="AS251" s="292">
        <f t="shared" si="24"/>
        <v>0</v>
      </c>
      <c r="AT251" s="292">
        <f t="shared" si="25"/>
        <v>0</v>
      </c>
      <c r="AU251" s="292">
        <f t="shared" si="26"/>
        <v>0</v>
      </c>
      <c r="AV251" s="292">
        <f t="shared" si="27"/>
        <v>0</v>
      </c>
      <c r="AW251" s="292">
        <f t="shared" si="28"/>
        <v>0</v>
      </c>
      <c r="AX251" s="292">
        <f t="shared" si="29"/>
        <v>0</v>
      </c>
      <c r="AY251" s="292">
        <f t="shared" si="30"/>
        <v>0</v>
      </c>
      <c r="AZ251" s="292">
        <f t="shared" si="31"/>
        <v>0</v>
      </c>
      <c r="BA251" s="292">
        <f t="shared" si="32"/>
        <v>0</v>
      </c>
      <c r="BB251" s="292">
        <f t="shared" si="33"/>
        <v>0</v>
      </c>
      <c r="BC251" s="292">
        <f t="shared" si="34"/>
        <v>0</v>
      </c>
      <c r="BD251" s="292">
        <f t="shared" si="35"/>
        <v>0</v>
      </c>
      <c r="BE251" s="292">
        <f t="shared" si="36"/>
        <v>0</v>
      </c>
      <c r="BF251" s="292">
        <f t="shared" si="37"/>
        <v>0</v>
      </c>
      <c r="BG251" s="292">
        <f t="shared" si="38"/>
        <v>0</v>
      </c>
    </row>
    <row r="252" spans="1:59" s="289" customFormat="1" ht="15" customHeight="1">
      <c r="A252" s="63">
        <f t="array" ref="A252">IF(C252&lt;&gt;0,SUM(($C$11:C252&lt;&gt;0)*1),"")</f>
        <v>242</v>
      </c>
      <c r="B252" s="1099">
        <v>42462</v>
      </c>
      <c r="C252" s="290" t="s">
        <v>40</v>
      </c>
      <c r="D252" s="1099">
        <v>42378</v>
      </c>
      <c r="E252" s="344" t="s">
        <v>863</v>
      </c>
      <c r="F252" s="345">
        <v>1734789</v>
      </c>
      <c r="G252" s="346" t="s">
        <v>981</v>
      </c>
      <c r="H252" s="346" t="s">
        <v>97</v>
      </c>
      <c r="I252" s="63">
        <f t="shared" si="73"/>
        <v>242</v>
      </c>
      <c r="J252" s="292">
        <f t="shared" si="1"/>
        <v>0</v>
      </c>
      <c r="K252" s="292">
        <f t="shared" si="2"/>
        <v>1734789</v>
      </c>
      <c r="L252" s="292">
        <f t="shared" si="3"/>
        <v>0</v>
      </c>
      <c r="M252" s="292">
        <f t="shared" si="4"/>
        <v>0</v>
      </c>
      <c r="N252" s="292">
        <f t="shared" si="39"/>
        <v>0</v>
      </c>
      <c r="O252" s="292">
        <f t="shared" si="40"/>
        <v>0</v>
      </c>
      <c r="P252" s="292">
        <f t="shared" si="5"/>
        <v>0</v>
      </c>
      <c r="Q252" s="292">
        <f t="shared" si="6"/>
        <v>0</v>
      </c>
      <c r="R252" s="292">
        <f t="shared" si="67"/>
        <v>1734789</v>
      </c>
      <c r="S252" s="292">
        <f t="shared" si="68"/>
        <v>0</v>
      </c>
      <c r="T252" s="292">
        <f t="shared" si="7"/>
        <v>0</v>
      </c>
      <c r="U252" s="292">
        <f t="shared" si="8"/>
        <v>0</v>
      </c>
      <c r="V252" s="292">
        <f t="shared" si="69"/>
        <v>0</v>
      </c>
      <c r="W252" s="292">
        <f t="shared" si="70"/>
        <v>0</v>
      </c>
      <c r="X252" s="292">
        <f t="shared" si="71"/>
        <v>0</v>
      </c>
      <c r="Y252" s="292">
        <f t="shared" si="72"/>
        <v>0</v>
      </c>
      <c r="Z252" s="292">
        <f t="shared" si="47"/>
        <v>0</v>
      </c>
      <c r="AA252" s="292">
        <f t="shared" si="48"/>
        <v>0</v>
      </c>
      <c r="AB252" s="292">
        <f t="shared" si="9"/>
        <v>0</v>
      </c>
      <c r="AC252" s="292">
        <f t="shared" si="10"/>
        <v>0</v>
      </c>
      <c r="AD252" s="292">
        <f t="shared" si="11"/>
        <v>0</v>
      </c>
      <c r="AE252" s="292">
        <f t="shared" si="12"/>
        <v>0</v>
      </c>
      <c r="AF252" s="292">
        <f t="shared" si="13"/>
        <v>0</v>
      </c>
      <c r="AG252" s="292">
        <f t="shared" si="14"/>
        <v>0</v>
      </c>
      <c r="AH252" s="292">
        <f t="shared" si="15"/>
        <v>0</v>
      </c>
      <c r="AI252" s="292">
        <f t="shared" si="16"/>
        <v>0</v>
      </c>
      <c r="AJ252" s="292">
        <f t="shared" si="17"/>
        <v>0</v>
      </c>
      <c r="AK252" s="292">
        <f t="shared" si="18"/>
        <v>0</v>
      </c>
      <c r="AL252" s="292">
        <f t="shared" si="49"/>
        <v>0</v>
      </c>
      <c r="AM252" s="292">
        <f t="shared" si="50"/>
        <v>0</v>
      </c>
      <c r="AN252" s="292">
        <f t="shared" si="19"/>
        <v>0</v>
      </c>
      <c r="AO252" s="292">
        <f t="shared" si="20"/>
        <v>0</v>
      </c>
      <c r="AP252" s="292">
        <f t="shared" si="21"/>
        <v>0</v>
      </c>
      <c r="AQ252" s="292">
        <f t="shared" si="22"/>
        <v>0</v>
      </c>
      <c r="AR252" s="292">
        <f t="shared" si="23"/>
        <v>0</v>
      </c>
      <c r="AS252" s="292">
        <f t="shared" si="24"/>
        <v>0</v>
      </c>
      <c r="AT252" s="292">
        <f t="shared" si="25"/>
        <v>0</v>
      </c>
      <c r="AU252" s="292">
        <f t="shared" si="26"/>
        <v>0</v>
      </c>
      <c r="AV252" s="292">
        <f t="shared" si="27"/>
        <v>0</v>
      </c>
      <c r="AW252" s="292">
        <f t="shared" si="28"/>
        <v>0</v>
      </c>
      <c r="AX252" s="292">
        <f t="shared" si="29"/>
        <v>0</v>
      </c>
      <c r="AY252" s="292">
        <f t="shared" si="30"/>
        <v>0</v>
      </c>
      <c r="AZ252" s="292">
        <f t="shared" si="31"/>
        <v>0</v>
      </c>
      <c r="BA252" s="292">
        <f t="shared" si="32"/>
        <v>0</v>
      </c>
      <c r="BB252" s="292">
        <f t="shared" si="33"/>
        <v>0</v>
      </c>
      <c r="BC252" s="292">
        <f t="shared" si="34"/>
        <v>0</v>
      </c>
      <c r="BD252" s="292">
        <f t="shared" si="35"/>
        <v>0</v>
      </c>
      <c r="BE252" s="292">
        <f t="shared" si="36"/>
        <v>0</v>
      </c>
      <c r="BF252" s="292">
        <f t="shared" si="37"/>
        <v>0</v>
      </c>
      <c r="BG252" s="292">
        <f t="shared" si="38"/>
        <v>0</v>
      </c>
    </row>
    <row r="253" spans="1:59" s="289" customFormat="1" ht="15" customHeight="1">
      <c r="A253" s="63">
        <f t="array" ref="A253">IF(C253&lt;&gt;0,SUM(($C$11:C253&lt;&gt;0)*1),"")</f>
        <v>243</v>
      </c>
      <c r="B253" s="1099">
        <v>42462</v>
      </c>
      <c r="C253" s="290" t="s">
        <v>63</v>
      </c>
      <c r="D253" s="1099">
        <v>42379</v>
      </c>
      <c r="E253" s="344" t="s">
        <v>859</v>
      </c>
      <c r="F253" s="345">
        <v>17840000</v>
      </c>
      <c r="G253" s="346" t="s">
        <v>242</v>
      </c>
      <c r="H253" s="346" t="s">
        <v>97</v>
      </c>
      <c r="I253" s="63">
        <f t="shared" si="73"/>
        <v>243</v>
      </c>
      <c r="J253" s="292">
        <f t="shared" si="1"/>
        <v>0</v>
      </c>
      <c r="K253" s="292">
        <f t="shared" si="2"/>
        <v>17840000</v>
      </c>
      <c r="L253" s="292">
        <f t="shared" si="3"/>
        <v>0</v>
      </c>
      <c r="M253" s="292">
        <f t="shared" si="4"/>
        <v>0</v>
      </c>
      <c r="N253" s="292">
        <f t="shared" si="39"/>
        <v>0</v>
      </c>
      <c r="O253" s="292">
        <f t="shared" si="40"/>
        <v>0</v>
      </c>
      <c r="P253" s="292">
        <f t="shared" si="5"/>
        <v>0</v>
      </c>
      <c r="Q253" s="292">
        <f t="shared" si="6"/>
        <v>0</v>
      </c>
      <c r="R253" s="292">
        <f t="shared" si="67"/>
        <v>0</v>
      </c>
      <c r="S253" s="292">
        <f t="shared" si="68"/>
        <v>0</v>
      </c>
      <c r="T253" s="292">
        <f t="shared" si="7"/>
        <v>0</v>
      </c>
      <c r="U253" s="292">
        <f t="shared" si="8"/>
        <v>0</v>
      </c>
      <c r="V253" s="292">
        <f t="shared" si="69"/>
        <v>0</v>
      </c>
      <c r="W253" s="292">
        <f t="shared" si="70"/>
        <v>0</v>
      </c>
      <c r="X253" s="292">
        <f t="shared" si="71"/>
        <v>0</v>
      </c>
      <c r="Y253" s="292">
        <f t="shared" si="72"/>
        <v>0</v>
      </c>
      <c r="Z253" s="292">
        <f t="shared" si="47"/>
        <v>17840000</v>
      </c>
      <c r="AA253" s="292">
        <f t="shared" si="48"/>
        <v>0</v>
      </c>
      <c r="AB253" s="292">
        <f t="shared" si="9"/>
        <v>0</v>
      </c>
      <c r="AC253" s="292">
        <f t="shared" si="10"/>
        <v>0</v>
      </c>
      <c r="AD253" s="292">
        <f t="shared" si="11"/>
        <v>0</v>
      </c>
      <c r="AE253" s="292">
        <f t="shared" si="12"/>
        <v>0</v>
      </c>
      <c r="AF253" s="292">
        <f t="shared" si="13"/>
        <v>0</v>
      </c>
      <c r="AG253" s="292">
        <f t="shared" si="14"/>
        <v>0</v>
      </c>
      <c r="AH253" s="292">
        <f t="shared" si="15"/>
        <v>0</v>
      </c>
      <c r="AI253" s="292">
        <f t="shared" si="16"/>
        <v>0</v>
      </c>
      <c r="AJ253" s="292">
        <f t="shared" si="17"/>
        <v>0</v>
      </c>
      <c r="AK253" s="292">
        <f t="shared" si="18"/>
        <v>0</v>
      </c>
      <c r="AL253" s="292">
        <f t="shared" si="49"/>
        <v>0</v>
      </c>
      <c r="AM253" s="292">
        <f t="shared" si="50"/>
        <v>0</v>
      </c>
      <c r="AN253" s="292">
        <f t="shared" si="19"/>
        <v>0</v>
      </c>
      <c r="AO253" s="292">
        <f t="shared" si="20"/>
        <v>0</v>
      </c>
      <c r="AP253" s="292">
        <f t="shared" si="21"/>
        <v>0</v>
      </c>
      <c r="AQ253" s="292">
        <f t="shared" si="22"/>
        <v>0</v>
      </c>
      <c r="AR253" s="292">
        <f t="shared" si="23"/>
        <v>0</v>
      </c>
      <c r="AS253" s="292">
        <f t="shared" si="24"/>
        <v>0</v>
      </c>
      <c r="AT253" s="292">
        <f t="shared" si="25"/>
        <v>0</v>
      </c>
      <c r="AU253" s="292">
        <f t="shared" si="26"/>
        <v>0</v>
      </c>
      <c r="AV253" s="292">
        <f t="shared" si="27"/>
        <v>0</v>
      </c>
      <c r="AW253" s="292">
        <f t="shared" si="28"/>
        <v>0</v>
      </c>
      <c r="AX253" s="292">
        <f t="shared" si="29"/>
        <v>0</v>
      </c>
      <c r="AY253" s="292">
        <f t="shared" si="30"/>
        <v>0</v>
      </c>
      <c r="AZ253" s="292">
        <f t="shared" si="31"/>
        <v>0</v>
      </c>
      <c r="BA253" s="292">
        <f t="shared" si="32"/>
        <v>0</v>
      </c>
      <c r="BB253" s="292">
        <f t="shared" si="33"/>
        <v>0</v>
      </c>
      <c r="BC253" s="292">
        <f t="shared" si="34"/>
        <v>0</v>
      </c>
      <c r="BD253" s="292">
        <f t="shared" si="35"/>
        <v>0</v>
      </c>
      <c r="BE253" s="292">
        <f t="shared" si="36"/>
        <v>0</v>
      </c>
      <c r="BF253" s="292">
        <f t="shared" si="37"/>
        <v>0</v>
      </c>
      <c r="BG253" s="292">
        <f t="shared" si="38"/>
        <v>0</v>
      </c>
    </row>
    <row r="254" spans="1:59" s="289" customFormat="1" ht="15" customHeight="1">
      <c r="A254" s="63">
        <f t="array" ref="A254">IF(C254&lt;&gt;0,SUM(($C$11:C254&lt;&gt;0)*1),"")</f>
        <v>244</v>
      </c>
      <c r="B254" s="1099">
        <v>42462</v>
      </c>
      <c r="C254" s="290" t="s">
        <v>63</v>
      </c>
      <c r="D254" s="1099">
        <v>42379</v>
      </c>
      <c r="E254" s="344" t="s">
        <v>860</v>
      </c>
      <c r="F254" s="345">
        <v>1784000</v>
      </c>
      <c r="G254" s="346" t="s">
        <v>981</v>
      </c>
      <c r="H254" s="346" t="s">
        <v>97</v>
      </c>
      <c r="I254" s="63">
        <f t="shared" si="73"/>
        <v>244</v>
      </c>
      <c r="J254" s="292">
        <f t="shared" si="1"/>
        <v>0</v>
      </c>
      <c r="K254" s="292">
        <f t="shared" si="2"/>
        <v>1784000</v>
      </c>
      <c r="L254" s="292">
        <f t="shared" si="3"/>
        <v>0</v>
      </c>
      <c r="M254" s="292">
        <f t="shared" si="4"/>
        <v>0</v>
      </c>
      <c r="N254" s="292">
        <f t="shared" si="39"/>
        <v>0</v>
      </c>
      <c r="O254" s="292">
        <f t="shared" si="40"/>
        <v>0</v>
      </c>
      <c r="P254" s="292">
        <f t="shared" si="5"/>
        <v>0</v>
      </c>
      <c r="Q254" s="292">
        <f t="shared" si="6"/>
        <v>0</v>
      </c>
      <c r="R254" s="292">
        <f t="shared" si="67"/>
        <v>1784000</v>
      </c>
      <c r="S254" s="292">
        <f t="shared" si="68"/>
        <v>0</v>
      </c>
      <c r="T254" s="292">
        <f t="shared" si="7"/>
        <v>0</v>
      </c>
      <c r="U254" s="292">
        <f t="shared" si="8"/>
        <v>0</v>
      </c>
      <c r="V254" s="292">
        <f t="shared" si="69"/>
        <v>0</v>
      </c>
      <c r="W254" s="292">
        <f t="shared" si="70"/>
        <v>0</v>
      </c>
      <c r="X254" s="292">
        <f t="shared" si="71"/>
        <v>0</v>
      </c>
      <c r="Y254" s="292">
        <f t="shared" si="72"/>
        <v>0</v>
      </c>
      <c r="Z254" s="292">
        <f t="shared" si="47"/>
        <v>0</v>
      </c>
      <c r="AA254" s="292">
        <f t="shared" si="48"/>
        <v>0</v>
      </c>
      <c r="AB254" s="292">
        <f t="shared" si="9"/>
        <v>0</v>
      </c>
      <c r="AC254" s="292">
        <f t="shared" si="10"/>
        <v>0</v>
      </c>
      <c r="AD254" s="292">
        <f t="shared" si="11"/>
        <v>0</v>
      </c>
      <c r="AE254" s="292">
        <f t="shared" si="12"/>
        <v>0</v>
      </c>
      <c r="AF254" s="292">
        <f t="shared" si="13"/>
        <v>0</v>
      </c>
      <c r="AG254" s="292">
        <f t="shared" si="14"/>
        <v>0</v>
      </c>
      <c r="AH254" s="292">
        <f t="shared" si="15"/>
        <v>0</v>
      </c>
      <c r="AI254" s="292">
        <f t="shared" si="16"/>
        <v>0</v>
      </c>
      <c r="AJ254" s="292">
        <f t="shared" si="17"/>
        <v>0</v>
      </c>
      <c r="AK254" s="292">
        <f t="shared" si="18"/>
        <v>0</v>
      </c>
      <c r="AL254" s="292">
        <f t="shared" si="49"/>
        <v>0</v>
      </c>
      <c r="AM254" s="292">
        <f t="shared" si="50"/>
        <v>0</v>
      </c>
      <c r="AN254" s="292">
        <f t="shared" si="19"/>
        <v>0</v>
      </c>
      <c r="AO254" s="292">
        <f t="shared" si="20"/>
        <v>0</v>
      </c>
      <c r="AP254" s="292">
        <f t="shared" si="21"/>
        <v>0</v>
      </c>
      <c r="AQ254" s="292">
        <f t="shared" si="22"/>
        <v>0</v>
      </c>
      <c r="AR254" s="292">
        <f t="shared" si="23"/>
        <v>0</v>
      </c>
      <c r="AS254" s="292">
        <f t="shared" si="24"/>
        <v>0</v>
      </c>
      <c r="AT254" s="292">
        <f t="shared" si="25"/>
        <v>0</v>
      </c>
      <c r="AU254" s="292">
        <f t="shared" si="26"/>
        <v>0</v>
      </c>
      <c r="AV254" s="292">
        <f t="shared" si="27"/>
        <v>0</v>
      </c>
      <c r="AW254" s="292">
        <f t="shared" si="28"/>
        <v>0</v>
      </c>
      <c r="AX254" s="292">
        <f t="shared" si="29"/>
        <v>0</v>
      </c>
      <c r="AY254" s="292">
        <f t="shared" si="30"/>
        <v>0</v>
      </c>
      <c r="AZ254" s="292">
        <f t="shared" si="31"/>
        <v>0</v>
      </c>
      <c r="BA254" s="292">
        <f t="shared" si="32"/>
        <v>0</v>
      </c>
      <c r="BB254" s="292">
        <f t="shared" si="33"/>
        <v>0</v>
      </c>
      <c r="BC254" s="292">
        <f t="shared" si="34"/>
        <v>0</v>
      </c>
      <c r="BD254" s="292">
        <f t="shared" si="35"/>
        <v>0</v>
      </c>
      <c r="BE254" s="292">
        <f t="shared" si="36"/>
        <v>0</v>
      </c>
      <c r="BF254" s="292">
        <f t="shared" si="37"/>
        <v>0</v>
      </c>
      <c r="BG254" s="292">
        <f t="shared" si="38"/>
        <v>0</v>
      </c>
    </row>
    <row r="255" spans="1:59" s="289" customFormat="1" ht="15" customHeight="1">
      <c r="A255" s="63">
        <f t="array" ref="A255">IF(C255&lt;&gt;0,SUM(($C$11:C255&lt;&gt;0)*1),"")</f>
        <v>245</v>
      </c>
      <c r="B255" s="1099">
        <v>42462</v>
      </c>
      <c r="C255" s="290" t="s">
        <v>64</v>
      </c>
      <c r="D255" s="1099">
        <v>42388</v>
      </c>
      <c r="E255" s="344" t="s">
        <v>866</v>
      </c>
      <c r="F255" s="345">
        <v>16263636</v>
      </c>
      <c r="G255" s="346" t="s">
        <v>242</v>
      </c>
      <c r="H255" s="346" t="s">
        <v>97</v>
      </c>
      <c r="I255" s="63">
        <f t="shared" si="73"/>
        <v>245</v>
      </c>
      <c r="J255" s="292">
        <f t="shared" si="1"/>
        <v>0</v>
      </c>
      <c r="K255" s="292">
        <f t="shared" si="2"/>
        <v>16263636</v>
      </c>
      <c r="L255" s="292">
        <f t="shared" si="3"/>
        <v>0</v>
      </c>
      <c r="M255" s="292">
        <f t="shared" si="4"/>
        <v>0</v>
      </c>
      <c r="N255" s="292">
        <f t="shared" si="39"/>
        <v>0</v>
      </c>
      <c r="O255" s="292">
        <f t="shared" si="40"/>
        <v>0</v>
      </c>
      <c r="P255" s="292">
        <f t="shared" si="5"/>
        <v>0</v>
      </c>
      <c r="Q255" s="292">
        <f t="shared" si="6"/>
        <v>0</v>
      </c>
      <c r="R255" s="292">
        <f t="shared" si="67"/>
        <v>0</v>
      </c>
      <c r="S255" s="292">
        <f t="shared" si="68"/>
        <v>0</v>
      </c>
      <c r="T255" s="292">
        <f t="shared" si="7"/>
        <v>0</v>
      </c>
      <c r="U255" s="292">
        <f t="shared" si="8"/>
        <v>0</v>
      </c>
      <c r="V255" s="292">
        <f t="shared" si="69"/>
        <v>0</v>
      </c>
      <c r="W255" s="292">
        <f t="shared" si="70"/>
        <v>0</v>
      </c>
      <c r="X255" s="292">
        <f t="shared" si="71"/>
        <v>0</v>
      </c>
      <c r="Y255" s="292">
        <f t="shared" si="72"/>
        <v>0</v>
      </c>
      <c r="Z255" s="292">
        <f t="shared" si="47"/>
        <v>16263636</v>
      </c>
      <c r="AA255" s="292">
        <f t="shared" si="48"/>
        <v>0</v>
      </c>
      <c r="AB255" s="292">
        <f t="shared" si="9"/>
        <v>0</v>
      </c>
      <c r="AC255" s="292">
        <f t="shared" si="10"/>
        <v>0</v>
      </c>
      <c r="AD255" s="292">
        <f t="shared" si="11"/>
        <v>0</v>
      </c>
      <c r="AE255" s="292">
        <f t="shared" si="12"/>
        <v>0</v>
      </c>
      <c r="AF255" s="292">
        <f t="shared" si="13"/>
        <v>0</v>
      </c>
      <c r="AG255" s="292">
        <f t="shared" si="14"/>
        <v>0</v>
      </c>
      <c r="AH255" s="292">
        <f t="shared" si="15"/>
        <v>0</v>
      </c>
      <c r="AI255" s="292">
        <f t="shared" si="16"/>
        <v>0</v>
      </c>
      <c r="AJ255" s="292">
        <f t="shared" si="17"/>
        <v>0</v>
      </c>
      <c r="AK255" s="292">
        <f t="shared" si="18"/>
        <v>0</v>
      </c>
      <c r="AL255" s="292">
        <f t="shared" si="49"/>
        <v>0</v>
      </c>
      <c r="AM255" s="292">
        <f t="shared" si="50"/>
        <v>0</v>
      </c>
      <c r="AN255" s="292">
        <f t="shared" si="19"/>
        <v>0</v>
      </c>
      <c r="AO255" s="292">
        <f t="shared" si="20"/>
        <v>0</v>
      </c>
      <c r="AP255" s="292">
        <f t="shared" si="21"/>
        <v>0</v>
      </c>
      <c r="AQ255" s="292">
        <f t="shared" si="22"/>
        <v>0</v>
      </c>
      <c r="AR255" s="292">
        <f t="shared" si="23"/>
        <v>0</v>
      </c>
      <c r="AS255" s="292">
        <f t="shared" si="24"/>
        <v>0</v>
      </c>
      <c r="AT255" s="292">
        <f t="shared" si="25"/>
        <v>0</v>
      </c>
      <c r="AU255" s="292">
        <f t="shared" si="26"/>
        <v>0</v>
      </c>
      <c r="AV255" s="292">
        <f t="shared" si="27"/>
        <v>0</v>
      </c>
      <c r="AW255" s="292">
        <f t="shared" si="28"/>
        <v>0</v>
      </c>
      <c r="AX255" s="292">
        <f t="shared" si="29"/>
        <v>0</v>
      </c>
      <c r="AY255" s="292">
        <f t="shared" si="30"/>
        <v>0</v>
      </c>
      <c r="AZ255" s="292">
        <f t="shared" si="31"/>
        <v>0</v>
      </c>
      <c r="BA255" s="292">
        <f t="shared" si="32"/>
        <v>0</v>
      </c>
      <c r="BB255" s="292">
        <f t="shared" si="33"/>
        <v>0</v>
      </c>
      <c r="BC255" s="292">
        <f t="shared" si="34"/>
        <v>0</v>
      </c>
      <c r="BD255" s="292">
        <f t="shared" si="35"/>
        <v>0</v>
      </c>
      <c r="BE255" s="292">
        <f t="shared" si="36"/>
        <v>0</v>
      </c>
      <c r="BF255" s="292">
        <f t="shared" si="37"/>
        <v>0</v>
      </c>
      <c r="BG255" s="292">
        <f t="shared" si="38"/>
        <v>0</v>
      </c>
    </row>
    <row r="256" spans="1:59" s="289" customFormat="1" ht="15" customHeight="1">
      <c r="A256" s="63">
        <f t="array" ref="A256">IF(C256&lt;&gt;0,SUM(($C$11:C256&lt;&gt;0)*1),"")</f>
        <v>246</v>
      </c>
      <c r="B256" s="1099">
        <v>42462</v>
      </c>
      <c r="C256" s="290" t="s">
        <v>64</v>
      </c>
      <c r="D256" s="1099">
        <v>42388</v>
      </c>
      <c r="E256" s="344" t="s">
        <v>867</v>
      </c>
      <c r="F256" s="345">
        <v>1626364</v>
      </c>
      <c r="G256" s="346" t="s">
        <v>981</v>
      </c>
      <c r="H256" s="346" t="s">
        <v>97</v>
      </c>
      <c r="I256" s="63">
        <f t="shared" si="73"/>
        <v>246</v>
      </c>
      <c r="J256" s="292">
        <f t="shared" si="1"/>
        <v>0</v>
      </c>
      <c r="K256" s="292">
        <f t="shared" si="2"/>
        <v>1626364</v>
      </c>
      <c r="L256" s="292">
        <f t="shared" si="3"/>
        <v>0</v>
      </c>
      <c r="M256" s="292">
        <f t="shared" si="4"/>
        <v>0</v>
      </c>
      <c r="N256" s="292">
        <f t="shared" si="39"/>
        <v>0</v>
      </c>
      <c r="O256" s="292">
        <f t="shared" si="40"/>
        <v>0</v>
      </c>
      <c r="P256" s="292">
        <f t="shared" si="5"/>
        <v>0</v>
      </c>
      <c r="Q256" s="292">
        <f t="shared" si="6"/>
        <v>0</v>
      </c>
      <c r="R256" s="292">
        <f t="shared" si="67"/>
        <v>1626364</v>
      </c>
      <c r="S256" s="292">
        <f t="shared" si="68"/>
        <v>0</v>
      </c>
      <c r="T256" s="292">
        <f t="shared" si="7"/>
        <v>0</v>
      </c>
      <c r="U256" s="292">
        <f t="shared" si="8"/>
        <v>0</v>
      </c>
      <c r="V256" s="292">
        <f t="shared" si="69"/>
        <v>0</v>
      </c>
      <c r="W256" s="292">
        <f t="shared" si="70"/>
        <v>0</v>
      </c>
      <c r="X256" s="292">
        <f t="shared" si="71"/>
        <v>0</v>
      </c>
      <c r="Y256" s="292">
        <f t="shared" si="72"/>
        <v>0</v>
      </c>
      <c r="Z256" s="292">
        <f t="shared" si="47"/>
        <v>0</v>
      </c>
      <c r="AA256" s="292">
        <f t="shared" si="48"/>
        <v>0</v>
      </c>
      <c r="AB256" s="292">
        <f t="shared" si="9"/>
        <v>0</v>
      </c>
      <c r="AC256" s="292">
        <f t="shared" si="10"/>
        <v>0</v>
      </c>
      <c r="AD256" s="292">
        <f t="shared" si="11"/>
        <v>0</v>
      </c>
      <c r="AE256" s="292">
        <f t="shared" si="12"/>
        <v>0</v>
      </c>
      <c r="AF256" s="292">
        <f t="shared" si="13"/>
        <v>0</v>
      </c>
      <c r="AG256" s="292">
        <f t="shared" si="14"/>
        <v>0</v>
      </c>
      <c r="AH256" s="292">
        <f t="shared" si="15"/>
        <v>0</v>
      </c>
      <c r="AI256" s="292">
        <f t="shared" si="16"/>
        <v>0</v>
      </c>
      <c r="AJ256" s="292">
        <f t="shared" si="17"/>
        <v>0</v>
      </c>
      <c r="AK256" s="292">
        <f t="shared" si="18"/>
        <v>0</v>
      </c>
      <c r="AL256" s="292">
        <f t="shared" si="49"/>
        <v>0</v>
      </c>
      <c r="AM256" s="292">
        <f t="shared" si="50"/>
        <v>0</v>
      </c>
      <c r="AN256" s="292">
        <f t="shared" si="19"/>
        <v>0</v>
      </c>
      <c r="AO256" s="292">
        <f t="shared" si="20"/>
        <v>0</v>
      </c>
      <c r="AP256" s="292">
        <f t="shared" si="21"/>
        <v>0</v>
      </c>
      <c r="AQ256" s="292">
        <f t="shared" si="22"/>
        <v>0</v>
      </c>
      <c r="AR256" s="292">
        <f t="shared" si="23"/>
        <v>0</v>
      </c>
      <c r="AS256" s="292">
        <f t="shared" si="24"/>
        <v>0</v>
      </c>
      <c r="AT256" s="292">
        <f t="shared" si="25"/>
        <v>0</v>
      </c>
      <c r="AU256" s="292">
        <f t="shared" si="26"/>
        <v>0</v>
      </c>
      <c r="AV256" s="292">
        <f t="shared" si="27"/>
        <v>0</v>
      </c>
      <c r="AW256" s="292">
        <f t="shared" si="28"/>
        <v>0</v>
      </c>
      <c r="AX256" s="292">
        <f t="shared" si="29"/>
        <v>0</v>
      </c>
      <c r="AY256" s="292">
        <f t="shared" si="30"/>
        <v>0</v>
      </c>
      <c r="AZ256" s="292">
        <f t="shared" si="31"/>
        <v>0</v>
      </c>
      <c r="BA256" s="292">
        <f t="shared" si="32"/>
        <v>0</v>
      </c>
      <c r="BB256" s="292">
        <f t="shared" si="33"/>
        <v>0</v>
      </c>
      <c r="BC256" s="292">
        <f t="shared" si="34"/>
        <v>0</v>
      </c>
      <c r="BD256" s="292">
        <f t="shared" si="35"/>
        <v>0</v>
      </c>
      <c r="BE256" s="292">
        <f t="shared" si="36"/>
        <v>0</v>
      </c>
      <c r="BF256" s="292">
        <f t="shared" si="37"/>
        <v>0</v>
      </c>
      <c r="BG256" s="292">
        <f t="shared" si="38"/>
        <v>0</v>
      </c>
    </row>
    <row r="257" spans="1:59" s="289" customFormat="1" ht="15" customHeight="1">
      <c r="A257" s="63">
        <f t="array" ref="A257">IF(C257&lt;&gt;0,SUM(($C$11:C257&lt;&gt;0)*1),"")</f>
        <v>247</v>
      </c>
      <c r="B257" s="1099">
        <v>42462</v>
      </c>
      <c r="C257" s="290" t="s">
        <v>65</v>
      </c>
      <c r="D257" s="1099">
        <v>42462</v>
      </c>
      <c r="E257" s="344" t="s">
        <v>399</v>
      </c>
      <c r="F257" s="345">
        <v>1935000</v>
      </c>
      <c r="G257" s="346" t="s">
        <v>242</v>
      </c>
      <c r="H257" s="346" t="s">
        <v>97</v>
      </c>
      <c r="I257" s="63">
        <f t="shared" si="73"/>
        <v>247</v>
      </c>
      <c r="J257" s="292">
        <f t="shared" si="1"/>
        <v>0</v>
      </c>
      <c r="K257" s="292">
        <f t="shared" si="2"/>
        <v>1935000</v>
      </c>
      <c r="L257" s="292">
        <f t="shared" si="3"/>
        <v>0</v>
      </c>
      <c r="M257" s="292">
        <f t="shared" si="4"/>
        <v>0</v>
      </c>
      <c r="N257" s="292">
        <f t="shared" si="39"/>
        <v>0</v>
      </c>
      <c r="O257" s="292">
        <f t="shared" si="40"/>
        <v>0</v>
      </c>
      <c r="P257" s="292">
        <f t="shared" si="5"/>
        <v>0</v>
      </c>
      <c r="Q257" s="292">
        <f t="shared" si="6"/>
        <v>0</v>
      </c>
      <c r="R257" s="292">
        <f t="shared" si="67"/>
        <v>0</v>
      </c>
      <c r="S257" s="292">
        <f t="shared" si="68"/>
        <v>0</v>
      </c>
      <c r="T257" s="292">
        <f t="shared" si="7"/>
        <v>0</v>
      </c>
      <c r="U257" s="292">
        <f t="shared" si="8"/>
        <v>0</v>
      </c>
      <c r="V257" s="292">
        <f t="shared" si="69"/>
        <v>0</v>
      </c>
      <c r="W257" s="292">
        <f t="shared" si="70"/>
        <v>0</v>
      </c>
      <c r="X257" s="292">
        <f t="shared" si="71"/>
        <v>0</v>
      </c>
      <c r="Y257" s="292">
        <f t="shared" si="72"/>
        <v>0</v>
      </c>
      <c r="Z257" s="292">
        <f t="shared" si="47"/>
        <v>1935000</v>
      </c>
      <c r="AA257" s="292">
        <f t="shared" si="48"/>
        <v>0</v>
      </c>
      <c r="AB257" s="292">
        <f t="shared" si="9"/>
        <v>0</v>
      </c>
      <c r="AC257" s="292">
        <f t="shared" si="10"/>
        <v>0</v>
      </c>
      <c r="AD257" s="292">
        <f t="shared" si="11"/>
        <v>0</v>
      </c>
      <c r="AE257" s="292">
        <f t="shared" si="12"/>
        <v>0</v>
      </c>
      <c r="AF257" s="292">
        <f t="shared" si="13"/>
        <v>0</v>
      </c>
      <c r="AG257" s="292">
        <f t="shared" si="14"/>
        <v>0</v>
      </c>
      <c r="AH257" s="292">
        <f t="shared" si="15"/>
        <v>0</v>
      </c>
      <c r="AI257" s="292">
        <f t="shared" si="16"/>
        <v>0</v>
      </c>
      <c r="AJ257" s="292">
        <f t="shared" si="17"/>
        <v>0</v>
      </c>
      <c r="AK257" s="292">
        <f t="shared" si="18"/>
        <v>0</v>
      </c>
      <c r="AL257" s="292">
        <f t="shared" si="49"/>
        <v>0</v>
      </c>
      <c r="AM257" s="292">
        <f t="shared" si="50"/>
        <v>0</v>
      </c>
      <c r="AN257" s="292">
        <f t="shared" si="19"/>
        <v>0</v>
      </c>
      <c r="AO257" s="292">
        <f t="shared" si="20"/>
        <v>0</v>
      </c>
      <c r="AP257" s="292">
        <f t="shared" si="21"/>
        <v>0</v>
      </c>
      <c r="AQ257" s="292">
        <f t="shared" si="22"/>
        <v>0</v>
      </c>
      <c r="AR257" s="292">
        <f t="shared" si="23"/>
        <v>0</v>
      </c>
      <c r="AS257" s="292">
        <f t="shared" si="24"/>
        <v>0</v>
      </c>
      <c r="AT257" s="292">
        <f t="shared" si="25"/>
        <v>0</v>
      </c>
      <c r="AU257" s="292">
        <f t="shared" si="26"/>
        <v>0</v>
      </c>
      <c r="AV257" s="292">
        <f t="shared" si="27"/>
        <v>0</v>
      </c>
      <c r="AW257" s="292">
        <f t="shared" si="28"/>
        <v>0</v>
      </c>
      <c r="AX257" s="292">
        <f t="shared" si="29"/>
        <v>0</v>
      </c>
      <c r="AY257" s="292">
        <f t="shared" si="30"/>
        <v>0</v>
      </c>
      <c r="AZ257" s="292">
        <f t="shared" si="31"/>
        <v>0</v>
      </c>
      <c r="BA257" s="292">
        <f t="shared" si="32"/>
        <v>0</v>
      </c>
      <c r="BB257" s="292">
        <f t="shared" si="33"/>
        <v>0</v>
      </c>
      <c r="BC257" s="292">
        <f t="shared" si="34"/>
        <v>0</v>
      </c>
      <c r="BD257" s="292">
        <f t="shared" si="35"/>
        <v>0</v>
      </c>
      <c r="BE257" s="292">
        <f t="shared" si="36"/>
        <v>0</v>
      </c>
      <c r="BF257" s="292">
        <f t="shared" si="37"/>
        <v>0</v>
      </c>
      <c r="BG257" s="292">
        <f t="shared" si="38"/>
        <v>0</v>
      </c>
    </row>
    <row r="258" spans="1:59" s="289" customFormat="1" ht="15" customHeight="1">
      <c r="A258" s="63">
        <f t="array" ref="A258">IF(C258&lt;&gt;0,SUM(($C$11:C258&lt;&gt;0)*1),"")</f>
        <v>248</v>
      </c>
      <c r="B258" s="1099">
        <v>42462</v>
      </c>
      <c r="C258" s="290" t="s">
        <v>70</v>
      </c>
      <c r="D258" s="1099">
        <v>42462</v>
      </c>
      <c r="E258" s="344" t="s">
        <v>852</v>
      </c>
      <c r="F258" s="345">
        <v>2200000</v>
      </c>
      <c r="G258" s="346" t="s">
        <v>135</v>
      </c>
      <c r="H258" s="346" t="s">
        <v>97</v>
      </c>
      <c r="I258" s="63">
        <f t="shared" si="73"/>
        <v>248</v>
      </c>
      <c r="J258" s="292">
        <f t="shared" si="1"/>
        <v>0</v>
      </c>
      <c r="K258" s="292">
        <f t="shared" si="2"/>
        <v>2200000</v>
      </c>
      <c r="L258" s="292">
        <f t="shared" si="3"/>
        <v>0</v>
      </c>
      <c r="M258" s="292">
        <f t="shared" si="4"/>
        <v>0</v>
      </c>
      <c r="N258" s="292">
        <f t="shared" si="39"/>
        <v>0</v>
      </c>
      <c r="O258" s="292">
        <f t="shared" si="40"/>
        <v>0</v>
      </c>
      <c r="P258" s="292">
        <f t="shared" si="5"/>
        <v>0</v>
      </c>
      <c r="Q258" s="292">
        <f t="shared" si="6"/>
        <v>0</v>
      </c>
      <c r="R258" s="292">
        <f t="shared" si="67"/>
        <v>0</v>
      </c>
      <c r="S258" s="292">
        <f t="shared" si="68"/>
        <v>0</v>
      </c>
      <c r="T258" s="292">
        <f t="shared" si="7"/>
        <v>0</v>
      </c>
      <c r="U258" s="292">
        <f t="shared" si="8"/>
        <v>0</v>
      </c>
      <c r="V258" s="292">
        <f t="shared" si="69"/>
        <v>0</v>
      </c>
      <c r="W258" s="292">
        <f t="shared" si="70"/>
        <v>0</v>
      </c>
      <c r="X258" s="292">
        <f t="shared" si="71"/>
        <v>0</v>
      </c>
      <c r="Y258" s="292">
        <f t="shared" si="72"/>
        <v>0</v>
      </c>
      <c r="Z258" s="292">
        <f t="shared" si="47"/>
        <v>0</v>
      </c>
      <c r="AA258" s="292">
        <f t="shared" si="48"/>
        <v>0</v>
      </c>
      <c r="AB258" s="292">
        <f t="shared" si="9"/>
        <v>0</v>
      </c>
      <c r="AC258" s="292">
        <f t="shared" si="10"/>
        <v>0</v>
      </c>
      <c r="AD258" s="292">
        <f t="shared" si="11"/>
        <v>0</v>
      </c>
      <c r="AE258" s="292">
        <f t="shared" si="12"/>
        <v>0</v>
      </c>
      <c r="AF258" s="292">
        <f t="shared" si="13"/>
        <v>0</v>
      </c>
      <c r="AG258" s="292">
        <f t="shared" si="14"/>
        <v>0</v>
      </c>
      <c r="AH258" s="292">
        <f t="shared" si="15"/>
        <v>0</v>
      </c>
      <c r="AI258" s="292">
        <f t="shared" si="16"/>
        <v>0</v>
      </c>
      <c r="AJ258" s="292">
        <f t="shared" si="17"/>
        <v>0</v>
      </c>
      <c r="AK258" s="292">
        <f t="shared" si="18"/>
        <v>0</v>
      </c>
      <c r="AL258" s="292">
        <f t="shared" si="49"/>
        <v>0</v>
      </c>
      <c r="AM258" s="292">
        <f t="shared" si="50"/>
        <v>0</v>
      </c>
      <c r="AN258" s="292">
        <f t="shared" si="19"/>
        <v>0</v>
      </c>
      <c r="AO258" s="292">
        <f t="shared" si="20"/>
        <v>0</v>
      </c>
      <c r="AP258" s="292">
        <f t="shared" si="21"/>
        <v>0</v>
      </c>
      <c r="AQ258" s="292">
        <f t="shared" si="22"/>
        <v>0</v>
      </c>
      <c r="AR258" s="292">
        <f t="shared" si="23"/>
        <v>0</v>
      </c>
      <c r="AS258" s="292">
        <f t="shared" si="24"/>
        <v>0</v>
      </c>
      <c r="AT258" s="292">
        <f t="shared" si="25"/>
        <v>0</v>
      </c>
      <c r="AU258" s="292">
        <f t="shared" si="26"/>
        <v>0</v>
      </c>
      <c r="AV258" s="292">
        <f t="shared" si="27"/>
        <v>0</v>
      </c>
      <c r="AW258" s="292">
        <f t="shared" si="28"/>
        <v>0</v>
      </c>
      <c r="AX258" s="292">
        <f t="shared" si="29"/>
        <v>2200000</v>
      </c>
      <c r="AY258" s="292">
        <f t="shared" si="30"/>
        <v>0</v>
      </c>
      <c r="AZ258" s="292">
        <f t="shared" si="31"/>
        <v>0</v>
      </c>
      <c r="BA258" s="292">
        <f t="shared" si="32"/>
        <v>0</v>
      </c>
      <c r="BB258" s="292">
        <f t="shared" si="33"/>
        <v>0</v>
      </c>
      <c r="BC258" s="292">
        <f t="shared" si="34"/>
        <v>0</v>
      </c>
      <c r="BD258" s="292">
        <f t="shared" si="35"/>
        <v>0</v>
      </c>
      <c r="BE258" s="292">
        <f t="shared" si="36"/>
        <v>0</v>
      </c>
      <c r="BF258" s="292">
        <f t="shared" si="37"/>
        <v>0</v>
      </c>
      <c r="BG258" s="292">
        <f t="shared" si="38"/>
        <v>0</v>
      </c>
    </row>
    <row r="259" spans="1:59" s="289" customFormat="1" ht="15" customHeight="1">
      <c r="A259" s="63">
        <f t="array" ref="A259">IF(C259&lt;&gt;0,SUM(($C$11:C259&lt;&gt;0)*1),"")</f>
        <v>249</v>
      </c>
      <c r="B259" s="1099">
        <v>42462</v>
      </c>
      <c r="C259" s="290" t="s">
        <v>70</v>
      </c>
      <c r="D259" s="1099">
        <v>42462</v>
      </c>
      <c r="E259" s="344" t="s">
        <v>853</v>
      </c>
      <c r="F259" s="345">
        <v>220000</v>
      </c>
      <c r="G259" s="346" t="s">
        <v>10</v>
      </c>
      <c r="H259" s="346" t="s">
        <v>97</v>
      </c>
      <c r="I259" s="63">
        <f t="shared" si="73"/>
        <v>249</v>
      </c>
      <c r="J259" s="292">
        <f t="shared" si="1"/>
        <v>0</v>
      </c>
      <c r="K259" s="292">
        <f t="shared" si="2"/>
        <v>220000</v>
      </c>
      <c r="L259" s="292">
        <f t="shared" si="3"/>
        <v>0</v>
      </c>
      <c r="M259" s="292">
        <f t="shared" si="4"/>
        <v>0</v>
      </c>
      <c r="N259" s="292">
        <f t="shared" si="39"/>
        <v>0</v>
      </c>
      <c r="O259" s="292">
        <f t="shared" si="40"/>
        <v>0</v>
      </c>
      <c r="P259" s="292">
        <f t="shared" si="5"/>
        <v>220000</v>
      </c>
      <c r="Q259" s="292">
        <f t="shared" si="6"/>
        <v>0</v>
      </c>
      <c r="R259" s="292">
        <f t="shared" si="67"/>
        <v>0</v>
      </c>
      <c r="S259" s="292">
        <f t="shared" si="68"/>
        <v>0</v>
      </c>
      <c r="T259" s="292">
        <f t="shared" si="7"/>
        <v>0</v>
      </c>
      <c r="U259" s="292">
        <f t="shared" si="8"/>
        <v>0</v>
      </c>
      <c r="V259" s="292">
        <f t="shared" si="69"/>
        <v>0</v>
      </c>
      <c r="W259" s="292">
        <f t="shared" si="70"/>
        <v>0</v>
      </c>
      <c r="X259" s="292">
        <f t="shared" si="71"/>
        <v>0</v>
      </c>
      <c r="Y259" s="292">
        <f t="shared" si="72"/>
        <v>0</v>
      </c>
      <c r="Z259" s="292">
        <f t="shared" si="47"/>
        <v>0</v>
      </c>
      <c r="AA259" s="292">
        <f t="shared" si="48"/>
        <v>0</v>
      </c>
      <c r="AB259" s="292">
        <f t="shared" si="9"/>
        <v>0</v>
      </c>
      <c r="AC259" s="292">
        <f t="shared" si="10"/>
        <v>0</v>
      </c>
      <c r="AD259" s="292">
        <f t="shared" si="11"/>
        <v>0</v>
      </c>
      <c r="AE259" s="292">
        <f t="shared" si="12"/>
        <v>0</v>
      </c>
      <c r="AF259" s="292">
        <f t="shared" si="13"/>
        <v>0</v>
      </c>
      <c r="AG259" s="292">
        <f t="shared" si="14"/>
        <v>0</v>
      </c>
      <c r="AH259" s="292">
        <f t="shared" si="15"/>
        <v>0</v>
      </c>
      <c r="AI259" s="292">
        <f t="shared" si="16"/>
        <v>0</v>
      </c>
      <c r="AJ259" s="292">
        <f t="shared" si="17"/>
        <v>0</v>
      </c>
      <c r="AK259" s="292">
        <f t="shared" si="18"/>
        <v>0</v>
      </c>
      <c r="AL259" s="292">
        <f t="shared" si="49"/>
        <v>0</v>
      </c>
      <c r="AM259" s="292">
        <f t="shared" si="50"/>
        <v>0</v>
      </c>
      <c r="AN259" s="292">
        <f t="shared" si="19"/>
        <v>0</v>
      </c>
      <c r="AO259" s="292">
        <f t="shared" si="20"/>
        <v>0</v>
      </c>
      <c r="AP259" s="292">
        <f t="shared" si="21"/>
        <v>0</v>
      </c>
      <c r="AQ259" s="292">
        <f t="shared" si="22"/>
        <v>0</v>
      </c>
      <c r="AR259" s="292">
        <f t="shared" si="23"/>
        <v>0</v>
      </c>
      <c r="AS259" s="292">
        <f t="shared" si="24"/>
        <v>0</v>
      </c>
      <c r="AT259" s="292">
        <f t="shared" si="25"/>
        <v>0</v>
      </c>
      <c r="AU259" s="292">
        <f t="shared" si="26"/>
        <v>0</v>
      </c>
      <c r="AV259" s="292">
        <f t="shared" si="27"/>
        <v>0</v>
      </c>
      <c r="AW259" s="292">
        <f t="shared" si="28"/>
        <v>0</v>
      </c>
      <c r="AX259" s="292">
        <f t="shared" si="29"/>
        <v>0</v>
      </c>
      <c r="AY259" s="292">
        <f t="shared" si="30"/>
        <v>0</v>
      </c>
      <c r="AZ259" s="292">
        <f t="shared" si="31"/>
        <v>0</v>
      </c>
      <c r="BA259" s="292">
        <f t="shared" si="32"/>
        <v>0</v>
      </c>
      <c r="BB259" s="292">
        <f t="shared" si="33"/>
        <v>0</v>
      </c>
      <c r="BC259" s="292">
        <f t="shared" si="34"/>
        <v>0</v>
      </c>
      <c r="BD259" s="292">
        <f t="shared" si="35"/>
        <v>0</v>
      </c>
      <c r="BE259" s="292">
        <f t="shared" si="36"/>
        <v>0</v>
      </c>
      <c r="BF259" s="292">
        <f t="shared" si="37"/>
        <v>0</v>
      </c>
      <c r="BG259" s="292">
        <f t="shared" si="38"/>
        <v>0</v>
      </c>
    </row>
    <row r="260" spans="1:59" s="289" customFormat="1" ht="15" customHeight="1">
      <c r="A260" s="63">
        <f t="array" ref="A260">IF(C260&lt;&gt;0,SUM(($C$11:C260&lt;&gt;0)*1),"")</f>
        <v>250</v>
      </c>
      <c r="B260" s="1099">
        <v>42467</v>
      </c>
      <c r="C260" s="290" t="s">
        <v>71</v>
      </c>
      <c r="D260" s="1099">
        <v>42467</v>
      </c>
      <c r="E260" s="344" t="s">
        <v>399</v>
      </c>
      <c r="F260" s="345">
        <v>1287000</v>
      </c>
      <c r="G260" s="346" t="s">
        <v>242</v>
      </c>
      <c r="H260" s="346" t="s">
        <v>97</v>
      </c>
      <c r="I260" s="63">
        <f t="shared" si="73"/>
        <v>250</v>
      </c>
      <c r="J260" s="292">
        <f t="shared" si="1"/>
        <v>0</v>
      </c>
      <c r="K260" s="292">
        <f t="shared" si="2"/>
        <v>1287000</v>
      </c>
      <c r="L260" s="292">
        <f t="shared" si="3"/>
        <v>0</v>
      </c>
      <c r="M260" s="292">
        <f t="shared" si="4"/>
        <v>0</v>
      </c>
      <c r="N260" s="292">
        <f t="shared" si="39"/>
        <v>0</v>
      </c>
      <c r="O260" s="292">
        <f t="shared" si="40"/>
        <v>0</v>
      </c>
      <c r="P260" s="292">
        <f t="shared" si="5"/>
        <v>0</v>
      </c>
      <c r="Q260" s="292">
        <f t="shared" si="6"/>
        <v>0</v>
      </c>
      <c r="R260" s="292">
        <f t="shared" si="67"/>
        <v>0</v>
      </c>
      <c r="S260" s="292">
        <f t="shared" si="68"/>
        <v>0</v>
      </c>
      <c r="T260" s="292">
        <f t="shared" si="7"/>
        <v>0</v>
      </c>
      <c r="U260" s="292">
        <f t="shared" si="8"/>
        <v>0</v>
      </c>
      <c r="V260" s="292">
        <f t="shared" si="69"/>
        <v>0</v>
      </c>
      <c r="W260" s="292">
        <f t="shared" si="70"/>
        <v>0</v>
      </c>
      <c r="X260" s="292">
        <f t="shared" si="71"/>
        <v>0</v>
      </c>
      <c r="Y260" s="292">
        <f t="shared" si="72"/>
        <v>0</v>
      </c>
      <c r="Z260" s="292">
        <f t="shared" si="47"/>
        <v>1287000</v>
      </c>
      <c r="AA260" s="292">
        <f t="shared" si="48"/>
        <v>0</v>
      </c>
      <c r="AB260" s="292">
        <f t="shared" si="9"/>
        <v>0</v>
      </c>
      <c r="AC260" s="292">
        <f t="shared" si="10"/>
        <v>0</v>
      </c>
      <c r="AD260" s="292">
        <f t="shared" si="11"/>
        <v>0</v>
      </c>
      <c r="AE260" s="292">
        <f t="shared" si="12"/>
        <v>0</v>
      </c>
      <c r="AF260" s="292">
        <f t="shared" si="13"/>
        <v>0</v>
      </c>
      <c r="AG260" s="292">
        <f t="shared" si="14"/>
        <v>0</v>
      </c>
      <c r="AH260" s="292">
        <f t="shared" si="15"/>
        <v>0</v>
      </c>
      <c r="AI260" s="292">
        <f t="shared" si="16"/>
        <v>0</v>
      </c>
      <c r="AJ260" s="292">
        <f t="shared" si="17"/>
        <v>0</v>
      </c>
      <c r="AK260" s="292">
        <f t="shared" si="18"/>
        <v>0</v>
      </c>
      <c r="AL260" s="292">
        <f t="shared" si="49"/>
        <v>0</v>
      </c>
      <c r="AM260" s="292">
        <f t="shared" si="50"/>
        <v>0</v>
      </c>
      <c r="AN260" s="292">
        <f t="shared" si="19"/>
        <v>0</v>
      </c>
      <c r="AO260" s="292">
        <f t="shared" si="20"/>
        <v>0</v>
      </c>
      <c r="AP260" s="292">
        <f t="shared" si="21"/>
        <v>0</v>
      </c>
      <c r="AQ260" s="292">
        <f t="shared" si="22"/>
        <v>0</v>
      </c>
      <c r="AR260" s="292">
        <f t="shared" si="23"/>
        <v>0</v>
      </c>
      <c r="AS260" s="292">
        <f t="shared" si="24"/>
        <v>0</v>
      </c>
      <c r="AT260" s="292">
        <f t="shared" si="25"/>
        <v>0</v>
      </c>
      <c r="AU260" s="292">
        <f t="shared" si="26"/>
        <v>0</v>
      </c>
      <c r="AV260" s="292">
        <f t="shared" si="27"/>
        <v>0</v>
      </c>
      <c r="AW260" s="292">
        <f t="shared" si="28"/>
        <v>0</v>
      </c>
      <c r="AX260" s="292">
        <f t="shared" si="29"/>
        <v>0</v>
      </c>
      <c r="AY260" s="292">
        <f t="shared" si="30"/>
        <v>0</v>
      </c>
      <c r="AZ260" s="292">
        <f t="shared" si="31"/>
        <v>0</v>
      </c>
      <c r="BA260" s="292">
        <f t="shared" si="32"/>
        <v>0</v>
      </c>
      <c r="BB260" s="292">
        <f t="shared" si="33"/>
        <v>0</v>
      </c>
      <c r="BC260" s="292">
        <f t="shared" si="34"/>
        <v>0</v>
      </c>
      <c r="BD260" s="292">
        <f t="shared" si="35"/>
        <v>0</v>
      </c>
      <c r="BE260" s="292">
        <f t="shared" si="36"/>
        <v>0</v>
      </c>
      <c r="BF260" s="292">
        <f t="shared" si="37"/>
        <v>0</v>
      </c>
      <c r="BG260" s="292">
        <f t="shared" si="38"/>
        <v>0</v>
      </c>
    </row>
    <row r="261" spans="1:59" s="289" customFormat="1" ht="15" customHeight="1">
      <c r="A261" s="63">
        <f t="array" ref="A261">IF(C261&lt;&gt;0,SUM(($C$11:C261&lt;&gt;0)*1),"")</f>
        <v>251</v>
      </c>
      <c r="B261" s="1099">
        <v>42470</v>
      </c>
      <c r="C261" s="290" t="s">
        <v>72</v>
      </c>
      <c r="D261" s="1099">
        <v>42470</v>
      </c>
      <c r="E261" s="344" t="s">
        <v>849</v>
      </c>
      <c r="F261" s="345">
        <v>6818182</v>
      </c>
      <c r="G261" s="346" t="s">
        <v>135</v>
      </c>
      <c r="H261" s="346" t="s">
        <v>97</v>
      </c>
      <c r="I261" s="63">
        <f t="shared" si="73"/>
        <v>251</v>
      </c>
      <c r="J261" s="292">
        <f t="shared" si="1"/>
        <v>0</v>
      </c>
      <c r="K261" s="292">
        <f t="shared" si="2"/>
        <v>6818182</v>
      </c>
      <c r="L261" s="292">
        <f t="shared" si="3"/>
        <v>0</v>
      </c>
      <c r="M261" s="292">
        <f t="shared" si="4"/>
        <v>0</v>
      </c>
      <c r="N261" s="292">
        <f t="shared" si="39"/>
        <v>0</v>
      </c>
      <c r="O261" s="292">
        <f t="shared" si="40"/>
        <v>0</v>
      </c>
      <c r="P261" s="292">
        <f t="shared" si="5"/>
        <v>0</v>
      </c>
      <c r="Q261" s="292">
        <f t="shared" si="6"/>
        <v>0</v>
      </c>
      <c r="R261" s="292">
        <f t="shared" si="67"/>
        <v>0</v>
      </c>
      <c r="S261" s="292">
        <f t="shared" si="68"/>
        <v>0</v>
      </c>
      <c r="T261" s="292">
        <f t="shared" si="7"/>
        <v>0</v>
      </c>
      <c r="U261" s="292">
        <f t="shared" si="8"/>
        <v>0</v>
      </c>
      <c r="V261" s="292">
        <f t="shared" si="69"/>
        <v>0</v>
      </c>
      <c r="W261" s="292">
        <f t="shared" si="70"/>
        <v>0</v>
      </c>
      <c r="X261" s="292">
        <f t="shared" si="71"/>
        <v>0</v>
      </c>
      <c r="Y261" s="292">
        <f t="shared" si="72"/>
        <v>0</v>
      </c>
      <c r="Z261" s="292">
        <f t="shared" si="47"/>
        <v>0</v>
      </c>
      <c r="AA261" s="292">
        <f t="shared" si="48"/>
        <v>0</v>
      </c>
      <c r="AB261" s="292">
        <f t="shared" si="9"/>
        <v>0</v>
      </c>
      <c r="AC261" s="292">
        <f t="shared" si="10"/>
        <v>0</v>
      </c>
      <c r="AD261" s="292">
        <f t="shared" si="11"/>
        <v>0</v>
      </c>
      <c r="AE261" s="292">
        <f t="shared" si="12"/>
        <v>0</v>
      </c>
      <c r="AF261" s="292">
        <f t="shared" si="13"/>
        <v>0</v>
      </c>
      <c r="AG261" s="292">
        <f t="shared" si="14"/>
        <v>0</v>
      </c>
      <c r="AH261" s="292">
        <f t="shared" si="15"/>
        <v>0</v>
      </c>
      <c r="AI261" s="292">
        <f t="shared" si="16"/>
        <v>0</v>
      </c>
      <c r="AJ261" s="292">
        <f t="shared" si="17"/>
        <v>0</v>
      </c>
      <c r="AK261" s="292">
        <f t="shared" si="18"/>
        <v>0</v>
      </c>
      <c r="AL261" s="292">
        <f t="shared" si="49"/>
        <v>0</v>
      </c>
      <c r="AM261" s="292">
        <f t="shared" si="50"/>
        <v>0</v>
      </c>
      <c r="AN261" s="292">
        <f t="shared" si="19"/>
        <v>0</v>
      </c>
      <c r="AO261" s="292">
        <f t="shared" si="20"/>
        <v>0</v>
      </c>
      <c r="AP261" s="292">
        <f t="shared" si="21"/>
        <v>0</v>
      </c>
      <c r="AQ261" s="292">
        <f t="shared" si="22"/>
        <v>0</v>
      </c>
      <c r="AR261" s="292">
        <f t="shared" si="23"/>
        <v>0</v>
      </c>
      <c r="AS261" s="292">
        <f t="shared" si="24"/>
        <v>0</v>
      </c>
      <c r="AT261" s="292">
        <f t="shared" si="25"/>
        <v>0</v>
      </c>
      <c r="AU261" s="292">
        <f t="shared" si="26"/>
        <v>0</v>
      </c>
      <c r="AV261" s="292">
        <f t="shared" si="27"/>
        <v>0</v>
      </c>
      <c r="AW261" s="292">
        <f t="shared" si="28"/>
        <v>0</v>
      </c>
      <c r="AX261" s="292">
        <f t="shared" si="29"/>
        <v>6818182</v>
      </c>
      <c r="AY261" s="292">
        <f t="shared" si="30"/>
        <v>0</v>
      </c>
      <c r="AZ261" s="292">
        <f t="shared" si="31"/>
        <v>0</v>
      </c>
      <c r="BA261" s="292">
        <f t="shared" si="32"/>
        <v>0</v>
      </c>
      <c r="BB261" s="292">
        <f t="shared" si="33"/>
        <v>0</v>
      </c>
      <c r="BC261" s="292">
        <f t="shared" si="34"/>
        <v>0</v>
      </c>
      <c r="BD261" s="292">
        <f t="shared" si="35"/>
        <v>0</v>
      </c>
      <c r="BE261" s="292">
        <f t="shared" si="36"/>
        <v>0</v>
      </c>
      <c r="BF261" s="292">
        <f t="shared" si="37"/>
        <v>0</v>
      </c>
      <c r="BG261" s="292">
        <f t="shared" si="38"/>
        <v>0</v>
      </c>
    </row>
    <row r="262" spans="1:59" s="289" customFormat="1" ht="15" customHeight="1">
      <c r="A262" s="63">
        <f t="array" ref="A262">IF(C262&lt;&gt;0,SUM(($C$11:C262&lt;&gt;0)*1),"")</f>
        <v>252</v>
      </c>
      <c r="B262" s="1099">
        <v>42470</v>
      </c>
      <c r="C262" s="290" t="s">
        <v>72</v>
      </c>
      <c r="D262" s="1099">
        <v>42470</v>
      </c>
      <c r="E262" s="344" t="s">
        <v>850</v>
      </c>
      <c r="F262" s="345">
        <v>681818</v>
      </c>
      <c r="G262" s="346" t="s">
        <v>10</v>
      </c>
      <c r="H262" s="346" t="s">
        <v>97</v>
      </c>
      <c r="I262" s="63">
        <f t="shared" si="73"/>
        <v>252</v>
      </c>
      <c r="J262" s="292">
        <f t="shared" si="1"/>
        <v>0</v>
      </c>
      <c r="K262" s="292">
        <f t="shared" si="2"/>
        <v>681818</v>
      </c>
      <c r="L262" s="292">
        <f t="shared" si="3"/>
        <v>0</v>
      </c>
      <c r="M262" s="292">
        <f t="shared" si="4"/>
        <v>0</v>
      </c>
      <c r="N262" s="292">
        <f t="shared" si="39"/>
        <v>0</v>
      </c>
      <c r="O262" s="292">
        <f t="shared" si="40"/>
        <v>0</v>
      </c>
      <c r="P262" s="292">
        <f t="shared" si="5"/>
        <v>681818</v>
      </c>
      <c r="Q262" s="292">
        <f t="shared" si="6"/>
        <v>0</v>
      </c>
      <c r="R262" s="292">
        <f t="shared" si="67"/>
        <v>0</v>
      </c>
      <c r="S262" s="292">
        <f t="shared" si="68"/>
        <v>0</v>
      </c>
      <c r="T262" s="292">
        <f t="shared" si="7"/>
        <v>0</v>
      </c>
      <c r="U262" s="292">
        <f t="shared" si="8"/>
        <v>0</v>
      </c>
      <c r="V262" s="292">
        <f t="shared" si="69"/>
        <v>0</v>
      </c>
      <c r="W262" s="292">
        <f t="shared" si="70"/>
        <v>0</v>
      </c>
      <c r="X262" s="292">
        <f t="shared" si="71"/>
        <v>0</v>
      </c>
      <c r="Y262" s="292">
        <f t="shared" si="72"/>
        <v>0</v>
      </c>
      <c r="Z262" s="292">
        <f t="shared" si="47"/>
        <v>0</v>
      </c>
      <c r="AA262" s="292">
        <f t="shared" si="48"/>
        <v>0</v>
      </c>
      <c r="AB262" s="292">
        <f t="shared" si="9"/>
        <v>0</v>
      </c>
      <c r="AC262" s="292">
        <f t="shared" si="10"/>
        <v>0</v>
      </c>
      <c r="AD262" s="292">
        <f t="shared" si="11"/>
        <v>0</v>
      </c>
      <c r="AE262" s="292">
        <f t="shared" si="12"/>
        <v>0</v>
      </c>
      <c r="AF262" s="292">
        <f t="shared" si="13"/>
        <v>0</v>
      </c>
      <c r="AG262" s="292">
        <f t="shared" si="14"/>
        <v>0</v>
      </c>
      <c r="AH262" s="292">
        <f t="shared" si="15"/>
        <v>0</v>
      </c>
      <c r="AI262" s="292">
        <f t="shared" si="16"/>
        <v>0</v>
      </c>
      <c r="AJ262" s="292">
        <f t="shared" si="17"/>
        <v>0</v>
      </c>
      <c r="AK262" s="292">
        <f t="shared" si="18"/>
        <v>0</v>
      </c>
      <c r="AL262" s="292">
        <f t="shared" si="49"/>
        <v>0</v>
      </c>
      <c r="AM262" s="292">
        <f t="shared" si="50"/>
        <v>0</v>
      </c>
      <c r="AN262" s="292">
        <f t="shared" si="19"/>
        <v>0</v>
      </c>
      <c r="AO262" s="292">
        <f t="shared" si="20"/>
        <v>0</v>
      </c>
      <c r="AP262" s="292">
        <f t="shared" si="21"/>
        <v>0</v>
      </c>
      <c r="AQ262" s="292">
        <f t="shared" si="22"/>
        <v>0</v>
      </c>
      <c r="AR262" s="292">
        <f t="shared" si="23"/>
        <v>0</v>
      </c>
      <c r="AS262" s="292">
        <f t="shared" si="24"/>
        <v>0</v>
      </c>
      <c r="AT262" s="292">
        <f t="shared" si="25"/>
        <v>0</v>
      </c>
      <c r="AU262" s="292">
        <f t="shared" si="26"/>
        <v>0</v>
      </c>
      <c r="AV262" s="292">
        <f t="shared" si="27"/>
        <v>0</v>
      </c>
      <c r="AW262" s="292">
        <f t="shared" si="28"/>
        <v>0</v>
      </c>
      <c r="AX262" s="292">
        <f t="shared" si="29"/>
        <v>0</v>
      </c>
      <c r="AY262" s="292">
        <f t="shared" si="30"/>
        <v>0</v>
      </c>
      <c r="AZ262" s="292">
        <f t="shared" si="31"/>
        <v>0</v>
      </c>
      <c r="BA262" s="292">
        <f t="shared" si="32"/>
        <v>0</v>
      </c>
      <c r="BB262" s="292">
        <f t="shared" si="33"/>
        <v>0</v>
      </c>
      <c r="BC262" s="292">
        <f t="shared" si="34"/>
        <v>0</v>
      </c>
      <c r="BD262" s="292">
        <f t="shared" si="35"/>
        <v>0</v>
      </c>
      <c r="BE262" s="292">
        <f t="shared" si="36"/>
        <v>0</v>
      </c>
      <c r="BF262" s="292">
        <f t="shared" si="37"/>
        <v>0</v>
      </c>
      <c r="BG262" s="292">
        <f t="shared" si="38"/>
        <v>0</v>
      </c>
    </row>
    <row r="263" spans="1:59" s="289" customFormat="1" ht="15" customHeight="1">
      <c r="A263" s="63">
        <f t="array" ref="A263">IF(C263&lt;&gt;0,SUM(($C$11:C263&lt;&gt;0)*1),"")</f>
        <v>253</v>
      </c>
      <c r="B263" s="1099">
        <v>42471</v>
      </c>
      <c r="C263" s="290" t="s">
        <v>73</v>
      </c>
      <c r="D263" s="1099">
        <v>42471</v>
      </c>
      <c r="E263" s="344" t="s">
        <v>875</v>
      </c>
      <c r="F263" s="345">
        <v>200000</v>
      </c>
      <c r="G263" s="346" t="s">
        <v>135</v>
      </c>
      <c r="H263" s="346" t="s">
        <v>97</v>
      </c>
      <c r="I263" s="63">
        <f t="shared" si="73"/>
        <v>253</v>
      </c>
      <c r="J263" s="292">
        <f t="shared" ref="J263:J326" si="74">IF($G263="1111",$F263,0)</f>
        <v>0</v>
      </c>
      <c r="K263" s="292">
        <f t="shared" ref="K263:K326" si="75">IF($H263="1111",$F263,0)</f>
        <v>200000</v>
      </c>
      <c r="L263" s="292">
        <f t="shared" ref="L263:L326" si="76">IF($G263="1121",$F263,0)</f>
        <v>0</v>
      </c>
      <c r="M263" s="292">
        <f t="shared" ref="M263:M326" si="77">IF($H263="1121",$F263,0)</f>
        <v>0</v>
      </c>
      <c r="N263" s="292">
        <f t="shared" si="39"/>
        <v>0</v>
      </c>
      <c r="O263" s="292">
        <f t="shared" si="40"/>
        <v>0</v>
      </c>
      <c r="P263" s="292">
        <f t="shared" ref="P263:P326" si="78">IF($G263="1331",$F263,0)</f>
        <v>0</v>
      </c>
      <c r="Q263" s="292">
        <f t="shared" ref="Q263:Q326" si="79">IF($H263="1331",$F263,0)</f>
        <v>0</v>
      </c>
      <c r="R263" s="292">
        <f t="shared" si="67"/>
        <v>0</v>
      </c>
      <c r="S263" s="292">
        <f t="shared" si="68"/>
        <v>0</v>
      </c>
      <c r="T263" s="292">
        <f t="shared" ref="T263:T326" si="80">IF($G263="1388",$F263,0)</f>
        <v>0</v>
      </c>
      <c r="U263" s="292">
        <f t="shared" ref="U263:U326" si="81">IF($H263="1388",$F263,0)</f>
        <v>0</v>
      </c>
      <c r="V263" s="292">
        <f t="shared" si="69"/>
        <v>0</v>
      </c>
      <c r="W263" s="292">
        <f t="shared" si="70"/>
        <v>0</v>
      </c>
      <c r="X263" s="292">
        <f t="shared" si="71"/>
        <v>0</v>
      </c>
      <c r="Y263" s="292">
        <f t="shared" si="72"/>
        <v>0</v>
      </c>
      <c r="Z263" s="292">
        <f t="shared" si="47"/>
        <v>0</v>
      </c>
      <c r="AA263" s="292">
        <f t="shared" si="48"/>
        <v>0</v>
      </c>
      <c r="AB263" s="292">
        <f t="shared" ref="AB263:AB326" si="82">IF($G263="331",$F263,0)</f>
        <v>0</v>
      </c>
      <c r="AC263" s="292">
        <f t="shared" ref="AC263:AC326" si="83">IF($H263="331",$F263,0)</f>
        <v>0</v>
      </c>
      <c r="AD263" s="292">
        <f t="shared" ref="AD263:AD326" si="84">IF($G263="3334",$F263,0)</f>
        <v>0</v>
      </c>
      <c r="AE263" s="292">
        <f t="shared" ref="AE263:AE326" si="85">IF($H263="3334",$F263,0)</f>
        <v>0</v>
      </c>
      <c r="AF263" s="292">
        <f t="shared" ref="AF263:AF326" si="86">IF($G263="33382",$F263,0)</f>
        <v>0</v>
      </c>
      <c r="AG263" s="292">
        <f t="shared" ref="AG263:AG326" si="87">IF($H263="33382",$F263,0)</f>
        <v>0</v>
      </c>
      <c r="AH263" s="292">
        <f t="shared" ref="AH263:AH326" si="88">IF($G263="3388",$F263,0)</f>
        <v>0</v>
      </c>
      <c r="AI263" s="292">
        <f t="shared" ref="AI263:AI326" si="89">IF($H263="3388",$F263,0)</f>
        <v>0</v>
      </c>
      <c r="AJ263" s="292">
        <f t="shared" ref="AJ263:AJ326" si="90">IF($G263="3411",$F263,0)</f>
        <v>0</v>
      </c>
      <c r="AK263" s="292">
        <f t="shared" ref="AK263:AK326" si="91">IF($H263="3411",$F263,0)</f>
        <v>0</v>
      </c>
      <c r="AL263" s="292">
        <f t="shared" si="49"/>
        <v>0</v>
      </c>
      <c r="AM263" s="292">
        <f t="shared" si="50"/>
        <v>0</v>
      </c>
      <c r="AN263" s="292">
        <f t="shared" ref="AN263:AN326" si="92">IF($G263="4111",$F263,0)</f>
        <v>0</v>
      </c>
      <c r="AO263" s="292">
        <f t="shared" ref="AO263:AO326" si="93">IF($H263="4111",$F263,0)</f>
        <v>0</v>
      </c>
      <c r="AP263" s="292">
        <f t="shared" ref="AP263:AP326" si="94">IF($G263="4211",$F263,0)</f>
        <v>0</v>
      </c>
      <c r="AQ263" s="292">
        <f t="shared" ref="AQ263:AQ326" si="95">IF($H263="4211",$F263,0)</f>
        <v>0</v>
      </c>
      <c r="AR263" s="292">
        <f t="shared" ref="AR263:AR326" si="96">IF($G263="4212",$F263,0)</f>
        <v>0</v>
      </c>
      <c r="AS263" s="292">
        <f t="shared" ref="AS263:AS326" si="97">IF($H263="4212",$F263,0)</f>
        <v>0</v>
      </c>
      <c r="AT263" s="292">
        <f t="shared" ref="AT263:AT326" si="98">IF($G263="515",$F263,0)</f>
        <v>0</v>
      </c>
      <c r="AU263" s="292">
        <f t="shared" ref="AU263:AU326" si="99">IF($H263="515",$F263,0)</f>
        <v>0</v>
      </c>
      <c r="AV263" s="292">
        <f t="shared" ref="AV263:AV326" si="100">IF($G263="635",$F263,0)</f>
        <v>0</v>
      </c>
      <c r="AW263" s="292">
        <f t="shared" ref="AW263:AW326" si="101">IF($H263="635",$F263,0)</f>
        <v>0</v>
      </c>
      <c r="AX263" s="292">
        <f t="shared" ref="AX263:AX326" si="102">IF($G263="642",$F263,0)</f>
        <v>200000</v>
      </c>
      <c r="AY263" s="292">
        <f t="shared" ref="AY263:AY326" si="103">IF($H263="642",$F263,0)</f>
        <v>0</v>
      </c>
      <c r="AZ263" s="292">
        <f t="shared" ref="AZ263:AZ326" si="104">IF($G263="711",$F263,0)</f>
        <v>0</v>
      </c>
      <c r="BA263" s="292">
        <f t="shared" ref="BA263:BA326" si="105">IF($H263="711",$F263,0)</f>
        <v>0</v>
      </c>
      <c r="BB263" s="292">
        <f t="shared" ref="BB263:BB326" si="106">IF($G263="811",$F263,0)</f>
        <v>0</v>
      </c>
      <c r="BC263" s="292">
        <f t="shared" ref="BC263:BC326" si="107">IF($H263="811",$F263,0)</f>
        <v>0</v>
      </c>
      <c r="BD263" s="292">
        <f t="shared" ref="BD263:BD326" si="108">IF($G263="821",$F263,0)</f>
        <v>0</v>
      </c>
      <c r="BE263" s="292">
        <f t="shared" ref="BE263:BE326" si="109">IF($H263="821",$F263,0)</f>
        <v>0</v>
      </c>
      <c r="BF263" s="292">
        <f t="shared" ref="BF263:BF326" si="110">IF($G263="911",$F263,0)</f>
        <v>0</v>
      </c>
      <c r="BG263" s="292">
        <f t="shared" ref="BG263:BG326" si="111">IF($H263="911",$F263,0)</f>
        <v>0</v>
      </c>
    </row>
    <row r="264" spans="1:59" s="289" customFormat="1" ht="15" customHeight="1">
      <c r="A264" s="63">
        <f t="array" ref="A264">IF(C264&lt;&gt;0,SUM(($C$11:C264&lt;&gt;0)*1),"")</f>
        <v>254</v>
      </c>
      <c r="B264" s="1099">
        <v>42471</v>
      </c>
      <c r="C264" s="290" t="s">
        <v>73</v>
      </c>
      <c r="D264" s="1099">
        <v>42471</v>
      </c>
      <c r="E264" s="344" t="s">
        <v>876</v>
      </c>
      <c r="F264" s="345">
        <v>20000</v>
      </c>
      <c r="G264" s="346" t="s">
        <v>10</v>
      </c>
      <c r="H264" s="346" t="s">
        <v>97</v>
      </c>
      <c r="I264" s="63">
        <f t="shared" si="73"/>
        <v>254</v>
      </c>
      <c r="J264" s="292">
        <f t="shared" si="74"/>
        <v>0</v>
      </c>
      <c r="K264" s="292">
        <f t="shared" si="75"/>
        <v>20000</v>
      </c>
      <c r="L264" s="292">
        <f t="shared" si="76"/>
        <v>0</v>
      </c>
      <c r="M264" s="292">
        <f t="shared" si="77"/>
        <v>0</v>
      </c>
      <c r="N264" s="292">
        <f t="shared" ref="N264:N327" si="112">IF($G264="1122",$F264,0)</f>
        <v>0</v>
      </c>
      <c r="O264" s="292">
        <f t="shared" ref="O264:O327" si="113">IF($H264="1122",$F264,0)</f>
        <v>0</v>
      </c>
      <c r="P264" s="292">
        <f t="shared" si="78"/>
        <v>20000</v>
      </c>
      <c r="Q264" s="292">
        <f t="shared" si="79"/>
        <v>0</v>
      </c>
      <c r="R264" s="292">
        <f t="shared" si="67"/>
        <v>0</v>
      </c>
      <c r="S264" s="292">
        <f t="shared" si="68"/>
        <v>0</v>
      </c>
      <c r="T264" s="292">
        <f t="shared" si="80"/>
        <v>0</v>
      </c>
      <c r="U264" s="292">
        <f t="shared" si="81"/>
        <v>0</v>
      </c>
      <c r="V264" s="292">
        <f t="shared" si="69"/>
        <v>0</v>
      </c>
      <c r="W264" s="292">
        <f t="shared" si="70"/>
        <v>0</v>
      </c>
      <c r="X264" s="292">
        <f t="shared" si="71"/>
        <v>0</v>
      </c>
      <c r="Y264" s="292">
        <f t="shared" si="72"/>
        <v>0</v>
      </c>
      <c r="Z264" s="292">
        <f t="shared" ref="Z264:Z327" si="114">IF($G264="2412",$F264,0)</f>
        <v>0</v>
      </c>
      <c r="AA264" s="292">
        <f t="shared" ref="AA264:AA327" si="115">IF($H264="2412",$F264,0)</f>
        <v>0</v>
      </c>
      <c r="AB264" s="292">
        <f t="shared" si="82"/>
        <v>0</v>
      </c>
      <c r="AC264" s="292">
        <f t="shared" si="83"/>
        <v>0</v>
      </c>
      <c r="AD264" s="292">
        <f t="shared" si="84"/>
        <v>0</v>
      </c>
      <c r="AE264" s="292">
        <f t="shared" si="85"/>
        <v>0</v>
      </c>
      <c r="AF264" s="292">
        <f t="shared" si="86"/>
        <v>0</v>
      </c>
      <c r="AG264" s="292">
        <f t="shared" si="87"/>
        <v>0</v>
      </c>
      <c r="AH264" s="292">
        <f t="shared" si="88"/>
        <v>0</v>
      </c>
      <c r="AI264" s="292">
        <f t="shared" si="89"/>
        <v>0</v>
      </c>
      <c r="AJ264" s="292">
        <f t="shared" si="90"/>
        <v>0</v>
      </c>
      <c r="AK264" s="292">
        <f t="shared" si="91"/>
        <v>0</v>
      </c>
      <c r="AL264" s="292">
        <f t="shared" ref="AL264:AL327" si="116">IF($G264="3412",$F264,0)</f>
        <v>0</v>
      </c>
      <c r="AM264" s="292">
        <f t="shared" ref="AM264:AM327" si="117">IF($H264="3412",$F264,0)</f>
        <v>0</v>
      </c>
      <c r="AN264" s="292">
        <f t="shared" si="92"/>
        <v>0</v>
      </c>
      <c r="AO264" s="292">
        <f t="shared" si="93"/>
        <v>0</v>
      </c>
      <c r="AP264" s="292">
        <f t="shared" si="94"/>
        <v>0</v>
      </c>
      <c r="AQ264" s="292">
        <f t="shared" si="95"/>
        <v>0</v>
      </c>
      <c r="AR264" s="292">
        <f t="shared" si="96"/>
        <v>0</v>
      </c>
      <c r="AS264" s="292">
        <f t="shared" si="97"/>
        <v>0</v>
      </c>
      <c r="AT264" s="292">
        <f t="shared" si="98"/>
        <v>0</v>
      </c>
      <c r="AU264" s="292">
        <f t="shared" si="99"/>
        <v>0</v>
      </c>
      <c r="AV264" s="292">
        <f t="shared" si="100"/>
        <v>0</v>
      </c>
      <c r="AW264" s="292">
        <f t="shared" si="101"/>
        <v>0</v>
      </c>
      <c r="AX264" s="292">
        <f t="shared" si="102"/>
        <v>0</v>
      </c>
      <c r="AY264" s="292">
        <f t="shared" si="103"/>
        <v>0</v>
      </c>
      <c r="AZ264" s="292">
        <f t="shared" si="104"/>
        <v>0</v>
      </c>
      <c r="BA264" s="292">
        <f t="shared" si="105"/>
        <v>0</v>
      </c>
      <c r="BB264" s="292">
        <f t="shared" si="106"/>
        <v>0</v>
      </c>
      <c r="BC264" s="292">
        <f t="shared" si="107"/>
        <v>0</v>
      </c>
      <c r="BD264" s="292">
        <f t="shared" si="108"/>
        <v>0</v>
      </c>
      <c r="BE264" s="292">
        <f t="shared" si="109"/>
        <v>0</v>
      </c>
      <c r="BF264" s="292">
        <f t="shared" si="110"/>
        <v>0</v>
      </c>
      <c r="BG264" s="292">
        <f t="shared" si="111"/>
        <v>0</v>
      </c>
    </row>
    <row r="265" spans="1:59" s="289" customFormat="1" ht="15" customHeight="1">
      <c r="A265" s="63">
        <f t="array" ref="A265">IF(C265&lt;&gt;0,SUM(($C$11:C265&lt;&gt;0)*1),"")</f>
        <v>255</v>
      </c>
      <c r="B265" s="1099">
        <v>42472</v>
      </c>
      <c r="C265" s="290" t="s">
        <v>74</v>
      </c>
      <c r="D265" s="1099">
        <v>42472</v>
      </c>
      <c r="E265" s="344" t="s">
        <v>399</v>
      </c>
      <c r="F265" s="345">
        <v>1388000</v>
      </c>
      <c r="G265" s="346" t="s">
        <v>242</v>
      </c>
      <c r="H265" s="346" t="s">
        <v>97</v>
      </c>
      <c r="I265" s="63">
        <f t="shared" si="73"/>
        <v>255</v>
      </c>
      <c r="J265" s="292">
        <f t="shared" si="74"/>
        <v>0</v>
      </c>
      <c r="K265" s="292">
        <f t="shared" si="75"/>
        <v>1388000</v>
      </c>
      <c r="L265" s="292">
        <f t="shared" si="76"/>
        <v>0</v>
      </c>
      <c r="M265" s="292">
        <f t="shared" si="77"/>
        <v>0</v>
      </c>
      <c r="N265" s="292">
        <f t="shared" si="112"/>
        <v>0</v>
      </c>
      <c r="O265" s="292">
        <f t="shared" si="113"/>
        <v>0</v>
      </c>
      <c r="P265" s="292">
        <f t="shared" si="78"/>
        <v>0</v>
      </c>
      <c r="Q265" s="292">
        <f t="shared" si="79"/>
        <v>0</v>
      </c>
      <c r="R265" s="292">
        <f t="shared" si="67"/>
        <v>0</v>
      </c>
      <c r="S265" s="292">
        <f t="shared" si="68"/>
        <v>0</v>
      </c>
      <c r="T265" s="292">
        <f t="shared" si="80"/>
        <v>0</v>
      </c>
      <c r="U265" s="292">
        <f t="shared" si="81"/>
        <v>0</v>
      </c>
      <c r="V265" s="292">
        <f t="shared" si="69"/>
        <v>0</v>
      </c>
      <c r="W265" s="292">
        <f t="shared" si="70"/>
        <v>0</v>
      </c>
      <c r="X265" s="292">
        <f t="shared" si="71"/>
        <v>0</v>
      </c>
      <c r="Y265" s="292">
        <f t="shared" si="72"/>
        <v>0</v>
      </c>
      <c r="Z265" s="292">
        <f t="shared" si="114"/>
        <v>1388000</v>
      </c>
      <c r="AA265" s="292">
        <f t="shared" si="115"/>
        <v>0</v>
      </c>
      <c r="AB265" s="292">
        <f t="shared" si="82"/>
        <v>0</v>
      </c>
      <c r="AC265" s="292">
        <f t="shared" si="83"/>
        <v>0</v>
      </c>
      <c r="AD265" s="292">
        <f t="shared" si="84"/>
        <v>0</v>
      </c>
      <c r="AE265" s="292">
        <f t="shared" si="85"/>
        <v>0</v>
      </c>
      <c r="AF265" s="292">
        <f t="shared" si="86"/>
        <v>0</v>
      </c>
      <c r="AG265" s="292">
        <f t="shared" si="87"/>
        <v>0</v>
      </c>
      <c r="AH265" s="292">
        <f t="shared" si="88"/>
        <v>0</v>
      </c>
      <c r="AI265" s="292">
        <f t="shared" si="89"/>
        <v>0</v>
      </c>
      <c r="AJ265" s="292">
        <f t="shared" si="90"/>
        <v>0</v>
      </c>
      <c r="AK265" s="292">
        <f t="shared" si="91"/>
        <v>0</v>
      </c>
      <c r="AL265" s="292">
        <f t="shared" si="116"/>
        <v>0</v>
      </c>
      <c r="AM265" s="292">
        <f t="shared" si="117"/>
        <v>0</v>
      </c>
      <c r="AN265" s="292">
        <f t="shared" si="92"/>
        <v>0</v>
      </c>
      <c r="AO265" s="292">
        <f t="shared" si="93"/>
        <v>0</v>
      </c>
      <c r="AP265" s="292">
        <f t="shared" si="94"/>
        <v>0</v>
      </c>
      <c r="AQ265" s="292">
        <f t="shared" si="95"/>
        <v>0</v>
      </c>
      <c r="AR265" s="292">
        <f t="shared" si="96"/>
        <v>0</v>
      </c>
      <c r="AS265" s="292">
        <f t="shared" si="97"/>
        <v>0</v>
      </c>
      <c r="AT265" s="292">
        <f t="shared" si="98"/>
        <v>0</v>
      </c>
      <c r="AU265" s="292">
        <f t="shared" si="99"/>
        <v>0</v>
      </c>
      <c r="AV265" s="292">
        <f t="shared" si="100"/>
        <v>0</v>
      </c>
      <c r="AW265" s="292">
        <f t="shared" si="101"/>
        <v>0</v>
      </c>
      <c r="AX265" s="292">
        <f t="shared" si="102"/>
        <v>0</v>
      </c>
      <c r="AY265" s="292">
        <f t="shared" si="103"/>
        <v>0</v>
      </c>
      <c r="AZ265" s="292">
        <f t="shared" si="104"/>
        <v>0</v>
      </c>
      <c r="BA265" s="292">
        <f t="shared" si="105"/>
        <v>0</v>
      </c>
      <c r="BB265" s="292">
        <f t="shared" si="106"/>
        <v>0</v>
      </c>
      <c r="BC265" s="292">
        <f t="shared" si="107"/>
        <v>0</v>
      </c>
      <c r="BD265" s="292">
        <f t="shared" si="108"/>
        <v>0</v>
      </c>
      <c r="BE265" s="292">
        <f t="shared" si="109"/>
        <v>0</v>
      </c>
      <c r="BF265" s="292">
        <f t="shared" si="110"/>
        <v>0</v>
      </c>
      <c r="BG265" s="292">
        <f t="shared" si="111"/>
        <v>0</v>
      </c>
    </row>
    <row r="266" spans="1:59" s="289" customFormat="1" ht="15" customHeight="1">
      <c r="A266" s="63">
        <f t="array" ref="A266">IF(C266&lt;&gt;0,SUM(($C$11:C266&lt;&gt;0)*1),"")</f>
        <v>256</v>
      </c>
      <c r="B266" s="1099">
        <v>42472</v>
      </c>
      <c r="C266" s="290" t="s">
        <v>784</v>
      </c>
      <c r="D266" s="1099">
        <v>42472</v>
      </c>
      <c r="E266" s="344" t="s">
        <v>886</v>
      </c>
      <c r="F266" s="345">
        <v>2400000</v>
      </c>
      <c r="G266" s="346" t="s">
        <v>462</v>
      </c>
      <c r="H266" s="346" t="s">
        <v>9</v>
      </c>
      <c r="I266" s="63">
        <f t="shared" si="73"/>
        <v>256</v>
      </c>
      <c r="J266" s="292">
        <f t="shared" si="74"/>
        <v>0</v>
      </c>
      <c r="K266" s="292">
        <f t="shared" si="75"/>
        <v>0</v>
      </c>
      <c r="L266" s="292">
        <f t="shared" si="76"/>
        <v>0</v>
      </c>
      <c r="M266" s="292">
        <f t="shared" si="77"/>
        <v>0</v>
      </c>
      <c r="N266" s="292">
        <f t="shared" si="112"/>
        <v>0</v>
      </c>
      <c r="O266" s="292">
        <f t="shared" si="113"/>
        <v>0</v>
      </c>
      <c r="P266" s="292">
        <f t="shared" si="78"/>
        <v>0</v>
      </c>
      <c r="Q266" s="292">
        <f t="shared" si="79"/>
        <v>0</v>
      </c>
      <c r="R266" s="292">
        <f t="shared" si="67"/>
        <v>0</v>
      </c>
      <c r="S266" s="292">
        <f t="shared" si="68"/>
        <v>0</v>
      </c>
      <c r="T266" s="292">
        <f t="shared" si="80"/>
        <v>0</v>
      </c>
      <c r="U266" s="292">
        <f t="shared" si="81"/>
        <v>0</v>
      </c>
      <c r="V266" s="292">
        <f t="shared" si="69"/>
        <v>2400000</v>
      </c>
      <c r="W266" s="292">
        <f t="shared" si="70"/>
        <v>0</v>
      </c>
      <c r="X266" s="292">
        <f t="shared" si="71"/>
        <v>0</v>
      </c>
      <c r="Y266" s="292">
        <f t="shared" si="72"/>
        <v>0</v>
      </c>
      <c r="Z266" s="292">
        <f t="shared" si="114"/>
        <v>0</v>
      </c>
      <c r="AA266" s="292">
        <f t="shared" si="115"/>
        <v>0</v>
      </c>
      <c r="AB266" s="292">
        <f t="shared" si="82"/>
        <v>0</v>
      </c>
      <c r="AC266" s="292">
        <f t="shared" si="83"/>
        <v>2400000</v>
      </c>
      <c r="AD266" s="292">
        <f t="shared" si="84"/>
        <v>0</v>
      </c>
      <c r="AE266" s="292">
        <f t="shared" si="85"/>
        <v>0</v>
      </c>
      <c r="AF266" s="292">
        <f t="shared" si="86"/>
        <v>0</v>
      </c>
      <c r="AG266" s="292">
        <f t="shared" si="87"/>
        <v>0</v>
      </c>
      <c r="AH266" s="292">
        <f t="shared" si="88"/>
        <v>0</v>
      </c>
      <c r="AI266" s="292">
        <f t="shared" si="89"/>
        <v>0</v>
      </c>
      <c r="AJ266" s="292">
        <f t="shared" si="90"/>
        <v>0</v>
      </c>
      <c r="AK266" s="292">
        <f t="shared" si="91"/>
        <v>0</v>
      </c>
      <c r="AL266" s="292">
        <f t="shared" si="116"/>
        <v>0</v>
      </c>
      <c r="AM266" s="292">
        <f t="shared" si="117"/>
        <v>0</v>
      </c>
      <c r="AN266" s="292">
        <f t="shared" si="92"/>
        <v>0</v>
      </c>
      <c r="AO266" s="292">
        <f t="shared" si="93"/>
        <v>0</v>
      </c>
      <c r="AP266" s="292">
        <f t="shared" si="94"/>
        <v>0</v>
      </c>
      <c r="AQ266" s="292">
        <f t="shared" si="95"/>
        <v>0</v>
      </c>
      <c r="AR266" s="292">
        <f t="shared" si="96"/>
        <v>0</v>
      </c>
      <c r="AS266" s="292">
        <f t="shared" si="97"/>
        <v>0</v>
      </c>
      <c r="AT266" s="292">
        <f t="shared" si="98"/>
        <v>0</v>
      </c>
      <c r="AU266" s="292">
        <f t="shared" si="99"/>
        <v>0</v>
      </c>
      <c r="AV266" s="292">
        <f t="shared" si="100"/>
        <v>0</v>
      </c>
      <c r="AW266" s="292">
        <f t="shared" si="101"/>
        <v>0</v>
      </c>
      <c r="AX266" s="292">
        <f t="shared" si="102"/>
        <v>0</v>
      </c>
      <c r="AY266" s="292">
        <f t="shared" si="103"/>
        <v>0</v>
      </c>
      <c r="AZ266" s="292">
        <f t="shared" si="104"/>
        <v>0</v>
      </c>
      <c r="BA266" s="292">
        <f t="shared" si="105"/>
        <v>0</v>
      </c>
      <c r="BB266" s="292">
        <f t="shared" si="106"/>
        <v>0</v>
      </c>
      <c r="BC266" s="292">
        <f t="shared" si="107"/>
        <v>0</v>
      </c>
      <c r="BD266" s="292">
        <f t="shared" si="108"/>
        <v>0</v>
      </c>
      <c r="BE266" s="292">
        <f t="shared" si="109"/>
        <v>0</v>
      </c>
      <c r="BF266" s="292">
        <f t="shared" si="110"/>
        <v>0</v>
      </c>
      <c r="BG266" s="292">
        <f t="shared" si="111"/>
        <v>0</v>
      </c>
    </row>
    <row r="267" spans="1:59" s="289" customFormat="1" ht="15" customHeight="1">
      <c r="A267" s="63">
        <f t="array" ref="A267">IF(C267&lt;&gt;0,SUM(($C$11:C267&lt;&gt;0)*1),"")</f>
        <v>257</v>
      </c>
      <c r="B267" s="1099">
        <v>42472</v>
      </c>
      <c r="C267" s="290" t="s">
        <v>784</v>
      </c>
      <c r="D267" s="1099">
        <v>42472</v>
      </c>
      <c r="E267" s="344" t="s">
        <v>887</v>
      </c>
      <c r="F267" s="345">
        <v>1800000</v>
      </c>
      <c r="G267" s="346" t="s">
        <v>462</v>
      </c>
      <c r="H267" s="346" t="s">
        <v>9</v>
      </c>
      <c r="I267" s="63">
        <f t="shared" si="73"/>
        <v>257</v>
      </c>
      <c r="J267" s="292">
        <f t="shared" si="74"/>
        <v>0</v>
      </c>
      <c r="K267" s="292">
        <f t="shared" si="75"/>
        <v>0</v>
      </c>
      <c r="L267" s="292">
        <f t="shared" si="76"/>
        <v>0</v>
      </c>
      <c r="M267" s="292">
        <f t="shared" si="77"/>
        <v>0</v>
      </c>
      <c r="N267" s="292">
        <f t="shared" si="112"/>
        <v>0</v>
      </c>
      <c r="O267" s="292">
        <f t="shared" si="113"/>
        <v>0</v>
      </c>
      <c r="P267" s="292">
        <f t="shared" si="78"/>
        <v>0</v>
      </c>
      <c r="Q267" s="292">
        <f t="shared" si="79"/>
        <v>0</v>
      </c>
      <c r="R267" s="292">
        <f t="shared" si="67"/>
        <v>0</v>
      </c>
      <c r="S267" s="292">
        <f t="shared" si="68"/>
        <v>0</v>
      </c>
      <c r="T267" s="292">
        <f t="shared" si="80"/>
        <v>0</v>
      </c>
      <c r="U267" s="292">
        <f t="shared" si="81"/>
        <v>0</v>
      </c>
      <c r="V267" s="292">
        <f t="shared" si="69"/>
        <v>1800000</v>
      </c>
      <c r="W267" s="292">
        <f t="shared" si="70"/>
        <v>0</v>
      </c>
      <c r="X267" s="292">
        <f t="shared" si="71"/>
        <v>0</v>
      </c>
      <c r="Y267" s="292">
        <f t="shared" si="72"/>
        <v>0</v>
      </c>
      <c r="Z267" s="292">
        <f t="shared" si="114"/>
        <v>0</v>
      </c>
      <c r="AA267" s="292">
        <f t="shared" si="115"/>
        <v>0</v>
      </c>
      <c r="AB267" s="292">
        <f t="shared" si="82"/>
        <v>0</v>
      </c>
      <c r="AC267" s="292">
        <f t="shared" si="83"/>
        <v>1800000</v>
      </c>
      <c r="AD267" s="292">
        <f t="shared" si="84"/>
        <v>0</v>
      </c>
      <c r="AE267" s="292">
        <f t="shared" si="85"/>
        <v>0</v>
      </c>
      <c r="AF267" s="292">
        <f t="shared" si="86"/>
        <v>0</v>
      </c>
      <c r="AG267" s="292">
        <f t="shared" si="87"/>
        <v>0</v>
      </c>
      <c r="AH267" s="292">
        <f t="shared" si="88"/>
        <v>0</v>
      </c>
      <c r="AI267" s="292">
        <f t="shared" si="89"/>
        <v>0</v>
      </c>
      <c r="AJ267" s="292">
        <f t="shared" si="90"/>
        <v>0</v>
      </c>
      <c r="AK267" s="292">
        <f t="shared" si="91"/>
        <v>0</v>
      </c>
      <c r="AL267" s="292">
        <f t="shared" si="116"/>
        <v>0</v>
      </c>
      <c r="AM267" s="292">
        <f t="shared" si="117"/>
        <v>0</v>
      </c>
      <c r="AN267" s="292">
        <f t="shared" si="92"/>
        <v>0</v>
      </c>
      <c r="AO267" s="292">
        <f t="shared" si="93"/>
        <v>0</v>
      </c>
      <c r="AP267" s="292">
        <f t="shared" si="94"/>
        <v>0</v>
      </c>
      <c r="AQ267" s="292">
        <f t="shared" si="95"/>
        <v>0</v>
      </c>
      <c r="AR267" s="292">
        <f t="shared" si="96"/>
        <v>0</v>
      </c>
      <c r="AS267" s="292">
        <f t="shared" si="97"/>
        <v>0</v>
      </c>
      <c r="AT267" s="292">
        <f t="shared" si="98"/>
        <v>0</v>
      </c>
      <c r="AU267" s="292">
        <f t="shared" si="99"/>
        <v>0</v>
      </c>
      <c r="AV267" s="292">
        <f t="shared" si="100"/>
        <v>0</v>
      </c>
      <c r="AW267" s="292">
        <f t="shared" si="101"/>
        <v>0</v>
      </c>
      <c r="AX267" s="292">
        <f t="shared" si="102"/>
        <v>0</v>
      </c>
      <c r="AY267" s="292">
        <f t="shared" si="103"/>
        <v>0</v>
      </c>
      <c r="AZ267" s="292">
        <f t="shared" si="104"/>
        <v>0</v>
      </c>
      <c r="BA267" s="292">
        <f t="shared" si="105"/>
        <v>0</v>
      </c>
      <c r="BB267" s="292">
        <f t="shared" si="106"/>
        <v>0</v>
      </c>
      <c r="BC267" s="292">
        <f t="shared" si="107"/>
        <v>0</v>
      </c>
      <c r="BD267" s="292">
        <f t="shared" si="108"/>
        <v>0</v>
      </c>
      <c r="BE267" s="292">
        <f t="shared" si="109"/>
        <v>0</v>
      </c>
      <c r="BF267" s="292">
        <f t="shared" si="110"/>
        <v>0</v>
      </c>
      <c r="BG267" s="292">
        <f t="shared" si="111"/>
        <v>0</v>
      </c>
    </row>
    <row r="268" spans="1:59" s="289" customFormat="1" ht="15" customHeight="1">
      <c r="A268" s="63">
        <f t="array" ref="A268">IF(C268&lt;&gt;0,SUM(($C$11:C268&lt;&gt;0)*1),"")</f>
        <v>258</v>
      </c>
      <c r="B268" s="1099">
        <v>42472</v>
      </c>
      <c r="C268" s="290" t="s">
        <v>784</v>
      </c>
      <c r="D268" s="1099">
        <v>42472</v>
      </c>
      <c r="E268" s="344" t="s">
        <v>888</v>
      </c>
      <c r="F268" s="345">
        <v>420000</v>
      </c>
      <c r="G268" s="346" t="s">
        <v>10</v>
      </c>
      <c r="H268" s="346" t="s">
        <v>9</v>
      </c>
      <c r="I268" s="63">
        <f t="shared" si="73"/>
        <v>258</v>
      </c>
      <c r="J268" s="292">
        <f t="shared" si="74"/>
        <v>0</v>
      </c>
      <c r="K268" s="292">
        <f t="shared" si="75"/>
        <v>0</v>
      </c>
      <c r="L268" s="292">
        <f t="shared" si="76"/>
        <v>0</v>
      </c>
      <c r="M268" s="292">
        <f t="shared" si="77"/>
        <v>0</v>
      </c>
      <c r="N268" s="292">
        <f t="shared" si="112"/>
        <v>0</v>
      </c>
      <c r="O268" s="292">
        <f t="shared" si="113"/>
        <v>0</v>
      </c>
      <c r="P268" s="292">
        <f t="shared" si="78"/>
        <v>420000</v>
      </c>
      <c r="Q268" s="292">
        <f t="shared" si="79"/>
        <v>0</v>
      </c>
      <c r="R268" s="292">
        <f t="shared" ref="R268:R331" si="118">IF($G268="1332",$F268,0)</f>
        <v>0</v>
      </c>
      <c r="S268" s="292">
        <f t="shared" ref="S268:S331" si="119">IF($H268="1332",$F268,0)</f>
        <v>0</v>
      </c>
      <c r="T268" s="292">
        <f t="shared" si="80"/>
        <v>0</v>
      </c>
      <c r="U268" s="292">
        <f t="shared" si="81"/>
        <v>0</v>
      </c>
      <c r="V268" s="292">
        <f t="shared" ref="V268:V331" si="120">IF($G268="1522",$F268,0)</f>
        <v>0</v>
      </c>
      <c r="W268" s="292">
        <f t="shared" ref="W268:W331" si="121">IF($H268="1522",$F268,0)</f>
        <v>0</v>
      </c>
      <c r="X268" s="292">
        <f t="shared" ref="X268:X331" si="122">IF($G268="154",$F268,0)</f>
        <v>0</v>
      </c>
      <c r="Y268" s="292">
        <f t="shared" ref="Y268:Y331" si="123">IF($H268="154",$F268,0)</f>
        <v>0</v>
      </c>
      <c r="Z268" s="292">
        <f t="shared" si="114"/>
        <v>0</v>
      </c>
      <c r="AA268" s="292">
        <f t="shared" si="115"/>
        <v>0</v>
      </c>
      <c r="AB268" s="292">
        <f t="shared" si="82"/>
        <v>0</v>
      </c>
      <c r="AC268" s="292">
        <f t="shared" si="83"/>
        <v>420000</v>
      </c>
      <c r="AD268" s="292">
        <f t="shared" si="84"/>
        <v>0</v>
      </c>
      <c r="AE268" s="292">
        <f t="shared" si="85"/>
        <v>0</v>
      </c>
      <c r="AF268" s="292">
        <f t="shared" si="86"/>
        <v>0</v>
      </c>
      <c r="AG268" s="292">
        <f t="shared" si="87"/>
        <v>0</v>
      </c>
      <c r="AH268" s="292">
        <f t="shared" si="88"/>
        <v>0</v>
      </c>
      <c r="AI268" s="292">
        <f t="shared" si="89"/>
        <v>0</v>
      </c>
      <c r="AJ268" s="292">
        <f t="shared" si="90"/>
        <v>0</v>
      </c>
      <c r="AK268" s="292">
        <f t="shared" si="91"/>
        <v>0</v>
      </c>
      <c r="AL268" s="292">
        <f t="shared" si="116"/>
        <v>0</v>
      </c>
      <c r="AM268" s="292">
        <f t="shared" si="117"/>
        <v>0</v>
      </c>
      <c r="AN268" s="292">
        <f t="shared" si="92"/>
        <v>0</v>
      </c>
      <c r="AO268" s="292">
        <f t="shared" si="93"/>
        <v>0</v>
      </c>
      <c r="AP268" s="292">
        <f t="shared" si="94"/>
        <v>0</v>
      </c>
      <c r="AQ268" s="292">
        <f t="shared" si="95"/>
        <v>0</v>
      </c>
      <c r="AR268" s="292">
        <f t="shared" si="96"/>
        <v>0</v>
      </c>
      <c r="AS268" s="292">
        <f t="shared" si="97"/>
        <v>0</v>
      </c>
      <c r="AT268" s="292">
        <f t="shared" si="98"/>
        <v>0</v>
      </c>
      <c r="AU268" s="292">
        <f t="shared" si="99"/>
        <v>0</v>
      </c>
      <c r="AV268" s="292">
        <f t="shared" si="100"/>
        <v>0</v>
      </c>
      <c r="AW268" s="292">
        <f t="shared" si="101"/>
        <v>0</v>
      </c>
      <c r="AX268" s="292">
        <f t="shared" si="102"/>
        <v>0</v>
      </c>
      <c r="AY268" s="292">
        <f t="shared" si="103"/>
        <v>0</v>
      </c>
      <c r="AZ268" s="292">
        <f t="shared" si="104"/>
        <v>0</v>
      </c>
      <c r="BA268" s="292">
        <f t="shared" si="105"/>
        <v>0</v>
      </c>
      <c r="BB268" s="292">
        <f t="shared" si="106"/>
        <v>0</v>
      </c>
      <c r="BC268" s="292">
        <f t="shared" si="107"/>
        <v>0</v>
      </c>
      <c r="BD268" s="292">
        <f t="shared" si="108"/>
        <v>0</v>
      </c>
      <c r="BE268" s="292">
        <f t="shared" si="109"/>
        <v>0</v>
      </c>
      <c r="BF268" s="292">
        <f t="shared" si="110"/>
        <v>0</v>
      </c>
      <c r="BG268" s="292">
        <f t="shared" si="111"/>
        <v>0</v>
      </c>
    </row>
    <row r="269" spans="1:59" s="289" customFormat="1" ht="15" customHeight="1">
      <c r="A269" s="63">
        <f t="array" ref="A269">IF(C269&lt;&gt;0,SUM(($C$11:C269&lt;&gt;0)*1),"")</f>
        <v>259</v>
      </c>
      <c r="B269" s="1099">
        <v>42474</v>
      </c>
      <c r="C269" s="290" t="s">
        <v>75</v>
      </c>
      <c r="D269" s="1099">
        <v>42474</v>
      </c>
      <c r="E269" s="344" t="s">
        <v>879</v>
      </c>
      <c r="F269" s="345">
        <v>50000</v>
      </c>
      <c r="G269" s="346" t="s">
        <v>135</v>
      </c>
      <c r="H269" s="346" t="s">
        <v>97</v>
      </c>
      <c r="I269" s="63">
        <f t="shared" si="73"/>
        <v>259</v>
      </c>
      <c r="J269" s="292">
        <f t="shared" si="74"/>
        <v>0</v>
      </c>
      <c r="K269" s="292">
        <f t="shared" si="75"/>
        <v>50000</v>
      </c>
      <c r="L269" s="292">
        <f t="shared" si="76"/>
        <v>0</v>
      </c>
      <c r="M269" s="292">
        <f t="shared" si="77"/>
        <v>0</v>
      </c>
      <c r="N269" s="292">
        <f t="shared" si="112"/>
        <v>0</v>
      </c>
      <c r="O269" s="292">
        <f t="shared" si="113"/>
        <v>0</v>
      </c>
      <c r="P269" s="292">
        <f t="shared" si="78"/>
        <v>0</v>
      </c>
      <c r="Q269" s="292">
        <f t="shared" si="79"/>
        <v>0</v>
      </c>
      <c r="R269" s="292">
        <f t="shared" si="118"/>
        <v>0</v>
      </c>
      <c r="S269" s="292">
        <f t="shared" si="119"/>
        <v>0</v>
      </c>
      <c r="T269" s="292">
        <f t="shared" si="80"/>
        <v>0</v>
      </c>
      <c r="U269" s="292">
        <f t="shared" si="81"/>
        <v>0</v>
      </c>
      <c r="V269" s="292">
        <f t="shared" si="120"/>
        <v>0</v>
      </c>
      <c r="W269" s="292">
        <f t="shared" si="121"/>
        <v>0</v>
      </c>
      <c r="X269" s="292">
        <f t="shared" si="122"/>
        <v>0</v>
      </c>
      <c r="Y269" s="292">
        <f t="shared" si="123"/>
        <v>0</v>
      </c>
      <c r="Z269" s="292">
        <f t="shared" si="114"/>
        <v>0</v>
      </c>
      <c r="AA269" s="292">
        <f t="shared" si="115"/>
        <v>0</v>
      </c>
      <c r="AB269" s="292">
        <f t="shared" si="82"/>
        <v>0</v>
      </c>
      <c r="AC269" s="292">
        <f t="shared" si="83"/>
        <v>0</v>
      </c>
      <c r="AD269" s="292">
        <f t="shared" si="84"/>
        <v>0</v>
      </c>
      <c r="AE269" s="292">
        <f t="shared" si="85"/>
        <v>0</v>
      </c>
      <c r="AF269" s="292">
        <f t="shared" si="86"/>
        <v>0</v>
      </c>
      <c r="AG269" s="292">
        <f t="shared" si="87"/>
        <v>0</v>
      </c>
      <c r="AH269" s="292">
        <f t="shared" si="88"/>
        <v>0</v>
      </c>
      <c r="AI269" s="292">
        <f t="shared" si="89"/>
        <v>0</v>
      </c>
      <c r="AJ269" s="292">
        <f t="shared" si="90"/>
        <v>0</v>
      </c>
      <c r="AK269" s="292">
        <f t="shared" si="91"/>
        <v>0</v>
      </c>
      <c r="AL269" s="292">
        <f t="shared" si="116"/>
        <v>0</v>
      </c>
      <c r="AM269" s="292">
        <f t="shared" si="117"/>
        <v>0</v>
      </c>
      <c r="AN269" s="292">
        <f t="shared" si="92"/>
        <v>0</v>
      </c>
      <c r="AO269" s="292">
        <f t="shared" si="93"/>
        <v>0</v>
      </c>
      <c r="AP269" s="292">
        <f t="shared" si="94"/>
        <v>0</v>
      </c>
      <c r="AQ269" s="292">
        <f t="shared" si="95"/>
        <v>0</v>
      </c>
      <c r="AR269" s="292">
        <f t="shared" si="96"/>
        <v>0</v>
      </c>
      <c r="AS269" s="292">
        <f t="shared" si="97"/>
        <v>0</v>
      </c>
      <c r="AT269" s="292">
        <f t="shared" si="98"/>
        <v>0</v>
      </c>
      <c r="AU269" s="292">
        <f t="shared" si="99"/>
        <v>0</v>
      </c>
      <c r="AV269" s="292">
        <f t="shared" si="100"/>
        <v>0</v>
      </c>
      <c r="AW269" s="292">
        <f t="shared" si="101"/>
        <v>0</v>
      </c>
      <c r="AX269" s="292">
        <f t="shared" si="102"/>
        <v>50000</v>
      </c>
      <c r="AY269" s="292">
        <f t="shared" si="103"/>
        <v>0</v>
      </c>
      <c r="AZ269" s="292">
        <f t="shared" si="104"/>
        <v>0</v>
      </c>
      <c r="BA269" s="292">
        <f t="shared" si="105"/>
        <v>0</v>
      </c>
      <c r="BB269" s="292">
        <f t="shared" si="106"/>
        <v>0</v>
      </c>
      <c r="BC269" s="292">
        <f t="shared" si="107"/>
        <v>0</v>
      </c>
      <c r="BD269" s="292">
        <f t="shared" si="108"/>
        <v>0</v>
      </c>
      <c r="BE269" s="292">
        <f t="shared" si="109"/>
        <v>0</v>
      </c>
      <c r="BF269" s="292">
        <f t="shared" si="110"/>
        <v>0</v>
      </c>
      <c r="BG269" s="292">
        <f t="shared" si="111"/>
        <v>0</v>
      </c>
    </row>
    <row r="270" spans="1:59" s="289" customFormat="1" ht="15" customHeight="1">
      <c r="A270" s="63">
        <f t="array" ref="A270">IF(C270&lt;&gt;0,SUM(($C$11:C270&lt;&gt;0)*1),"")</f>
        <v>260</v>
      </c>
      <c r="B270" s="1099">
        <v>42474</v>
      </c>
      <c r="C270" s="290" t="s">
        <v>76</v>
      </c>
      <c r="D270" s="1099">
        <v>42474</v>
      </c>
      <c r="E270" s="344" t="s">
        <v>883</v>
      </c>
      <c r="F270" s="345">
        <v>2220000</v>
      </c>
      <c r="G270" s="346" t="s">
        <v>242</v>
      </c>
      <c r="H270" s="346" t="s">
        <v>97</v>
      </c>
      <c r="I270" s="63">
        <f t="shared" si="73"/>
        <v>260</v>
      </c>
      <c r="J270" s="292">
        <f t="shared" si="74"/>
        <v>0</v>
      </c>
      <c r="K270" s="292">
        <f t="shared" si="75"/>
        <v>2220000</v>
      </c>
      <c r="L270" s="292">
        <f t="shared" si="76"/>
        <v>0</v>
      </c>
      <c r="M270" s="292">
        <f t="shared" si="77"/>
        <v>0</v>
      </c>
      <c r="N270" s="292">
        <f t="shared" si="112"/>
        <v>0</v>
      </c>
      <c r="O270" s="292">
        <f t="shared" si="113"/>
        <v>0</v>
      </c>
      <c r="P270" s="292">
        <f t="shared" si="78"/>
        <v>0</v>
      </c>
      <c r="Q270" s="292">
        <f t="shared" si="79"/>
        <v>0</v>
      </c>
      <c r="R270" s="292">
        <f t="shared" si="118"/>
        <v>0</v>
      </c>
      <c r="S270" s="292">
        <f t="shared" si="119"/>
        <v>0</v>
      </c>
      <c r="T270" s="292">
        <f t="shared" si="80"/>
        <v>0</v>
      </c>
      <c r="U270" s="292">
        <f t="shared" si="81"/>
        <v>0</v>
      </c>
      <c r="V270" s="292">
        <f t="shared" si="120"/>
        <v>0</v>
      </c>
      <c r="W270" s="292">
        <f t="shared" si="121"/>
        <v>0</v>
      </c>
      <c r="X270" s="292">
        <f t="shared" si="122"/>
        <v>0</v>
      </c>
      <c r="Y270" s="292">
        <f t="shared" si="123"/>
        <v>0</v>
      </c>
      <c r="Z270" s="292">
        <f t="shared" si="114"/>
        <v>2220000</v>
      </c>
      <c r="AA270" s="292">
        <f t="shared" si="115"/>
        <v>0</v>
      </c>
      <c r="AB270" s="292">
        <f t="shared" si="82"/>
        <v>0</v>
      </c>
      <c r="AC270" s="292">
        <f t="shared" si="83"/>
        <v>0</v>
      </c>
      <c r="AD270" s="292">
        <f t="shared" si="84"/>
        <v>0</v>
      </c>
      <c r="AE270" s="292">
        <f t="shared" si="85"/>
        <v>0</v>
      </c>
      <c r="AF270" s="292">
        <f t="shared" si="86"/>
        <v>0</v>
      </c>
      <c r="AG270" s="292">
        <f t="shared" si="87"/>
        <v>0</v>
      </c>
      <c r="AH270" s="292">
        <f t="shared" si="88"/>
        <v>0</v>
      </c>
      <c r="AI270" s="292">
        <f t="shared" si="89"/>
        <v>0</v>
      </c>
      <c r="AJ270" s="292">
        <f t="shared" si="90"/>
        <v>0</v>
      </c>
      <c r="AK270" s="292">
        <f t="shared" si="91"/>
        <v>0</v>
      </c>
      <c r="AL270" s="292">
        <f t="shared" si="116"/>
        <v>0</v>
      </c>
      <c r="AM270" s="292">
        <f t="shared" si="117"/>
        <v>0</v>
      </c>
      <c r="AN270" s="292">
        <f t="shared" si="92"/>
        <v>0</v>
      </c>
      <c r="AO270" s="292">
        <f t="shared" si="93"/>
        <v>0</v>
      </c>
      <c r="AP270" s="292">
        <f t="shared" si="94"/>
        <v>0</v>
      </c>
      <c r="AQ270" s="292">
        <f t="shared" si="95"/>
        <v>0</v>
      </c>
      <c r="AR270" s="292">
        <f t="shared" si="96"/>
        <v>0</v>
      </c>
      <c r="AS270" s="292">
        <f t="shared" si="97"/>
        <v>0</v>
      </c>
      <c r="AT270" s="292">
        <f t="shared" si="98"/>
        <v>0</v>
      </c>
      <c r="AU270" s="292">
        <f t="shared" si="99"/>
        <v>0</v>
      </c>
      <c r="AV270" s="292">
        <f t="shared" si="100"/>
        <v>0</v>
      </c>
      <c r="AW270" s="292">
        <f t="shared" si="101"/>
        <v>0</v>
      </c>
      <c r="AX270" s="292">
        <f t="shared" si="102"/>
        <v>0</v>
      </c>
      <c r="AY270" s="292">
        <f t="shared" si="103"/>
        <v>0</v>
      </c>
      <c r="AZ270" s="292">
        <f t="shared" si="104"/>
        <v>0</v>
      </c>
      <c r="BA270" s="292">
        <f t="shared" si="105"/>
        <v>0</v>
      </c>
      <c r="BB270" s="292">
        <f t="shared" si="106"/>
        <v>0</v>
      </c>
      <c r="BC270" s="292">
        <f t="shared" si="107"/>
        <v>0</v>
      </c>
      <c r="BD270" s="292">
        <f t="shared" si="108"/>
        <v>0</v>
      </c>
      <c r="BE270" s="292">
        <f t="shared" si="109"/>
        <v>0</v>
      </c>
      <c r="BF270" s="292">
        <f t="shared" si="110"/>
        <v>0</v>
      </c>
      <c r="BG270" s="292">
        <f t="shared" si="111"/>
        <v>0</v>
      </c>
    </row>
    <row r="271" spans="1:59" s="289" customFormat="1" ht="15" customHeight="1">
      <c r="A271" s="63">
        <f t="array" ref="A271">IF(C271&lt;&gt;0,SUM(($C$11:C271&lt;&gt;0)*1),"")</f>
        <v>261</v>
      </c>
      <c r="B271" s="1099">
        <v>42480</v>
      </c>
      <c r="C271" s="290" t="s">
        <v>77</v>
      </c>
      <c r="D271" s="1099">
        <v>42480</v>
      </c>
      <c r="E271" s="344" t="s">
        <v>899</v>
      </c>
      <c r="F271" s="345">
        <v>624798</v>
      </c>
      <c r="G271" s="346" t="s">
        <v>135</v>
      </c>
      <c r="H271" s="346" t="s">
        <v>97</v>
      </c>
      <c r="I271" s="63">
        <f t="shared" si="73"/>
        <v>261</v>
      </c>
      <c r="J271" s="292">
        <f t="shared" si="74"/>
        <v>0</v>
      </c>
      <c r="K271" s="292">
        <f t="shared" si="75"/>
        <v>624798</v>
      </c>
      <c r="L271" s="292">
        <f t="shared" si="76"/>
        <v>0</v>
      </c>
      <c r="M271" s="292">
        <f t="shared" si="77"/>
        <v>0</v>
      </c>
      <c r="N271" s="292">
        <f t="shared" si="112"/>
        <v>0</v>
      </c>
      <c r="O271" s="292">
        <f t="shared" si="113"/>
        <v>0</v>
      </c>
      <c r="P271" s="292">
        <f t="shared" si="78"/>
        <v>0</v>
      </c>
      <c r="Q271" s="292">
        <f t="shared" si="79"/>
        <v>0</v>
      </c>
      <c r="R271" s="292">
        <f t="shared" si="118"/>
        <v>0</v>
      </c>
      <c r="S271" s="292">
        <f t="shared" si="119"/>
        <v>0</v>
      </c>
      <c r="T271" s="292">
        <f t="shared" si="80"/>
        <v>0</v>
      </c>
      <c r="U271" s="292">
        <f t="shared" si="81"/>
        <v>0</v>
      </c>
      <c r="V271" s="292">
        <f t="shared" si="120"/>
        <v>0</v>
      </c>
      <c r="W271" s="292">
        <f t="shared" si="121"/>
        <v>0</v>
      </c>
      <c r="X271" s="292">
        <f t="shared" si="122"/>
        <v>0</v>
      </c>
      <c r="Y271" s="292">
        <f t="shared" si="123"/>
        <v>0</v>
      </c>
      <c r="Z271" s="292">
        <f t="shared" si="114"/>
        <v>0</v>
      </c>
      <c r="AA271" s="292">
        <f t="shared" si="115"/>
        <v>0</v>
      </c>
      <c r="AB271" s="292">
        <f t="shared" si="82"/>
        <v>0</v>
      </c>
      <c r="AC271" s="292">
        <f t="shared" si="83"/>
        <v>0</v>
      </c>
      <c r="AD271" s="292">
        <f t="shared" si="84"/>
        <v>0</v>
      </c>
      <c r="AE271" s="292">
        <f t="shared" si="85"/>
        <v>0</v>
      </c>
      <c r="AF271" s="292">
        <f t="shared" si="86"/>
        <v>0</v>
      </c>
      <c r="AG271" s="292">
        <f t="shared" si="87"/>
        <v>0</v>
      </c>
      <c r="AH271" s="292">
        <f t="shared" si="88"/>
        <v>0</v>
      </c>
      <c r="AI271" s="292">
        <f t="shared" si="89"/>
        <v>0</v>
      </c>
      <c r="AJ271" s="292">
        <f t="shared" si="90"/>
        <v>0</v>
      </c>
      <c r="AK271" s="292">
        <f t="shared" si="91"/>
        <v>0</v>
      </c>
      <c r="AL271" s="292">
        <f t="shared" si="116"/>
        <v>0</v>
      </c>
      <c r="AM271" s="292">
        <f t="shared" si="117"/>
        <v>0</v>
      </c>
      <c r="AN271" s="292">
        <f t="shared" si="92"/>
        <v>0</v>
      </c>
      <c r="AO271" s="292">
        <f t="shared" si="93"/>
        <v>0</v>
      </c>
      <c r="AP271" s="292">
        <f t="shared" si="94"/>
        <v>0</v>
      </c>
      <c r="AQ271" s="292">
        <f t="shared" si="95"/>
        <v>0</v>
      </c>
      <c r="AR271" s="292">
        <f t="shared" si="96"/>
        <v>0</v>
      </c>
      <c r="AS271" s="292">
        <f t="shared" si="97"/>
        <v>0</v>
      </c>
      <c r="AT271" s="292">
        <f t="shared" si="98"/>
        <v>0</v>
      </c>
      <c r="AU271" s="292">
        <f t="shared" si="99"/>
        <v>0</v>
      </c>
      <c r="AV271" s="292">
        <f t="shared" si="100"/>
        <v>0</v>
      </c>
      <c r="AW271" s="292">
        <f t="shared" si="101"/>
        <v>0</v>
      </c>
      <c r="AX271" s="292">
        <f t="shared" si="102"/>
        <v>624798</v>
      </c>
      <c r="AY271" s="292">
        <f t="shared" si="103"/>
        <v>0</v>
      </c>
      <c r="AZ271" s="292">
        <f t="shared" si="104"/>
        <v>0</v>
      </c>
      <c r="BA271" s="292">
        <f t="shared" si="105"/>
        <v>0</v>
      </c>
      <c r="BB271" s="292">
        <f t="shared" si="106"/>
        <v>0</v>
      </c>
      <c r="BC271" s="292">
        <f t="shared" si="107"/>
        <v>0</v>
      </c>
      <c r="BD271" s="292">
        <f t="shared" si="108"/>
        <v>0</v>
      </c>
      <c r="BE271" s="292">
        <f t="shared" si="109"/>
        <v>0</v>
      </c>
      <c r="BF271" s="292">
        <f t="shared" si="110"/>
        <v>0</v>
      </c>
      <c r="BG271" s="292">
        <f t="shared" si="111"/>
        <v>0</v>
      </c>
    </row>
    <row r="272" spans="1:59" s="289" customFormat="1" ht="15" customHeight="1">
      <c r="A272" s="63">
        <f t="array" ref="A272">IF(C272&lt;&gt;0,SUM(($C$11:C272&lt;&gt;0)*1),"")</f>
        <v>262</v>
      </c>
      <c r="B272" s="1099">
        <v>42480</v>
      </c>
      <c r="C272" s="290" t="s">
        <v>77</v>
      </c>
      <c r="D272" s="1099">
        <v>42480</v>
      </c>
      <c r="E272" s="344" t="s">
        <v>900</v>
      </c>
      <c r="F272" s="345">
        <v>62479</v>
      </c>
      <c r="G272" s="346" t="s">
        <v>10</v>
      </c>
      <c r="H272" s="346" t="s">
        <v>97</v>
      </c>
      <c r="I272" s="63">
        <f t="shared" si="73"/>
        <v>262</v>
      </c>
      <c r="J272" s="292">
        <f t="shared" si="74"/>
        <v>0</v>
      </c>
      <c r="K272" s="292">
        <f t="shared" si="75"/>
        <v>62479</v>
      </c>
      <c r="L272" s="292">
        <f t="shared" si="76"/>
        <v>0</v>
      </c>
      <c r="M272" s="292">
        <f t="shared" si="77"/>
        <v>0</v>
      </c>
      <c r="N272" s="292">
        <f t="shared" si="112"/>
        <v>0</v>
      </c>
      <c r="O272" s="292">
        <f t="shared" si="113"/>
        <v>0</v>
      </c>
      <c r="P272" s="292">
        <f t="shared" si="78"/>
        <v>62479</v>
      </c>
      <c r="Q272" s="292">
        <f t="shared" si="79"/>
        <v>0</v>
      </c>
      <c r="R272" s="292">
        <f t="shared" si="118"/>
        <v>0</v>
      </c>
      <c r="S272" s="292">
        <f t="shared" si="119"/>
        <v>0</v>
      </c>
      <c r="T272" s="292">
        <f t="shared" si="80"/>
        <v>0</v>
      </c>
      <c r="U272" s="292">
        <f t="shared" si="81"/>
        <v>0</v>
      </c>
      <c r="V272" s="292">
        <f t="shared" si="120"/>
        <v>0</v>
      </c>
      <c r="W272" s="292">
        <f t="shared" si="121"/>
        <v>0</v>
      </c>
      <c r="X272" s="292">
        <f t="shared" si="122"/>
        <v>0</v>
      </c>
      <c r="Y272" s="292">
        <f t="shared" si="123"/>
        <v>0</v>
      </c>
      <c r="Z272" s="292">
        <f t="shared" si="114"/>
        <v>0</v>
      </c>
      <c r="AA272" s="292">
        <f t="shared" si="115"/>
        <v>0</v>
      </c>
      <c r="AB272" s="292">
        <f t="shared" si="82"/>
        <v>0</v>
      </c>
      <c r="AC272" s="292">
        <f t="shared" si="83"/>
        <v>0</v>
      </c>
      <c r="AD272" s="292">
        <f t="shared" si="84"/>
        <v>0</v>
      </c>
      <c r="AE272" s="292">
        <f t="shared" si="85"/>
        <v>0</v>
      </c>
      <c r="AF272" s="292">
        <f t="shared" si="86"/>
        <v>0</v>
      </c>
      <c r="AG272" s="292">
        <f t="shared" si="87"/>
        <v>0</v>
      </c>
      <c r="AH272" s="292">
        <f t="shared" si="88"/>
        <v>0</v>
      </c>
      <c r="AI272" s="292">
        <f t="shared" si="89"/>
        <v>0</v>
      </c>
      <c r="AJ272" s="292">
        <f t="shared" si="90"/>
        <v>0</v>
      </c>
      <c r="AK272" s="292">
        <f t="shared" si="91"/>
        <v>0</v>
      </c>
      <c r="AL272" s="292">
        <f t="shared" si="116"/>
        <v>0</v>
      </c>
      <c r="AM272" s="292">
        <f t="shared" si="117"/>
        <v>0</v>
      </c>
      <c r="AN272" s="292">
        <f t="shared" si="92"/>
        <v>0</v>
      </c>
      <c r="AO272" s="292">
        <f t="shared" si="93"/>
        <v>0</v>
      </c>
      <c r="AP272" s="292">
        <f t="shared" si="94"/>
        <v>0</v>
      </c>
      <c r="AQ272" s="292">
        <f t="shared" si="95"/>
        <v>0</v>
      </c>
      <c r="AR272" s="292">
        <f t="shared" si="96"/>
        <v>0</v>
      </c>
      <c r="AS272" s="292">
        <f t="shared" si="97"/>
        <v>0</v>
      </c>
      <c r="AT272" s="292">
        <f t="shared" si="98"/>
        <v>0</v>
      </c>
      <c r="AU272" s="292">
        <f t="shared" si="99"/>
        <v>0</v>
      </c>
      <c r="AV272" s="292">
        <f t="shared" si="100"/>
        <v>0</v>
      </c>
      <c r="AW272" s="292">
        <f t="shared" si="101"/>
        <v>0</v>
      </c>
      <c r="AX272" s="292">
        <f t="shared" si="102"/>
        <v>0</v>
      </c>
      <c r="AY272" s="292">
        <f t="shared" si="103"/>
        <v>0</v>
      </c>
      <c r="AZ272" s="292">
        <f t="shared" si="104"/>
        <v>0</v>
      </c>
      <c r="BA272" s="292">
        <f t="shared" si="105"/>
        <v>0</v>
      </c>
      <c r="BB272" s="292">
        <f t="shared" si="106"/>
        <v>0</v>
      </c>
      <c r="BC272" s="292">
        <f t="shared" si="107"/>
        <v>0</v>
      </c>
      <c r="BD272" s="292">
        <f t="shared" si="108"/>
        <v>0</v>
      </c>
      <c r="BE272" s="292">
        <f t="shared" si="109"/>
        <v>0</v>
      </c>
      <c r="BF272" s="292">
        <f t="shared" si="110"/>
        <v>0</v>
      </c>
      <c r="BG272" s="292">
        <f t="shared" si="111"/>
        <v>0</v>
      </c>
    </row>
    <row r="273" spans="1:59" s="289" customFormat="1" ht="15" customHeight="1">
      <c r="A273" s="63">
        <f t="array" ref="A273">IF(C273&lt;&gt;0,SUM(($C$11:C273&lt;&gt;0)*1),"")</f>
        <v>263</v>
      </c>
      <c r="B273" s="1099">
        <v>42480</v>
      </c>
      <c r="C273" s="290" t="s">
        <v>78</v>
      </c>
      <c r="D273" s="1099">
        <v>42480</v>
      </c>
      <c r="E273" s="344" t="s">
        <v>800</v>
      </c>
      <c r="F273" s="345">
        <v>6523636</v>
      </c>
      <c r="G273" s="346" t="s">
        <v>135</v>
      </c>
      <c r="H273" s="346" t="s">
        <v>97</v>
      </c>
      <c r="I273" s="63">
        <f t="shared" si="73"/>
        <v>263</v>
      </c>
      <c r="J273" s="292">
        <f t="shared" si="74"/>
        <v>0</v>
      </c>
      <c r="K273" s="292">
        <f t="shared" si="75"/>
        <v>6523636</v>
      </c>
      <c r="L273" s="292">
        <f t="shared" si="76"/>
        <v>0</v>
      </c>
      <c r="M273" s="292">
        <f t="shared" si="77"/>
        <v>0</v>
      </c>
      <c r="N273" s="292">
        <f t="shared" si="112"/>
        <v>0</v>
      </c>
      <c r="O273" s="292">
        <f t="shared" si="113"/>
        <v>0</v>
      </c>
      <c r="P273" s="292">
        <f t="shared" si="78"/>
        <v>0</v>
      </c>
      <c r="Q273" s="292">
        <f t="shared" si="79"/>
        <v>0</v>
      </c>
      <c r="R273" s="292">
        <f t="shared" si="118"/>
        <v>0</v>
      </c>
      <c r="S273" s="292">
        <f t="shared" si="119"/>
        <v>0</v>
      </c>
      <c r="T273" s="292">
        <f t="shared" si="80"/>
        <v>0</v>
      </c>
      <c r="U273" s="292">
        <f t="shared" si="81"/>
        <v>0</v>
      </c>
      <c r="V273" s="292">
        <f t="shared" si="120"/>
        <v>0</v>
      </c>
      <c r="W273" s="292">
        <f t="shared" si="121"/>
        <v>0</v>
      </c>
      <c r="X273" s="292">
        <f t="shared" si="122"/>
        <v>0</v>
      </c>
      <c r="Y273" s="292">
        <f t="shared" si="123"/>
        <v>0</v>
      </c>
      <c r="Z273" s="292">
        <f t="shared" si="114"/>
        <v>0</v>
      </c>
      <c r="AA273" s="292">
        <f t="shared" si="115"/>
        <v>0</v>
      </c>
      <c r="AB273" s="292">
        <f t="shared" si="82"/>
        <v>0</v>
      </c>
      <c r="AC273" s="292">
        <f t="shared" si="83"/>
        <v>0</v>
      </c>
      <c r="AD273" s="292">
        <f t="shared" si="84"/>
        <v>0</v>
      </c>
      <c r="AE273" s="292">
        <f t="shared" si="85"/>
        <v>0</v>
      </c>
      <c r="AF273" s="292">
        <f t="shared" si="86"/>
        <v>0</v>
      </c>
      <c r="AG273" s="292">
        <f t="shared" si="87"/>
        <v>0</v>
      </c>
      <c r="AH273" s="292">
        <f t="shared" si="88"/>
        <v>0</v>
      </c>
      <c r="AI273" s="292">
        <f t="shared" si="89"/>
        <v>0</v>
      </c>
      <c r="AJ273" s="292">
        <f t="shared" si="90"/>
        <v>0</v>
      </c>
      <c r="AK273" s="292">
        <f t="shared" si="91"/>
        <v>0</v>
      </c>
      <c r="AL273" s="292">
        <f t="shared" si="116"/>
        <v>0</v>
      </c>
      <c r="AM273" s="292">
        <f t="shared" si="117"/>
        <v>0</v>
      </c>
      <c r="AN273" s="292">
        <f t="shared" si="92"/>
        <v>0</v>
      </c>
      <c r="AO273" s="292">
        <f t="shared" si="93"/>
        <v>0</v>
      </c>
      <c r="AP273" s="292">
        <f t="shared" si="94"/>
        <v>0</v>
      </c>
      <c r="AQ273" s="292">
        <f t="shared" si="95"/>
        <v>0</v>
      </c>
      <c r="AR273" s="292">
        <f t="shared" si="96"/>
        <v>0</v>
      </c>
      <c r="AS273" s="292">
        <f t="shared" si="97"/>
        <v>0</v>
      </c>
      <c r="AT273" s="292">
        <f t="shared" si="98"/>
        <v>0</v>
      </c>
      <c r="AU273" s="292">
        <f t="shared" si="99"/>
        <v>0</v>
      </c>
      <c r="AV273" s="292">
        <f t="shared" si="100"/>
        <v>0</v>
      </c>
      <c r="AW273" s="292">
        <f t="shared" si="101"/>
        <v>0</v>
      </c>
      <c r="AX273" s="292">
        <f t="shared" si="102"/>
        <v>6523636</v>
      </c>
      <c r="AY273" s="292">
        <f t="shared" si="103"/>
        <v>0</v>
      </c>
      <c r="AZ273" s="292">
        <f t="shared" si="104"/>
        <v>0</v>
      </c>
      <c r="BA273" s="292">
        <f t="shared" si="105"/>
        <v>0</v>
      </c>
      <c r="BB273" s="292">
        <f t="shared" si="106"/>
        <v>0</v>
      </c>
      <c r="BC273" s="292">
        <f t="shared" si="107"/>
        <v>0</v>
      </c>
      <c r="BD273" s="292">
        <f t="shared" si="108"/>
        <v>0</v>
      </c>
      <c r="BE273" s="292">
        <f t="shared" si="109"/>
        <v>0</v>
      </c>
      <c r="BF273" s="292">
        <f t="shared" si="110"/>
        <v>0</v>
      </c>
      <c r="BG273" s="292">
        <f t="shared" si="111"/>
        <v>0</v>
      </c>
    </row>
    <row r="274" spans="1:59" s="289" customFormat="1" ht="15" customHeight="1">
      <c r="A274" s="63">
        <f t="array" ref="A274">IF(C274&lt;&gt;0,SUM(($C$11:C274&lt;&gt;0)*1),"")</f>
        <v>264</v>
      </c>
      <c r="B274" s="1099">
        <v>42480</v>
      </c>
      <c r="C274" s="290" t="s">
        <v>78</v>
      </c>
      <c r="D274" s="1099">
        <v>42480</v>
      </c>
      <c r="E274" s="344" t="s">
        <v>802</v>
      </c>
      <c r="F274" s="345">
        <v>652364</v>
      </c>
      <c r="G274" s="346" t="s">
        <v>10</v>
      </c>
      <c r="H274" s="346" t="s">
        <v>97</v>
      </c>
      <c r="I274" s="63">
        <f t="shared" ref="I274:I337" si="124">A274</f>
        <v>264</v>
      </c>
      <c r="J274" s="292">
        <f t="shared" si="74"/>
        <v>0</v>
      </c>
      <c r="K274" s="292">
        <f t="shared" si="75"/>
        <v>652364</v>
      </c>
      <c r="L274" s="292">
        <f t="shared" si="76"/>
        <v>0</v>
      </c>
      <c r="M274" s="292">
        <f t="shared" si="77"/>
        <v>0</v>
      </c>
      <c r="N274" s="292">
        <f t="shared" si="112"/>
        <v>0</v>
      </c>
      <c r="O274" s="292">
        <f t="shared" si="113"/>
        <v>0</v>
      </c>
      <c r="P274" s="292">
        <f t="shared" si="78"/>
        <v>652364</v>
      </c>
      <c r="Q274" s="292">
        <f t="shared" si="79"/>
        <v>0</v>
      </c>
      <c r="R274" s="292">
        <f t="shared" si="118"/>
        <v>0</v>
      </c>
      <c r="S274" s="292">
        <f t="shared" si="119"/>
        <v>0</v>
      </c>
      <c r="T274" s="292">
        <f t="shared" si="80"/>
        <v>0</v>
      </c>
      <c r="U274" s="292">
        <f t="shared" si="81"/>
        <v>0</v>
      </c>
      <c r="V274" s="292">
        <f t="shared" si="120"/>
        <v>0</v>
      </c>
      <c r="W274" s="292">
        <f t="shared" si="121"/>
        <v>0</v>
      </c>
      <c r="X274" s="292">
        <f t="shared" si="122"/>
        <v>0</v>
      </c>
      <c r="Y274" s="292">
        <f t="shared" si="123"/>
        <v>0</v>
      </c>
      <c r="Z274" s="292">
        <f t="shared" si="114"/>
        <v>0</v>
      </c>
      <c r="AA274" s="292">
        <f t="shared" si="115"/>
        <v>0</v>
      </c>
      <c r="AB274" s="292">
        <f t="shared" si="82"/>
        <v>0</v>
      </c>
      <c r="AC274" s="292">
        <f t="shared" si="83"/>
        <v>0</v>
      </c>
      <c r="AD274" s="292">
        <f t="shared" si="84"/>
        <v>0</v>
      </c>
      <c r="AE274" s="292">
        <f t="shared" si="85"/>
        <v>0</v>
      </c>
      <c r="AF274" s="292">
        <f t="shared" si="86"/>
        <v>0</v>
      </c>
      <c r="AG274" s="292">
        <f t="shared" si="87"/>
        <v>0</v>
      </c>
      <c r="AH274" s="292">
        <f t="shared" si="88"/>
        <v>0</v>
      </c>
      <c r="AI274" s="292">
        <f t="shared" si="89"/>
        <v>0</v>
      </c>
      <c r="AJ274" s="292">
        <f t="shared" si="90"/>
        <v>0</v>
      </c>
      <c r="AK274" s="292">
        <f t="shared" si="91"/>
        <v>0</v>
      </c>
      <c r="AL274" s="292">
        <f t="shared" si="116"/>
        <v>0</v>
      </c>
      <c r="AM274" s="292">
        <f t="shared" si="117"/>
        <v>0</v>
      </c>
      <c r="AN274" s="292">
        <f t="shared" si="92"/>
        <v>0</v>
      </c>
      <c r="AO274" s="292">
        <f t="shared" si="93"/>
        <v>0</v>
      </c>
      <c r="AP274" s="292">
        <f t="shared" si="94"/>
        <v>0</v>
      </c>
      <c r="AQ274" s="292">
        <f t="shared" si="95"/>
        <v>0</v>
      </c>
      <c r="AR274" s="292">
        <f t="shared" si="96"/>
        <v>0</v>
      </c>
      <c r="AS274" s="292">
        <f t="shared" si="97"/>
        <v>0</v>
      </c>
      <c r="AT274" s="292">
        <f t="shared" si="98"/>
        <v>0</v>
      </c>
      <c r="AU274" s="292">
        <f t="shared" si="99"/>
        <v>0</v>
      </c>
      <c r="AV274" s="292">
        <f t="shared" si="100"/>
        <v>0</v>
      </c>
      <c r="AW274" s="292">
        <f t="shared" si="101"/>
        <v>0</v>
      </c>
      <c r="AX274" s="292">
        <f t="shared" si="102"/>
        <v>0</v>
      </c>
      <c r="AY274" s="292">
        <f t="shared" si="103"/>
        <v>0</v>
      </c>
      <c r="AZ274" s="292">
        <f t="shared" si="104"/>
        <v>0</v>
      </c>
      <c r="BA274" s="292">
        <f t="shared" si="105"/>
        <v>0</v>
      </c>
      <c r="BB274" s="292">
        <f t="shared" si="106"/>
        <v>0</v>
      </c>
      <c r="BC274" s="292">
        <f t="shared" si="107"/>
        <v>0</v>
      </c>
      <c r="BD274" s="292">
        <f t="shared" si="108"/>
        <v>0</v>
      </c>
      <c r="BE274" s="292">
        <f t="shared" si="109"/>
        <v>0</v>
      </c>
      <c r="BF274" s="292">
        <f t="shared" si="110"/>
        <v>0</v>
      </c>
      <c r="BG274" s="292">
        <f t="shared" si="111"/>
        <v>0</v>
      </c>
    </row>
    <row r="275" spans="1:59" s="289" customFormat="1" ht="15" customHeight="1">
      <c r="A275" s="63">
        <f t="array" ref="A275">IF(C275&lt;&gt;0,SUM(($C$11:C275&lt;&gt;0)*1),"")</f>
        <v>265</v>
      </c>
      <c r="B275" s="1099">
        <v>42481</v>
      </c>
      <c r="C275" s="290" t="s">
        <v>79</v>
      </c>
      <c r="D275" s="1099">
        <v>42481</v>
      </c>
      <c r="E275" s="344" t="s">
        <v>437</v>
      </c>
      <c r="F275" s="345">
        <v>40000000</v>
      </c>
      <c r="G275" s="346" t="s">
        <v>24</v>
      </c>
      <c r="H275" s="346" t="s">
        <v>97</v>
      </c>
      <c r="I275" s="63">
        <f t="shared" si="124"/>
        <v>265</v>
      </c>
      <c r="J275" s="292">
        <f t="shared" si="74"/>
        <v>0</v>
      </c>
      <c r="K275" s="292">
        <f t="shared" si="75"/>
        <v>40000000</v>
      </c>
      <c r="L275" s="292">
        <f t="shared" si="76"/>
        <v>0</v>
      </c>
      <c r="M275" s="292">
        <f t="shared" si="77"/>
        <v>0</v>
      </c>
      <c r="N275" s="292">
        <f t="shared" si="112"/>
        <v>0</v>
      </c>
      <c r="O275" s="292">
        <f t="shared" si="113"/>
        <v>0</v>
      </c>
      <c r="P275" s="292">
        <f t="shared" si="78"/>
        <v>0</v>
      </c>
      <c r="Q275" s="292">
        <f t="shared" si="79"/>
        <v>0</v>
      </c>
      <c r="R275" s="292">
        <f t="shared" si="118"/>
        <v>0</v>
      </c>
      <c r="S275" s="292">
        <f t="shared" si="119"/>
        <v>0</v>
      </c>
      <c r="T275" s="292">
        <f t="shared" si="80"/>
        <v>0</v>
      </c>
      <c r="U275" s="292">
        <f t="shared" si="81"/>
        <v>0</v>
      </c>
      <c r="V275" s="292">
        <f t="shared" si="120"/>
        <v>0</v>
      </c>
      <c r="W275" s="292">
        <f t="shared" si="121"/>
        <v>0</v>
      </c>
      <c r="X275" s="292">
        <f t="shared" si="122"/>
        <v>0</v>
      </c>
      <c r="Y275" s="292">
        <f t="shared" si="123"/>
        <v>0</v>
      </c>
      <c r="Z275" s="292">
        <f t="shared" si="114"/>
        <v>0</v>
      </c>
      <c r="AA275" s="292">
        <f t="shared" si="115"/>
        <v>0</v>
      </c>
      <c r="AB275" s="292">
        <f t="shared" si="82"/>
        <v>0</v>
      </c>
      <c r="AC275" s="292">
        <f t="shared" si="83"/>
        <v>0</v>
      </c>
      <c r="AD275" s="292">
        <f t="shared" si="84"/>
        <v>0</v>
      </c>
      <c r="AE275" s="292">
        <f t="shared" si="85"/>
        <v>0</v>
      </c>
      <c r="AF275" s="292">
        <f t="shared" si="86"/>
        <v>0</v>
      </c>
      <c r="AG275" s="292">
        <f t="shared" si="87"/>
        <v>0</v>
      </c>
      <c r="AH275" s="292">
        <f t="shared" si="88"/>
        <v>40000000</v>
      </c>
      <c r="AI275" s="292">
        <f t="shared" si="89"/>
        <v>0</v>
      </c>
      <c r="AJ275" s="292">
        <f t="shared" si="90"/>
        <v>0</v>
      </c>
      <c r="AK275" s="292">
        <f t="shared" si="91"/>
        <v>0</v>
      </c>
      <c r="AL275" s="292">
        <f t="shared" si="116"/>
        <v>0</v>
      </c>
      <c r="AM275" s="292">
        <f t="shared" si="117"/>
        <v>0</v>
      </c>
      <c r="AN275" s="292">
        <f t="shared" si="92"/>
        <v>0</v>
      </c>
      <c r="AO275" s="292">
        <f t="shared" si="93"/>
        <v>0</v>
      </c>
      <c r="AP275" s="292">
        <f t="shared" si="94"/>
        <v>0</v>
      </c>
      <c r="AQ275" s="292">
        <f t="shared" si="95"/>
        <v>0</v>
      </c>
      <c r="AR275" s="292">
        <f t="shared" si="96"/>
        <v>0</v>
      </c>
      <c r="AS275" s="292">
        <f t="shared" si="97"/>
        <v>0</v>
      </c>
      <c r="AT275" s="292">
        <f t="shared" si="98"/>
        <v>0</v>
      </c>
      <c r="AU275" s="292">
        <f t="shared" si="99"/>
        <v>0</v>
      </c>
      <c r="AV275" s="292">
        <f t="shared" si="100"/>
        <v>0</v>
      </c>
      <c r="AW275" s="292">
        <f t="shared" si="101"/>
        <v>0</v>
      </c>
      <c r="AX275" s="292">
        <f t="shared" si="102"/>
        <v>0</v>
      </c>
      <c r="AY275" s="292">
        <f t="shared" si="103"/>
        <v>0</v>
      </c>
      <c r="AZ275" s="292">
        <f t="shared" si="104"/>
        <v>0</v>
      </c>
      <c r="BA275" s="292">
        <f t="shared" si="105"/>
        <v>0</v>
      </c>
      <c r="BB275" s="292">
        <f t="shared" si="106"/>
        <v>0</v>
      </c>
      <c r="BC275" s="292">
        <f t="shared" si="107"/>
        <v>0</v>
      </c>
      <c r="BD275" s="292">
        <f t="shared" si="108"/>
        <v>0</v>
      </c>
      <c r="BE275" s="292">
        <f t="shared" si="109"/>
        <v>0</v>
      </c>
      <c r="BF275" s="292">
        <f t="shared" si="110"/>
        <v>0</v>
      </c>
      <c r="BG275" s="292">
        <f t="shared" si="111"/>
        <v>0</v>
      </c>
    </row>
    <row r="276" spans="1:59" s="289" customFormat="1" ht="15" customHeight="1">
      <c r="A276" s="63">
        <f t="array" ref="A276">IF(C276&lt;&gt;0,SUM(($C$11:C276&lt;&gt;0)*1),"")</f>
        <v>266</v>
      </c>
      <c r="B276" s="1099">
        <v>42481</v>
      </c>
      <c r="C276" s="290" t="s">
        <v>80</v>
      </c>
      <c r="D276" s="1099">
        <v>42481</v>
      </c>
      <c r="E276" s="344" t="s">
        <v>410</v>
      </c>
      <c r="F276" s="345">
        <v>130000000</v>
      </c>
      <c r="G276" s="346" t="s">
        <v>31</v>
      </c>
      <c r="H276" s="346" t="s">
        <v>97</v>
      </c>
      <c r="I276" s="63">
        <f t="shared" si="124"/>
        <v>266</v>
      </c>
      <c r="J276" s="292">
        <f t="shared" si="74"/>
        <v>0</v>
      </c>
      <c r="K276" s="292">
        <f t="shared" si="75"/>
        <v>130000000</v>
      </c>
      <c r="L276" s="292">
        <f t="shared" si="76"/>
        <v>130000000</v>
      </c>
      <c r="M276" s="292">
        <f t="shared" si="77"/>
        <v>0</v>
      </c>
      <c r="N276" s="292">
        <f t="shared" si="112"/>
        <v>0</v>
      </c>
      <c r="O276" s="292">
        <f t="shared" si="113"/>
        <v>0</v>
      </c>
      <c r="P276" s="292">
        <f t="shared" si="78"/>
        <v>0</v>
      </c>
      <c r="Q276" s="292">
        <f t="shared" si="79"/>
        <v>0</v>
      </c>
      <c r="R276" s="292">
        <f t="shared" si="118"/>
        <v>0</v>
      </c>
      <c r="S276" s="292">
        <f t="shared" si="119"/>
        <v>0</v>
      </c>
      <c r="T276" s="292">
        <f t="shared" si="80"/>
        <v>0</v>
      </c>
      <c r="U276" s="292">
        <f t="shared" si="81"/>
        <v>0</v>
      </c>
      <c r="V276" s="292">
        <f t="shared" si="120"/>
        <v>0</v>
      </c>
      <c r="W276" s="292">
        <f t="shared" si="121"/>
        <v>0</v>
      </c>
      <c r="X276" s="292">
        <f t="shared" si="122"/>
        <v>0</v>
      </c>
      <c r="Y276" s="292">
        <f t="shared" si="123"/>
        <v>0</v>
      </c>
      <c r="Z276" s="292">
        <f t="shared" si="114"/>
        <v>0</v>
      </c>
      <c r="AA276" s="292">
        <f t="shared" si="115"/>
        <v>0</v>
      </c>
      <c r="AB276" s="292">
        <f t="shared" si="82"/>
        <v>0</v>
      </c>
      <c r="AC276" s="292">
        <f t="shared" si="83"/>
        <v>0</v>
      </c>
      <c r="AD276" s="292">
        <f t="shared" si="84"/>
        <v>0</v>
      </c>
      <c r="AE276" s="292">
        <f t="shared" si="85"/>
        <v>0</v>
      </c>
      <c r="AF276" s="292">
        <f t="shared" si="86"/>
        <v>0</v>
      </c>
      <c r="AG276" s="292">
        <f t="shared" si="87"/>
        <v>0</v>
      </c>
      <c r="AH276" s="292">
        <f t="shared" si="88"/>
        <v>0</v>
      </c>
      <c r="AI276" s="292">
        <f t="shared" si="89"/>
        <v>0</v>
      </c>
      <c r="AJ276" s="292">
        <f t="shared" si="90"/>
        <v>0</v>
      </c>
      <c r="AK276" s="292">
        <f t="shared" si="91"/>
        <v>0</v>
      </c>
      <c r="AL276" s="292">
        <f t="shared" si="116"/>
        <v>0</v>
      </c>
      <c r="AM276" s="292">
        <f t="shared" si="117"/>
        <v>0</v>
      </c>
      <c r="AN276" s="292">
        <f t="shared" si="92"/>
        <v>0</v>
      </c>
      <c r="AO276" s="292">
        <f t="shared" si="93"/>
        <v>0</v>
      </c>
      <c r="AP276" s="292">
        <f t="shared" si="94"/>
        <v>0</v>
      </c>
      <c r="AQ276" s="292">
        <f t="shared" si="95"/>
        <v>0</v>
      </c>
      <c r="AR276" s="292">
        <f t="shared" si="96"/>
        <v>0</v>
      </c>
      <c r="AS276" s="292">
        <f t="shared" si="97"/>
        <v>0</v>
      </c>
      <c r="AT276" s="292">
        <f t="shared" si="98"/>
        <v>0</v>
      </c>
      <c r="AU276" s="292">
        <f t="shared" si="99"/>
        <v>0</v>
      </c>
      <c r="AV276" s="292">
        <f t="shared" si="100"/>
        <v>0</v>
      </c>
      <c r="AW276" s="292">
        <f t="shared" si="101"/>
        <v>0</v>
      </c>
      <c r="AX276" s="292">
        <f t="shared" si="102"/>
        <v>0</v>
      </c>
      <c r="AY276" s="292">
        <f t="shared" si="103"/>
        <v>0</v>
      </c>
      <c r="AZ276" s="292">
        <f t="shared" si="104"/>
        <v>0</v>
      </c>
      <c r="BA276" s="292">
        <f t="shared" si="105"/>
        <v>0</v>
      </c>
      <c r="BB276" s="292">
        <f t="shared" si="106"/>
        <v>0</v>
      </c>
      <c r="BC276" s="292">
        <f t="shared" si="107"/>
        <v>0</v>
      </c>
      <c r="BD276" s="292">
        <f t="shared" si="108"/>
        <v>0</v>
      </c>
      <c r="BE276" s="292">
        <f t="shared" si="109"/>
        <v>0</v>
      </c>
      <c r="BF276" s="292">
        <f t="shared" si="110"/>
        <v>0</v>
      </c>
      <c r="BG276" s="292">
        <f t="shared" si="111"/>
        <v>0</v>
      </c>
    </row>
    <row r="277" spans="1:59" s="289" customFormat="1" ht="15" customHeight="1">
      <c r="A277" s="63">
        <f t="array" ref="A277">IF(C277&lt;&gt;0,SUM(($C$11:C277&lt;&gt;0)*1),"")</f>
        <v>267</v>
      </c>
      <c r="B277" s="1099">
        <v>42481</v>
      </c>
      <c r="C277" s="290" t="s">
        <v>80</v>
      </c>
      <c r="D277" s="1099">
        <v>42481</v>
      </c>
      <c r="E277" s="344" t="s">
        <v>410</v>
      </c>
      <c r="F277" s="345">
        <v>60000000</v>
      </c>
      <c r="G277" s="346" t="s">
        <v>31</v>
      </c>
      <c r="H277" s="346" t="s">
        <v>97</v>
      </c>
      <c r="I277" s="63">
        <f t="shared" si="124"/>
        <v>267</v>
      </c>
      <c r="J277" s="292">
        <f t="shared" si="74"/>
        <v>0</v>
      </c>
      <c r="K277" s="292">
        <f t="shared" si="75"/>
        <v>60000000</v>
      </c>
      <c r="L277" s="292">
        <f t="shared" si="76"/>
        <v>60000000</v>
      </c>
      <c r="M277" s="292">
        <f t="shared" si="77"/>
        <v>0</v>
      </c>
      <c r="N277" s="292">
        <f t="shared" si="112"/>
        <v>0</v>
      </c>
      <c r="O277" s="292">
        <f t="shared" si="113"/>
        <v>0</v>
      </c>
      <c r="P277" s="292">
        <f t="shared" si="78"/>
        <v>0</v>
      </c>
      <c r="Q277" s="292">
        <f t="shared" si="79"/>
        <v>0</v>
      </c>
      <c r="R277" s="292">
        <f t="shared" si="118"/>
        <v>0</v>
      </c>
      <c r="S277" s="292">
        <f t="shared" si="119"/>
        <v>0</v>
      </c>
      <c r="T277" s="292">
        <f t="shared" si="80"/>
        <v>0</v>
      </c>
      <c r="U277" s="292">
        <f t="shared" si="81"/>
        <v>0</v>
      </c>
      <c r="V277" s="292">
        <f t="shared" si="120"/>
        <v>0</v>
      </c>
      <c r="W277" s="292">
        <f t="shared" si="121"/>
        <v>0</v>
      </c>
      <c r="X277" s="292">
        <f t="shared" si="122"/>
        <v>0</v>
      </c>
      <c r="Y277" s="292">
        <f t="shared" si="123"/>
        <v>0</v>
      </c>
      <c r="Z277" s="292">
        <f t="shared" si="114"/>
        <v>0</v>
      </c>
      <c r="AA277" s="292">
        <f t="shared" si="115"/>
        <v>0</v>
      </c>
      <c r="AB277" s="292">
        <f t="shared" si="82"/>
        <v>0</v>
      </c>
      <c r="AC277" s="292">
        <f t="shared" si="83"/>
        <v>0</v>
      </c>
      <c r="AD277" s="292">
        <f t="shared" si="84"/>
        <v>0</v>
      </c>
      <c r="AE277" s="292">
        <f t="shared" si="85"/>
        <v>0</v>
      </c>
      <c r="AF277" s="292">
        <f t="shared" si="86"/>
        <v>0</v>
      </c>
      <c r="AG277" s="292">
        <f t="shared" si="87"/>
        <v>0</v>
      </c>
      <c r="AH277" s="292">
        <f t="shared" si="88"/>
        <v>0</v>
      </c>
      <c r="AI277" s="292">
        <f t="shared" si="89"/>
        <v>0</v>
      </c>
      <c r="AJ277" s="292">
        <f t="shared" si="90"/>
        <v>0</v>
      </c>
      <c r="AK277" s="292">
        <f t="shared" si="91"/>
        <v>0</v>
      </c>
      <c r="AL277" s="292">
        <f t="shared" si="116"/>
        <v>0</v>
      </c>
      <c r="AM277" s="292">
        <f t="shared" si="117"/>
        <v>0</v>
      </c>
      <c r="AN277" s="292">
        <f t="shared" si="92"/>
        <v>0</v>
      </c>
      <c r="AO277" s="292">
        <f t="shared" si="93"/>
        <v>0</v>
      </c>
      <c r="AP277" s="292">
        <f t="shared" si="94"/>
        <v>0</v>
      </c>
      <c r="AQ277" s="292">
        <f t="shared" si="95"/>
        <v>0</v>
      </c>
      <c r="AR277" s="292">
        <f t="shared" si="96"/>
        <v>0</v>
      </c>
      <c r="AS277" s="292">
        <f t="shared" si="97"/>
        <v>0</v>
      </c>
      <c r="AT277" s="292">
        <f t="shared" si="98"/>
        <v>0</v>
      </c>
      <c r="AU277" s="292">
        <f t="shared" si="99"/>
        <v>0</v>
      </c>
      <c r="AV277" s="292">
        <f t="shared" si="100"/>
        <v>0</v>
      </c>
      <c r="AW277" s="292">
        <f t="shared" si="101"/>
        <v>0</v>
      </c>
      <c r="AX277" s="292">
        <f t="shared" si="102"/>
        <v>0</v>
      </c>
      <c r="AY277" s="292">
        <f t="shared" si="103"/>
        <v>0</v>
      </c>
      <c r="AZ277" s="292">
        <f t="shared" si="104"/>
        <v>0</v>
      </c>
      <c r="BA277" s="292">
        <f t="shared" si="105"/>
        <v>0</v>
      </c>
      <c r="BB277" s="292">
        <f t="shared" si="106"/>
        <v>0</v>
      </c>
      <c r="BC277" s="292">
        <f t="shared" si="107"/>
        <v>0</v>
      </c>
      <c r="BD277" s="292">
        <f t="shared" si="108"/>
        <v>0</v>
      </c>
      <c r="BE277" s="292">
        <f t="shared" si="109"/>
        <v>0</v>
      </c>
      <c r="BF277" s="292">
        <f t="shared" si="110"/>
        <v>0</v>
      </c>
      <c r="BG277" s="292">
        <f t="shared" si="111"/>
        <v>0</v>
      </c>
    </row>
    <row r="278" spans="1:59" s="289" customFormat="1" ht="15" customHeight="1">
      <c r="A278" s="63">
        <f t="array" ref="A278">IF(C278&lt;&gt;0,SUM(($C$11:C278&lt;&gt;0)*1),"")</f>
        <v>268</v>
      </c>
      <c r="B278" s="1099">
        <v>42481</v>
      </c>
      <c r="C278" s="290" t="s">
        <v>12</v>
      </c>
      <c r="D278" s="1099">
        <v>42481</v>
      </c>
      <c r="E278" s="344" t="s">
        <v>788</v>
      </c>
      <c r="F278" s="345">
        <v>40000000</v>
      </c>
      <c r="G278" s="346" t="s">
        <v>31</v>
      </c>
      <c r="H278" s="346" t="s">
        <v>24</v>
      </c>
      <c r="I278" s="63">
        <f t="shared" si="124"/>
        <v>268</v>
      </c>
      <c r="J278" s="292">
        <f t="shared" si="74"/>
        <v>0</v>
      </c>
      <c r="K278" s="292">
        <f t="shared" si="75"/>
        <v>0</v>
      </c>
      <c r="L278" s="292">
        <f t="shared" si="76"/>
        <v>40000000</v>
      </c>
      <c r="M278" s="292">
        <f t="shared" si="77"/>
        <v>0</v>
      </c>
      <c r="N278" s="292">
        <f t="shared" si="112"/>
        <v>0</v>
      </c>
      <c r="O278" s="292">
        <f t="shared" si="113"/>
        <v>0</v>
      </c>
      <c r="P278" s="292">
        <f t="shared" si="78"/>
        <v>0</v>
      </c>
      <c r="Q278" s="292">
        <f t="shared" si="79"/>
        <v>0</v>
      </c>
      <c r="R278" s="292">
        <f t="shared" si="118"/>
        <v>0</v>
      </c>
      <c r="S278" s="292">
        <f t="shared" si="119"/>
        <v>0</v>
      </c>
      <c r="T278" s="292">
        <f t="shared" si="80"/>
        <v>0</v>
      </c>
      <c r="U278" s="292">
        <f t="shared" si="81"/>
        <v>0</v>
      </c>
      <c r="V278" s="292">
        <f t="shared" si="120"/>
        <v>0</v>
      </c>
      <c r="W278" s="292">
        <f t="shared" si="121"/>
        <v>0</v>
      </c>
      <c r="X278" s="292">
        <f t="shared" si="122"/>
        <v>0</v>
      </c>
      <c r="Y278" s="292">
        <f t="shared" si="123"/>
        <v>0</v>
      </c>
      <c r="Z278" s="292">
        <f t="shared" si="114"/>
        <v>0</v>
      </c>
      <c r="AA278" s="292">
        <f t="shared" si="115"/>
        <v>0</v>
      </c>
      <c r="AB278" s="292">
        <f t="shared" si="82"/>
        <v>0</v>
      </c>
      <c r="AC278" s="292">
        <f t="shared" si="83"/>
        <v>0</v>
      </c>
      <c r="AD278" s="292">
        <f t="shared" si="84"/>
        <v>0</v>
      </c>
      <c r="AE278" s="292">
        <f t="shared" si="85"/>
        <v>0</v>
      </c>
      <c r="AF278" s="292">
        <f t="shared" si="86"/>
        <v>0</v>
      </c>
      <c r="AG278" s="292">
        <f t="shared" si="87"/>
        <v>0</v>
      </c>
      <c r="AH278" s="292">
        <f t="shared" si="88"/>
        <v>0</v>
      </c>
      <c r="AI278" s="292">
        <f t="shared" si="89"/>
        <v>40000000</v>
      </c>
      <c r="AJ278" s="292">
        <f t="shared" si="90"/>
        <v>0</v>
      </c>
      <c r="AK278" s="292">
        <f t="shared" si="91"/>
        <v>0</v>
      </c>
      <c r="AL278" s="292">
        <f t="shared" si="116"/>
        <v>0</v>
      </c>
      <c r="AM278" s="292">
        <f t="shared" si="117"/>
        <v>0</v>
      </c>
      <c r="AN278" s="292">
        <f t="shared" si="92"/>
        <v>0</v>
      </c>
      <c r="AO278" s="292">
        <f t="shared" si="93"/>
        <v>0</v>
      </c>
      <c r="AP278" s="292">
        <f t="shared" si="94"/>
        <v>0</v>
      </c>
      <c r="AQ278" s="292">
        <f t="shared" si="95"/>
        <v>0</v>
      </c>
      <c r="AR278" s="292">
        <f t="shared" si="96"/>
        <v>0</v>
      </c>
      <c r="AS278" s="292">
        <f t="shared" si="97"/>
        <v>0</v>
      </c>
      <c r="AT278" s="292">
        <f t="shared" si="98"/>
        <v>0</v>
      </c>
      <c r="AU278" s="292">
        <f t="shared" si="99"/>
        <v>0</v>
      </c>
      <c r="AV278" s="292">
        <f t="shared" si="100"/>
        <v>0</v>
      </c>
      <c r="AW278" s="292">
        <f t="shared" si="101"/>
        <v>0</v>
      </c>
      <c r="AX278" s="292">
        <f t="shared" si="102"/>
        <v>0</v>
      </c>
      <c r="AY278" s="292">
        <f t="shared" si="103"/>
        <v>0</v>
      </c>
      <c r="AZ278" s="292">
        <f t="shared" si="104"/>
        <v>0</v>
      </c>
      <c r="BA278" s="292">
        <f t="shared" si="105"/>
        <v>0</v>
      </c>
      <c r="BB278" s="292">
        <f t="shared" si="106"/>
        <v>0</v>
      </c>
      <c r="BC278" s="292">
        <f t="shared" si="107"/>
        <v>0</v>
      </c>
      <c r="BD278" s="292">
        <f t="shared" si="108"/>
        <v>0</v>
      </c>
      <c r="BE278" s="292">
        <f t="shared" si="109"/>
        <v>0</v>
      </c>
      <c r="BF278" s="292">
        <f t="shared" si="110"/>
        <v>0</v>
      </c>
      <c r="BG278" s="292">
        <f t="shared" si="111"/>
        <v>0</v>
      </c>
    </row>
    <row r="279" spans="1:59" s="289" customFormat="1" ht="15" customHeight="1">
      <c r="A279" s="63">
        <f t="array" ref="A279">IF(C279&lt;&gt;0,SUM(($C$11:C279&lt;&gt;0)*1),"")</f>
        <v>269</v>
      </c>
      <c r="B279" s="1099">
        <v>42481</v>
      </c>
      <c r="C279" s="290" t="s">
        <v>8</v>
      </c>
      <c r="D279" s="1099">
        <v>42481</v>
      </c>
      <c r="E279" s="344" t="s">
        <v>405</v>
      </c>
      <c r="F279" s="345">
        <v>8187032</v>
      </c>
      <c r="G279" s="346" t="s">
        <v>133</v>
      </c>
      <c r="H279" s="346" t="s">
        <v>31</v>
      </c>
      <c r="I279" s="63">
        <f t="shared" si="124"/>
        <v>269</v>
      </c>
      <c r="J279" s="292">
        <f t="shared" si="74"/>
        <v>0</v>
      </c>
      <c r="K279" s="292">
        <f t="shared" si="75"/>
        <v>0</v>
      </c>
      <c r="L279" s="292">
        <f t="shared" si="76"/>
        <v>0</v>
      </c>
      <c r="M279" s="292">
        <f t="shared" si="77"/>
        <v>8187032</v>
      </c>
      <c r="N279" s="292">
        <f t="shared" si="112"/>
        <v>0</v>
      </c>
      <c r="O279" s="292">
        <f t="shared" si="113"/>
        <v>0</v>
      </c>
      <c r="P279" s="292">
        <f t="shared" si="78"/>
        <v>0</v>
      </c>
      <c r="Q279" s="292">
        <f t="shared" si="79"/>
        <v>0</v>
      </c>
      <c r="R279" s="292">
        <f t="shared" si="118"/>
        <v>0</v>
      </c>
      <c r="S279" s="292">
        <f t="shared" si="119"/>
        <v>0</v>
      </c>
      <c r="T279" s="292">
        <f t="shared" si="80"/>
        <v>0</v>
      </c>
      <c r="U279" s="292">
        <f t="shared" si="81"/>
        <v>0</v>
      </c>
      <c r="V279" s="292">
        <f t="shared" si="120"/>
        <v>0</v>
      </c>
      <c r="W279" s="292">
        <f t="shared" si="121"/>
        <v>0</v>
      </c>
      <c r="X279" s="292">
        <f t="shared" si="122"/>
        <v>0</v>
      </c>
      <c r="Y279" s="292">
        <f t="shared" si="123"/>
        <v>0</v>
      </c>
      <c r="Z279" s="292">
        <f t="shared" si="114"/>
        <v>0</v>
      </c>
      <c r="AA279" s="292">
        <f t="shared" si="115"/>
        <v>0</v>
      </c>
      <c r="AB279" s="292">
        <f t="shared" si="82"/>
        <v>0</v>
      </c>
      <c r="AC279" s="292">
        <f t="shared" si="83"/>
        <v>0</v>
      </c>
      <c r="AD279" s="292">
        <f t="shared" si="84"/>
        <v>0</v>
      </c>
      <c r="AE279" s="292">
        <f t="shared" si="85"/>
        <v>0</v>
      </c>
      <c r="AF279" s="292">
        <f t="shared" si="86"/>
        <v>0</v>
      </c>
      <c r="AG279" s="292">
        <f t="shared" si="87"/>
        <v>0</v>
      </c>
      <c r="AH279" s="292">
        <f t="shared" si="88"/>
        <v>0</v>
      </c>
      <c r="AI279" s="292">
        <f t="shared" si="89"/>
        <v>0</v>
      </c>
      <c r="AJ279" s="292">
        <f t="shared" si="90"/>
        <v>0</v>
      </c>
      <c r="AK279" s="292">
        <f t="shared" si="91"/>
        <v>0</v>
      </c>
      <c r="AL279" s="292">
        <f t="shared" si="116"/>
        <v>0</v>
      </c>
      <c r="AM279" s="292">
        <f t="shared" si="117"/>
        <v>0</v>
      </c>
      <c r="AN279" s="292">
        <f t="shared" si="92"/>
        <v>0</v>
      </c>
      <c r="AO279" s="292">
        <f t="shared" si="93"/>
        <v>0</v>
      </c>
      <c r="AP279" s="292">
        <f t="shared" si="94"/>
        <v>0</v>
      </c>
      <c r="AQ279" s="292">
        <f t="shared" si="95"/>
        <v>0</v>
      </c>
      <c r="AR279" s="292">
        <f t="shared" si="96"/>
        <v>0</v>
      </c>
      <c r="AS279" s="292">
        <f t="shared" si="97"/>
        <v>0</v>
      </c>
      <c r="AT279" s="292">
        <f t="shared" si="98"/>
        <v>0</v>
      </c>
      <c r="AU279" s="292">
        <f t="shared" si="99"/>
        <v>0</v>
      </c>
      <c r="AV279" s="292">
        <f t="shared" si="100"/>
        <v>8187032</v>
      </c>
      <c r="AW279" s="292">
        <f t="shared" si="101"/>
        <v>0</v>
      </c>
      <c r="AX279" s="292">
        <f t="shared" si="102"/>
        <v>0</v>
      </c>
      <c r="AY279" s="292">
        <f t="shared" si="103"/>
        <v>0</v>
      </c>
      <c r="AZ279" s="292">
        <f t="shared" si="104"/>
        <v>0</v>
      </c>
      <c r="BA279" s="292">
        <f t="shared" si="105"/>
        <v>0</v>
      </c>
      <c r="BB279" s="292">
        <f t="shared" si="106"/>
        <v>0</v>
      </c>
      <c r="BC279" s="292">
        <f t="shared" si="107"/>
        <v>0</v>
      </c>
      <c r="BD279" s="292">
        <f t="shared" si="108"/>
        <v>0</v>
      </c>
      <c r="BE279" s="292">
        <f t="shared" si="109"/>
        <v>0</v>
      </c>
      <c r="BF279" s="292">
        <f t="shared" si="110"/>
        <v>0</v>
      </c>
      <c r="BG279" s="292">
        <f t="shared" si="111"/>
        <v>0</v>
      </c>
    </row>
    <row r="280" spans="1:59" s="289" customFormat="1" ht="15" customHeight="1">
      <c r="A280" s="63">
        <f t="array" ref="A280">IF(C280&lt;&gt;0,SUM(($C$11:C280&lt;&gt;0)*1),"")</f>
        <v>270</v>
      </c>
      <c r="B280" s="1099">
        <v>42481</v>
      </c>
      <c r="C280" s="290" t="s">
        <v>8</v>
      </c>
      <c r="D280" s="1099">
        <v>42481</v>
      </c>
      <c r="E280" s="344" t="s">
        <v>405</v>
      </c>
      <c r="F280" s="345">
        <v>16374064</v>
      </c>
      <c r="G280" s="346" t="s">
        <v>133</v>
      </c>
      <c r="H280" s="346" t="s">
        <v>31</v>
      </c>
      <c r="I280" s="63">
        <f t="shared" si="124"/>
        <v>270</v>
      </c>
      <c r="J280" s="292">
        <f t="shared" si="74"/>
        <v>0</v>
      </c>
      <c r="K280" s="292">
        <f t="shared" si="75"/>
        <v>0</v>
      </c>
      <c r="L280" s="292">
        <f t="shared" si="76"/>
        <v>0</v>
      </c>
      <c r="M280" s="292">
        <f t="shared" si="77"/>
        <v>16374064</v>
      </c>
      <c r="N280" s="292">
        <f t="shared" si="112"/>
        <v>0</v>
      </c>
      <c r="O280" s="292">
        <f t="shared" si="113"/>
        <v>0</v>
      </c>
      <c r="P280" s="292">
        <f t="shared" si="78"/>
        <v>0</v>
      </c>
      <c r="Q280" s="292">
        <f t="shared" si="79"/>
        <v>0</v>
      </c>
      <c r="R280" s="292">
        <f t="shared" si="118"/>
        <v>0</v>
      </c>
      <c r="S280" s="292">
        <f t="shared" si="119"/>
        <v>0</v>
      </c>
      <c r="T280" s="292">
        <f t="shared" si="80"/>
        <v>0</v>
      </c>
      <c r="U280" s="292">
        <f t="shared" si="81"/>
        <v>0</v>
      </c>
      <c r="V280" s="292">
        <f t="shared" si="120"/>
        <v>0</v>
      </c>
      <c r="W280" s="292">
        <f t="shared" si="121"/>
        <v>0</v>
      </c>
      <c r="X280" s="292">
        <f t="shared" si="122"/>
        <v>0</v>
      </c>
      <c r="Y280" s="292">
        <f t="shared" si="123"/>
        <v>0</v>
      </c>
      <c r="Z280" s="292">
        <f t="shared" si="114"/>
        <v>0</v>
      </c>
      <c r="AA280" s="292">
        <f t="shared" si="115"/>
        <v>0</v>
      </c>
      <c r="AB280" s="292">
        <f t="shared" si="82"/>
        <v>0</v>
      </c>
      <c r="AC280" s="292">
        <f t="shared" si="83"/>
        <v>0</v>
      </c>
      <c r="AD280" s="292">
        <f t="shared" si="84"/>
        <v>0</v>
      </c>
      <c r="AE280" s="292">
        <f t="shared" si="85"/>
        <v>0</v>
      </c>
      <c r="AF280" s="292">
        <f t="shared" si="86"/>
        <v>0</v>
      </c>
      <c r="AG280" s="292">
        <f t="shared" si="87"/>
        <v>0</v>
      </c>
      <c r="AH280" s="292">
        <f t="shared" si="88"/>
        <v>0</v>
      </c>
      <c r="AI280" s="292">
        <f t="shared" si="89"/>
        <v>0</v>
      </c>
      <c r="AJ280" s="292">
        <f t="shared" si="90"/>
        <v>0</v>
      </c>
      <c r="AK280" s="292">
        <f t="shared" si="91"/>
        <v>0</v>
      </c>
      <c r="AL280" s="292">
        <f t="shared" si="116"/>
        <v>0</v>
      </c>
      <c r="AM280" s="292">
        <f t="shared" si="117"/>
        <v>0</v>
      </c>
      <c r="AN280" s="292">
        <f t="shared" si="92"/>
        <v>0</v>
      </c>
      <c r="AO280" s="292">
        <f t="shared" si="93"/>
        <v>0</v>
      </c>
      <c r="AP280" s="292">
        <f t="shared" si="94"/>
        <v>0</v>
      </c>
      <c r="AQ280" s="292">
        <f t="shared" si="95"/>
        <v>0</v>
      </c>
      <c r="AR280" s="292">
        <f t="shared" si="96"/>
        <v>0</v>
      </c>
      <c r="AS280" s="292">
        <f t="shared" si="97"/>
        <v>0</v>
      </c>
      <c r="AT280" s="292">
        <f t="shared" si="98"/>
        <v>0</v>
      </c>
      <c r="AU280" s="292">
        <f t="shared" si="99"/>
        <v>0</v>
      </c>
      <c r="AV280" s="292">
        <f t="shared" si="100"/>
        <v>16374064</v>
      </c>
      <c r="AW280" s="292">
        <f t="shared" si="101"/>
        <v>0</v>
      </c>
      <c r="AX280" s="292">
        <f t="shared" si="102"/>
        <v>0</v>
      </c>
      <c r="AY280" s="292">
        <f t="shared" si="103"/>
        <v>0</v>
      </c>
      <c r="AZ280" s="292">
        <f t="shared" si="104"/>
        <v>0</v>
      </c>
      <c r="BA280" s="292">
        <f t="shared" si="105"/>
        <v>0</v>
      </c>
      <c r="BB280" s="292">
        <f t="shared" si="106"/>
        <v>0</v>
      </c>
      <c r="BC280" s="292">
        <f t="shared" si="107"/>
        <v>0</v>
      </c>
      <c r="BD280" s="292">
        <f t="shared" si="108"/>
        <v>0</v>
      </c>
      <c r="BE280" s="292">
        <f t="shared" si="109"/>
        <v>0</v>
      </c>
      <c r="BF280" s="292">
        <f t="shared" si="110"/>
        <v>0</v>
      </c>
      <c r="BG280" s="292">
        <f t="shared" si="111"/>
        <v>0</v>
      </c>
    </row>
    <row r="281" spans="1:59" s="289" customFormat="1" ht="15" customHeight="1">
      <c r="A281" s="63">
        <f t="array" ref="A281">IF(C281&lt;&gt;0,SUM(($C$11:C281&lt;&gt;0)*1),"")</f>
        <v>271</v>
      </c>
      <c r="B281" s="1099">
        <v>42481</v>
      </c>
      <c r="C281" s="290" t="s">
        <v>8</v>
      </c>
      <c r="D281" s="1099">
        <v>42481</v>
      </c>
      <c r="E281" s="344" t="s">
        <v>405</v>
      </c>
      <c r="F281" s="345">
        <v>13099251</v>
      </c>
      <c r="G281" s="346" t="s">
        <v>133</v>
      </c>
      <c r="H281" s="346" t="s">
        <v>31</v>
      </c>
      <c r="I281" s="63">
        <f t="shared" si="124"/>
        <v>271</v>
      </c>
      <c r="J281" s="292">
        <f t="shared" si="74"/>
        <v>0</v>
      </c>
      <c r="K281" s="292">
        <f t="shared" si="75"/>
        <v>0</v>
      </c>
      <c r="L281" s="292">
        <f t="shared" si="76"/>
        <v>0</v>
      </c>
      <c r="M281" s="292">
        <f t="shared" si="77"/>
        <v>13099251</v>
      </c>
      <c r="N281" s="292">
        <f t="shared" si="112"/>
        <v>0</v>
      </c>
      <c r="O281" s="292">
        <f t="shared" si="113"/>
        <v>0</v>
      </c>
      <c r="P281" s="292">
        <f t="shared" si="78"/>
        <v>0</v>
      </c>
      <c r="Q281" s="292">
        <f t="shared" si="79"/>
        <v>0</v>
      </c>
      <c r="R281" s="292">
        <f t="shared" si="118"/>
        <v>0</v>
      </c>
      <c r="S281" s="292">
        <f t="shared" si="119"/>
        <v>0</v>
      </c>
      <c r="T281" s="292">
        <f t="shared" si="80"/>
        <v>0</v>
      </c>
      <c r="U281" s="292">
        <f t="shared" si="81"/>
        <v>0</v>
      </c>
      <c r="V281" s="292">
        <f t="shared" si="120"/>
        <v>0</v>
      </c>
      <c r="W281" s="292">
        <f t="shared" si="121"/>
        <v>0</v>
      </c>
      <c r="X281" s="292">
        <f t="shared" si="122"/>
        <v>0</v>
      </c>
      <c r="Y281" s="292">
        <f t="shared" si="123"/>
        <v>0</v>
      </c>
      <c r="Z281" s="292">
        <f t="shared" si="114"/>
        <v>0</v>
      </c>
      <c r="AA281" s="292">
        <f t="shared" si="115"/>
        <v>0</v>
      </c>
      <c r="AB281" s="292">
        <f t="shared" si="82"/>
        <v>0</v>
      </c>
      <c r="AC281" s="292">
        <f t="shared" si="83"/>
        <v>0</v>
      </c>
      <c r="AD281" s="292">
        <f t="shared" si="84"/>
        <v>0</v>
      </c>
      <c r="AE281" s="292">
        <f t="shared" si="85"/>
        <v>0</v>
      </c>
      <c r="AF281" s="292">
        <f t="shared" si="86"/>
        <v>0</v>
      </c>
      <c r="AG281" s="292">
        <f t="shared" si="87"/>
        <v>0</v>
      </c>
      <c r="AH281" s="292">
        <f t="shared" si="88"/>
        <v>0</v>
      </c>
      <c r="AI281" s="292">
        <f t="shared" si="89"/>
        <v>0</v>
      </c>
      <c r="AJ281" s="292">
        <f t="shared" si="90"/>
        <v>0</v>
      </c>
      <c r="AK281" s="292">
        <f t="shared" si="91"/>
        <v>0</v>
      </c>
      <c r="AL281" s="292">
        <f t="shared" si="116"/>
        <v>0</v>
      </c>
      <c r="AM281" s="292">
        <f t="shared" si="117"/>
        <v>0</v>
      </c>
      <c r="AN281" s="292">
        <f t="shared" si="92"/>
        <v>0</v>
      </c>
      <c r="AO281" s="292">
        <f t="shared" si="93"/>
        <v>0</v>
      </c>
      <c r="AP281" s="292">
        <f t="shared" si="94"/>
        <v>0</v>
      </c>
      <c r="AQ281" s="292">
        <f t="shared" si="95"/>
        <v>0</v>
      </c>
      <c r="AR281" s="292">
        <f t="shared" si="96"/>
        <v>0</v>
      </c>
      <c r="AS281" s="292">
        <f t="shared" si="97"/>
        <v>0</v>
      </c>
      <c r="AT281" s="292">
        <f t="shared" si="98"/>
        <v>0</v>
      </c>
      <c r="AU281" s="292">
        <f t="shared" si="99"/>
        <v>0</v>
      </c>
      <c r="AV281" s="292">
        <f t="shared" si="100"/>
        <v>13099251</v>
      </c>
      <c r="AW281" s="292">
        <f t="shared" si="101"/>
        <v>0</v>
      </c>
      <c r="AX281" s="292">
        <f t="shared" si="102"/>
        <v>0</v>
      </c>
      <c r="AY281" s="292">
        <f t="shared" si="103"/>
        <v>0</v>
      </c>
      <c r="AZ281" s="292">
        <f t="shared" si="104"/>
        <v>0</v>
      </c>
      <c r="BA281" s="292">
        <f t="shared" si="105"/>
        <v>0</v>
      </c>
      <c r="BB281" s="292">
        <f t="shared" si="106"/>
        <v>0</v>
      </c>
      <c r="BC281" s="292">
        <f t="shared" si="107"/>
        <v>0</v>
      </c>
      <c r="BD281" s="292">
        <f t="shared" si="108"/>
        <v>0</v>
      </c>
      <c r="BE281" s="292">
        <f t="shared" si="109"/>
        <v>0</v>
      </c>
      <c r="BF281" s="292">
        <f t="shared" si="110"/>
        <v>0</v>
      </c>
      <c r="BG281" s="292">
        <f t="shared" si="111"/>
        <v>0</v>
      </c>
    </row>
    <row r="282" spans="1:59" s="289" customFormat="1" ht="15" customHeight="1">
      <c r="A282" s="63">
        <f t="array" ref="A282">IF(C282&lt;&gt;0,SUM(($C$11:C282&lt;&gt;0)*1),"")</f>
        <v>272</v>
      </c>
      <c r="B282" s="1099">
        <v>42481</v>
      </c>
      <c r="C282" s="290" t="s">
        <v>8</v>
      </c>
      <c r="D282" s="1099">
        <v>42481</v>
      </c>
      <c r="E282" s="344" t="s">
        <v>405</v>
      </c>
      <c r="F282" s="345">
        <v>12280547</v>
      </c>
      <c r="G282" s="346" t="s">
        <v>133</v>
      </c>
      <c r="H282" s="346" t="s">
        <v>31</v>
      </c>
      <c r="I282" s="63">
        <f t="shared" si="124"/>
        <v>272</v>
      </c>
      <c r="J282" s="292">
        <f t="shared" si="74"/>
        <v>0</v>
      </c>
      <c r="K282" s="292">
        <f t="shared" si="75"/>
        <v>0</v>
      </c>
      <c r="L282" s="292">
        <f t="shared" si="76"/>
        <v>0</v>
      </c>
      <c r="M282" s="292">
        <f t="shared" si="77"/>
        <v>12280547</v>
      </c>
      <c r="N282" s="292">
        <f t="shared" si="112"/>
        <v>0</v>
      </c>
      <c r="O282" s="292">
        <f t="shared" si="113"/>
        <v>0</v>
      </c>
      <c r="P282" s="292">
        <f t="shared" si="78"/>
        <v>0</v>
      </c>
      <c r="Q282" s="292">
        <f t="shared" si="79"/>
        <v>0</v>
      </c>
      <c r="R282" s="292">
        <f t="shared" si="118"/>
        <v>0</v>
      </c>
      <c r="S282" s="292">
        <f t="shared" si="119"/>
        <v>0</v>
      </c>
      <c r="T282" s="292">
        <f t="shared" si="80"/>
        <v>0</v>
      </c>
      <c r="U282" s="292">
        <f t="shared" si="81"/>
        <v>0</v>
      </c>
      <c r="V282" s="292">
        <f t="shared" si="120"/>
        <v>0</v>
      </c>
      <c r="W282" s="292">
        <f t="shared" si="121"/>
        <v>0</v>
      </c>
      <c r="X282" s="292">
        <f t="shared" si="122"/>
        <v>0</v>
      </c>
      <c r="Y282" s="292">
        <f t="shared" si="123"/>
        <v>0</v>
      </c>
      <c r="Z282" s="292">
        <f t="shared" si="114"/>
        <v>0</v>
      </c>
      <c r="AA282" s="292">
        <f t="shared" si="115"/>
        <v>0</v>
      </c>
      <c r="AB282" s="292">
        <f t="shared" si="82"/>
        <v>0</v>
      </c>
      <c r="AC282" s="292">
        <f t="shared" si="83"/>
        <v>0</v>
      </c>
      <c r="AD282" s="292">
        <f t="shared" si="84"/>
        <v>0</v>
      </c>
      <c r="AE282" s="292">
        <f t="shared" si="85"/>
        <v>0</v>
      </c>
      <c r="AF282" s="292">
        <f t="shared" si="86"/>
        <v>0</v>
      </c>
      <c r="AG282" s="292">
        <f t="shared" si="87"/>
        <v>0</v>
      </c>
      <c r="AH282" s="292">
        <f t="shared" si="88"/>
        <v>0</v>
      </c>
      <c r="AI282" s="292">
        <f t="shared" si="89"/>
        <v>0</v>
      </c>
      <c r="AJ282" s="292">
        <f t="shared" si="90"/>
        <v>0</v>
      </c>
      <c r="AK282" s="292">
        <f t="shared" si="91"/>
        <v>0</v>
      </c>
      <c r="AL282" s="292">
        <f t="shared" si="116"/>
        <v>0</v>
      </c>
      <c r="AM282" s="292">
        <f t="shared" si="117"/>
        <v>0</v>
      </c>
      <c r="AN282" s="292">
        <f t="shared" si="92"/>
        <v>0</v>
      </c>
      <c r="AO282" s="292">
        <f t="shared" si="93"/>
        <v>0</v>
      </c>
      <c r="AP282" s="292">
        <f t="shared" si="94"/>
        <v>0</v>
      </c>
      <c r="AQ282" s="292">
        <f t="shared" si="95"/>
        <v>0</v>
      </c>
      <c r="AR282" s="292">
        <f t="shared" si="96"/>
        <v>0</v>
      </c>
      <c r="AS282" s="292">
        <f t="shared" si="97"/>
        <v>0</v>
      </c>
      <c r="AT282" s="292">
        <f t="shared" si="98"/>
        <v>0</v>
      </c>
      <c r="AU282" s="292">
        <f t="shared" si="99"/>
        <v>0</v>
      </c>
      <c r="AV282" s="292">
        <f t="shared" si="100"/>
        <v>12280547</v>
      </c>
      <c r="AW282" s="292">
        <f t="shared" si="101"/>
        <v>0</v>
      </c>
      <c r="AX282" s="292">
        <f t="shared" si="102"/>
        <v>0</v>
      </c>
      <c r="AY282" s="292">
        <f t="shared" si="103"/>
        <v>0</v>
      </c>
      <c r="AZ282" s="292">
        <f t="shared" si="104"/>
        <v>0</v>
      </c>
      <c r="BA282" s="292">
        <f t="shared" si="105"/>
        <v>0</v>
      </c>
      <c r="BB282" s="292">
        <f t="shared" si="106"/>
        <v>0</v>
      </c>
      <c r="BC282" s="292">
        <f t="shared" si="107"/>
        <v>0</v>
      </c>
      <c r="BD282" s="292">
        <f t="shared" si="108"/>
        <v>0</v>
      </c>
      <c r="BE282" s="292">
        <f t="shared" si="109"/>
        <v>0</v>
      </c>
      <c r="BF282" s="292">
        <f t="shared" si="110"/>
        <v>0</v>
      </c>
      <c r="BG282" s="292">
        <f t="shared" si="111"/>
        <v>0</v>
      </c>
    </row>
    <row r="283" spans="1:59" s="289" customFormat="1" ht="15" customHeight="1">
      <c r="A283" s="63">
        <f t="array" ref="A283">IF(C283&lt;&gt;0,SUM(($C$11:C283&lt;&gt;0)*1),"")</f>
        <v>273</v>
      </c>
      <c r="B283" s="1099">
        <v>42481</v>
      </c>
      <c r="C283" s="290" t="s">
        <v>8</v>
      </c>
      <c r="D283" s="1099">
        <v>42481</v>
      </c>
      <c r="E283" s="344" t="s">
        <v>405</v>
      </c>
      <c r="F283" s="345">
        <v>8187032</v>
      </c>
      <c r="G283" s="346" t="s">
        <v>133</v>
      </c>
      <c r="H283" s="346" t="s">
        <v>31</v>
      </c>
      <c r="I283" s="63">
        <f t="shared" si="124"/>
        <v>273</v>
      </c>
      <c r="J283" s="292">
        <f t="shared" si="74"/>
        <v>0</v>
      </c>
      <c r="K283" s="292">
        <f t="shared" si="75"/>
        <v>0</v>
      </c>
      <c r="L283" s="292">
        <f t="shared" si="76"/>
        <v>0</v>
      </c>
      <c r="M283" s="292">
        <f t="shared" si="77"/>
        <v>8187032</v>
      </c>
      <c r="N283" s="292">
        <f t="shared" si="112"/>
        <v>0</v>
      </c>
      <c r="O283" s="292">
        <f t="shared" si="113"/>
        <v>0</v>
      </c>
      <c r="P283" s="292">
        <f t="shared" si="78"/>
        <v>0</v>
      </c>
      <c r="Q283" s="292">
        <f t="shared" si="79"/>
        <v>0</v>
      </c>
      <c r="R283" s="292">
        <f t="shared" si="118"/>
        <v>0</v>
      </c>
      <c r="S283" s="292">
        <f t="shared" si="119"/>
        <v>0</v>
      </c>
      <c r="T283" s="292">
        <f t="shared" si="80"/>
        <v>0</v>
      </c>
      <c r="U283" s="292">
        <f t="shared" si="81"/>
        <v>0</v>
      </c>
      <c r="V283" s="292">
        <f t="shared" si="120"/>
        <v>0</v>
      </c>
      <c r="W283" s="292">
        <f t="shared" si="121"/>
        <v>0</v>
      </c>
      <c r="X283" s="292">
        <f t="shared" si="122"/>
        <v>0</v>
      </c>
      <c r="Y283" s="292">
        <f t="shared" si="123"/>
        <v>0</v>
      </c>
      <c r="Z283" s="292">
        <f t="shared" si="114"/>
        <v>0</v>
      </c>
      <c r="AA283" s="292">
        <f t="shared" si="115"/>
        <v>0</v>
      </c>
      <c r="AB283" s="292">
        <f t="shared" si="82"/>
        <v>0</v>
      </c>
      <c r="AC283" s="292">
        <f t="shared" si="83"/>
        <v>0</v>
      </c>
      <c r="AD283" s="292">
        <f t="shared" si="84"/>
        <v>0</v>
      </c>
      <c r="AE283" s="292">
        <f t="shared" si="85"/>
        <v>0</v>
      </c>
      <c r="AF283" s="292">
        <f t="shared" si="86"/>
        <v>0</v>
      </c>
      <c r="AG283" s="292">
        <f t="shared" si="87"/>
        <v>0</v>
      </c>
      <c r="AH283" s="292">
        <f t="shared" si="88"/>
        <v>0</v>
      </c>
      <c r="AI283" s="292">
        <f t="shared" si="89"/>
        <v>0</v>
      </c>
      <c r="AJ283" s="292">
        <f t="shared" si="90"/>
        <v>0</v>
      </c>
      <c r="AK283" s="292">
        <f t="shared" si="91"/>
        <v>0</v>
      </c>
      <c r="AL283" s="292">
        <f t="shared" si="116"/>
        <v>0</v>
      </c>
      <c r="AM283" s="292">
        <f t="shared" si="117"/>
        <v>0</v>
      </c>
      <c r="AN283" s="292">
        <f t="shared" si="92"/>
        <v>0</v>
      </c>
      <c r="AO283" s="292">
        <f t="shared" si="93"/>
        <v>0</v>
      </c>
      <c r="AP283" s="292">
        <f t="shared" si="94"/>
        <v>0</v>
      </c>
      <c r="AQ283" s="292">
        <f t="shared" si="95"/>
        <v>0</v>
      </c>
      <c r="AR283" s="292">
        <f t="shared" si="96"/>
        <v>0</v>
      </c>
      <c r="AS283" s="292">
        <f t="shared" si="97"/>
        <v>0</v>
      </c>
      <c r="AT283" s="292">
        <f t="shared" si="98"/>
        <v>0</v>
      </c>
      <c r="AU283" s="292">
        <f t="shared" si="99"/>
        <v>0</v>
      </c>
      <c r="AV283" s="292">
        <f t="shared" si="100"/>
        <v>8187032</v>
      </c>
      <c r="AW283" s="292">
        <f t="shared" si="101"/>
        <v>0</v>
      </c>
      <c r="AX283" s="292">
        <f t="shared" si="102"/>
        <v>0</v>
      </c>
      <c r="AY283" s="292">
        <f t="shared" si="103"/>
        <v>0</v>
      </c>
      <c r="AZ283" s="292">
        <f t="shared" si="104"/>
        <v>0</v>
      </c>
      <c r="BA283" s="292">
        <f t="shared" si="105"/>
        <v>0</v>
      </c>
      <c r="BB283" s="292">
        <f t="shared" si="106"/>
        <v>0</v>
      </c>
      <c r="BC283" s="292">
        <f t="shared" si="107"/>
        <v>0</v>
      </c>
      <c r="BD283" s="292">
        <f t="shared" si="108"/>
        <v>0</v>
      </c>
      <c r="BE283" s="292">
        <f t="shared" si="109"/>
        <v>0</v>
      </c>
      <c r="BF283" s="292">
        <f t="shared" si="110"/>
        <v>0</v>
      </c>
      <c r="BG283" s="292">
        <f t="shared" si="111"/>
        <v>0</v>
      </c>
    </row>
    <row r="284" spans="1:59" s="289" customFormat="1" ht="15" customHeight="1">
      <c r="A284" s="63">
        <f t="array" ref="A284">IF(C284&lt;&gt;0,SUM(($C$11:C284&lt;&gt;0)*1),"")</f>
        <v>274</v>
      </c>
      <c r="B284" s="1099">
        <v>42481</v>
      </c>
      <c r="C284" s="290" t="s">
        <v>8</v>
      </c>
      <c r="D284" s="1099">
        <v>42481</v>
      </c>
      <c r="E284" s="344" t="s">
        <v>405</v>
      </c>
      <c r="F284" s="345">
        <v>12280547</v>
      </c>
      <c r="G284" s="346" t="s">
        <v>133</v>
      </c>
      <c r="H284" s="346" t="s">
        <v>31</v>
      </c>
      <c r="I284" s="63">
        <f t="shared" si="124"/>
        <v>274</v>
      </c>
      <c r="J284" s="292">
        <f t="shared" si="74"/>
        <v>0</v>
      </c>
      <c r="K284" s="292">
        <f t="shared" si="75"/>
        <v>0</v>
      </c>
      <c r="L284" s="292">
        <f t="shared" si="76"/>
        <v>0</v>
      </c>
      <c r="M284" s="292">
        <f t="shared" si="77"/>
        <v>12280547</v>
      </c>
      <c r="N284" s="292">
        <f t="shared" si="112"/>
        <v>0</v>
      </c>
      <c r="O284" s="292">
        <f t="shared" si="113"/>
        <v>0</v>
      </c>
      <c r="P284" s="292">
        <f t="shared" si="78"/>
        <v>0</v>
      </c>
      <c r="Q284" s="292">
        <f t="shared" si="79"/>
        <v>0</v>
      </c>
      <c r="R284" s="292">
        <f t="shared" si="118"/>
        <v>0</v>
      </c>
      <c r="S284" s="292">
        <f t="shared" si="119"/>
        <v>0</v>
      </c>
      <c r="T284" s="292">
        <f t="shared" si="80"/>
        <v>0</v>
      </c>
      <c r="U284" s="292">
        <f t="shared" si="81"/>
        <v>0</v>
      </c>
      <c r="V284" s="292">
        <f t="shared" si="120"/>
        <v>0</v>
      </c>
      <c r="W284" s="292">
        <f t="shared" si="121"/>
        <v>0</v>
      </c>
      <c r="X284" s="292">
        <f t="shared" si="122"/>
        <v>0</v>
      </c>
      <c r="Y284" s="292">
        <f t="shared" si="123"/>
        <v>0</v>
      </c>
      <c r="Z284" s="292">
        <f t="shared" si="114"/>
        <v>0</v>
      </c>
      <c r="AA284" s="292">
        <f t="shared" si="115"/>
        <v>0</v>
      </c>
      <c r="AB284" s="292">
        <f t="shared" si="82"/>
        <v>0</v>
      </c>
      <c r="AC284" s="292">
        <f t="shared" si="83"/>
        <v>0</v>
      </c>
      <c r="AD284" s="292">
        <f t="shared" si="84"/>
        <v>0</v>
      </c>
      <c r="AE284" s="292">
        <f t="shared" si="85"/>
        <v>0</v>
      </c>
      <c r="AF284" s="292">
        <f t="shared" si="86"/>
        <v>0</v>
      </c>
      <c r="AG284" s="292">
        <f t="shared" si="87"/>
        <v>0</v>
      </c>
      <c r="AH284" s="292">
        <f t="shared" si="88"/>
        <v>0</v>
      </c>
      <c r="AI284" s="292">
        <f t="shared" si="89"/>
        <v>0</v>
      </c>
      <c r="AJ284" s="292">
        <f t="shared" si="90"/>
        <v>0</v>
      </c>
      <c r="AK284" s="292">
        <f t="shared" si="91"/>
        <v>0</v>
      </c>
      <c r="AL284" s="292">
        <f t="shared" si="116"/>
        <v>0</v>
      </c>
      <c r="AM284" s="292">
        <f t="shared" si="117"/>
        <v>0</v>
      </c>
      <c r="AN284" s="292">
        <f t="shared" si="92"/>
        <v>0</v>
      </c>
      <c r="AO284" s="292">
        <f t="shared" si="93"/>
        <v>0</v>
      </c>
      <c r="AP284" s="292">
        <f t="shared" si="94"/>
        <v>0</v>
      </c>
      <c r="AQ284" s="292">
        <f t="shared" si="95"/>
        <v>0</v>
      </c>
      <c r="AR284" s="292">
        <f t="shared" si="96"/>
        <v>0</v>
      </c>
      <c r="AS284" s="292">
        <f t="shared" si="97"/>
        <v>0</v>
      </c>
      <c r="AT284" s="292">
        <f t="shared" si="98"/>
        <v>0</v>
      </c>
      <c r="AU284" s="292">
        <f t="shared" si="99"/>
        <v>0</v>
      </c>
      <c r="AV284" s="292">
        <f t="shared" si="100"/>
        <v>12280547</v>
      </c>
      <c r="AW284" s="292">
        <f t="shared" si="101"/>
        <v>0</v>
      </c>
      <c r="AX284" s="292">
        <f t="shared" si="102"/>
        <v>0</v>
      </c>
      <c r="AY284" s="292">
        <f t="shared" si="103"/>
        <v>0</v>
      </c>
      <c r="AZ284" s="292">
        <f t="shared" si="104"/>
        <v>0</v>
      </c>
      <c r="BA284" s="292">
        <f t="shared" si="105"/>
        <v>0</v>
      </c>
      <c r="BB284" s="292">
        <f t="shared" si="106"/>
        <v>0</v>
      </c>
      <c r="BC284" s="292">
        <f t="shared" si="107"/>
        <v>0</v>
      </c>
      <c r="BD284" s="292">
        <f t="shared" si="108"/>
        <v>0</v>
      </c>
      <c r="BE284" s="292">
        <f t="shared" si="109"/>
        <v>0</v>
      </c>
      <c r="BF284" s="292">
        <f t="shared" si="110"/>
        <v>0</v>
      </c>
      <c r="BG284" s="292">
        <f t="shared" si="111"/>
        <v>0</v>
      </c>
    </row>
    <row r="285" spans="1:59" s="289" customFormat="1" ht="15" customHeight="1">
      <c r="A285" s="63">
        <f t="array" ref="A285">IF(C285&lt;&gt;0,SUM(($C$11:C285&lt;&gt;0)*1),"")</f>
        <v>275</v>
      </c>
      <c r="B285" s="1099">
        <v>42481</v>
      </c>
      <c r="C285" s="290" t="s">
        <v>8</v>
      </c>
      <c r="D285" s="1099">
        <v>42481</v>
      </c>
      <c r="E285" s="344" t="s">
        <v>405</v>
      </c>
      <c r="F285" s="345">
        <v>16374064</v>
      </c>
      <c r="G285" s="346" t="s">
        <v>133</v>
      </c>
      <c r="H285" s="346" t="s">
        <v>31</v>
      </c>
      <c r="I285" s="63">
        <f t="shared" si="124"/>
        <v>275</v>
      </c>
      <c r="J285" s="292">
        <f t="shared" si="74"/>
        <v>0</v>
      </c>
      <c r="K285" s="292">
        <f t="shared" si="75"/>
        <v>0</v>
      </c>
      <c r="L285" s="292">
        <f t="shared" si="76"/>
        <v>0</v>
      </c>
      <c r="M285" s="292">
        <f t="shared" si="77"/>
        <v>16374064</v>
      </c>
      <c r="N285" s="292">
        <f t="shared" si="112"/>
        <v>0</v>
      </c>
      <c r="O285" s="292">
        <f t="shared" si="113"/>
        <v>0</v>
      </c>
      <c r="P285" s="292">
        <f t="shared" si="78"/>
        <v>0</v>
      </c>
      <c r="Q285" s="292">
        <f t="shared" si="79"/>
        <v>0</v>
      </c>
      <c r="R285" s="292">
        <f t="shared" si="118"/>
        <v>0</v>
      </c>
      <c r="S285" s="292">
        <f t="shared" si="119"/>
        <v>0</v>
      </c>
      <c r="T285" s="292">
        <f t="shared" si="80"/>
        <v>0</v>
      </c>
      <c r="U285" s="292">
        <f t="shared" si="81"/>
        <v>0</v>
      </c>
      <c r="V285" s="292">
        <f t="shared" si="120"/>
        <v>0</v>
      </c>
      <c r="W285" s="292">
        <f t="shared" si="121"/>
        <v>0</v>
      </c>
      <c r="X285" s="292">
        <f t="shared" si="122"/>
        <v>0</v>
      </c>
      <c r="Y285" s="292">
        <f t="shared" si="123"/>
        <v>0</v>
      </c>
      <c r="Z285" s="292">
        <f t="shared" si="114"/>
        <v>0</v>
      </c>
      <c r="AA285" s="292">
        <f t="shared" si="115"/>
        <v>0</v>
      </c>
      <c r="AB285" s="292">
        <f t="shared" si="82"/>
        <v>0</v>
      </c>
      <c r="AC285" s="292">
        <f t="shared" si="83"/>
        <v>0</v>
      </c>
      <c r="AD285" s="292">
        <f t="shared" si="84"/>
        <v>0</v>
      </c>
      <c r="AE285" s="292">
        <f t="shared" si="85"/>
        <v>0</v>
      </c>
      <c r="AF285" s="292">
        <f t="shared" si="86"/>
        <v>0</v>
      </c>
      <c r="AG285" s="292">
        <f t="shared" si="87"/>
        <v>0</v>
      </c>
      <c r="AH285" s="292">
        <f t="shared" si="88"/>
        <v>0</v>
      </c>
      <c r="AI285" s="292">
        <f t="shared" si="89"/>
        <v>0</v>
      </c>
      <c r="AJ285" s="292">
        <f t="shared" si="90"/>
        <v>0</v>
      </c>
      <c r="AK285" s="292">
        <f t="shared" si="91"/>
        <v>0</v>
      </c>
      <c r="AL285" s="292">
        <f t="shared" si="116"/>
        <v>0</v>
      </c>
      <c r="AM285" s="292">
        <f t="shared" si="117"/>
        <v>0</v>
      </c>
      <c r="AN285" s="292">
        <f t="shared" si="92"/>
        <v>0</v>
      </c>
      <c r="AO285" s="292">
        <f t="shared" si="93"/>
        <v>0</v>
      </c>
      <c r="AP285" s="292">
        <f t="shared" si="94"/>
        <v>0</v>
      </c>
      <c r="AQ285" s="292">
        <f t="shared" si="95"/>
        <v>0</v>
      </c>
      <c r="AR285" s="292">
        <f t="shared" si="96"/>
        <v>0</v>
      </c>
      <c r="AS285" s="292">
        <f t="shared" si="97"/>
        <v>0</v>
      </c>
      <c r="AT285" s="292">
        <f t="shared" si="98"/>
        <v>0</v>
      </c>
      <c r="AU285" s="292">
        <f t="shared" si="99"/>
        <v>0</v>
      </c>
      <c r="AV285" s="292">
        <f t="shared" si="100"/>
        <v>16374064</v>
      </c>
      <c r="AW285" s="292">
        <f t="shared" si="101"/>
        <v>0</v>
      </c>
      <c r="AX285" s="292">
        <f t="shared" si="102"/>
        <v>0</v>
      </c>
      <c r="AY285" s="292">
        <f t="shared" si="103"/>
        <v>0</v>
      </c>
      <c r="AZ285" s="292">
        <f t="shared" si="104"/>
        <v>0</v>
      </c>
      <c r="BA285" s="292">
        <f t="shared" si="105"/>
        <v>0</v>
      </c>
      <c r="BB285" s="292">
        <f t="shared" si="106"/>
        <v>0</v>
      </c>
      <c r="BC285" s="292">
        <f t="shared" si="107"/>
        <v>0</v>
      </c>
      <c r="BD285" s="292">
        <f t="shared" si="108"/>
        <v>0</v>
      </c>
      <c r="BE285" s="292">
        <f t="shared" si="109"/>
        <v>0</v>
      </c>
      <c r="BF285" s="292">
        <f t="shared" si="110"/>
        <v>0</v>
      </c>
      <c r="BG285" s="292">
        <f t="shared" si="111"/>
        <v>0</v>
      </c>
    </row>
    <row r="286" spans="1:59" s="289" customFormat="1" ht="15" customHeight="1">
      <c r="A286" s="63">
        <f t="array" ref="A286">IF(C286&lt;&gt;0,SUM(($C$11:C286&lt;&gt;0)*1),"")</f>
        <v>276</v>
      </c>
      <c r="B286" s="1099">
        <v>42481</v>
      </c>
      <c r="C286" s="290" t="s">
        <v>8</v>
      </c>
      <c r="D286" s="1099">
        <v>42481</v>
      </c>
      <c r="E286" s="344" t="s">
        <v>405</v>
      </c>
      <c r="F286" s="345">
        <v>11461845</v>
      </c>
      <c r="G286" s="346" t="s">
        <v>133</v>
      </c>
      <c r="H286" s="346" t="s">
        <v>31</v>
      </c>
      <c r="I286" s="63">
        <f t="shared" si="124"/>
        <v>276</v>
      </c>
      <c r="J286" s="292">
        <f t="shared" si="74"/>
        <v>0</v>
      </c>
      <c r="K286" s="292">
        <f t="shared" si="75"/>
        <v>0</v>
      </c>
      <c r="L286" s="292">
        <f t="shared" si="76"/>
        <v>0</v>
      </c>
      <c r="M286" s="292">
        <f t="shared" si="77"/>
        <v>11461845</v>
      </c>
      <c r="N286" s="292">
        <f t="shared" si="112"/>
        <v>0</v>
      </c>
      <c r="O286" s="292">
        <f t="shared" si="113"/>
        <v>0</v>
      </c>
      <c r="P286" s="292">
        <f t="shared" si="78"/>
        <v>0</v>
      </c>
      <c r="Q286" s="292">
        <f t="shared" si="79"/>
        <v>0</v>
      </c>
      <c r="R286" s="292">
        <f t="shared" si="118"/>
        <v>0</v>
      </c>
      <c r="S286" s="292">
        <f t="shared" si="119"/>
        <v>0</v>
      </c>
      <c r="T286" s="292">
        <f t="shared" si="80"/>
        <v>0</v>
      </c>
      <c r="U286" s="292">
        <f t="shared" si="81"/>
        <v>0</v>
      </c>
      <c r="V286" s="292">
        <f t="shared" si="120"/>
        <v>0</v>
      </c>
      <c r="W286" s="292">
        <f t="shared" si="121"/>
        <v>0</v>
      </c>
      <c r="X286" s="292">
        <f t="shared" si="122"/>
        <v>0</v>
      </c>
      <c r="Y286" s="292">
        <f t="shared" si="123"/>
        <v>0</v>
      </c>
      <c r="Z286" s="292">
        <f t="shared" si="114"/>
        <v>0</v>
      </c>
      <c r="AA286" s="292">
        <f t="shared" si="115"/>
        <v>0</v>
      </c>
      <c r="AB286" s="292">
        <f t="shared" si="82"/>
        <v>0</v>
      </c>
      <c r="AC286" s="292">
        <f t="shared" si="83"/>
        <v>0</v>
      </c>
      <c r="AD286" s="292">
        <f t="shared" si="84"/>
        <v>0</v>
      </c>
      <c r="AE286" s="292">
        <f t="shared" si="85"/>
        <v>0</v>
      </c>
      <c r="AF286" s="292">
        <f t="shared" si="86"/>
        <v>0</v>
      </c>
      <c r="AG286" s="292">
        <f t="shared" si="87"/>
        <v>0</v>
      </c>
      <c r="AH286" s="292">
        <f t="shared" si="88"/>
        <v>0</v>
      </c>
      <c r="AI286" s="292">
        <f t="shared" si="89"/>
        <v>0</v>
      </c>
      <c r="AJ286" s="292">
        <f t="shared" si="90"/>
        <v>0</v>
      </c>
      <c r="AK286" s="292">
        <f t="shared" si="91"/>
        <v>0</v>
      </c>
      <c r="AL286" s="292">
        <f t="shared" si="116"/>
        <v>0</v>
      </c>
      <c r="AM286" s="292">
        <f t="shared" si="117"/>
        <v>0</v>
      </c>
      <c r="AN286" s="292">
        <f t="shared" si="92"/>
        <v>0</v>
      </c>
      <c r="AO286" s="292">
        <f t="shared" si="93"/>
        <v>0</v>
      </c>
      <c r="AP286" s="292">
        <f t="shared" si="94"/>
        <v>0</v>
      </c>
      <c r="AQ286" s="292">
        <f t="shared" si="95"/>
        <v>0</v>
      </c>
      <c r="AR286" s="292">
        <f t="shared" si="96"/>
        <v>0</v>
      </c>
      <c r="AS286" s="292">
        <f t="shared" si="97"/>
        <v>0</v>
      </c>
      <c r="AT286" s="292">
        <f t="shared" si="98"/>
        <v>0</v>
      </c>
      <c r="AU286" s="292">
        <f t="shared" si="99"/>
        <v>0</v>
      </c>
      <c r="AV286" s="292">
        <f t="shared" si="100"/>
        <v>11461845</v>
      </c>
      <c r="AW286" s="292">
        <f t="shared" si="101"/>
        <v>0</v>
      </c>
      <c r="AX286" s="292">
        <f t="shared" si="102"/>
        <v>0</v>
      </c>
      <c r="AY286" s="292">
        <f t="shared" si="103"/>
        <v>0</v>
      </c>
      <c r="AZ286" s="292">
        <f t="shared" si="104"/>
        <v>0</v>
      </c>
      <c r="BA286" s="292">
        <f t="shared" si="105"/>
        <v>0</v>
      </c>
      <c r="BB286" s="292">
        <f t="shared" si="106"/>
        <v>0</v>
      </c>
      <c r="BC286" s="292">
        <f t="shared" si="107"/>
        <v>0</v>
      </c>
      <c r="BD286" s="292">
        <f t="shared" si="108"/>
        <v>0</v>
      </c>
      <c r="BE286" s="292">
        <f t="shared" si="109"/>
        <v>0</v>
      </c>
      <c r="BF286" s="292">
        <f t="shared" si="110"/>
        <v>0</v>
      </c>
      <c r="BG286" s="292">
        <f t="shared" si="111"/>
        <v>0</v>
      </c>
    </row>
    <row r="287" spans="1:59" s="289" customFormat="1" ht="15" customHeight="1">
      <c r="A287" s="63">
        <f t="array" ref="A287">IF(C287&lt;&gt;0,SUM(($C$11:C287&lt;&gt;0)*1),"")</f>
        <v>277</v>
      </c>
      <c r="B287" s="1099">
        <v>42481</v>
      </c>
      <c r="C287" s="290" t="s">
        <v>8</v>
      </c>
      <c r="D287" s="1099">
        <v>42481</v>
      </c>
      <c r="E287" s="344" t="s">
        <v>405</v>
      </c>
      <c r="F287" s="345">
        <v>12280547</v>
      </c>
      <c r="G287" s="346" t="s">
        <v>133</v>
      </c>
      <c r="H287" s="346" t="s">
        <v>31</v>
      </c>
      <c r="I287" s="63">
        <f t="shared" si="124"/>
        <v>277</v>
      </c>
      <c r="J287" s="292">
        <f t="shared" si="74"/>
        <v>0</v>
      </c>
      <c r="K287" s="292">
        <f t="shared" si="75"/>
        <v>0</v>
      </c>
      <c r="L287" s="292">
        <f t="shared" si="76"/>
        <v>0</v>
      </c>
      <c r="M287" s="292">
        <f t="shared" si="77"/>
        <v>12280547</v>
      </c>
      <c r="N287" s="292">
        <f t="shared" si="112"/>
        <v>0</v>
      </c>
      <c r="O287" s="292">
        <f t="shared" si="113"/>
        <v>0</v>
      </c>
      <c r="P287" s="292">
        <f t="shared" si="78"/>
        <v>0</v>
      </c>
      <c r="Q287" s="292">
        <f t="shared" si="79"/>
        <v>0</v>
      </c>
      <c r="R287" s="292">
        <f t="shared" si="118"/>
        <v>0</v>
      </c>
      <c r="S287" s="292">
        <f t="shared" si="119"/>
        <v>0</v>
      </c>
      <c r="T287" s="292">
        <f t="shared" si="80"/>
        <v>0</v>
      </c>
      <c r="U287" s="292">
        <f t="shared" si="81"/>
        <v>0</v>
      </c>
      <c r="V287" s="292">
        <f t="shared" si="120"/>
        <v>0</v>
      </c>
      <c r="W287" s="292">
        <f t="shared" si="121"/>
        <v>0</v>
      </c>
      <c r="X287" s="292">
        <f t="shared" si="122"/>
        <v>0</v>
      </c>
      <c r="Y287" s="292">
        <f t="shared" si="123"/>
        <v>0</v>
      </c>
      <c r="Z287" s="292">
        <f t="shared" si="114"/>
        <v>0</v>
      </c>
      <c r="AA287" s="292">
        <f t="shared" si="115"/>
        <v>0</v>
      </c>
      <c r="AB287" s="292">
        <f t="shared" si="82"/>
        <v>0</v>
      </c>
      <c r="AC287" s="292">
        <f t="shared" si="83"/>
        <v>0</v>
      </c>
      <c r="AD287" s="292">
        <f t="shared" si="84"/>
        <v>0</v>
      </c>
      <c r="AE287" s="292">
        <f t="shared" si="85"/>
        <v>0</v>
      </c>
      <c r="AF287" s="292">
        <f t="shared" si="86"/>
        <v>0</v>
      </c>
      <c r="AG287" s="292">
        <f t="shared" si="87"/>
        <v>0</v>
      </c>
      <c r="AH287" s="292">
        <f t="shared" si="88"/>
        <v>0</v>
      </c>
      <c r="AI287" s="292">
        <f t="shared" si="89"/>
        <v>0</v>
      </c>
      <c r="AJ287" s="292">
        <f t="shared" si="90"/>
        <v>0</v>
      </c>
      <c r="AK287" s="292">
        <f t="shared" si="91"/>
        <v>0</v>
      </c>
      <c r="AL287" s="292">
        <f t="shared" si="116"/>
        <v>0</v>
      </c>
      <c r="AM287" s="292">
        <f t="shared" si="117"/>
        <v>0</v>
      </c>
      <c r="AN287" s="292">
        <f t="shared" si="92"/>
        <v>0</v>
      </c>
      <c r="AO287" s="292">
        <f t="shared" si="93"/>
        <v>0</v>
      </c>
      <c r="AP287" s="292">
        <f t="shared" si="94"/>
        <v>0</v>
      </c>
      <c r="AQ287" s="292">
        <f t="shared" si="95"/>
        <v>0</v>
      </c>
      <c r="AR287" s="292">
        <f t="shared" si="96"/>
        <v>0</v>
      </c>
      <c r="AS287" s="292">
        <f t="shared" si="97"/>
        <v>0</v>
      </c>
      <c r="AT287" s="292">
        <f t="shared" si="98"/>
        <v>0</v>
      </c>
      <c r="AU287" s="292">
        <f t="shared" si="99"/>
        <v>0</v>
      </c>
      <c r="AV287" s="292">
        <f t="shared" si="100"/>
        <v>12280547</v>
      </c>
      <c r="AW287" s="292">
        <f t="shared" si="101"/>
        <v>0</v>
      </c>
      <c r="AX287" s="292">
        <f t="shared" si="102"/>
        <v>0</v>
      </c>
      <c r="AY287" s="292">
        <f t="shared" si="103"/>
        <v>0</v>
      </c>
      <c r="AZ287" s="292">
        <f t="shared" si="104"/>
        <v>0</v>
      </c>
      <c r="BA287" s="292">
        <f t="shared" si="105"/>
        <v>0</v>
      </c>
      <c r="BB287" s="292">
        <f t="shared" si="106"/>
        <v>0</v>
      </c>
      <c r="BC287" s="292">
        <f t="shared" si="107"/>
        <v>0</v>
      </c>
      <c r="BD287" s="292">
        <f t="shared" si="108"/>
        <v>0</v>
      </c>
      <c r="BE287" s="292">
        <f t="shared" si="109"/>
        <v>0</v>
      </c>
      <c r="BF287" s="292">
        <f t="shared" si="110"/>
        <v>0</v>
      </c>
      <c r="BG287" s="292">
        <f t="shared" si="111"/>
        <v>0</v>
      </c>
    </row>
    <row r="288" spans="1:59" s="289" customFormat="1" ht="15" customHeight="1">
      <c r="A288" s="63">
        <f t="array" ref="A288">IF(C288&lt;&gt;0,SUM(($C$11:C288&lt;&gt;0)*1),"")</f>
        <v>278</v>
      </c>
      <c r="B288" s="1099">
        <v>42481</v>
      </c>
      <c r="C288" s="290" t="s">
        <v>8</v>
      </c>
      <c r="D288" s="1099">
        <v>42481</v>
      </c>
      <c r="E288" s="344" t="s">
        <v>405</v>
      </c>
      <c r="F288" s="345">
        <v>12280547</v>
      </c>
      <c r="G288" s="346" t="s">
        <v>133</v>
      </c>
      <c r="H288" s="346" t="s">
        <v>31</v>
      </c>
      <c r="I288" s="63">
        <f t="shared" si="124"/>
        <v>278</v>
      </c>
      <c r="J288" s="292">
        <f t="shared" si="74"/>
        <v>0</v>
      </c>
      <c r="K288" s="292">
        <f t="shared" si="75"/>
        <v>0</v>
      </c>
      <c r="L288" s="292">
        <f t="shared" si="76"/>
        <v>0</v>
      </c>
      <c r="M288" s="292">
        <f t="shared" si="77"/>
        <v>12280547</v>
      </c>
      <c r="N288" s="292">
        <f t="shared" si="112"/>
        <v>0</v>
      </c>
      <c r="O288" s="292">
        <f t="shared" si="113"/>
        <v>0</v>
      </c>
      <c r="P288" s="292">
        <f t="shared" si="78"/>
        <v>0</v>
      </c>
      <c r="Q288" s="292">
        <f t="shared" si="79"/>
        <v>0</v>
      </c>
      <c r="R288" s="292">
        <f t="shared" si="118"/>
        <v>0</v>
      </c>
      <c r="S288" s="292">
        <f t="shared" si="119"/>
        <v>0</v>
      </c>
      <c r="T288" s="292">
        <f t="shared" si="80"/>
        <v>0</v>
      </c>
      <c r="U288" s="292">
        <f t="shared" si="81"/>
        <v>0</v>
      </c>
      <c r="V288" s="292">
        <f t="shared" si="120"/>
        <v>0</v>
      </c>
      <c r="W288" s="292">
        <f t="shared" si="121"/>
        <v>0</v>
      </c>
      <c r="X288" s="292">
        <f t="shared" si="122"/>
        <v>0</v>
      </c>
      <c r="Y288" s="292">
        <f t="shared" si="123"/>
        <v>0</v>
      </c>
      <c r="Z288" s="292">
        <f t="shared" si="114"/>
        <v>0</v>
      </c>
      <c r="AA288" s="292">
        <f t="shared" si="115"/>
        <v>0</v>
      </c>
      <c r="AB288" s="292">
        <f t="shared" si="82"/>
        <v>0</v>
      </c>
      <c r="AC288" s="292">
        <f t="shared" si="83"/>
        <v>0</v>
      </c>
      <c r="AD288" s="292">
        <f t="shared" si="84"/>
        <v>0</v>
      </c>
      <c r="AE288" s="292">
        <f t="shared" si="85"/>
        <v>0</v>
      </c>
      <c r="AF288" s="292">
        <f t="shared" si="86"/>
        <v>0</v>
      </c>
      <c r="AG288" s="292">
        <f t="shared" si="87"/>
        <v>0</v>
      </c>
      <c r="AH288" s="292">
        <f t="shared" si="88"/>
        <v>0</v>
      </c>
      <c r="AI288" s="292">
        <f t="shared" si="89"/>
        <v>0</v>
      </c>
      <c r="AJ288" s="292">
        <f t="shared" si="90"/>
        <v>0</v>
      </c>
      <c r="AK288" s="292">
        <f t="shared" si="91"/>
        <v>0</v>
      </c>
      <c r="AL288" s="292">
        <f t="shared" si="116"/>
        <v>0</v>
      </c>
      <c r="AM288" s="292">
        <f t="shared" si="117"/>
        <v>0</v>
      </c>
      <c r="AN288" s="292">
        <f t="shared" si="92"/>
        <v>0</v>
      </c>
      <c r="AO288" s="292">
        <f t="shared" si="93"/>
        <v>0</v>
      </c>
      <c r="AP288" s="292">
        <f t="shared" si="94"/>
        <v>0</v>
      </c>
      <c r="AQ288" s="292">
        <f t="shared" si="95"/>
        <v>0</v>
      </c>
      <c r="AR288" s="292">
        <f t="shared" si="96"/>
        <v>0</v>
      </c>
      <c r="AS288" s="292">
        <f t="shared" si="97"/>
        <v>0</v>
      </c>
      <c r="AT288" s="292">
        <f t="shared" si="98"/>
        <v>0</v>
      </c>
      <c r="AU288" s="292">
        <f t="shared" si="99"/>
        <v>0</v>
      </c>
      <c r="AV288" s="292">
        <f t="shared" si="100"/>
        <v>12280547</v>
      </c>
      <c r="AW288" s="292">
        <f t="shared" si="101"/>
        <v>0</v>
      </c>
      <c r="AX288" s="292">
        <f t="shared" si="102"/>
        <v>0</v>
      </c>
      <c r="AY288" s="292">
        <f t="shared" si="103"/>
        <v>0</v>
      </c>
      <c r="AZ288" s="292">
        <f t="shared" si="104"/>
        <v>0</v>
      </c>
      <c r="BA288" s="292">
        <f t="shared" si="105"/>
        <v>0</v>
      </c>
      <c r="BB288" s="292">
        <f t="shared" si="106"/>
        <v>0</v>
      </c>
      <c r="BC288" s="292">
        <f t="shared" si="107"/>
        <v>0</v>
      </c>
      <c r="BD288" s="292">
        <f t="shared" si="108"/>
        <v>0</v>
      </c>
      <c r="BE288" s="292">
        <f t="shared" si="109"/>
        <v>0</v>
      </c>
      <c r="BF288" s="292">
        <f t="shared" si="110"/>
        <v>0</v>
      </c>
      <c r="BG288" s="292">
        <f t="shared" si="111"/>
        <v>0</v>
      </c>
    </row>
    <row r="289" spans="1:59" s="289" customFormat="1" ht="15" customHeight="1">
      <c r="A289" s="63">
        <f t="array" ref="A289">IF(C289&lt;&gt;0,SUM(($C$11:C289&lt;&gt;0)*1),"")</f>
        <v>279</v>
      </c>
      <c r="B289" s="1099">
        <v>42481</v>
      </c>
      <c r="C289" s="290" t="s">
        <v>8</v>
      </c>
      <c r="D289" s="1099">
        <v>42481</v>
      </c>
      <c r="E289" s="344" t="s">
        <v>405</v>
      </c>
      <c r="F289" s="345">
        <v>12280547</v>
      </c>
      <c r="G289" s="346" t="s">
        <v>133</v>
      </c>
      <c r="H289" s="346" t="s">
        <v>31</v>
      </c>
      <c r="I289" s="63">
        <f t="shared" si="124"/>
        <v>279</v>
      </c>
      <c r="J289" s="292">
        <f t="shared" si="74"/>
        <v>0</v>
      </c>
      <c r="K289" s="292">
        <f t="shared" si="75"/>
        <v>0</v>
      </c>
      <c r="L289" s="292">
        <f t="shared" si="76"/>
        <v>0</v>
      </c>
      <c r="M289" s="292">
        <f t="shared" si="77"/>
        <v>12280547</v>
      </c>
      <c r="N289" s="292">
        <f t="shared" si="112"/>
        <v>0</v>
      </c>
      <c r="O289" s="292">
        <f t="shared" si="113"/>
        <v>0</v>
      </c>
      <c r="P289" s="292">
        <f t="shared" si="78"/>
        <v>0</v>
      </c>
      <c r="Q289" s="292">
        <f t="shared" si="79"/>
        <v>0</v>
      </c>
      <c r="R289" s="292">
        <f t="shared" si="118"/>
        <v>0</v>
      </c>
      <c r="S289" s="292">
        <f t="shared" si="119"/>
        <v>0</v>
      </c>
      <c r="T289" s="292">
        <f t="shared" si="80"/>
        <v>0</v>
      </c>
      <c r="U289" s="292">
        <f t="shared" si="81"/>
        <v>0</v>
      </c>
      <c r="V289" s="292">
        <f t="shared" si="120"/>
        <v>0</v>
      </c>
      <c r="W289" s="292">
        <f t="shared" si="121"/>
        <v>0</v>
      </c>
      <c r="X289" s="292">
        <f t="shared" si="122"/>
        <v>0</v>
      </c>
      <c r="Y289" s="292">
        <f t="shared" si="123"/>
        <v>0</v>
      </c>
      <c r="Z289" s="292">
        <f t="shared" si="114"/>
        <v>0</v>
      </c>
      <c r="AA289" s="292">
        <f t="shared" si="115"/>
        <v>0</v>
      </c>
      <c r="AB289" s="292">
        <f t="shared" si="82"/>
        <v>0</v>
      </c>
      <c r="AC289" s="292">
        <f t="shared" si="83"/>
        <v>0</v>
      </c>
      <c r="AD289" s="292">
        <f t="shared" si="84"/>
        <v>0</v>
      </c>
      <c r="AE289" s="292">
        <f t="shared" si="85"/>
        <v>0</v>
      </c>
      <c r="AF289" s="292">
        <f t="shared" si="86"/>
        <v>0</v>
      </c>
      <c r="AG289" s="292">
        <f t="shared" si="87"/>
        <v>0</v>
      </c>
      <c r="AH289" s="292">
        <f t="shared" si="88"/>
        <v>0</v>
      </c>
      <c r="AI289" s="292">
        <f t="shared" si="89"/>
        <v>0</v>
      </c>
      <c r="AJ289" s="292">
        <f t="shared" si="90"/>
        <v>0</v>
      </c>
      <c r="AK289" s="292">
        <f t="shared" si="91"/>
        <v>0</v>
      </c>
      <c r="AL289" s="292">
        <f t="shared" si="116"/>
        <v>0</v>
      </c>
      <c r="AM289" s="292">
        <f t="shared" si="117"/>
        <v>0</v>
      </c>
      <c r="AN289" s="292">
        <f t="shared" si="92"/>
        <v>0</v>
      </c>
      <c r="AO289" s="292">
        <f t="shared" si="93"/>
        <v>0</v>
      </c>
      <c r="AP289" s="292">
        <f t="shared" si="94"/>
        <v>0</v>
      </c>
      <c r="AQ289" s="292">
        <f t="shared" si="95"/>
        <v>0</v>
      </c>
      <c r="AR289" s="292">
        <f t="shared" si="96"/>
        <v>0</v>
      </c>
      <c r="AS289" s="292">
        <f t="shared" si="97"/>
        <v>0</v>
      </c>
      <c r="AT289" s="292">
        <f t="shared" si="98"/>
        <v>0</v>
      </c>
      <c r="AU289" s="292">
        <f t="shared" si="99"/>
        <v>0</v>
      </c>
      <c r="AV289" s="292">
        <f t="shared" si="100"/>
        <v>12280547</v>
      </c>
      <c r="AW289" s="292">
        <f t="shared" si="101"/>
        <v>0</v>
      </c>
      <c r="AX289" s="292">
        <f t="shared" si="102"/>
        <v>0</v>
      </c>
      <c r="AY289" s="292">
        <f t="shared" si="103"/>
        <v>0</v>
      </c>
      <c r="AZ289" s="292">
        <f t="shared" si="104"/>
        <v>0</v>
      </c>
      <c r="BA289" s="292">
        <f t="shared" si="105"/>
        <v>0</v>
      </c>
      <c r="BB289" s="292">
        <f t="shared" si="106"/>
        <v>0</v>
      </c>
      <c r="BC289" s="292">
        <f t="shared" si="107"/>
        <v>0</v>
      </c>
      <c r="BD289" s="292">
        <f t="shared" si="108"/>
        <v>0</v>
      </c>
      <c r="BE289" s="292">
        <f t="shared" si="109"/>
        <v>0</v>
      </c>
      <c r="BF289" s="292">
        <f t="shared" si="110"/>
        <v>0</v>
      </c>
      <c r="BG289" s="292">
        <f t="shared" si="111"/>
        <v>0</v>
      </c>
    </row>
    <row r="290" spans="1:59" s="289" customFormat="1" ht="15" customHeight="1">
      <c r="A290" s="63">
        <f t="array" ref="A290">IF(C290&lt;&gt;0,SUM(($C$11:C290&lt;&gt;0)*1),"")</f>
        <v>280</v>
      </c>
      <c r="B290" s="1099">
        <v>42481</v>
      </c>
      <c r="C290" s="290" t="s">
        <v>8</v>
      </c>
      <c r="D290" s="1099">
        <v>42481</v>
      </c>
      <c r="E290" s="344" t="s">
        <v>405</v>
      </c>
      <c r="F290" s="345">
        <v>8187032</v>
      </c>
      <c r="G290" s="346" t="s">
        <v>133</v>
      </c>
      <c r="H290" s="346" t="s">
        <v>31</v>
      </c>
      <c r="I290" s="63">
        <f t="shared" si="124"/>
        <v>280</v>
      </c>
      <c r="J290" s="292">
        <f t="shared" si="74"/>
        <v>0</v>
      </c>
      <c r="K290" s="292">
        <f t="shared" si="75"/>
        <v>0</v>
      </c>
      <c r="L290" s="292">
        <f t="shared" si="76"/>
        <v>0</v>
      </c>
      <c r="M290" s="292">
        <f t="shared" si="77"/>
        <v>8187032</v>
      </c>
      <c r="N290" s="292">
        <f t="shared" si="112"/>
        <v>0</v>
      </c>
      <c r="O290" s="292">
        <f t="shared" si="113"/>
        <v>0</v>
      </c>
      <c r="P290" s="292">
        <f t="shared" si="78"/>
        <v>0</v>
      </c>
      <c r="Q290" s="292">
        <f t="shared" si="79"/>
        <v>0</v>
      </c>
      <c r="R290" s="292">
        <f t="shared" si="118"/>
        <v>0</v>
      </c>
      <c r="S290" s="292">
        <f t="shared" si="119"/>
        <v>0</v>
      </c>
      <c r="T290" s="292">
        <f t="shared" si="80"/>
        <v>0</v>
      </c>
      <c r="U290" s="292">
        <f t="shared" si="81"/>
        <v>0</v>
      </c>
      <c r="V290" s="292">
        <f t="shared" si="120"/>
        <v>0</v>
      </c>
      <c r="W290" s="292">
        <f t="shared" si="121"/>
        <v>0</v>
      </c>
      <c r="X290" s="292">
        <f t="shared" si="122"/>
        <v>0</v>
      </c>
      <c r="Y290" s="292">
        <f t="shared" si="123"/>
        <v>0</v>
      </c>
      <c r="Z290" s="292">
        <f t="shared" si="114"/>
        <v>0</v>
      </c>
      <c r="AA290" s="292">
        <f t="shared" si="115"/>
        <v>0</v>
      </c>
      <c r="AB290" s="292">
        <f t="shared" si="82"/>
        <v>0</v>
      </c>
      <c r="AC290" s="292">
        <f t="shared" si="83"/>
        <v>0</v>
      </c>
      <c r="AD290" s="292">
        <f t="shared" si="84"/>
        <v>0</v>
      </c>
      <c r="AE290" s="292">
        <f t="shared" si="85"/>
        <v>0</v>
      </c>
      <c r="AF290" s="292">
        <f t="shared" si="86"/>
        <v>0</v>
      </c>
      <c r="AG290" s="292">
        <f t="shared" si="87"/>
        <v>0</v>
      </c>
      <c r="AH290" s="292">
        <f t="shared" si="88"/>
        <v>0</v>
      </c>
      <c r="AI290" s="292">
        <f t="shared" si="89"/>
        <v>0</v>
      </c>
      <c r="AJ290" s="292">
        <f t="shared" si="90"/>
        <v>0</v>
      </c>
      <c r="AK290" s="292">
        <f t="shared" si="91"/>
        <v>0</v>
      </c>
      <c r="AL290" s="292">
        <f t="shared" si="116"/>
        <v>0</v>
      </c>
      <c r="AM290" s="292">
        <f t="shared" si="117"/>
        <v>0</v>
      </c>
      <c r="AN290" s="292">
        <f t="shared" si="92"/>
        <v>0</v>
      </c>
      <c r="AO290" s="292">
        <f t="shared" si="93"/>
        <v>0</v>
      </c>
      <c r="AP290" s="292">
        <f t="shared" si="94"/>
        <v>0</v>
      </c>
      <c r="AQ290" s="292">
        <f t="shared" si="95"/>
        <v>0</v>
      </c>
      <c r="AR290" s="292">
        <f t="shared" si="96"/>
        <v>0</v>
      </c>
      <c r="AS290" s="292">
        <f t="shared" si="97"/>
        <v>0</v>
      </c>
      <c r="AT290" s="292">
        <f t="shared" si="98"/>
        <v>0</v>
      </c>
      <c r="AU290" s="292">
        <f t="shared" si="99"/>
        <v>0</v>
      </c>
      <c r="AV290" s="292">
        <f t="shared" si="100"/>
        <v>8187032</v>
      </c>
      <c r="AW290" s="292">
        <f t="shared" si="101"/>
        <v>0</v>
      </c>
      <c r="AX290" s="292">
        <f t="shared" si="102"/>
        <v>0</v>
      </c>
      <c r="AY290" s="292">
        <f t="shared" si="103"/>
        <v>0</v>
      </c>
      <c r="AZ290" s="292">
        <f t="shared" si="104"/>
        <v>0</v>
      </c>
      <c r="BA290" s="292">
        <f t="shared" si="105"/>
        <v>0</v>
      </c>
      <c r="BB290" s="292">
        <f t="shared" si="106"/>
        <v>0</v>
      </c>
      <c r="BC290" s="292">
        <f t="shared" si="107"/>
        <v>0</v>
      </c>
      <c r="BD290" s="292">
        <f t="shared" si="108"/>
        <v>0</v>
      </c>
      <c r="BE290" s="292">
        <f t="shared" si="109"/>
        <v>0</v>
      </c>
      <c r="BF290" s="292">
        <f t="shared" si="110"/>
        <v>0</v>
      </c>
      <c r="BG290" s="292">
        <f t="shared" si="111"/>
        <v>0</v>
      </c>
    </row>
    <row r="291" spans="1:59" s="289" customFormat="1" ht="15" customHeight="1">
      <c r="A291" s="63">
        <f t="array" ref="A291">IF(C291&lt;&gt;0,SUM(($C$11:C291&lt;&gt;0)*1),"")</f>
        <v>281</v>
      </c>
      <c r="B291" s="1099">
        <v>42481</v>
      </c>
      <c r="C291" s="290" t="s">
        <v>8</v>
      </c>
      <c r="D291" s="1099">
        <v>42481</v>
      </c>
      <c r="E291" s="344" t="s">
        <v>405</v>
      </c>
      <c r="F291" s="345">
        <v>8187032</v>
      </c>
      <c r="G291" s="346" t="s">
        <v>133</v>
      </c>
      <c r="H291" s="346" t="s">
        <v>31</v>
      </c>
      <c r="I291" s="63">
        <f t="shared" si="124"/>
        <v>281</v>
      </c>
      <c r="J291" s="292">
        <f t="shared" si="74"/>
        <v>0</v>
      </c>
      <c r="K291" s="292">
        <f t="shared" si="75"/>
        <v>0</v>
      </c>
      <c r="L291" s="292">
        <f t="shared" si="76"/>
        <v>0</v>
      </c>
      <c r="M291" s="292">
        <f t="shared" si="77"/>
        <v>8187032</v>
      </c>
      <c r="N291" s="292">
        <f t="shared" si="112"/>
        <v>0</v>
      </c>
      <c r="O291" s="292">
        <f t="shared" si="113"/>
        <v>0</v>
      </c>
      <c r="P291" s="292">
        <f t="shared" si="78"/>
        <v>0</v>
      </c>
      <c r="Q291" s="292">
        <f t="shared" si="79"/>
        <v>0</v>
      </c>
      <c r="R291" s="292">
        <f t="shared" si="118"/>
        <v>0</v>
      </c>
      <c r="S291" s="292">
        <f t="shared" si="119"/>
        <v>0</v>
      </c>
      <c r="T291" s="292">
        <f t="shared" si="80"/>
        <v>0</v>
      </c>
      <c r="U291" s="292">
        <f t="shared" si="81"/>
        <v>0</v>
      </c>
      <c r="V291" s="292">
        <f t="shared" si="120"/>
        <v>0</v>
      </c>
      <c r="W291" s="292">
        <f t="shared" si="121"/>
        <v>0</v>
      </c>
      <c r="X291" s="292">
        <f t="shared" si="122"/>
        <v>0</v>
      </c>
      <c r="Y291" s="292">
        <f t="shared" si="123"/>
        <v>0</v>
      </c>
      <c r="Z291" s="292">
        <f t="shared" si="114"/>
        <v>0</v>
      </c>
      <c r="AA291" s="292">
        <f t="shared" si="115"/>
        <v>0</v>
      </c>
      <c r="AB291" s="292">
        <f t="shared" si="82"/>
        <v>0</v>
      </c>
      <c r="AC291" s="292">
        <f t="shared" si="83"/>
        <v>0</v>
      </c>
      <c r="AD291" s="292">
        <f t="shared" si="84"/>
        <v>0</v>
      </c>
      <c r="AE291" s="292">
        <f t="shared" si="85"/>
        <v>0</v>
      </c>
      <c r="AF291" s="292">
        <f t="shared" si="86"/>
        <v>0</v>
      </c>
      <c r="AG291" s="292">
        <f t="shared" si="87"/>
        <v>0</v>
      </c>
      <c r="AH291" s="292">
        <f t="shared" si="88"/>
        <v>0</v>
      </c>
      <c r="AI291" s="292">
        <f t="shared" si="89"/>
        <v>0</v>
      </c>
      <c r="AJ291" s="292">
        <f t="shared" si="90"/>
        <v>0</v>
      </c>
      <c r="AK291" s="292">
        <f t="shared" si="91"/>
        <v>0</v>
      </c>
      <c r="AL291" s="292">
        <f t="shared" si="116"/>
        <v>0</v>
      </c>
      <c r="AM291" s="292">
        <f t="shared" si="117"/>
        <v>0</v>
      </c>
      <c r="AN291" s="292">
        <f t="shared" si="92"/>
        <v>0</v>
      </c>
      <c r="AO291" s="292">
        <f t="shared" si="93"/>
        <v>0</v>
      </c>
      <c r="AP291" s="292">
        <f t="shared" si="94"/>
        <v>0</v>
      </c>
      <c r="AQ291" s="292">
        <f t="shared" si="95"/>
        <v>0</v>
      </c>
      <c r="AR291" s="292">
        <f t="shared" si="96"/>
        <v>0</v>
      </c>
      <c r="AS291" s="292">
        <f t="shared" si="97"/>
        <v>0</v>
      </c>
      <c r="AT291" s="292">
        <f t="shared" si="98"/>
        <v>0</v>
      </c>
      <c r="AU291" s="292">
        <f t="shared" si="99"/>
        <v>0</v>
      </c>
      <c r="AV291" s="292">
        <f t="shared" si="100"/>
        <v>8187032</v>
      </c>
      <c r="AW291" s="292">
        <f t="shared" si="101"/>
        <v>0</v>
      </c>
      <c r="AX291" s="292">
        <f t="shared" si="102"/>
        <v>0</v>
      </c>
      <c r="AY291" s="292">
        <f t="shared" si="103"/>
        <v>0</v>
      </c>
      <c r="AZ291" s="292">
        <f t="shared" si="104"/>
        <v>0</v>
      </c>
      <c r="BA291" s="292">
        <f t="shared" si="105"/>
        <v>0</v>
      </c>
      <c r="BB291" s="292">
        <f t="shared" si="106"/>
        <v>0</v>
      </c>
      <c r="BC291" s="292">
        <f t="shared" si="107"/>
        <v>0</v>
      </c>
      <c r="BD291" s="292">
        <f t="shared" si="108"/>
        <v>0</v>
      </c>
      <c r="BE291" s="292">
        <f t="shared" si="109"/>
        <v>0</v>
      </c>
      <c r="BF291" s="292">
        <f t="shared" si="110"/>
        <v>0</v>
      </c>
      <c r="BG291" s="292">
        <f t="shared" si="111"/>
        <v>0</v>
      </c>
    </row>
    <row r="292" spans="1:59" s="289" customFormat="1" ht="15" customHeight="1">
      <c r="A292" s="63">
        <f t="array" ref="A292">IF(C292&lt;&gt;0,SUM(($C$11:C292&lt;&gt;0)*1),"")</f>
        <v>282</v>
      </c>
      <c r="B292" s="1099">
        <v>42481</v>
      </c>
      <c r="C292" s="290" t="s">
        <v>8</v>
      </c>
      <c r="D292" s="1099">
        <v>42481</v>
      </c>
      <c r="E292" s="344" t="s">
        <v>405</v>
      </c>
      <c r="F292" s="345">
        <v>6772110</v>
      </c>
      <c r="G292" s="346" t="s">
        <v>133</v>
      </c>
      <c r="H292" s="346" t="s">
        <v>31</v>
      </c>
      <c r="I292" s="63">
        <f t="shared" si="124"/>
        <v>282</v>
      </c>
      <c r="J292" s="292">
        <f t="shared" si="74"/>
        <v>0</v>
      </c>
      <c r="K292" s="292">
        <f t="shared" si="75"/>
        <v>0</v>
      </c>
      <c r="L292" s="292">
        <f t="shared" si="76"/>
        <v>0</v>
      </c>
      <c r="M292" s="292">
        <f t="shared" si="77"/>
        <v>6772110</v>
      </c>
      <c r="N292" s="292">
        <f t="shared" si="112"/>
        <v>0</v>
      </c>
      <c r="O292" s="292">
        <f t="shared" si="113"/>
        <v>0</v>
      </c>
      <c r="P292" s="292">
        <f t="shared" si="78"/>
        <v>0</v>
      </c>
      <c r="Q292" s="292">
        <f t="shared" si="79"/>
        <v>0</v>
      </c>
      <c r="R292" s="292">
        <f t="shared" si="118"/>
        <v>0</v>
      </c>
      <c r="S292" s="292">
        <f t="shared" si="119"/>
        <v>0</v>
      </c>
      <c r="T292" s="292">
        <f t="shared" si="80"/>
        <v>0</v>
      </c>
      <c r="U292" s="292">
        <f t="shared" si="81"/>
        <v>0</v>
      </c>
      <c r="V292" s="292">
        <f t="shared" si="120"/>
        <v>0</v>
      </c>
      <c r="W292" s="292">
        <f t="shared" si="121"/>
        <v>0</v>
      </c>
      <c r="X292" s="292">
        <f t="shared" si="122"/>
        <v>0</v>
      </c>
      <c r="Y292" s="292">
        <f t="shared" si="123"/>
        <v>0</v>
      </c>
      <c r="Z292" s="292">
        <f t="shared" si="114"/>
        <v>0</v>
      </c>
      <c r="AA292" s="292">
        <f t="shared" si="115"/>
        <v>0</v>
      </c>
      <c r="AB292" s="292">
        <f t="shared" si="82"/>
        <v>0</v>
      </c>
      <c r="AC292" s="292">
        <f t="shared" si="83"/>
        <v>0</v>
      </c>
      <c r="AD292" s="292">
        <f t="shared" si="84"/>
        <v>0</v>
      </c>
      <c r="AE292" s="292">
        <f t="shared" si="85"/>
        <v>0</v>
      </c>
      <c r="AF292" s="292">
        <f t="shared" si="86"/>
        <v>0</v>
      </c>
      <c r="AG292" s="292">
        <f t="shared" si="87"/>
        <v>0</v>
      </c>
      <c r="AH292" s="292">
        <f t="shared" si="88"/>
        <v>0</v>
      </c>
      <c r="AI292" s="292">
        <f t="shared" si="89"/>
        <v>0</v>
      </c>
      <c r="AJ292" s="292">
        <f t="shared" si="90"/>
        <v>0</v>
      </c>
      <c r="AK292" s="292">
        <f t="shared" si="91"/>
        <v>0</v>
      </c>
      <c r="AL292" s="292">
        <f t="shared" si="116"/>
        <v>0</v>
      </c>
      <c r="AM292" s="292">
        <f t="shared" si="117"/>
        <v>0</v>
      </c>
      <c r="AN292" s="292">
        <f t="shared" si="92"/>
        <v>0</v>
      </c>
      <c r="AO292" s="292">
        <f t="shared" si="93"/>
        <v>0</v>
      </c>
      <c r="AP292" s="292">
        <f t="shared" si="94"/>
        <v>0</v>
      </c>
      <c r="AQ292" s="292">
        <f t="shared" si="95"/>
        <v>0</v>
      </c>
      <c r="AR292" s="292">
        <f t="shared" si="96"/>
        <v>0</v>
      </c>
      <c r="AS292" s="292">
        <f t="shared" si="97"/>
        <v>0</v>
      </c>
      <c r="AT292" s="292">
        <f t="shared" si="98"/>
        <v>0</v>
      </c>
      <c r="AU292" s="292">
        <f t="shared" si="99"/>
        <v>0</v>
      </c>
      <c r="AV292" s="292">
        <f t="shared" si="100"/>
        <v>6772110</v>
      </c>
      <c r="AW292" s="292">
        <f t="shared" si="101"/>
        <v>0</v>
      </c>
      <c r="AX292" s="292">
        <f t="shared" si="102"/>
        <v>0</v>
      </c>
      <c r="AY292" s="292">
        <f t="shared" si="103"/>
        <v>0</v>
      </c>
      <c r="AZ292" s="292">
        <f t="shared" si="104"/>
        <v>0</v>
      </c>
      <c r="BA292" s="292">
        <f t="shared" si="105"/>
        <v>0</v>
      </c>
      <c r="BB292" s="292">
        <f t="shared" si="106"/>
        <v>0</v>
      </c>
      <c r="BC292" s="292">
        <f t="shared" si="107"/>
        <v>0</v>
      </c>
      <c r="BD292" s="292">
        <f t="shared" si="108"/>
        <v>0</v>
      </c>
      <c r="BE292" s="292">
        <f t="shared" si="109"/>
        <v>0</v>
      </c>
      <c r="BF292" s="292">
        <f t="shared" si="110"/>
        <v>0</v>
      </c>
      <c r="BG292" s="292">
        <f t="shared" si="111"/>
        <v>0</v>
      </c>
    </row>
    <row r="293" spans="1:59" s="289" customFormat="1" ht="15" customHeight="1">
      <c r="A293" s="63">
        <f t="array" ref="A293">IF(C293&lt;&gt;0,SUM(($C$11:C293&lt;&gt;0)*1),"")</f>
        <v>283</v>
      </c>
      <c r="B293" s="1099">
        <v>42481</v>
      </c>
      <c r="C293" s="290" t="s">
        <v>8</v>
      </c>
      <c r="D293" s="1099">
        <v>42481</v>
      </c>
      <c r="E293" s="344" t="s">
        <v>405</v>
      </c>
      <c r="F293" s="345">
        <v>12280547</v>
      </c>
      <c r="G293" s="346" t="s">
        <v>133</v>
      </c>
      <c r="H293" s="346" t="s">
        <v>31</v>
      </c>
      <c r="I293" s="63">
        <f t="shared" si="124"/>
        <v>283</v>
      </c>
      <c r="J293" s="292">
        <f t="shared" si="74"/>
        <v>0</v>
      </c>
      <c r="K293" s="292">
        <f t="shared" si="75"/>
        <v>0</v>
      </c>
      <c r="L293" s="292">
        <f t="shared" si="76"/>
        <v>0</v>
      </c>
      <c r="M293" s="292">
        <f t="shared" si="77"/>
        <v>12280547</v>
      </c>
      <c r="N293" s="292">
        <f t="shared" si="112"/>
        <v>0</v>
      </c>
      <c r="O293" s="292">
        <f t="shared" si="113"/>
        <v>0</v>
      </c>
      <c r="P293" s="292">
        <f t="shared" si="78"/>
        <v>0</v>
      </c>
      <c r="Q293" s="292">
        <f t="shared" si="79"/>
        <v>0</v>
      </c>
      <c r="R293" s="292">
        <f t="shared" si="118"/>
        <v>0</v>
      </c>
      <c r="S293" s="292">
        <f t="shared" si="119"/>
        <v>0</v>
      </c>
      <c r="T293" s="292">
        <f t="shared" si="80"/>
        <v>0</v>
      </c>
      <c r="U293" s="292">
        <f t="shared" si="81"/>
        <v>0</v>
      </c>
      <c r="V293" s="292">
        <f t="shared" si="120"/>
        <v>0</v>
      </c>
      <c r="W293" s="292">
        <f t="shared" si="121"/>
        <v>0</v>
      </c>
      <c r="X293" s="292">
        <f t="shared" si="122"/>
        <v>0</v>
      </c>
      <c r="Y293" s="292">
        <f t="shared" si="123"/>
        <v>0</v>
      </c>
      <c r="Z293" s="292">
        <f t="shared" si="114"/>
        <v>0</v>
      </c>
      <c r="AA293" s="292">
        <f t="shared" si="115"/>
        <v>0</v>
      </c>
      <c r="AB293" s="292">
        <f t="shared" si="82"/>
        <v>0</v>
      </c>
      <c r="AC293" s="292">
        <f t="shared" si="83"/>
        <v>0</v>
      </c>
      <c r="AD293" s="292">
        <f t="shared" si="84"/>
        <v>0</v>
      </c>
      <c r="AE293" s="292">
        <f t="shared" si="85"/>
        <v>0</v>
      </c>
      <c r="AF293" s="292">
        <f t="shared" si="86"/>
        <v>0</v>
      </c>
      <c r="AG293" s="292">
        <f t="shared" si="87"/>
        <v>0</v>
      </c>
      <c r="AH293" s="292">
        <f t="shared" si="88"/>
        <v>0</v>
      </c>
      <c r="AI293" s="292">
        <f t="shared" si="89"/>
        <v>0</v>
      </c>
      <c r="AJ293" s="292">
        <f t="shared" si="90"/>
        <v>0</v>
      </c>
      <c r="AK293" s="292">
        <f t="shared" si="91"/>
        <v>0</v>
      </c>
      <c r="AL293" s="292">
        <f t="shared" si="116"/>
        <v>0</v>
      </c>
      <c r="AM293" s="292">
        <f t="shared" si="117"/>
        <v>0</v>
      </c>
      <c r="AN293" s="292">
        <f t="shared" si="92"/>
        <v>0</v>
      </c>
      <c r="AO293" s="292">
        <f t="shared" si="93"/>
        <v>0</v>
      </c>
      <c r="AP293" s="292">
        <f t="shared" si="94"/>
        <v>0</v>
      </c>
      <c r="AQ293" s="292">
        <f t="shared" si="95"/>
        <v>0</v>
      </c>
      <c r="AR293" s="292">
        <f t="shared" si="96"/>
        <v>0</v>
      </c>
      <c r="AS293" s="292">
        <f t="shared" si="97"/>
        <v>0</v>
      </c>
      <c r="AT293" s="292">
        <f t="shared" si="98"/>
        <v>0</v>
      </c>
      <c r="AU293" s="292">
        <f t="shared" si="99"/>
        <v>0</v>
      </c>
      <c r="AV293" s="292">
        <f t="shared" si="100"/>
        <v>12280547</v>
      </c>
      <c r="AW293" s="292">
        <f t="shared" si="101"/>
        <v>0</v>
      </c>
      <c r="AX293" s="292">
        <f t="shared" si="102"/>
        <v>0</v>
      </c>
      <c r="AY293" s="292">
        <f t="shared" si="103"/>
        <v>0</v>
      </c>
      <c r="AZ293" s="292">
        <f t="shared" si="104"/>
        <v>0</v>
      </c>
      <c r="BA293" s="292">
        <f t="shared" si="105"/>
        <v>0</v>
      </c>
      <c r="BB293" s="292">
        <f t="shared" si="106"/>
        <v>0</v>
      </c>
      <c r="BC293" s="292">
        <f t="shared" si="107"/>
        <v>0</v>
      </c>
      <c r="BD293" s="292">
        <f t="shared" si="108"/>
        <v>0</v>
      </c>
      <c r="BE293" s="292">
        <f t="shared" si="109"/>
        <v>0</v>
      </c>
      <c r="BF293" s="292">
        <f t="shared" si="110"/>
        <v>0</v>
      </c>
      <c r="BG293" s="292">
        <f t="shared" si="111"/>
        <v>0</v>
      </c>
    </row>
    <row r="294" spans="1:59" s="289" customFormat="1" ht="15" customHeight="1">
      <c r="A294" s="63">
        <f t="array" ref="A294">IF(C294&lt;&gt;0,SUM(($C$11:C294&lt;&gt;0)*1),"")</f>
        <v>284</v>
      </c>
      <c r="B294" s="1099">
        <v>42482</v>
      </c>
      <c r="C294" s="290" t="s">
        <v>8</v>
      </c>
      <c r="D294" s="1099">
        <v>42482</v>
      </c>
      <c r="E294" s="344" t="s">
        <v>163</v>
      </c>
      <c r="F294" s="345">
        <v>60000000</v>
      </c>
      <c r="G294" s="346" t="s">
        <v>9</v>
      </c>
      <c r="H294" s="346" t="s">
        <v>31</v>
      </c>
      <c r="I294" s="63">
        <f t="shared" si="124"/>
        <v>284</v>
      </c>
      <c r="J294" s="292">
        <f t="shared" si="74"/>
        <v>0</v>
      </c>
      <c r="K294" s="292">
        <f t="shared" si="75"/>
        <v>0</v>
      </c>
      <c r="L294" s="292">
        <f t="shared" si="76"/>
        <v>0</v>
      </c>
      <c r="M294" s="292">
        <f t="shared" si="77"/>
        <v>60000000</v>
      </c>
      <c r="N294" s="292">
        <f t="shared" si="112"/>
        <v>0</v>
      </c>
      <c r="O294" s="292">
        <f t="shared" si="113"/>
        <v>0</v>
      </c>
      <c r="P294" s="292">
        <f t="shared" si="78"/>
        <v>0</v>
      </c>
      <c r="Q294" s="292">
        <f t="shared" si="79"/>
        <v>0</v>
      </c>
      <c r="R294" s="292">
        <f t="shared" si="118"/>
        <v>0</v>
      </c>
      <c r="S294" s="292">
        <f t="shared" si="119"/>
        <v>0</v>
      </c>
      <c r="T294" s="292">
        <f t="shared" si="80"/>
        <v>0</v>
      </c>
      <c r="U294" s="292">
        <f t="shared" si="81"/>
        <v>0</v>
      </c>
      <c r="V294" s="292">
        <f t="shared" si="120"/>
        <v>0</v>
      </c>
      <c r="W294" s="292">
        <f t="shared" si="121"/>
        <v>0</v>
      </c>
      <c r="X294" s="292">
        <f t="shared" si="122"/>
        <v>0</v>
      </c>
      <c r="Y294" s="292">
        <f t="shared" si="123"/>
        <v>0</v>
      </c>
      <c r="Z294" s="292">
        <f t="shared" si="114"/>
        <v>0</v>
      </c>
      <c r="AA294" s="292">
        <f t="shared" si="115"/>
        <v>0</v>
      </c>
      <c r="AB294" s="292">
        <f t="shared" si="82"/>
        <v>60000000</v>
      </c>
      <c r="AC294" s="292">
        <f t="shared" si="83"/>
        <v>0</v>
      </c>
      <c r="AD294" s="292">
        <f t="shared" si="84"/>
        <v>0</v>
      </c>
      <c r="AE294" s="292">
        <f t="shared" si="85"/>
        <v>0</v>
      </c>
      <c r="AF294" s="292">
        <f t="shared" si="86"/>
        <v>0</v>
      </c>
      <c r="AG294" s="292">
        <f t="shared" si="87"/>
        <v>0</v>
      </c>
      <c r="AH294" s="292">
        <f t="shared" si="88"/>
        <v>0</v>
      </c>
      <c r="AI294" s="292">
        <f t="shared" si="89"/>
        <v>0</v>
      </c>
      <c r="AJ294" s="292">
        <f t="shared" si="90"/>
        <v>0</v>
      </c>
      <c r="AK294" s="292">
        <f t="shared" si="91"/>
        <v>0</v>
      </c>
      <c r="AL294" s="292">
        <f t="shared" si="116"/>
        <v>0</v>
      </c>
      <c r="AM294" s="292">
        <f t="shared" si="117"/>
        <v>0</v>
      </c>
      <c r="AN294" s="292">
        <f t="shared" si="92"/>
        <v>0</v>
      </c>
      <c r="AO294" s="292">
        <f t="shared" si="93"/>
        <v>0</v>
      </c>
      <c r="AP294" s="292">
        <f t="shared" si="94"/>
        <v>0</v>
      </c>
      <c r="AQ294" s="292">
        <f t="shared" si="95"/>
        <v>0</v>
      </c>
      <c r="AR294" s="292">
        <f t="shared" si="96"/>
        <v>0</v>
      </c>
      <c r="AS294" s="292">
        <f t="shared" si="97"/>
        <v>0</v>
      </c>
      <c r="AT294" s="292">
        <f t="shared" si="98"/>
        <v>0</v>
      </c>
      <c r="AU294" s="292">
        <f t="shared" si="99"/>
        <v>0</v>
      </c>
      <c r="AV294" s="292">
        <f t="shared" si="100"/>
        <v>0</v>
      </c>
      <c r="AW294" s="292">
        <f t="shared" si="101"/>
        <v>0</v>
      </c>
      <c r="AX294" s="292">
        <f t="shared" si="102"/>
        <v>0</v>
      </c>
      <c r="AY294" s="292">
        <f t="shared" si="103"/>
        <v>0</v>
      </c>
      <c r="AZ294" s="292">
        <f t="shared" si="104"/>
        <v>0</v>
      </c>
      <c r="BA294" s="292">
        <f t="shared" si="105"/>
        <v>0</v>
      </c>
      <c r="BB294" s="292">
        <f t="shared" si="106"/>
        <v>0</v>
      </c>
      <c r="BC294" s="292">
        <f t="shared" si="107"/>
        <v>0</v>
      </c>
      <c r="BD294" s="292">
        <f t="shared" si="108"/>
        <v>0</v>
      </c>
      <c r="BE294" s="292">
        <f t="shared" si="109"/>
        <v>0</v>
      </c>
      <c r="BF294" s="292">
        <f t="shared" si="110"/>
        <v>0</v>
      </c>
      <c r="BG294" s="292">
        <f t="shared" si="111"/>
        <v>0</v>
      </c>
    </row>
    <row r="295" spans="1:59" s="289" customFormat="1" ht="15" customHeight="1">
      <c r="A295" s="63">
        <f t="array" ref="A295">IF(C295&lt;&gt;0,SUM(($C$11:C295&lt;&gt;0)*1),"")</f>
        <v>285</v>
      </c>
      <c r="B295" s="1099">
        <v>42482</v>
      </c>
      <c r="C295" s="290" t="s">
        <v>8</v>
      </c>
      <c r="D295" s="1099">
        <v>42482</v>
      </c>
      <c r="E295" s="344" t="s">
        <v>22</v>
      </c>
      <c r="F295" s="345">
        <v>50000</v>
      </c>
      <c r="G295" s="346" t="s">
        <v>135</v>
      </c>
      <c r="H295" s="346" t="s">
        <v>31</v>
      </c>
      <c r="I295" s="63">
        <f t="shared" si="124"/>
        <v>285</v>
      </c>
      <c r="J295" s="292">
        <f t="shared" si="74"/>
        <v>0</v>
      </c>
      <c r="K295" s="292">
        <f t="shared" si="75"/>
        <v>0</v>
      </c>
      <c r="L295" s="292">
        <f t="shared" si="76"/>
        <v>0</v>
      </c>
      <c r="M295" s="292">
        <f t="shared" si="77"/>
        <v>50000</v>
      </c>
      <c r="N295" s="292">
        <f t="shared" si="112"/>
        <v>0</v>
      </c>
      <c r="O295" s="292">
        <f t="shared" si="113"/>
        <v>0</v>
      </c>
      <c r="P295" s="292">
        <f t="shared" si="78"/>
        <v>0</v>
      </c>
      <c r="Q295" s="292">
        <f t="shared" si="79"/>
        <v>0</v>
      </c>
      <c r="R295" s="292">
        <f t="shared" si="118"/>
        <v>0</v>
      </c>
      <c r="S295" s="292">
        <f t="shared" si="119"/>
        <v>0</v>
      </c>
      <c r="T295" s="292">
        <f t="shared" si="80"/>
        <v>0</v>
      </c>
      <c r="U295" s="292">
        <f t="shared" si="81"/>
        <v>0</v>
      </c>
      <c r="V295" s="292">
        <f t="shared" si="120"/>
        <v>0</v>
      </c>
      <c r="W295" s="292">
        <f t="shared" si="121"/>
        <v>0</v>
      </c>
      <c r="X295" s="292">
        <f t="shared" si="122"/>
        <v>0</v>
      </c>
      <c r="Y295" s="292">
        <f t="shared" si="123"/>
        <v>0</v>
      </c>
      <c r="Z295" s="292">
        <f t="shared" si="114"/>
        <v>0</v>
      </c>
      <c r="AA295" s="292">
        <f t="shared" si="115"/>
        <v>0</v>
      </c>
      <c r="AB295" s="292">
        <f t="shared" si="82"/>
        <v>0</v>
      </c>
      <c r="AC295" s="292">
        <f t="shared" si="83"/>
        <v>0</v>
      </c>
      <c r="AD295" s="292">
        <f t="shared" si="84"/>
        <v>0</v>
      </c>
      <c r="AE295" s="292">
        <f t="shared" si="85"/>
        <v>0</v>
      </c>
      <c r="AF295" s="292">
        <f t="shared" si="86"/>
        <v>0</v>
      </c>
      <c r="AG295" s="292">
        <f t="shared" si="87"/>
        <v>0</v>
      </c>
      <c r="AH295" s="292">
        <f t="shared" si="88"/>
        <v>0</v>
      </c>
      <c r="AI295" s="292">
        <f t="shared" si="89"/>
        <v>0</v>
      </c>
      <c r="AJ295" s="292">
        <f t="shared" si="90"/>
        <v>0</v>
      </c>
      <c r="AK295" s="292">
        <f t="shared" si="91"/>
        <v>0</v>
      </c>
      <c r="AL295" s="292">
        <f t="shared" si="116"/>
        <v>0</v>
      </c>
      <c r="AM295" s="292">
        <f t="shared" si="117"/>
        <v>0</v>
      </c>
      <c r="AN295" s="292">
        <f t="shared" si="92"/>
        <v>0</v>
      </c>
      <c r="AO295" s="292">
        <f t="shared" si="93"/>
        <v>0</v>
      </c>
      <c r="AP295" s="292">
        <f t="shared" si="94"/>
        <v>0</v>
      </c>
      <c r="AQ295" s="292">
        <f t="shared" si="95"/>
        <v>0</v>
      </c>
      <c r="AR295" s="292">
        <f t="shared" si="96"/>
        <v>0</v>
      </c>
      <c r="AS295" s="292">
        <f t="shared" si="97"/>
        <v>0</v>
      </c>
      <c r="AT295" s="292">
        <f t="shared" si="98"/>
        <v>0</v>
      </c>
      <c r="AU295" s="292">
        <f t="shared" si="99"/>
        <v>0</v>
      </c>
      <c r="AV295" s="292">
        <f t="shared" si="100"/>
        <v>0</v>
      </c>
      <c r="AW295" s="292">
        <f t="shared" si="101"/>
        <v>0</v>
      </c>
      <c r="AX295" s="292">
        <f t="shared" si="102"/>
        <v>50000</v>
      </c>
      <c r="AY295" s="292">
        <f t="shared" si="103"/>
        <v>0</v>
      </c>
      <c r="AZ295" s="292">
        <f t="shared" si="104"/>
        <v>0</v>
      </c>
      <c r="BA295" s="292">
        <f t="shared" si="105"/>
        <v>0</v>
      </c>
      <c r="BB295" s="292">
        <f t="shared" si="106"/>
        <v>0</v>
      </c>
      <c r="BC295" s="292">
        <f t="shared" si="107"/>
        <v>0</v>
      </c>
      <c r="BD295" s="292">
        <f t="shared" si="108"/>
        <v>0</v>
      </c>
      <c r="BE295" s="292">
        <f t="shared" si="109"/>
        <v>0</v>
      </c>
      <c r="BF295" s="292">
        <f t="shared" si="110"/>
        <v>0</v>
      </c>
      <c r="BG295" s="292">
        <f t="shared" si="111"/>
        <v>0</v>
      </c>
    </row>
    <row r="296" spans="1:59" s="289" customFormat="1" ht="15" customHeight="1">
      <c r="A296" s="63">
        <f t="array" ref="A296">IF(C296&lt;&gt;0,SUM(($C$11:C296&lt;&gt;0)*1),"")</f>
        <v>286</v>
      </c>
      <c r="B296" s="1099">
        <v>42482</v>
      </c>
      <c r="C296" s="290" t="s">
        <v>8</v>
      </c>
      <c r="D296" s="1099">
        <v>42482</v>
      </c>
      <c r="E296" s="344" t="s">
        <v>23</v>
      </c>
      <c r="F296" s="345">
        <v>5000</v>
      </c>
      <c r="G296" s="346" t="s">
        <v>10</v>
      </c>
      <c r="H296" s="346" t="s">
        <v>31</v>
      </c>
      <c r="I296" s="63">
        <f t="shared" si="124"/>
        <v>286</v>
      </c>
      <c r="J296" s="292">
        <f t="shared" si="74"/>
        <v>0</v>
      </c>
      <c r="K296" s="292">
        <f t="shared" si="75"/>
        <v>0</v>
      </c>
      <c r="L296" s="292">
        <f t="shared" si="76"/>
        <v>0</v>
      </c>
      <c r="M296" s="292">
        <f t="shared" si="77"/>
        <v>5000</v>
      </c>
      <c r="N296" s="292">
        <f t="shared" si="112"/>
        <v>0</v>
      </c>
      <c r="O296" s="292">
        <f t="shared" si="113"/>
        <v>0</v>
      </c>
      <c r="P296" s="292">
        <f t="shared" si="78"/>
        <v>5000</v>
      </c>
      <c r="Q296" s="292">
        <f t="shared" si="79"/>
        <v>0</v>
      </c>
      <c r="R296" s="292">
        <f t="shared" si="118"/>
        <v>0</v>
      </c>
      <c r="S296" s="292">
        <f t="shared" si="119"/>
        <v>0</v>
      </c>
      <c r="T296" s="292">
        <f t="shared" si="80"/>
        <v>0</v>
      </c>
      <c r="U296" s="292">
        <f t="shared" si="81"/>
        <v>0</v>
      </c>
      <c r="V296" s="292">
        <f t="shared" si="120"/>
        <v>0</v>
      </c>
      <c r="W296" s="292">
        <f t="shared" si="121"/>
        <v>0</v>
      </c>
      <c r="X296" s="292">
        <f t="shared" si="122"/>
        <v>0</v>
      </c>
      <c r="Y296" s="292">
        <f t="shared" si="123"/>
        <v>0</v>
      </c>
      <c r="Z296" s="292">
        <f t="shared" si="114"/>
        <v>0</v>
      </c>
      <c r="AA296" s="292">
        <f t="shared" si="115"/>
        <v>0</v>
      </c>
      <c r="AB296" s="292">
        <f t="shared" si="82"/>
        <v>0</v>
      </c>
      <c r="AC296" s="292">
        <f t="shared" si="83"/>
        <v>0</v>
      </c>
      <c r="AD296" s="292">
        <f t="shared" si="84"/>
        <v>0</v>
      </c>
      <c r="AE296" s="292">
        <f t="shared" si="85"/>
        <v>0</v>
      </c>
      <c r="AF296" s="292">
        <f t="shared" si="86"/>
        <v>0</v>
      </c>
      <c r="AG296" s="292">
        <f t="shared" si="87"/>
        <v>0</v>
      </c>
      <c r="AH296" s="292">
        <f t="shared" si="88"/>
        <v>0</v>
      </c>
      <c r="AI296" s="292">
        <f t="shared" si="89"/>
        <v>0</v>
      </c>
      <c r="AJ296" s="292">
        <f t="shared" si="90"/>
        <v>0</v>
      </c>
      <c r="AK296" s="292">
        <f t="shared" si="91"/>
        <v>0</v>
      </c>
      <c r="AL296" s="292">
        <f t="shared" si="116"/>
        <v>0</v>
      </c>
      <c r="AM296" s="292">
        <f t="shared" si="117"/>
        <v>0</v>
      </c>
      <c r="AN296" s="292">
        <f t="shared" si="92"/>
        <v>0</v>
      </c>
      <c r="AO296" s="292">
        <f t="shared" si="93"/>
        <v>0</v>
      </c>
      <c r="AP296" s="292">
        <f t="shared" si="94"/>
        <v>0</v>
      </c>
      <c r="AQ296" s="292">
        <f t="shared" si="95"/>
        <v>0</v>
      </c>
      <c r="AR296" s="292">
        <f t="shared" si="96"/>
        <v>0</v>
      </c>
      <c r="AS296" s="292">
        <f t="shared" si="97"/>
        <v>0</v>
      </c>
      <c r="AT296" s="292">
        <f t="shared" si="98"/>
        <v>0</v>
      </c>
      <c r="AU296" s="292">
        <f t="shared" si="99"/>
        <v>0</v>
      </c>
      <c r="AV296" s="292">
        <f t="shared" si="100"/>
        <v>0</v>
      </c>
      <c r="AW296" s="292">
        <f t="shared" si="101"/>
        <v>0</v>
      </c>
      <c r="AX296" s="292">
        <f t="shared" si="102"/>
        <v>0</v>
      </c>
      <c r="AY296" s="292">
        <f t="shared" si="103"/>
        <v>0</v>
      </c>
      <c r="AZ296" s="292">
        <f t="shared" si="104"/>
        <v>0</v>
      </c>
      <c r="BA296" s="292">
        <f t="shared" si="105"/>
        <v>0</v>
      </c>
      <c r="BB296" s="292">
        <f t="shared" si="106"/>
        <v>0</v>
      </c>
      <c r="BC296" s="292">
        <f t="shared" si="107"/>
        <v>0</v>
      </c>
      <c r="BD296" s="292">
        <f t="shared" si="108"/>
        <v>0</v>
      </c>
      <c r="BE296" s="292">
        <f t="shared" si="109"/>
        <v>0</v>
      </c>
      <c r="BF296" s="292">
        <f t="shared" si="110"/>
        <v>0</v>
      </c>
      <c r="BG296" s="292">
        <f t="shared" si="111"/>
        <v>0</v>
      </c>
    </row>
    <row r="297" spans="1:59" s="289" customFormat="1" ht="15" customHeight="1">
      <c r="A297" s="63">
        <f t="array" ref="A297">IF(C297&lt;&gt;0,SUM(($C$11:C297&lt;&gt;0)*1),"")</f>
        <v>287</v>
      </c>
      <c r="B297" s="1099">
        <v>42483</v>
      </c>
      <c r="C297" s="290" t="s">
        <v>81</v>
      </c>
      <c r="D297" s="1099">
        <v>42483</v>
      </c>
      <c r="E297" s="344" t="s">
        <v>399</v>
      </c>
      <c r="F297" s="345">
        <v>618000</v>
      </c>
      <c r="G297" s="346" t="s">
        <v>242</v>
      </c>
      <c r="H297" s="346" t="s">
        <v>97</v>
      </c>
      <c r="I297" s="63">
        <f t="shared" si="124"/>
        <v>287</v>
      </c>
      <c r="J297" s="292">
        <f t="shared" si="74"/>
        <v>0</v>
      </c>
      <c r="K297" s="292">
        <f t="shared" si="75"/>
        <v>618000</v>
      </c>
      <c r="L297" s="292">
        <f t="shared" si="76"/>
        <v>0</v>
      </c>
      <c r="M297" s="292">
        <f t="shared" si="77"/>
        <v>0</v>
      </c>
      <c r="N297" s="292">
        <f t="shared" si="112"/>
        <v>0</v>
      </c>
      <c r="O297" s="292">
        <f t="shared" si="113"/>
        <v>0</v>
      </c>
      <c r="P297" s="292">
        <f t="shared" si="78"/>
        <v>0</v>
      </c>
      <c r="Q297" s="292">
        <f t="shared" si="79"/>
        <v>0</v>
      </c>
      <c r="R297" s="292">
        <f t="shared" si="118"/>
        <v>0</v>
      </c>
      <c r="S297" s="292">
        <f t="shared" si="119"/>
        <v>0</v>
      </c>
      <c r="T297" s="292">
        <f t="shared" si="80"/>
        <v>0</v>
      </c>
      <c r="U297" s="292">
        <f t="shared" si="81"/>
        <v>0</v>
      </c>
      <c r="V297" s="292">
        <f t="shared" si="120"/>
        <v>0</v>
      </c>
      <c r="W297" s="292">
        <f t="shared" si="121"/>
        <v>0</v>
      </c>
      <c r="X297" s="292">
        <f t="shared" si="122"/>
        <v>0</v>
      </c>
      <c r="Y297" s="292">
        <f t="shared" si="123"/>
        <v>0</v>
      </c>
      <c r="Z297" s="292">
        <f t="shared" si="114"/>
        <v>618000</v>
      </c>
      <c r="AA297" s="292">
        <f t="shared" si="115"/>
        <v>0</v>
      </c>
      <c r="AB297" s="292">
        <f t="shared" si="82"/>
        <v>0</v>
      </c>
      <c r="AC297" s="292">
        <f t="shared" si="83"/>
        <v>0</v>
      </c>
      <c r="AD297" s="292">
        <f t="shared" si="84"/>
        <v>0</v>
      </c>
      <c r="AE297" s="292">
        <f t="shared" si="85"/>
        <v>0</v>
      </c>
      <c r="AF297" s="292">
        <f t="shared" si="86"/>
        <v>0</v>
      </c>
      <c r="AG297" s="292">
        <f t="shared" si="87"/>
        <v>0</v>
      </c>
      <c r="AH297" s="292">
        <f t="shared" si="88"/>
        <v>0</v>
      </c>
      <c r="AI297" s="292">
        <f t="shared" si="89"/>
        <v>0</v>
      </c>
      <c r="AJ297" s="292">
        <f t="shared" si="90"/>
        <v>0</v>
      </c>
      <c r="AK297" s="292">
        <f t="shared" si="91"/>
        <v>0</v>
      </c>
      <c r="AL297" s="292">
        <f t="shared" si="116"/>
        <v>0</v>
      </c>
      <c r="AM297" s="292">
        <f t="shared" si="117"/>
        <v>0</v>
      </c>
      <c r="AN297" s="292">
        <f t="shared" si="92"/>
        <v>0</v>
      </c>
      <c r="AO297" s="292">
        <f t="shared" si="93"/>
        <v>0</v>
      </c>
      <c r="AP297" s="292">
        <f t="shared" si="94"/>
        <v>0</v>
      </c>
      <c r="AQ297" s="292">
        <f t="shared" si="95"/>
        <v>0</v>
      </c>
      <c r="AR297" s="292">
        <f t="shared" si="96"/>
        <v>0</v>
      </c>
      <c r="AS297" s="292">
        <f t="shared" si="97"/>
        <v>0</v>
      </c>
      <c r="AT297" s="292">
        <f t="shared" si="98"/>
        <v>0</v>
      </c>
      <c r="AU297" s="292">
        <f t="shared" si="99"/>
        <v>0</v>
      </c>
      <c r="AV297" s="292">
        <f t="shared" si="100"/>
        <v>0</v>
      </c>
      <c r="AW297" s="292">
        <f t="shared" si="101"/>
        <v>0</v>
      </c>
      <c r="AX297" s="292">
        <f t="shared" si="102"/>
        <v>0</v>
      </c>
      <c r="AY297" s="292">
        <f t="shared" si="103"/>
        <v>0</v>
      </c>
      <c r="AZ297" s="292">
        <f t="shared" si="104"/>
        <v>0</v>
      </c>
      <c r="BA297" s="292">
        <f t="shared" si="105"/>
        <v>0</v>
      </c>
      <c r="BB297" s="292">
        <f t="shared" si="106"/>
        <v>0</v>
      </c>
      <c r="BC297" s="292">
        <f t="shared" si="107"/>
        <v>0</v>
      </c>
      <c r="BD297" s="292">
        <f t="shared" si="108"/>
        <v>0</v>
      </c>
      <c r="BE297" s="292">
        <f t="shared" si="109"/>
        <v>0</v>
      </c>
      <c r="BF297" s="292">
        <f t="shared" si="110"/>
        <v>0</v>
      </c>
      <c r="BG297" s="292">
        <f t="shared" si="111"/>
        <v>0</v>
      </c>
    </row>
    <row r="298" spans="1:59" s="289" customFormat="1" ht="15" customHeight="1">
      <c r="A298" s="63">
        <f t="array" ref="A298">IF(C298&lt;&gt;0,SUM(($C$11:C298&lt;&gt;0)*1),"")</f>
        <v>288</v>
      </c>
      <c r="B298" s="1099">
        <v>42485</v>
      </c>
      <c r="C298" s="290" t="s">
        <v>187</v>
      </c>
      <c r="D298" s="1099">
        <v>42485</v>
      </c>
      <c r="E298" s="344" t="s">
        <v>904</v>
      </c>
      <c r="F298" s="345">
        <v>10818800</v>
      </c>
      <c r="G298" s="346" t="s">
        <v>135</v>
      </c>
      <c r="H298" s="346" t="s">
        <v>97</v>
      </c>
      <c r="I298" s="63">
        <f t="shared" si="124"/>
        <v>288</v>
      </c>
      <c r="J298" s="292">
        <f t="shared" si="74"/>
        <v>0</v>
      </c>
      <c r="K298" s="292">
        <f t="shared" si="75"/>
        <v>10818800</v>
      </c>
      <c r="L298" s="292">
        <f t="shared" si="76"/>
        <v>0</v>
      </c>
      <c r="M298" s="292">
        <f t="shared" si="77"/>
        <v>0</v>
      </c>
      <c r="N298" s="292">
        <f t="shared" si="112"/>
        <v>0</v>
      </c>
      <c r="O298" s="292">
        <f t="shared" si="113"/>
        <v>0</v>
      </c>
      <c r="P298" s="292">
        <f t="shared" si="78"/>
        <v>0</v>
      </c>
      <c r="Q298" s="292">
        <f t="shared" si="79"/>
        <v>0</v>
      </c>
      <c r="R298" s="292">
        <f t="shared" si="118"/>
        <v>0</v>
      </c>
      <c r="S298" s="292">
        <f t="shared" si="119"/>
        <v>0</v>
      </c>
      <c r="T298" s="292">
        <f t="shared" si="80"/>
        <v>0</v>
      </c>
      <c r="U298" s="292">
        <f t="shared" si="81"/>
        <v>0</v>
      </c>
      <c r="V298" s="292">
        <f t="shared" si="120"/>
        <v>0</v>
      </c>
      <c r="W298" s="292">
        <f t="shared" si="121"/>
        <v>0</v>
      </c>
      <c r="X298" s="292">
        <f t="shared" si="122"/>
        <v>0</v>
      </c>
      <c r="Y298" s="292">
        <f t="shared" si="123"/>
        <v>0</v>
      </c>
      <c r="Z298" s="292">
        <f t="shared" si="114"/>
        <v>0</v>
      </c>
      <c r="AA298" s="292">
        <f t="shared" si="115"/>
        <v>0</v>
      </c>
      <c r="AB298" s="292">
        <f t="shared" si="82"/>
        <v>0</v>
      </c>
      <c r="AC298" s="292">
        <f t="shared" si="83"/>
        <v>0</v>
      </c>
      <c r="AD298" s="292">
        <f t="shared" si="84"/>
        <v>0</v>
      </c>
      <c r="AE298" s="292">
        <f t="shared" si="85"/>
        <v>0</v>
      </c>
      <c r="AF298" s="292">
        <f t="shared" si="86"/>
        <v>0</v>
      </c>
      <c r="AG298" s="292">
        <f t="shared" si="87"/>
        <v>0</v>
      </c>
      <c r="AH298" s="292">
        <f t="shared" si="88"/>
        <v>0</v>
      </c>
      <c r="AI298" s="292">
        <f t="shared" si="89"/>
        <v>0</v>
      </c>
      <c r="AJ298" s="292">
        <f t="shared" si="90"/>
        <v>0</v>
      </c>
      <c r="AK298" s="292">
        <f t="shared" si="91"/>
        <v>0</v>
      </c>
      <c r="AL298" s="292">
        <f t="shared" si="116"/>
        <v>0</v>
      </c>
      <c r="AM298" s="292">
        <f t="shared" si="117"/>
        <v>0</v>
      </c>
      <c r="AN298" s="292">
        <f t="shared" si="92"/>
        <v>0</v>
      </c>
      <c r="AO298" s="292">
        <f t="shared" si="93"/>
        <v>0</v>
      </c>
      <c r="AP298" s="292">
        <f t="shared" si="94"/>
        <v>0</v>
      </c>
      <c r="AQ298" s="292">
        <f t="shared" si="95"/>
        <v>0</v>
      </c>
      <c r="AR298" s="292">
        <f t="shared" si="96"/>
        <v>0</v>
      </c>
      <c r="AS298" s="292">
        <f t="shared" si="97"/>
        <v>0</v>
      </c>
      <c r="AT298" s="292">
        <f t="shared" si="98"/>
        <v>0</v>
      </c>
      <c r="AU298" s="292">
        <f t="shared" si="99"/>
        <v>0</v>
      </c>
      <c r="AV298" s="292">
        <f t="shared" si="100"/>
        <v>0</v>
      </c>
      <c r="AW298" s="292">
        <f t="shared" si="101"/>
        <v>0</v>
      </c>
      <c r="AX298" s="292">
        <f t="shared" si="102"/>
        <v>10818800</v>
      </c>
      <c r="AY298" s="292">
        <f t="shared" si="103"/>
        <v>0</v>
      </c>
      <c r="AZ298" s="292">
        <f t="shared" si="104"/>
        <v>0</v>
      </c>
      <c r="BA298" s="292">
        <f t="shared" si="105"/>
        <v>0</v>
      </c>
      <c r="BB298" s="292">
        <f t="shared" si="106"/>
        <v>0</v>
      </c>
      <c r="BC298" s="292">
        <f t="shared" si="107"/>
        <v>0</v>
      </c>
      <c r="BD298" s="292">
        <f t="shared" si="108"/>
        <v>0</v>
      </c>
      <c r="BE298" s="292">
        <f t="shared" si="109"/>
        <v>0</v>
      </c>
      <c r="BF298" s="292">
        <f t="shared" si="110"/>
        <v>0</v>
      </c>
      <c r="BG298" s="292">
        <f t="shared" si="111"/>
        <v>0</v>
      </c>
    </row>
    <row r="299" spans="1:59" s="289" customFormat="1" ht="15" customHeight="1">
      <c r="A299" s="63">
        <f t="array" ref="A299">IF(C299&lt;&gt;0,SUM(($C$11:C299&lt;&gt;0)*1),"")</f>
        <v>289</v>
      </c>
      <c r="B299" s="1099">
        <v>42485</v>
      </c>
      <c r="C299" s="290" t="s">
        <v>187</v>
      </c>
      <c r="D299" s="1099">
        <v>42485</v>
      </c>
      <c r="E299" s="344" t="s">
        <v>905</v>
      </c>
      <c r="F299" s="345">
        <v>540940</v>
      </c>
      <c r="G299" s="346" t="s">
        <v>10</v>
      </c>
      <c r="H299" s="346" t="s">
        <v>97</v>
      </c>
      <c r="I299" s="63">
        <f t="shared" si="124"/>
        <v>289</v>
      </c>
      <c r="J299" s="292">
        <f t="shared" si="74"/>
        <v>0</v>
      </c>
      <c r="K299" s="292">
        <f t="shared" si="75"/>
        <v>540940</v>
      </c>
      <c r="L299" s="292">
        <f t="shared" si="76"/>
        <v>0</v>
      </c>
      <c r="M299" s="292">
        <f t="shared" si="77"/>
        <v>0</v>
      </c>
      <c r="N299" s="292">
        <f t="shared" si="112"/>
        <v>0</v>
      </c>
      <c r="O299" s="292">
        <f t="shared" si="113"/>
        <v>0</v>
      </c>
      <c r="P299" s="292">
        <f t="shared" si="78"/>
        <v>540940</v>
      </c>
      <c r="Q299" s="292">
        <f t="shared" si="79"/>
        <v>0</v>
      </c>
      <c r="R299" s="292">
        <f t="shared" si="118"/>
        <v>0</v>
      </c>
      <c r="S299" s="292">
        <f t="shared" si="119"/>
        <v>0</v>
      </c>
      <c r="T299" s="292">
        <f t="shared" si="80"/>
        <v>0</v>
      </c>
      <c r="U299" s="292">
        <f t="shared" si="81"/>
        <v>0</v>
      </c>
      <c r="V299" s="292">
        <f t="shared" si="120"/>
        <v>0</v>
      </c>
      <c r="W299" s="292">
        <f t="shared" si="121"/>
        <v>0</v>
      </c>
      <c r="X299" s="292">
        <f t="shared" si="122"/>
        <v>0</v>
      </c>
      <c r="Y299" s="292">
        <f t="shared" si="123"/>
        <v>0</v>
      </c>
      <c r="Z299" s="292">
        <f t="shared" si="114"/>
        <v>0</v>
      </c>
      <c r="AA299" s="292">
        <f t="shared" si="115"/>
        <v>0</v>
      </c>
      <c r="AB299" s="292">
        <f t="shared" si="82"/>
        <v>0</v>
      </c>
      <c r="AC299" s="292">
        <f t="shared" si="83"/>
        <v>0</v>
      </c>
      <c r="AD299" s="292">
        <f t="shared" si="84"/>
        <v>0</v>
      </c>
      <c r="AE299" s="292">
        <f t="shared" si="85"/>
        <v>0</v>
      </c>
      <c r="AF299" s="292">
        <f t="shared" si="86"/>
        <v>0</v>
      </c>
      <c r="AG299" s="292">
        <f t="shared" si="87"/>
        <v>0</v>
      </c>
      <c r="AH299" s="292">
        <f t="shared" si="88"/>
        <v>0</v>
      </c>
      <c r="AI299" s="292">
        <f t="shared" si="89"/>
        <v>0</v>
      </c>
      <c r="AJ299" s="292">
        <f t="shared" si="90"/>
        <v>0</v>
      </c>
      <c r="AK299" s="292">
        <f t="shared" si="91"/>
        <v>0</v>
      </c>
      <c r="AL299" s="292">
        <f t="shared" si="116"/>
        <v>0</v>
      </c>
      <c r="AM299" s="292">
        <f t="shared" si="117"/>
        <v>0</v>
      </c>
      <c r="AN299" s="292">
        <f t="shared" si="92"/>
        <v>0</v>
      </c>
      <c r="AO299" s="292">
        <f t="shared" si="93"/>
        <v>0</v>
      </c>
      <c r="AP299" s="292">
        <f t="shared" si="94"/>
        <v>0</v>
      </c>
      <c r="AQ299" s="292">
        <f t="shared" si="95"/>
        <v>0</v>
      </c>
      <c r="AR299" s="292">
        <f t="shared" si="96"/>
        <v>0</v>
      </c>
      <c r="AS299" s="292">
        <f t="shared" si="97"/>
        <v>0</v>
      </c>
      <c r="AT299" s="292">
        <f t="shared" si="98"/>
        <v>0</v>
      </c>
      <c r="AU299" s="292">
        <f t="shared" si="99"/>
        <v>0</v>
      </c>
      <c r="AV299" s="292">
        <f t="shared" si="100"/>
        <v>0</v>
      </c>
      <c r="AW299" s="292">
        <f t="shared" si="101"/>
        <v>0</v>
      </c>
      <c r="AX299" s="292">
        <f t="shared" si="102"/>
        <v>0</v>
      </c>
      <c r="AY299" s="292">
        <f t="shared" si="103"/>
        <v>0</v>
      </c>
      <c r="AZ299" s="292">
        <f t="shared" si="104"/>
        <v>0</v>
      </c>
      <c r="BA299" s="292">
        <f t="shared" si="105"/>
        <v>0</v>
      </c>
      <c r="BB299" s="292">
        <f t="shared" si="106"/>
        <v>0</v>
      </c>
      <c r="BC299" s="292">
        <f t="shared" si="107"/>
        <v>0</v>
      </c>
      <c r="BD299" s="292">
        <f t="shared" si="108"/>
        <v>0</v>
      </c>
      <c r="BE299" s="292">
        <f t="shared" si="109"/>
        <v>0</v>
      </c>
      <c r="BF299" s="292">
        <f t="shared" si="110"/>
        <v>0</v>
      </c>
      <c r="BG299" s="292">
        <f t="shared" si="111"/>
        <v>0</v>
      </c>
    </row>
    <row r="300" spans="1:59" s="289" customFormat="1" ht="15" customHeight="1">
      <c r="A300" s="63">
        <f t="array" ref="A300">IF(C300&lt;&gt;0,SUM(($C$11:C300&lt;&gt;0)*1),"")</f>
        <v>290</v>
      </c>
      <c r="B300" s="1099">
        <v>42486</v>
      </c>
      <c r="C300" s="290" t="s">
        <v>188</v>
      </c>
      <c r="D300" s="1099">
        <v>42486</v>
      </c>
      <c r="E300" s="344" t="s">
        <v>185</v>
      </c>
      <c r="F300" s="345">
        <v>2180000</v>
      </c>
      <c r="G300" s="346" t="s">
        <v>242</v>
      </c>
      <c r="H300" s="346" t="s">
        <v>97</v>
      </c>
      <c r="I300" s="63">
        <f t="shared" si="124"/>
        <v>290</v>
      </c>
      <c r="J300" s="292">
        <f t="shared" si="74"/>
        <v>0</v>
      </c>
      <c r="K300" s="292">
        <f t="shared" si="75"/>
        <v>2180000</v>
      </c>
      <c r="L300" s="292">
        <f t="shared" si="76"/>
        <v>0</v>
      </c>
      <c r="M300" s="292">
        <f t="shared" si="77"/>
        <v>0</v>
      </c>
      <c r="N300" s="292">
        <f t="shared" si="112"/>
        <v>0</v>
      </c>
      <c r="O300" s="292">
        <f t="shared" si="113"/>
        <v>0</v>
      </c>
      <c r="P300" s="292">
        <f t="shared" si="78"/>
        <v>0</v>
      </c>
      <c r="Q300" s="292">
        <f t="shared" si="79"/>
        <v>0</v>
      </c>
      <c r="R300" s="292">
        <f t="shared" si="118"/>
        <v>0</v>
      </c>
      <c r="S300" s="292">
        <f t="shared" si="119"/>
        <v>0</v>
      </c>
      <c r="T300" s="292">
        <f t="shared" si="80"/>
        <v>0</v>
      </c>
      <c r="U300" s="292">
        <f t="shared" si="81"/>
        <v>0</v>
      </c>
      <c r="V300" s="292">
        <f t="shared" si="120"/>
        <v>0</v>
      </c>
      <c r="W300" s="292">
        <f t="shared" si="121"/>
        <v>0</v>
      </c>
      <c r="X300" s="292">
        <f t="shared" si="122"/>
        <v>0</v>
      </c>
      <c r="Y300" s="292">
        <f t="shared" si="123"/>
        <v>0</v>
      </c>
      <c r="Z300" s="292">
        <f t="shared" si="114"/>
        <v>2180000</v>
      </c>
      <c r="AA300" s="292">
        <f t="shared" si="115"/>
        <v>0</v>
      </c>
      <c r="AB300" s="292">
        <f t="shared" si="82"/>
        <v>0</v>
      </c>
      <c r="AC300" s="292">
        <f t="shared" si="83"/>
        <v>0</v>
      </c>
      <c r="AD300" s="292">
        <f t="shared" si="84"/>
        <v>0</v>
      </c>
      <c r="AE300" s="292">
        <f t="shared" si="85"/>
        <v>0</v>
      </c>
      <c r="AF300" s="292">
        <f t="shared" si="86"/>
        <v>0</v>
      </c>
      <c r="AG300" s="292">
        <f t="shared" si="87"/>
        <v>0</v>
      </c>
      <c r="AH300" s="292">
        <f t="shared" si="88"/>
        <v>0</v>
      </c>
      <c r="AI300" s="292">
        <f t="shared" si="89"/>
        <v>0</v>
      </c>
      <c r="AJ300" s="292">
        <f t="shared" si="90"/>
        <v>0</v>
      </c>
      <c r="AK300" s="292">
        <f t="shared" si="91"/>
        <v>0</v>
      </c>
      <c r="AL300" s="292">
        <f t="shared" si="116"/>
        <v>0</v>
      </c>
      <c r="AM300" s="292">
        <f t="shared" si="117"/>
        <v>0</v>
      </c>
      <c r="AN300" s="292">
        <f t="shared" si="92"/>
        <v>0</v>
      </c>
      <c r="AO300" s="292">
        <f t="shared" si="93"/>
        <v>0</v>
      </c>
      <c r="AP300" s="292">
        <f t="shared" si="94"/>
        <v>0</v>
      </c>
      <c r="AQ300" s="292">
        <f t="shared" si="95"/>
        <v>0</v>
      </c>
      <c r="AR300" s="292">
        <f t="shared" si="96"/>
        <v>0</v>
      </c>
      <c r="AS300" s="292">
        <f t="shared" si="97"/>
        <v>0</v>
      </c>
      <c r="AT300" s="292">
        <f t="shared" si="98"/>
        <v>0</v>
      </c>
      <c r="AU300" s="292">
        <f t="shared" si="99"/>
        <v>0</v>
      </c>
      <c r="AV300" s="292">
        <f t="shared" si="100"/>
        <v>0</v>
      </c>
      <c r="AW300" s="292">
        <f t="shared" si="101"/>
        <v>0</v>
      </c>
      <c r="AX300" s="292">
        <f t="shared" si="102"/>
        <v>0</v>
      </c>
      <c r="AY300" s="292">
        <f t="shared" si="103"/>
        <v>0</v>
      </c>
      <c r="AZ300" s="292">
        <f t="shared" si="104"/>
        <v>0</v>
      </c>
      <c r="BA300" s="292">
        <f t="shared" si="105"/>
        <v>0</v>
      </c>
      <c r="BB300" s="292">
        <f t="shared" si="106"/>
        <v>0</v>
      </c>
      <c r="BC300" s="292">
        <f t="shared" si="107"/>
        <v>0</v>
      </c>
      <c r="BD300" s="292">
        <f t="shared" si="108"/>
        <v>0</v>
      </c>
      <c r="BE300" s="292">
        <f t="shared" si="109"/>
        <v>0</v>
      </c>
      <c r="BF300" s="292">
        <f t="shared" si="110"/>
        <v>0</v>
      </c>
      <c r="BG300" s="292">
        <f t="shared" si="111"/>
        <v>0</v>
      </c>
    </row>
    <row r="301" spans="1:59" s="289" customFormat="1" ht="15" customHeight="1">
      <c r="A301" s="63">
        <f t="array" ref="A301">IF(C301&lt;&gt;0,SUM(($C$11:C301&lt;&gt;0)*1),"")</f>
        <v>291</v>
      </c>
      <c r="B301" s="1099">
        <v>42486</v>
      </c>
      <c r="C301" s="290" t="s">
        <v>1017</v>
      </c>
      <c r="D301" s="1099">
        <v>42471</v>
      </c>
      <c r="E301" s="344" t="s">
        <v>933</v>
      </c>
      <c r="F301" s="345">
        <v>46496600</v>
      </c>
      <c r="G301" s="346" t="s">
        <v>135</v>
      </c>
      <c r="H301" s="346" t="s">
        <v>9</v>
      </c>
      <c r="I301" s="63">
        <f t="shared" si="124"/>
        <v>291</v>
      </c>
      <c r="J301" s="292">
        <f t="shared" si="74"/>
        <v>0</v>
      </c>
      <c r="K301" s="292">
        <f t="shared" si="75"/>
        <v>0</v>
      </c>
      <c r="L301" s="292">
        <f t="shared" si="76"/>
        <v>0</v>
      </c>
      <c r="M301" s="292">
        <f t="shared" si="77"/>
        <v>0</v>
      </c>
      <c r="N301" s="292">
        <f t="shared" si="112"/>
        <v>0</v>
      </c>
      <c r="O301" s="292">
        <f t="shared" si="113"/>
        <v>0</v>
      </c>
      <c r="P301" s="292">
        <f t="shared" si="78"/>
        <v>0</v>
      </c>
      <c r="Q301" s="292">
        <f t="shared" si="79"/>
        <v>0</v>
      </c>
      <c r="R301" s="292">
        <f t="shared" si="118"/>
        <v>0</v>
      </c>
      <c r="S301" s="292">
        <f t="shared" si="119"/>
        <v>0</v>
      </c>
      <c r="T301" s="292">
        <f t="shared" si="80"/>
        <v>0</v>
      </c>
      <c r="U301" s="292">
        <f t="shared" si="81"/>
        <v>0</v>
      </c>
      <c r="V301" s="292">
        <f t="shared" si="120"/>
        <v>0</v>
      </c>
      <c r="W301" s="292">
        <f t="shared" si="121"/>
        <v>0</v>
      </c>
      <c r="X301" s="292">
        <f t="shared" si="122"/>
        <v>0</v>
      </c>
      <c r="Y301" s="292">
        <f t="shared" si="123"/>
        <v>0</v>
      </c>
      <c r="Z301" s="292">
        <f t="shared" si="114"/>
        <v>0</v>
      </c>
      <c r="AA301" s="292">
        <f t="shared" si="115"/>
        <v>0</v>
      </c>
      <c r="AB301" s="292">
        <f t="shared" si="82"/>
        <v>0</v>
      </c>
      <c r="AC301" s="292">
        <f t="shared" si="83"/>
        <v>46496600</v>
      </c>
      <c r="AD301" s="292">
        <f t="shared" si="84"/>
        <v>0</v>
      </c>
      <c r="AE301" s="292">
        <f t="shared" si="85"/>
        <v>0</v>
      </c>
      <c r="AF301" s="292">
        <f t="shared" si="86"/>
        <v>0</v>
      </c>
      <c r="AG301" s="292">
        <f t="shared" si="87"/>
        <v>0</v>
      </c>
      <c r="AH301" s="292">
        <f t="shared" si="88"/>
        <v>0</v>
      </c>
      <c r="AI301" s="292">
        <f t="shared" si="89"/>
        <v>0</v>
      </c>
      <c r="AJ301" s="292">
        <f t="shared" si="90"/>
        <v>0</v>
      </c>
      <c r="AK301" s="292">
        <f t="shared" si="91"/>
        <v>0</v>
      </c>
      <c r="AL301" s="292">
        <f t="shared" si="116"/>
        <v>0</v>
      </c>
      <c r="AM301" s="292">
        <f t="shared" si="117"/>
        <v>0</v>
      </c>
      <c r="AN301" s="292">
        <f t="shared" si="92"/>
        <v>0</v>
      </c>
      <c r="AO301" s="292">
        <f t="shared" si="93"/>
        <v>0</v>
      </c>
      <c r="AP301" s="292">
        <f t="shared" si="94"/>
        <v>0</v>
      </c>
      <c r="AQ301" s="292">
        <f t="shared" si="95"/>
        <v>0</v>
      </c>
      <c r="AR301" s="292">
        <f t="shared" si="96"/>
        <v>0</v>
      </c>
      <c r="AS301" s="292">
        <f t="shared" si="97"/>
        <v>0</v>
      </c>
      <c r="AT301" s="292">
        <f t="shared" si="98"/>
        <v>0</v>
      </c>
      <c r="AU301" s="292">
        <f t="shared" si="99"/>
        <v>0</v>
      </c>
      <c r="AV301" s="292">
        <f t="shared" si="100"/>
        <v>0</v>
      </c>
      <c r="AW301" s="292">
        <f t="shared" si="101"/>
        <v>0</v>
      </c>
      <c r="AX301" s="292">
        <f t="shared" si="102"/>
        <v>46496600</v>
      </c>
      <c r="AY301" s="292">
        <f t="shared" si="103"/>
        <v>0</v>
      </c>
      <c r="AZ301" s="292">
        <f t="shared" si="104"/>
        <v>0</v>
      </c>
      <c r="BA301" s="292">
        <f t="shared" si="105"/>
        <v>0</v>
      </c>
      <c r="BB301" s="292">
        <f t="shared" si="106"/>
        <v>0</v>
      </c>
      <c r="BC301" s="292">
        <f t="shared" si="107"/>
        <v>0</v>
      </c>
      <c r="BD301" s="292">
        <f t="shared" si="108"/>
        <v>0</v>
      </c>
      <c r="BE301" s="292">
        <f t="shared" si="109"/>
        <v>0</v>
      </c>
      <c r="BF301" s="292">
        <f t="shared" si="110"/>
        <v>0</v>
      </c>
      <c r="BG301" s="292">
        <f t="shared" si="111"/>
        <v>0</v>
      </c>
    </row>
    <row r="302" spans="1:59" s="289" customFormat="1" ht="15" customHeight="1">
      <c r="A302" s="63">
        <f t="array" ref="A302">IF(C302&lt;&gt;0,SUM(($C$11:C302&lt;&gt;0)*1),"")</f>
        <v>292</v>
      </c>
      <c r="B302" s="1099">
        <v>42486</v>
      </c>
      <c r="C302" s="290" t="s">
        <v>1017</v>
      </c>
      <c r="D302" s="1099">
        <v>42471</v>
      </c>
      <c r="E302" s="344" t="s">
        <v>934</v>
      </c>
      <c r="F302" s="345">
        <v>4649660</v>
      </c>
      <c r="G302" s="346" t="s">
        <v>10</v>
      </c>
      <c r="H302" s="346" t="s">
        <v>9</v>
      </c>
      <c r="I302" s="63">
        <f t="shared" si="124"/>
        <v>292</v>
      </c>
      <c r="J302" s="292">
        <f t="shared" si="74"/>
        <v>0</v>
      </c>
      <c r="K302" s="292">
        <f t="shared" si="75"/>
        <v>0</v>
      </c>
      <c r="L302" s="292">
        <f t="shared" si="76"/>
        <v>0</v>
      </c>
      <c r="M302" s="292">
        <f t="shared" si="77"/>
        <v>0</v>
      </c>
      <c r="N302" s="292">
        <f t="shared" si="112"/>
        <v>0</v>
      </c>
      <c r="O302" s="292">
        <f t="shared" si="113"/>
        <v>0</v>
      </c>
      <c r="P302" s="292">
        <f t="shared" si="78"/>
        <v>4649660</v>
      </c>
      <c r="Q302" s="292">
        <f t="shared" si="79"/>
        <v>0</v>
      </c>
      <c r="R302" s="292">
        <f t="shared" si="118"/>
        <v>0</v>
      </c>
      <c r="S302" s="292">
        <f t="shared" si="119"/>
        <v>0</v>
      </c>
      <c r="T302" s="292">
        <f t="shared" si="80"/>
        <v>0</v>
      </c>
      <c r="U302" s="292">
        <f t="shared" si="81"/>
        <v>0</v>
      </c>
      <c r="V302" s="292">
        <f t="shared" si="120"/>
        <v>0</v>
      </c>
      <c r="W302" s="292">
        <f t="shared" si="121"/>
        <v>0</v>
      </c>
      <c r="X302" s="292">
        <f t="shared" si="122"/>
        <v>0</v>
      </c>
      <c r="Y302" s="292">
        <f t="shared" si="123"/>
        <v>0</v>
      </c>
      <c r="Z302" s="292">
        <f t="shared" si="114"/>
        <v>0</v>
      </c>
      <c r="AA302" s="292">
        <f t="shared" si="115"/>
        <v>0</v>
      </c>
      <c r="AB302" s="292">
        <f t="shared" si="82"/>
        <v>0</v>
      </c>
      <c r="AC302" s="292">
        <f t="shared" si="83"/>
        <v>4649660</v>
      </c>
      <c r="AD302" s="292">
        <f t="shared" si="84"/>
        <v>0</v>
      </c>
      <c r="AE302" s="292">
        <f t="shared" si="85"/>
        <v>0</v>
      </c>
      <c r="AF302" s="292">
        <f t="shared" si="86"/>
        <v>0</v>
      </c>
      <c r="AG302" s="292">
        <f t="shared" si="87"/>
        <v>0</v>
      </c>
      <c r="AH302" s="292">
        <f t="shared" si="88"/>
        <v>0</v>
      </c>
      <c r="AI302" s="292">
        <f t="shared" si="89"/>
        <v>0</v>
      </c>
      <c r="AJ302" s="292">
        <f t="shared" si="90"/>
        <v>0</v>
      </c>
      <c r="AK302" s="292">
        <f t="shared" si="91"/>
        <v>0</v>
      </c>
      <c r="AL302" s="292">
        <f t="shared" si="116"/>
        <v>0</v>
      </c>
      <c r="AM302" s="292">
        <f t="shared" si="117"/>
        <v>0</v>
      </c>
      <c r="AN302" s="292">
        <f t="shared" si="92"/>
        <v>0</v>
      </c>
      <c r="AO302" s="292">
        <f t="shared" si="93"/>
        <v>0</v>
      </c>
      <c r="AP302" s="292">
        <f t="shared" si="94"/>
        <v>0</v>
      </c>
      <c r="AQ302" s="292">
        <f t="shared" si="95"/>
        <v>0</v>
      </c>
      <c r="AR302" s="292">
        <f t="shared" si="96"/>
        <v>0</v>
      </c>
      <c r="AS302" s="292">
        <f t="shared" si="97"/>
        <v>0</v>
      </c>
      <c r="AT302" s="292">
        <f t="shared" si="98"/>
        <v>0</v>
      </c>
      <c r="AU302" s="292">
        <f t="shared" si="99"/>
        <v>0</v>
      </c>
      <c r="AV302" s="292">
        <f t="shared" si="100"/>
        <v>0</v>
      </c>
      <c r="AW302" s="292">
        <f t="shared" si="101"/>
        <v>0</v>
      </c>
      <c r="AX302" s="292">
        <f t="shared" si="102"/>
        <v>0</v>
      </c>
      <c r="AY302" s="292">
        <f t="shared" si="103"/>
        <v>0</v>
      </c>
      <c r="AZ302" s="292">
        <f t="shared" si="104"/>
        <v>0</v>
      </c>
      <c r="BA302" s="292">
        <f t="shared" si="105"/>
        <v>0</v>
      </c>
      <c r="BB302" s="292">
        <f t="shared" si="106"/>
        <v>0</v>
      </c>
      <c r="BC302" s="292">
        <f t="shared" si="107"/>
        <v>0</v>
      </c>
      <c r="BD302" s="292">
        <f t="shared" si="108"/>
        <v>0</v>
      </c>
      <c r="BE302" s="292">
        <f t="shared" si="109"/>
        <v>0</v>
      </c>
      <c r="BF302" s="292">
        <f t="shared" si="110"/>
        <v>0</v>
      </c>
      <c r="BG302" s="292">
        <f t="shared" si="111"/>
        <v>0</v>
      </c>
    </row>
    <row r="303" spans="1:59" s="289" customFormat="1" ht="15" customHeight="1">
      <c r="A303" s="63">
        <f t="array" ref="A303">IF(C303&lt;&gt;0,SUM(($C$11:C303&lt;&gt;0)*1),"")</f>
        <v>293</v>
      </c>
      <c r="B303" s="1099">
        <v>42486</v>
      </c>
      <c r="C303" s="290" t="s">
        <v>1017</v>
      </c>
      <c r="D303" s="1099">
        <v>42486</v>
      </c>
      <c r="E303" s="344" t="s">
        <v>935</v>
      </c>
      <c r="F303" s="345">
        <v>37564400</v>
      </c>
      <c r="G303" s="346" t="s">
        <v>135</v>
      </c>
      <c r="H303" s="346" t="s">
        <v>9</v>
      </c>
      <c r="I303" s="63">
        <f t="shared" si="124"/>
        <v>293</v>
      </c>
      <c r="J303" s="292">
        <f t="shared" si="74"/>
        <v>0</v>
      </c>
      <c r="K303" s="292">
        <f t="shared" si="75"/>
        <v>0</v>
      </c>
      <c r="L303" s="292">
        <f t="shared" si="76"/>
        <v>0</v>
      </c>
      <c r="M303" s="292">
        <f t="shared" si="77"/>
        <v>0</v>
      </c>
      <c r="N303" s="292">
        <f t="shared" si="112"/>
        <v>0</v>
      </c>
      <c r="O303" s="292">
        <f t="shared" si="113"/>
        <v>0</v>
      </c>
      <c r="P303" s="292">
        <f t="shared" si="78"/>
        <v>0</v>
      </c>
      <c r="Q303" s="292">
        <f t="shared" si="79"/>
        <v>0</v>
      </c>
      <c r="R303" s="292">
        <f t="shared" si="118"/>
        <v>0</v>
      </c>
      <c r="S303" s="292">
        <f t="shared" si="119"/>
        <v>0</v>
      </c>
      <c r="T303" s="292">
        <f t="shared" si="80"/>
        <v>0</v>
      </c>
      <c r="U303" s="292">
        <f t="shared" si="81"/>
        <v>0</v>
      </c>
      <c r="V303" s="292">
        <f t="shared" si="120"/>
        <v>0</v>
      </c>
      <c r="W303" s="292">
        <f t="shared" si="121"/>
        <v>0</v>
      </c>
      <c r="X303" s="292">
        <f t="shared" si="122"/>
        <v>0</v>
      </c>
      <c r="Y303" s="292">
        <f t="shared" si="123"/>
        <v>0</v>
      </c>
      <c r="Z303" s="292">
        <f t="shared" si="114"/>
        <v>0</v>
      </c>
      <c r="AA303" s="292">
        <f t="shared" si="115"/>
        <v>0</v>
      </c>
      <c r="AB303" s="292">
        <f t="shared" si="82"/>
        <v>0</v>
      </c>
      <c r="AC303" s="292">
        <f t="shared" si="83"/>
        <v>37564400</v>
      </c>
      <c r="AD303" s="292">
        <f t="shared" si="84"/>
        <v>0</v>
      </c>
      <c r="AE303" s="292">
        <f t="shared" si="85"/>
        <v>0</v>
      </c>
      <c r="AF303" s="292">
        <f t="shared" si="86"/>
        <v>0</v>
      </c>
      <c r="AG303" s="292">
        <f t="shared" si="87"/>
        <v>0</v>
      </c>
      <c r="AH303" s="292">
        <f t="shared" si="88"/>
        <v>0</v>
      </c>
      <c r="AI303" s="292">
        <f t="shared" si="89"/>
        <v>0</v>
      </c>
      <c r="AJ303" s="292">
        <f t="shared" si="90"/>
        <v>0</v>
      </c>
      <c r="AK303" s="292">
        <f t="shared" si="91"/>
        <v>0</v>
      </c>
      <c r="AL303" s="292">
        <f t="shared" si="116"/>
        <v>0</v>
      </c>
      <c r="AM303" s="292">
        <f t="shared" si="117"/>
        <v>0</v>
      </c>
      <c r="AN303" s="292">
        <f t="shared" si="92"/>
        <v>0</v>
      </c>
      <c r="AO303" s="292">
        <f t="shared" si="93"/>
        <v>0</v>
      </c>
      <c r="AP303" s="292">
        <f t="shared" si="94"/>
        <v>0</v>
      </c>
      <c r="AQ303" s="292">
        <f t="shared" si="95"/>
        <v>0</v>
      </c>
      <c r="AR303" s="292">
        <f t="shared" si="96"/>
        <v>0</v>
      </c>
      <c r="AS303" s="292">
        <f t="shared" si="97"/>
        <v>0</v>
      </c>
      <c r="AT303" s="292">
        <f t="shared" si="98"/>
        <v>0</v>
      </c>
      <c r="AU303" s="292">
        <f t="shared" si="99"/>
        <v>0</v>
      </c>
      <c r="AV303" s="292">
        <f t="shared" si="100"/>
        <v>0</v>
      </c>
      <c r="AW303" s="292">
        <f t="shared" si="101"/>
        <v>0</v>
      </c>
      <c r="AX303" s="292">
        <f t="shared" si="102"/>
        <v>37564400</v>
      </c>
      <c r="AY303" s="292">
        <f t="shared" si="103"/>
        <v>0</v>
      </c>
      <c r="AZ303" s="292">
        <f t="shared" si="104"/>
        <v>0</v>
      </c>
      <c r="BA303" s="292">
        <f t="shared" si="105"/>
        <v>0</v>
      </c>
      <c r="BB303" s="292">
        <f t="shared" si="106"/>
        <v>0</v>
      </c>
      <c r="BC303" s="292">
        <f t="shared" si="107"/>
        <v>0</v>
      </c>
      <c r="BD303" s="292">
        <f t="shared" si="108"/>
        <v>0</v>
      </c>
      <c r="BE303" s="292">
        <f t="shared" si="109"/>
        <v>0</v>
      </c>
      <c r="BF303" s="292">
        <f t="shared" si="110"/>
        <v>0</v>
      </c>
      <c r="BG303" s="292">
        <f t="shared" si="111"/>
        <v>0</v>
      </c>
    </row>
    <row r="304" spans="1:59" s="289" customFormat="1" ht="15" customHeight="1">
      <c r="A304" s="63">
        <f t="array" ref="A304">IF(C304&lt;&gt;0,SUM(($C$11:C304&lt;&gt;0)*1),"")</f>
        <v>294</v>
      </c>
      <c r="B304" s="1099">
        <v>42486</v>
      </c>
      <c r="C304" s="290" t="s">
        <v>1017</v>
      </c>
      <c r="D304" s="1099">
        <v>42486</v>
      </c>
      <c r="E304" s="344" t="s">
        <v>936</v>
      </c>
      <c r="F304" s="345">
        <v>3756440</v>
      </c>
      <c r="G304" s="346" t="s">
        <v>10</v>
      </c>
      <c r="H304" s="346" t="s">
        <v>9</v>
      </c>
      <c r="I304" s="63">
        <f t="shared" si="124"/>
        <v>294</v>
      </c>
      <c r="J304" s="292">
        <f t="shared" si="74"/>
        <v>0</v>
      </c>
      <c r="K304" s="292">
        <f t="shared" si="75"/>
        <v>0</v>
      </c>
      <c r="L304" s="292">
        <f t="shared" si="76"/>
        <v>0</v>
      </c>
      <c r="M304" s="292">
        <f t="shared" si="77"/>
        <v>0</v>
      </c>
      <c r="N304" s="292">
        <f t="shared" si="112"/>
        <v>0</v>
      </c>
      <c r="O304" s="292">
        <f t="shared" si="113"/>
        <v>0</v>
      </c>
      <c r="P304" s="292">
        <f t="shared" si="78"/>
        <v>3756440</v>
      </c>
      <c r="Q304" s="292">
        <f t="shared" si="79"/>
        <v>0</v>
      </c>
      <c r="R304" s="292">
        <f t="shared" si="118"/>
        <v>0</v>
      </c>
      <c r="S304" s="292">
        <f t="shared" si="119"/>
        <v>0</v>
      </c>
      <c r="T304" s="292">
        <f t="shared" si="80"/>
        <v>0</v>
      </c>
      <c r="U304" s="292">
        <f t="shared" si="81"/>
        <v>0</v>
      </c>
      <c r="V304" s="292">
        <f t="shared" si="120"/>
        <v>0</v>
      </c>
      <c r="W304" s="292">
        <f t="shared" si="121"/>
        <v>0</v>
      </c>
      <c r="X304" s="292">
        <f t="shared" si="122"/>
        <v>0</v>
      </c>
      <c r="Y304" s="292">
        <f t="shared" si="123"/>
        <v>0</v>
      </c>
      <c r="Z304" s="292">
        <f t="shared" si="114"/>
        <v>0</v>
      </c>
      <c r="AA304" s="292">
        <f t="shared" si="115"/>
        <v>0</v>
      </c>
      <c r="AB304" s="292">
        <f t="shared" si="82"/>
        <v>0</v>
      </c>
      <c r="AC304" s="292">
        <f t="shared" si="83"/>
        <v>3756440</v>
      </c>
      <c r="AD304" s="292">
        <f t="shared" si="84"/>
        <v>0</v>
      </c>
      <c r="AE304" s="292">
        <f t="shared" si="85"/>
        <v>0</v>
      </c>
      <c r="AF304" s="292">
        <f t="shared" si="86"/>
        <v>0</v>
      </c>
      <c r="AG304" s="292">
        <f t="shared" si="87"/>
        <v>0</v>
      </c>
      <c r="AH304" s="292">
        <f t="shared" si="88"/>
        <v>0</v>
      </c>
      <c r="AI304" s="292">
        <f t="shared" si="89"/>
        <v>0</v>
      </c>
      <c r="AJ304" s="292">
        <f t="shared" si="90"/>
        <v>0</v>
      </c>
      <c r="AK304" s="292">
        <f t="shared" si="91"/>
        <v>0</v>
      </c>
      <c r="AL304" s="292">
        <f t="shared" si="116"/>
        <v>0</v>
      </c>
      <c r="AM304" s="292">
        <f t="shared" si="117"/>
        <v>0</v>
      </c>
      <c r="AN304" s="292">
        <f t="shared" si="92"/>
        <v>0</v>
      </c>
      <c r="AO304" s="292">
        <f t="shared" si="93"/>
        <v>0</v>
      </c>
      <c r="AP304" s="292">
        <f t="shared" si="94"/>
        <v>0</v>
      </c>
      <c r="AQ304" s="292">
        <f t="shared" si="95"/>
        <v>0</v>
      </c>
      <c r="AR304" s="292">
        <f t="shared" si="96"/>
        <v>0</v>
      </c>
      <c r="AS304" s="292">
        <f t="shared" si="97"/>
        <v>0</v>
      </c>
      <c r="AT304" s="292">
        <f t="shared" si="98"/>
        <v>0</v>
      </c>
      <c r="AU304" s="292">
        <f t="shared" si="99"/>
        <v>0</v>
      </c>
      <c r="AV304" s="292">
        <f t="shared" si="100"/>
        <v>0</v>
      </c>
      <c r="AW304" s="292">
        <f t="shared" si="101"/>
        <v>0</v>
      </c>
      <c r="AX304" s="292">
        <f t="shared" si="102"/>
        <v>0</v>
      </c>
      <c r="AY304" s="292">
        <f t="shared" si="103"/>
        <v>0</v>
      </c>
      <c r="AZ304" s="292">
        <f t="shared" si="104"/>
        <v>0</v>
      </c>
      <c r="BA304" s="292">
        <f t="shared" si="105"/>
        <v>0</v>
      </c>
      <c r="BB304" s="292">
        <f t="shared" si="106"/>
        <v>0</v>
      </c>
      <c r="BC304" s="292">
        <f t="shared" si="107"/>
        <v>0</v>
      </c>
      <c r="BD304" s="292">
        <f t="shared" si="108"/>
        <v>0</v>
      </c>
      <c r="BE304" s="292">
        <f t="shared" si="109"/>
        <v>0</v>
      </c>
      <c r="BF304" s="292">
        <f t="shared" si="110"/>
        <v>0</v>
      </c>
      <c r="BG304" s="292">
        <f t="shared" si="111"/>
        <v>0</v>
      </c>
    </row>
    <row r="305" spans="1:59" s="289" customFormat="1" ht="15" customHeight="1">
      <c r="A305" s="63">
        <f t="array" ref="A305">IF(C305&lt;&gt;0,SUM(($C$11:C305&lt;&gt;0)*1),"")</f>
        <v>295</v>
      </c>
      <c r="B305" s="1099">
        <v>42487</v>
      </c>
      <c r="C305" s="290" t="s">
        <v>189</v>
      </c>
      <c r="D305" s="1099">
        <v>42487</v>
      </c>
      <c r="E305" s="344" t="s">
        <v>185</v>
      </c>
      <c r="F305" s="345">
        <v>1500000</v>
      </c>
      <c r="G305" s="346" t="s">
        <v>242</v>
      </c>
      <c r="H305" s="346" t="s">
        <v>97</v>
      </c>
      <c r="I305" s="63">
        <f t="shared" si="124"/>
        <v>295</v>
      </c>
      <c r="J305" s="292">
        <f t="shared" si="74"/>
        <v>0</v>
      </c>
      <c r="K305" s="292">
        <f t="shared" si="75"/>
        <v>1500000</v>
      </c>
      <c r="L305" s="292">
        <f t="shared" si="76"/>
        <v>0</v>
      </c>
      <c r="M305" s="292">
        <f t="shared" si="77"/>
        <v>0</v>
      </c>
      <c r="N305" s="292">
        <f t="shared" si="112"/>
        <v>0</v>
      </c>
      <c r="O305" s="292">
        <f t="shared" si="113"/>
        <v>0</v>
      </c>
      <c r="P305" s="292">
        <f t="shared" si="78"/>
        <v>0</v>
      </c>
      <c r="Q305" s="292">
        <f t="shared" si="79"/>
        <v>0</v>
      </c>
      <c r="R305" s="292">
        <f t="shared" si="118"/>
        <v>0</v>
      </c>
      <c r="S305" s="292">
        <f t="shared" si="119"/>
        <v>0</v>
      </c>
      <c r="T305" s="292">
        <f t="shared" si="80"/>
        <v>0</v>
      </c>
      <c r="U305" s="292">
        <f t="shared" si="81"/>
        <v>0</v>
      </c>
      <c r="V305" s="292">
        <f t="shared" si="120"/>
        <v>0</v>
      </c>
      <c r="W305" s="292">
        <f t="shared" si="121"/>
        <v>0</v>
      </c>
      <c r="X305" s="292">
        <f t="shared" si="122"/>
        <v>0</v>
      </c>
      <c r="Y305" s="292">
        <f t="shared" si="123"/>
        <v>0</v>
      </c>
      <c r="Z305" s="292">
        <f t="shared" si="114"/>
        <v>1500000</v>
      </c>
      <c r="AA305" s="292">
        <f t="shared" si="115"/>
        <v>0</v>
      </c>
      <c r="AB305" s="292">
        <f t="shared" si="82"/>
        <v>0</v>
      </c>
      <c r="AC305" s="292">
        <f t="shared" si="83"/>
        <v>0</v>
      </c>
      <c r="AD305" s="292">
        <f t="shared" si="84"/>
        <v>0</v>
      </c>
      <c r="AE305" s="292">
        <f t="shared" si="85"/>
        <v>0</v>
      </c>
      <c r="AF305" s="292">
        <f t="shared" si="86"/>
        <v>0</v>
      </c>
      <c r="AG305" s="292">
        <f t="shared" si="87"/>
        <v>0</v>
      </c>
      <c r="AH305" s="292">
        <f t="shared" si="88"/>
        <v>0</v>
      </c>
      <c r="AI305" s="292">
        <f t="shared" si="89"/>
        <v>0</v>
      </c>
      <c r="AJ305" s="292">
        <f t="shared" si="90"/>
        <v>0</v>
      </c>
      <c r="AK305" s="292">
        <f t="shared" si="91"/>
        <v>0</v>
      </c>
      <c r="AL305" s="292">
        <f t="shared" si="116"/>
        <v>0</v>
      </c>
      <c r="AM305" s="292">
        <f t="shared" si="117"/>
        <v>0</v>
      </c>
      <c r="AN305" s="292">
        <f t="shared" si="92"/>
        <v>0</v>
      </c>
      <c r="AO305" s="292">
        <f t="shared" si="93"/>
        <v>0</v>
      </c>
      <c r="AP305" s="292">
        <f t="shared" si="94"/>
        <v>0</v>
      </c>
      <c r="AQ305" s="292">
        <f t="shared" si="95"/>
        <v>0</v>
      </c>
      <c r="AR305" s="292">
        <f t="shared" si="96"/>
        <v>0</v>
      </c>
      <c r="AS305" s="292">
        <f t="shared" si="97"/>
        <v>0</v>
      </c>
      <c r="AT305" s="292">
        <f t="shared" si="98"/>
        <v>0</v>
      </c>
      <c r="AU305" s="292">
        <f t="shared" si="99"/>
        <v>0</v>
      </c>
      <c r="AV305" s="292">
        <f t="shared" si="100"/>
        <v>0</v>
      </c>
      <c r="AW305" s="292">
        <f t="shared" si="101"/>
        <v>0</v>
      </c>
      <c r="AX305" s="292">
        <f t="shared" si="102"/>
        <v>0</v>
      </c>
      <c r="AY305" s="292">
        <f t="shared" si="103"/>
        <v>0</v>
      </c>
      <c r="AZ305" s="292">
        <f t="shared" si="104"/>
        <v>0</v>
      </c>
      <c r="BA305" s="292">
        <f t="shared" si="105"/>
        <v>0</v>
      </c>
      <c r="BB305" s="292">
        <f t="shared" si="106"/>
        <v>0</v>
      </c>
      <c r="BC305" s="292">
        <f t="shared" si="107"/>
        <v>0</v>
      </c>
      <c r="BD305" s="292">
        <f t="shared" si="108"/>
        <v>0</v>
      </c>
      <c r="BE305" s="292">
        <f t="shared" si="109"/>
        <v>0</v>
      </c>
      <c r="BF305" s="292">
        <f t="shared" si="110"/>
        <v>0</v>
      </c>
      <c r="BG305" s="292">
        <f t="shared" si="111"/>
        <v>0</v>
      </c>
    </row>
    <row r="306" spans="1:59" s="289" customFormat="1" ht="15" customHeight="1">
      <c r="A306" s="63">
        <f t="array" ref="A306">IF(C306&lt;&gt;0,SUM(($C$11:C306&lt;&gt;0)*1),"")</f>
        <v>296</v>
      </c>
      <c r="B306" s="1099">
        <v>42487</v>
      </c>
      <c r="C306" s="290" t="s">
        <v>190</v>
      </c>
      <c r="D306" s="1099">
        <v>42487</v>
      </c>
      <c r="E306" s="344" t="s">
        <v>410</v>
      </c>
      <c r="F306" s="345">
        <v>47000000</v>
      </c>
      <c r="G306" s="346" t="s">
        <v>31</v>
      </c>
      <c r="H306" s="346" t="s">
        <v>97</v>
      </c>
      <c r="I306" s="63">
        <f t="shared" si="124"/>
        <v>296</v>
      </c>
      <c r="J306" s="292">
        <f t="shared" si="74"/>
        <v>0</v>
      </c>
      <c r="K306" s="292">
        <f t="shared" si="75"/>
        <v>47000000</v>
      </c>
      <c r="L306" s="292">
        <f t="shared" si="76"/>
        <v>47000000</v>
      </c>
      <c r="M306" s="292">
        <f t="shared" si="77"/>
        <v>0</v>
      </c>
      <c r="N306" s="292">
        <f t="shared" si="112"/>
        <v>0</v>
      </c>
      <c r="O306" s="292">
        <f t="shared" si="113"/>
        <v>0</v>
      </c>
      <c r="P306" s="292">
        <f t="shared" si="78"/>
        <v>0</v>
      </c>
      <c r="Q306" s="292">
        <f t="shared" si="79"/>
        <v>0</v>
      </c>
      <c r="R306" s="292">
        <f t="shared" si="118"/>
        <v>0</v>
      </c>
      <c r="S306" s="292">
        <f t="shared" si="119"/>
        <v>0</v>
      </c>
      <c r="T306" s="292">
        <f t="shared" si="80"/>
        <v>0</v>
      </c>
      <c r="U306" s="292">
        <f t="shared" si="81"/>
        <v>0</v>
      </c>
      <c r="V306" s="292">
        <f t="shared" si="120"/>
        <v>0</v>
      </c>
      <c r="W306" s="292">
        <f t="shared" si="121"/>
        <v>0</v>
      </c>
      <c r="X306" s="292">
        <f t="shared" si="122"/>
        <v>0</v>
      </c>
      <c r="Y306" s="292">
        <f t="shared" si="123"/>
        <v>0</v>
      </c>
      <c r="Z306" s="292">
        <f t="shared" si="114"/>
        <v>0</v>
      </c>
      <c r="AA306" s="292">
        <f t="shared" si="115"/>
        <v>0</v>
      </c>
      <c r="AB306" s="292">
        <f t="shared" si="82"/>
        <v>0</v>
      </c>
      <c r="AC306" s="292">
        <f t="shared" si="83"/>
        <v>0</v>
      </c>
      <c r="AD306" s="292">
        <f t="shared" si="84"/>
        <v>0</v>
      </c>
      <c r="AE306" s="292">
        <f t="shared" si="85"/>
        <v>0</v>
      </c>
      <c r="AF306" s="292">
        <f t="shared" si="86"/>
        <v>0</v>
      </c>
      <c r="AG306" s="292">
        <f t="shared" si="87"/>
        <v>0</v>
      </c>
      <c r="AH306" s="292">
        <f t="shared" si="88"/>
        <v>0</v>
      </c>
      <c r="AI306" s="292">
        <f t="shared" si="89"/>
        <v>0</v>
      </c>
      <c r="AJ306" s="292">
        <f t="shared" si="90"/>
        <v>0</v>
      </c>
      <c r="AK306" s="292">
        <f t="shared" si="91"/>
        <v>0</v>
      </c>
      <c r="AL306" s="292">
        <f t="shared" si="116"/>
        <v>0</v>
      </c>
      <c r="AM306" s="292">
        <f t="shared" si="117"/>
        <v>0</v>
      </c>
      <c r="AN306" s="292">
        <f t="shared" si="92"/>
        <v>0</v>
      </c>
      <c r="AO306" s="292">
        <f t="shared" si="93"/>
        <v>0</v>
      </c>
      <c r="AP306" s="292">
        <f t="shared" si="94"/>
        <v>0</v>
      </c>
      <c r="AQ306" s="292">
        <f t="shared" si="95"/>
        <v>0</v>
      </c>
      <c r="AR306" s="292">
        <f t="shared" si="96"/>
        <v>0</v>
      </c>
      <c r="AS306" s="292">
        <f t="shared" si="97"/>
        <v>0</v>
      </c>
      <c r="AT306" s="292">
        <f t="shared" si="98"/>
        <v>0</v>
      </c>
      <c r="AU306" s="292">
        <f t="shared" si="99"/>
        <v>0</v>
      </c>
      <c r="AV306" s="292">
        <f t="shared" si="100"/>
        <v>0</v>
      </c>
      <c r="AW306" s="292">
        <f t="shared" si="101"/>
        <v>0</v>
      </c>
      <c r="AX306" s="292">
        <f t="shared" si="102"/>
        <v>0</v>
      </c>
      <c r="AY306" s="292">
        <f t="shared" si="103"/>
        <v>0</v>
      </c>
      <c r="AZ306" s="292">
        <f t="shared" si="104"/>
        <v>0</v>
      </c>
      <c r="BA306" s="292">
        <f t="shared" si="105"/>
        <v>0</v>
      </c>
      <c r="BB306" s="292">
        <f t="shared" si="106"/>
        <v>0</v>
      </c>
      <c r="BC306" s="292">
        <f t="shared" si="107"/>
        <v>0</v>
      </c>
      <c r="BD306" s="292">
        <f t="shared" si="108"/>
        <v>0</v>
      </c>
      <c r="BE306" s="292">
        <f t="shared" si="109"/>
        <v>0</v>
      </c>
      <c r="BF306" s="292">
        <f t="shared" si="110"/>
        <v>0</v>
      </c>
      <c r="BG306" s="292">
        <f t="shared" si="111"/>
        <v>0</v>
      </c>
    </row>
    <row r="307" spans="1:59" s="289" customFormat="1" ht="15" customHeight="1">
      <c r="A307" s="63">
        <f t="array" ref="A307">IF(C307&lt;&gt;0,SUM(($C$11:C307&lt;&gt;0)*1),"")</f>
        <v>297</v>
      </c>
      <c r="B307" s="1099">
        <v>42487</v>
      </c>
      <c r="C307" s="290" t="s">
        <v>8</v>
      </c>
      <c r="D307" s="1099">
        <v>42487</v>
      </c>
      <c r="E307" s="344" t="s">
        <v>957</v>
      </c>
      <c r="F307" s="345">
        <v>46697530</v>
      </c>
      <c r="G307" s="346" t="s">
        <v>9</v>
      </c>
      <c r="H307" s="346" t="s">
        <v>31</v>
      </c>
      <c r="I307" s="63">
        <f t="shared" si="124"/>
        <v>297</v>
      </c>
      <c r="J307" s="292">
        <f t="shared" si="74"/>
        <v>0</v>
      </c>
      <c r="K307" s="292">
        <f t="shared" si="75"/>
        <v>0</v>
      </c>
      <c r="L307" s="292">
        <f t="shared" si="76"/>
        <v>0</v>
      </c>
      <c r="M307" s="292">
        <f t="shared" si="77"/>
        <v>46697530</v>
      </c>
      <c r="N307" s="292">
        <f t="shared" si="112"/>
        <v>0</v>
      </c>
      <c r="O307" s="292">
        <f t="shared" si="113"/>
        <v>0</v>
      </c>
      <c r="P307" s="292">
        <f t="shared" si="78"/>
        <v>0</v>
      </c>
      <c r="Q307" s="292">
        <f t="shared" si="79"/>
        <v>0</v>
      </c>
      <c r="R307" s="292">
        <f t="shared" si="118"/>
        <v>0</v>
      </c>
      <c r="S307" s="292">
        <f t="shared" si="119"/>
        <v>0</v>
      </c>
      <c r="T307" s="292">
        <f t="shared" si="80"/>
        <v>0</v>
      </c>
      <c r="U307" s="292">
        <f t="shared" si="81"/>
        <v>0</v>
      </c>
      <c r="V307" s="292">
        <f t="shared" si="120"/>
        <v>0</v>
      </c>
      <c r="W307" s="292">
        <f t="shared" si="121"/>
        <v>0</v>
      </c>
      <c r="X307" s="292">
        <f t="shared" si="122"/>
        <v>0</v>
      </c>
      <c r="Y307" s="292">
        <f t="shared" si="123"/>
        <v>0</v>
      </c>
      <c r="Z307" s="292">
        <f t="shared" si="114"/>
        <v>0</v>
      </c>
      <c r="AA307" s="292">
        <f t="shared" si="115"/>
        <v>0</v>
      </c>
      <c r="AB307" s="292">
        <f t="shared" si="82"/>
        <v>46697530</v>
      </c>
      <c r="AC307" s="292">
        <f t="shared" si="83"/>
        <v>0</v>
      </c>
      <c r="AD307" s="292">
        <f t="shared" si="84"/>
        <v>0</v>
      </c>
      <c r="AE307" s="292">
        <f t="shared" si="85"/>
        <v>0</v>
      </c>
      <c r="AF307" s="292">
        <f t="shared" si="86"/>
        <v>0</v>
      </c>
      <c r="AG307" s="292">
        <f t="shared" si="87"/>
        <v>0</v>
      </c>
      <c r="AH307" s="292">
        <f t="shared" si="88"/>
        <v>0</v>
      </c>
      <c r="AI307" s="292">
        <f t="shared" si="89"/>
        <v>0</v>
      </c>
      <c r="AJ307" s="292">
        <f t="shared" si="90"/>
        <v>0</v>
      </c>
      <c r="AK307" s="292">
        <f t="shared" si="91"/>
        <v>0</v>
      </c>
      <c r="AL307" s="292">
        <f t="shared" si="116"/>
        <v>0</v>
      </c>
      <c r="AM307" s="292">
        <f t="shared" si="117"/>
        <v>0</v>
      </c>
      <c r="AN307" s="292">
        <f t="shared" si="92"/>
        <v>0</v>
      </c>
      <c r="AO307" s="292">
        <f t="shared" si="93"/>
        <v>0</v>
      </c>
      <c r="AP307" s="292">
        <f t="shared" si="94"/>
        <v>0</v>
      </c>
      <c r="AQ307" s="292">
        <f t="shared" si="95"/>
        <v>0</v>
      </c>
      <c r="AR307" s="292">
        <f t="shared" si="96"/>
        <v>0</v>
      </c>
      <c r="AS307" s="292">
        <f t="shared" si="97"/>
        <v>0</v>
      </c>
      <c r="AT307" s="292">
        <f t="shared" si="98"/>
        <v>0</v>
      </c>
      <c r="AU307" s="292">
        <f t="shared" si="99"/>
        <v>0</v>
      </c>
      <c r="AV307" s="292">
        <f t="shared" si="100"/>
        <v>0</v>
      </c>
      <c r="AW307" s="292">
        <f t="shared" si="101"/>
        <v>0</v>
      </c>
      <c r="AX307" s="292">
        <f t="shared" si="102"/>
        <v>0</v>
      </c>
      <c r="AY307" s="292">
        <f t="shared" si="103"/>
        <v>0</v>
      </c>
      <c r="AZ307" s="292">
        <f t="shared" si="104"/>
        <v>0</v>
      </c>
      <c r="BA307" s="292">
        <f t="shared" si="105"/>
        <v>0</v>
      </c>
      <c r="BB307" s="292">
        <f t="shared" si="106"/>
        <v>0</v>
      </c>
      <c r="BC307" s="292">
        <f t="shared" si="107"/>
        <v>0</v>
      </c>
      <c r="BD307" s="292">
        <f t="shared" si="108"/>
        <v>0</v>
      </c>
      <c r="BE307" s="292">
        <f t="shared" si="109"/>
        <v>0</v>
      </c>
      <c r="BF307" s="292">
        <f t="shared" si="110"/>
        <v>0</v>
      </c>
      <c r="BG307" s="292">
        <f t="shared" si="111"/>
        <v>0</v>
      </c>
    </row>
    <row r="308" spans="1:59" s="289" customFormat="1" ht="15" customHeight="1">
      <c r="A308" s="63">
        <f t="array" ref="A308">IF(C308&lt;&gt;0,SUM(($C$11:C308&lt;&gt;0)*1),"")</f>
        <v>298</v>
      </c>
      <c r="B308" s="1099">
        <v>42487</v>
      </c>
      <c r="C308" s="290" t="s">
        <v>8</v>
      </c>
      <c r="D308" s="1099">
        <v>42487</v>
      </c>
      <c r="E308" s="344" t="s">
        <v>22</v>
      </c>
      <c r="F308" s="345">
        <v>45000</v>
      </c>
      <c r="G308" s="346" t="s">
        <v>135</v>
      </c>
      <c r="H308" s="346" t="s">
        <v>31</v>
      </c>
      <c r="I308" s="63">
        <f t="shared" si="124"/>
        <v>298</v>
      </c>
      <c r="J308" s="292">
        <f t="shared" si="74"/>
        <v>0</v>
      </c>
      <c r="K308" s="292">
        <f t="shared" si="75"/>
        <v>0</v>
      </c>
      <c r="L308" s="292">
        <f t="shared" si="76"/>
        <v>0</v>
      </c>
      <c r="M308" s="292">
        <f t="shared" si="77"/>
        <v>45000</v>
      </c>
      <c r="N308" s="292">
        <f t="shared" si="112"/>
        <v>0</v>
      </c>
      <c r="O308" s="292">
        <f t="shared" si="113"/>
        <v>0</v>
      </c>
      <c r="P308" s="292">
        <f t="shared" si="78"/>
        <v>0</v>
      </c>
      <c r="Q308" s="292">
        <f t="shared" si="79"/>
        <v>0</v>
      </c>
      <c r="R308" s="292">
        <f t="shared" si="118"/>
        <v>0</v>
      </c>
      <c r="S308" s="292">
        <f t="shared" si="119"/>
        <v>0</v>
      </c>
      <c r="T308" s="292">
        <f t="shared" si="80"/>
        <v>0</v>
      </c>
      <c r="U308" s="292">
        <f t="shared" si="81"/>
        <v>0</v>
      </c>
      <c r="V308" s="292">
        <f t="shared" si="120"/>
        <v>0</v>
      </c>
      <c r="W308" s="292">
        <f t="shared" si="121"/>
        <v>0</v>
      </c>
      <c r="X308" s="292">
        <f t="shared" si="122"/>
        <v>0</v>
      </c>
      <c r="Y308" s="292">
        <f t="shared" si="123"/>
        <v>0</v>
      </c>
      <c r="Z308" s="292">
        <f t="shared" si="114"/>
        <v>0</v>
      </c>
      <c r="AA308" s="292">
        <f t="shared" si="115"/>
        <v>0</v>
      </c>
      <c r="AB308" s="292">
        <f t="shared" si="82"/>
        <v>0</v>
      </c>
      <c r="AC308" s="292">
        <f t="shared" si="83"/>
        <v>0</v>
      </c>
      <c r="AD308" s="292">
        <f t="shared" si="84"/>
        <v>0</v>
      </c>
      <c r="AE308" s="292">
        <f t="shared" si="85"/>
        <v>0</v>
      </c>
      <c r="AF308" s="292">
        <f t="shared" si="86"/>
        <v>0</v>
      </c>
      <c r="AG308" s="292">
        <f t="shared" si="87"/>
        <v>0</v>
      </c>
      <c r="AH308" s="292">
        <f t="shared" si="88"/>
        <v>0</v>
      </c>
      <c r="AI308" s="292">
        <f t="shared" si="89"/>
        <v>0</v>
      </c>
      <c r="AJ308" s="292">
        <f t="shared" si="90"/>
        <v>0</v>
      </c>
      <c r="AK308" s="292">
        <f t="shared" si="91"/>
        <v>0</v>
      </c>
      <c r="AL308" s="292">
        <f t="shared" si="116"/>
        <v>0</v>
      </c>
      <c r="AM308" s="292">
        <f t="shared" si="117"/>
        <v>0</v>
      </c>
      <c r="AN308" s="292">
        <f t="shared" si="92"/>
        <v>0</v>
      </c>
      <c r="AO308" s="292">
        <f t="shared" si="93"/>
        <v>0</v>
      </c>
      <c r="AP308" s="292">
        <f t="shared" si="94"/>
        <v>0</v>
      </c>
      <c r="AQ308" s="292">
        <f t="shared" si="95"/>
        <v>0</v>
      </c>
      <c r="AR308" s="292">
        <f t="shared" si="96"/>
        <v>0</v>
      </c>
      <c r="AS308" s="292">
        <f t="shared" si="97"/>
        <v>0</v>
      </c>
      <c r="AT308" s="292">
        <f t="shared" si="98"/>
        <v>0</v>
      </c>
      <c r="AU308" s="292">
        <f t="shared" si="99"/>
        <v>0</v>
      </c>
      <c r="AV308" s="292">
        <f t="shared" si="100"/>
        <v>0</v>
      </c>
      <c r="AW308" s="292">
        <f t="shared" si="101"/>
        <v>0</v>
      </c>
      <c r="AX308" s="292">
        <f t="shared" si="102"/>
        <v>45000</v>
      </c>
      <c r="AY308" s="292">
        <f t="shared" si="103"/>
        <v>0</v>
      </c>
      <c r="AZ308" s="292">
        <f t="shared" si="104"/>
        <v>0</v>
      </c>
      <c r="BA308" s="292">
        <f t="shared" si="105"/>
        <v>0</v>
      </c>
      <c r="BB308" s="292">
        <f t="shared" si="106"/>
        <v>0</v>
      </c>
      <c r="BC308" s="292">
        <f t="shared" si="107"/>
        <v>0</v>
      </c>
      <c r="BD308" s="292">
        <f t="shared" si="108"/>
        <v>0</v>
      </c>
      <c r="BE308" s="292">
        <f t="shared" si="109"/>
        <v>0</v>
      </c>
      <c r="BF308" s="292">
        <f t="shared" si="110"/>
        <v>0</v>
      </c>
      <c r="BG308" s="292">
        <f t="shared" si="111"/>
        <v>0</v>
      </c>
    </row>
    <row r="309" spans="1:59" s="289" customFormat="1" ht="15" customHeight="1">
      <c r="A309" s="63">
        <f t="array" ref="A309">IF(C309&lt;&gt;0,SUM(($C$11:C309&lt;&gt;0)*1),"")</f>
        <v>299</v>
      </c>
      <c r="B309" s="1099">
        <v>42487</v>
      </c>
      <c r="C309" s="290" t="s">
        <v>8</v>
      </c>
      <c r="D309" s="1099">
        <v>42487</v>
      </c>
      <c r="E309" s="344" t="s">
        <v>23</v>
      </c>
      <c r="F309" s="345">
        <v>4500</v>
      </c>
      <c r="G309" s="346" t="s">
        <v>10</v>
      </c>
      <c r="H309" s="346" t="s">
        <v>31</v>
      </c>
      <c r="I309" s="63">
        <f t="shared" si="124"/>
        <v>299</v>
      </c>
      <c r="J309" s="292">
        <f t="shared" si="74"/>
        <v>0</v>
      </c>
      <c r="K309" s="292">
        <f t="shared" si="75"/>
        <v>0</v>
      </c>
      <c r="L309" s="292">
        <f t="shared" si="76"/>
        <v>0</v>
      </c>
      <c r="M309" s="292">
        <f t="shared" si="77"/>
        <v>4500</v>
      </c>
      <c r="N309" s="292">
        <f t="shared" si="112"/>
        <v>0</v>
      </c>
      <c r="O309" s="292">
        <f t="shared" si="113"/>
        <v>0</v>
      </c>
      <c r="P309" s="292">
        <f t="shared" si="78"/>
        <v>4500</v>
      </c>
      <c r="Q309" s="292">
        <f t="shared" si="79"/>
        <v>0</v>
      </c>
      <c r="R309" s="292">
        <f t="shared" si="118"/>
        <v>0</v>
      </c>
      <c r="S309" s="292">
        <f t="shared" si="119"/>
        <v>0</v>
      </c>
      <c r="T309" s="292">
        <f t="shared" si="80"/>
        <v>0</v>
      </c>
      <c r="U309" s="292">
        <f t="shared" si="81"/>
        <v>0</v>
      </c>
      <c r="V309" s="292">
        <f t="shared" si="120"/>
        <v>0</v>
      </c>
      <c r="W309" s="292">
        <f t="shared" si="121"/>
        <v>0</v>
      </c>
      <c r="X309" s="292">
        <f t="shared" si="122"/>
        <v>0</v>
      </c>
      <c r="Y309" s="292">
        <f t="shared" si="123"/>
        <v>0</v>
      </c>
      <c r="Z309" s="292">
        <f t="shared" si="114"/>
        <v>0</v>
      </c>
      <c r="AA309" s="292">
        <f t="shared" si="115"/>
        <v>0</v>
      </c>
      <c r="AB309" s="292">
        <f t="shared" si="82"/>
        <v>0</v>
      </c>
      <c r="AC309" s="292">
        <f t="shared" si="83"/>
        <v>0</v>
      </c>
      <c r="AD309" s="292">
        <f t="shared" si="84"/>
        <v>0</v>
      </c>
      <c r="AE309" s="292">
        <f t="shared" si="85"/>
        <v>0</v>
      </c>
      <c r="AF309" s="292">
        <f t="shared" si="86"/>
        <v>0</v>
      </c>
      <c r="AG309" s="292">
        <f t="shared" si="87"/>
        <v>0</v>
      </c>
      <c r="AH309" s="292">
        <f t="shared" si="88"/>
        <v>0</v>
      </c>
      <c r="AI309" s="292">
        <f t="shared" si="89"/>
        <v>0</v>
      </c>
      <c r="AJ309" s="292">
        <f t="shared" si="90"/>
        <v>0</v>
      </c>
      <c r="AK309" s="292">
        <f t="shared" si="91"/>
        <v>0</v>
      </c>
      <c r="AL309" s="292">
        <f t="shared" si="116"/>
        <v>0</v>
      </c>
      <c r="AM309" s="292">
        <f t="shared" si="117"/>
        <v>0</v>
      </c>
      <c r="AN309" s="292">
        <f t="shared" si="92"/>
        <v>0</v>
      </c>
      <c r="AO309" s="292">
        <f t="shared" si="93"/>
        <v>0</v>
      </c>
      <c r="AP309" s="292">
        <f t="shared" si="94"/>
        <v>0</v>
      </c>
      <c r="AQ309" s="292">
        <f t="shared" si="95"/>
        <v>0</v>
      </c>
      <c r="AR309" s="292">
        <f t="shared" si="96"/>
        <v>0</v>
      </c>
      <c r="AS309" s="292">
        <f t="shared" si="97"/>
        <v>0</v>
      </c>
      <c r="AT309" s="292">
        <f t="shared" si="98"/>
        <v>0</v>
      </c>
      <c r="AU309" s="292">
        <f t="shared" si="99"/>
        <v>0</v>
      </c>
      <c r="AV309" s="292">
        <f t="shared" si="100"/>
        <v>0</v>
      </c>
      <c r="AW309" s="292">
        <f t="shared" si="101"/>
        <v>0</v>
      </c>
      <c r="AX309" s="292">
        <f t="shared" si="102"/>
        <v>0</v>
      </c>
      <c r="AY309" s="292">
        <f t="shared" si="103"/>
        <v>0</v>
      </c>
      <c r="AZ309" s="292">
        <f t="shared" si="104"/>
        <v>0</v>
      </c>
      <c r="BA309" s="292">
        <f t="shared" si="105"/>
        <v>0</v>
      </c>
      <c r="BB309" s="292">
        <f t="shared" si="106"/>
        <v>0</v>
      </c>
      <c r="BC309" s="292">
        <f t="shared" si="107"/>
        <v>0</v>
      </c>
      <c r="BD309" s="292">
        <f t="shared" si="108"/>
        <v>0</v>
      </c>
      <c r="BE309" s="292">
        <f t="shared" si="109"/>
        <v>0</v>
      </c>
      <c r="BF309" s="292">
        <f t="shared" si="110"/>
        <v>0</v>
      </c>
      <c r="BG309" s="292">
        <f t="shared" si="111"/>
        <v>0</v>
      </c>
    </row>
    <row r="310" spans="1:59" s="289" customFormat="1" ht="15" customHeight="1">
      <c r="A310" s="63">
        <f t="array" ref="A310">IF(C310&lt;&gt;0,SUM(($C$11:C310&lt;&gt;0)*1),"")</f>
        <v>300</v>
      </c>
      <c r="B310" s="1099">
        <v>42491</v>
      </c>
      <c r="C310" s="290" t="s">
        <v>11</v>
      </c>
      <c r="D310" s="1099">
        <v>42491</v>
      </c>
      <c r="E310" s="344" t="s">
        <v>788</v>
      </c>
      <c r="F310" s="345">
        <v>1000000000</v>
      </c>
      <c r="G310" s="346" t="s">
        <v>97</v>
      </c>
      <c r="H310" s="346" t="s">
        <v>24</v>
      </c>
      <c r="I310" s="63">
        <f t="shared" si="124"/>
        <v>300</v>
      </c>
      <c r="J310" s="292">
        <f t="shared" si="74"/>
        <v>1000000000</v>
      </c>
      <c r="K310" s="292">
        <f t="shared" si="75"/>
        <v>0</v>
      </c>
      <c r="L310" s="292">
        <f t="shared" si="76"/>
        <v>0</v>
      </c>
      <c r="M310" s="292">
        <f t="shared" si="77"/>
        <v>0</v>
      </c>
      <c r="N310" s="292">
        <f t="shared" si="112"/>
        <v>0</v>
      </c>
      <c r="O310" s="292">
        <f t="shared" si="113"/>
        <v>0</v>
      </c>
      <c r="P310" s="292">
        <f t="shared" si="78"/>
        <v>0</v>
      </c>
      <c r="Q310" s="292">
        <f t="shared" si="79"/>
        <v>0</v>
      </c>
      <c r="R310" s="292">
        <f t="shared" si="118"/>
        <v>0</v>
      </c>
      <c r="S310" s="292">
        <f t="shared" si="119"/>
        <v>0</v>
      </c>
      <c r="T310" s="292">
        <f t="shared" si="80"/>
        <v>0</v>
      </c>
      <c r="U310" s="292">
        <f t="shared" si="81"/>
        <v>0</v>
      </c>
      <c r="V310" s="292">
        <f t="shared" si="120"/>
        <v>0</v>
      </c>
      <c r="W310" s="292">
        <f t="shared" si="121"/>
        <v>0</v>
      </c>
      <c r="X310" s="292">
        <f t="shared" si="122"/>
        <v>0</v>
      </c>
      <c r="Y310" s="292">
        <f t="shared" si="123"/>
        <v>0</v>
      </c>
      <c r="Z310" s="292">
        <f t="shared" si="114"/>
        <v>0</v>
      </c>
      <c r="AA310" s="292">
        <f t="shared" si="115"/>
        <v>0</v>
      </c>
      <c r="AB310" s="292">
        <f t="shared" si="82"/>
        <v>0</v>
      </c>
      <c r="AC310" s="292">
        <f t="shared" si="83"/>
        <v>0</v>
      </c>
      <c r="AD310" s="292">
        <f t="shared" si="84"/>
        <v>0</v>
      </c>
      <c r="AE310" s="292">
        <f t="shared" si="85"/>
        <v>0</v>
      </c>
      <c r="AF310" s="292">
        <f t="shared" si="86"/>
        <v>0</v>
      </c>
      <c r="AG310" s="292">
        <f t="shared" si="87"/>
        <v>0</v>
      </c>
      <c r="AH310" s="292">
        <f t="shared" si="88"/>
        <v>0</v>
      </c>
      <c r="AI310" s="292">
        <f t="shared" si="89"/>
        <v>1000000000</v>
      </c>
      <c r="AJ310" s="292">
        <f t="shared" si="90"/>
        <v>0</v>
      </c>
      <c r="AK310" s="292">
        <f t="shared" si="91"/>
        <v>0</v>
      </c>
      <c r="AL310" s="292">
        <f t="shared" si="116"/>
        <v>0</v>
      </c>
      <c r="AM310" s="292">
        <f t="shared" si="117"/>
        <v>0</v>
      </c>
      <c r="AN310" s="292">
        <f t="shared" si="92"/>
        <v>0</v>
      </c>
      <c r="AO310" s="292">
        <f t="shared" si="93"/>
        <v>0</v>
      </c>
      <c r="AP310" s="292">
        <f t="shared" si="94"/>
        <v>0</v>
      </c>
      <c r="AQ310" s="292">
        <f t="shared" si="95"/>
        <v>0</v>
      </c>
      <c r="AR310" s="292">
        <f t="shared" si="96"/>
        <v>0</v>
      </c>
      <c r="AS310" s="292">
        <f t="shared" si="97"/>
        <v>0</v>
      </c>
      <c r="AT310" s="292">
        <f t="shared" si="98"/>
        <v>0</v>
      </c>
      <c r="AU310" s="292">
        <f t="shared" si="99"/>
        <v>0</v>
      </c>
      <c r="AV310" s="292">
        <f t="shared" si="100"/>
        <v>0</v>
      </c>
      <c r="AW310" s="292">
        <f t="shared" si="101"/>
        <v>0</v>
      </c>
      <c r="AX310" s="292">
        <f t="shared" si="102"/>
        <v>0</v>
      </c>
      <c r="AY310" s="292">
        <f t="shared" si="103"/>
        <v>0</v>
      </c>
      <c r="AZ310" s="292">
        <f t="shared" si="104"/>
        <v>0</v>
      </c>
      <c r="BA310" s="292">
        <f t="shared" si="105"/>
        <v>0</v>
      </c>
      <c r="BB310" s="292">
        <f t="shared" si="106"/>
        <v>0</v>
      </c>
      <c r="BC310" s="292">
        <f t="shared" si="107"/>
        <v>0</v>
      </c>
      <c r="BD310" s="292">
        <f t="shared" si="108"/>
        <v>0</v>
      </c>
      <c r="BE310" s="292">
        <f t="shared" si="109"/>
        <v>0</v>
      </c>
      <c r="BF310" s="292">
        <f t="shared" si="110"/>
        <v>0</v>
      </c>
      <c r="BG310" s="292">
        <f t="shared" si="111"/>
        <v>0</v>
      </c>
    </row>
    <row r="311" spans="1:59" s="289" customFormat="1" ht="15" customHeight="1">
      <c r="A311" s="63">
        <f t="array" ref="A311">IF(C311&lt;&gt;0,SUM(($C$11:C311&lt;&gt;0)*1),"")</f>
        <v>301</v>
      </c>
      <c r="B311" s="1099">
        <v>42494</v>
      </c>
      <c r="C311" s="290" t="s">
        <v>191</v>
      </c>
      <c r="D311" s="1099">
        <v>42494</v>
      </c>
      <c r="E311" s="344" t="s">
        <v>437</v>
      </c>
      <c r="F311" s="345">
        <v>95000000</v>
      </c>
      <c r="G311" s="346" t="s">
        <v>24</v>
      </c>
      <c r="H311" s="346" t="s">
        <v>97</v>
      </c>
      <c r="I311" s="63">
        <f t="shared" si="124"/>
        <v>301</v>
      </c>
      <c r="J311" s="292">
        <f t="shared" si="74"/>
        <v>0</v>
      </c>
      <c r="K311" s="292">
        <f t="shared" si="75"/>
        <v>95000000</v>
      </c>
      <c r="L311" s="292">
        <f t="shared" si="76"/>
        <v>0</v>
      </c>
      <c r="M311" s="292">
        <f t="shared" si="77"/>
        <v>0</v>
      </c>
      <c r="N311" s="292">
        <f t="shared" si="112"/>
        <v>0</v>
      </c>
      <c r="O311" s="292">
        <f t="shared" si="113"/>
        <v>0</v>
      </c>
      <c r="P311" s="292">
        <f t="shared" si="78"/>
        <v>0</v>
      </c>
      <c r="Q311" s="292">
        <f t="shared" si="79"/>
        <v>0</v>
      </c>
      <c r="R311" s="292">
        <f t="shared" si="118"/>
        <v>0</v>
      </c>
      <c r="S311" s="292">
        <f t="shared" si="119"/>
        <v>0</v>
      </c>
      <c r="T311" s="292">
        <f t="shared" si="80"/>
        <v>0</v>
      </c>
      <c r="U311" s="292">
        <f t="shared" si="81"/>
        <v>0</v>
      </c>
      <c r="V311" s="292">
        <f t="shared" si="120"/>
        <v>0</v>
      </c>
      <c r="W311" s="292">
        <f t="shared" si="121"/>
        <v>0</v>
      </c>
      <c r="X311" s="292">
        <f t="shared" si="122"/>
        <v>0</v>
      </c>
      <c r="Y311" s="292">
        <f t="shared" si="123"/>
        <v>0</v>
      </c>
      <c r="Z311" s="292">
        <f t="shared" si="114"/>
        <v>0</v>
      </c>
      <c r="AA311" s="292">
        <f t="shared" si="115"/>
        <v>0</v>
      </c>
      <c r="AB311" s="292">
        <f t="shared" si="82"/>
        <v>0</v>
      </c>
      <c r="AC311" s="292">
        <f t="shared" si="83"/>
        <v>0</v>
      </c>
      <c r="AD311" s="292">
        <f t="shared" si="84"/>
        <v>0</v>
      </c>
      <c r="AE311" s="292">
        <f t="shared" si="85"/>
        <v>0</v>
      </c>
      <c r="AF311" s="292">
        <f t="shared" si="86"/>
        <v>0</v>
      </c>
      <c r="AG311" s="292">
        <f t="shared" si="87"/>
        <v>0</v>
      </c>
      <c r="AH311" s="292">
        <f t="shared" si="88"/>
        <v>95000000</v>
      </c>
      <c r="AI311" s="292">
        <f t="shared" si="89"/>
        <v>0</v>
      </c>
      <c r="AJ311" s="292">
        <f t="shared" si="90"/>
        <v>0</v>
      </c>
      <c r="AK311" s="292">
        <f t="shared" si="91"/>
        <v>0</v>
      </c>
      <c r="AL311" s="292">
        <f t="shared" si="116"/>
        <v>0</v>
      </c>
      <c r="AM311" s="292">
        <f t="shared" si="117"/>
        <v>0</v>
      </c>
      <c r="AN311" s="292">
        <f t="shared" si="92"/>
        <v>0</v>
      </c>
      <c r="AO311" s="292">
        <f t="shared" si="93"/>
        <v>0</v>
      </c>
      <c r="AP311" s="292">
        <f t="shared" si="94"/>
        <v>0</v>
      </c>
      <c r="AQ311" s="292">
        <f t="shared" si="95"/>
        <v>0</v>
      </c>
      <c r="AR311" s="292">
        <f t="shared" si="96"/>
        <v>0</v>
      </c>
      <c r="AS311" s="292">
        <f t="shared" si="97"/>
        <v>0</v>
      </c>
      <c r="AT311" s="292">
        <f t="shared" si="98"/>
        <v>0</v>
      </c>
      <c r="AU311" s="292">
        <f t="shared" si="99"/>
        <v>0</v>
      </c>
      <c r="AV311" s="292">
        <f t="shared" si="100"/>
        <v>0</v>
      </c>
      <c r="AW311" s="292">
        <f t="shared" si="101"/>
        <v>0</v>
      </c>
      <c r="AX311" s="292">
        <f t="shared" si="102"/>
        <v>0</v>
      </c>
      <c r="AY311" s="292">
        <f t="shared" si="103"/>
        <v>0</v>
      </c>
      <c r="AZ311" s="292">
        <f t="shared" si="104"/>
        <v>0</v>
      </c>
      <c r="BA311" s="292">
        <f t="shared" si="105"/>
        <v>0</v>
      </c>
      <c r="BB311" s="292">
        <f t="shared" si="106"/>
        <v>0</v>
      </c>
      <c r="BC311" s="292">
        <f t="shared" si="107"/>
        <v>0</v>
      </c>
      <c r="BD311" s="292">
        <f t="shared" si="108"/>
        <v>0</v>
      </c>
      <c r="BE311" s="292">
        <f t="shared" si="109"/>
        <v>0</v>
      </c>
      <c r="BF311" s="292">
        <f t="shared" si="110"/>
        <v>0</v>
      </c>
      <c r="BG311" s="292">
        <f t="shared" si="111"/>
        <v>0</v>
      </c>
    </row>
    <row r="312" spans="1:59" s="289" customFormat="1" ht="15" customHeight="1">
      <c r="A312" s="63">
        <f t="array" ref="A312">IF(C312&lt;&gt;0,SUM(($C$11:C312&lt;&gt;0)*1),"")</f>
        <v>302</v>
      </c>
      <c r="B312" s="1099">
        <v>42494</v>
      </c>
      <c r="C312" s="290" t="s">
        <v>12</v>
      </c>
      <c r="D312" s="1099">
        <v>42494</v>
      </c>
      <c r="E312" s="344" t="s">
        <v>788</v>
      </c>
      <c r="F312" s="345">
        <v>95000000</v>
      </c>
      <c r="G312" s="346" t="s">
        <v>31</v>
      </c>
      <c r="H312" s="346" t="s">
        <v>24</v>
      </c>
      <c r="I312" s="63">
        <f t="shared" si="124"/>
        <v>302</v>
      </c>
      <c r="J312" s="292">
        <f t="shared" si="74"/>
        <v>0</v>
      </c>
      <c r="K312" s="292">
        <f t="shared" si="75"/>
        <v>0</v>
      </c>
      <c r="L312" s="292">
        <f t="shared" si="76"/>
        <v>95000000</v>
      </c>
      <c r="M312" s="292">
        <f t="shared" si="77"/>
        <v>0</v>
      </c>
      <c r="N312" s="292">
        <f t="shared" si="112"/>
        <v>0</v>
      </c>
      <c r="O312" s="292">
        <f t="shared" si="113"/>
        <v>0</v>
      </c>
      <c r="P312" s="292">
        <f t="shared" si="78"/>
        <v>0</v>
      </c>
      <c r="Q312" s="292">
        <f t="shared" si="79"/>
        <v>0</v>
      </c>
      <c r="R312" s="292">
        <f t="shared" si="118"/>
        <v>0</v>
      </c>
      <c r="S312" s="292">
        <f t="shared" si="119"/>
        <v>0</v>
      </c>
      <c r="T312" s="292">
        <f t="shared" si="80"/>
        <v>0</v>
      </c>
      <c r="U312" s="292">
        <f t="shared" si="81"/>
        <v>0</v>
      </c>
      <c r="V312" s="292">
        <f t="shared" si="120"/>
        <v>0</v>
      </c>
      <c r="W312" s="292">
        <f t="shared" si="121"/>
        <v>0</v>
      </c>
      <c r="X312" s="292">
        <f t="shared" si="122"/>
        <v>0</v>
      </c>
      <c r="Y312" s="292">
        <f t="shared" si="123"/>
        <v>0</v>
      </c>
      <c r="Z312" s="292">
        <f t="shared" si="114"/>
        <v>0</v>
      </c>
      <c r="AA312" s="292">
        <f t="shared" si="115"/>
        <v>0</v>
      </c>
      <c r="AB312" s="292">
        <f t="shared" si="82"/>
        <v>0</v>
      </c>
      <c r="AC312" s="292">
        <f t="shared" si="83"/>
        <v>0</v>
      </c>
      <c r="AD312" s="292">
        <f t="shared" si="84"/>
        <v>0</v>
      </c>
      <c r="AE312" s="292">
        <f t="shared" si="85"/>
        <v>0</v>
      </c>
      <c r="AF312" s="292">
        <f t="shared" si="86"/>
        <v>0</v>
      </c>
      <c r="AG312" s="292">
        <f t="shared" si="87"/>
        <v>0</v>
      </c>
      <c r="AH312" s="292">
        <f t="shared" si="88"/>
        <v>0</v>
      </c>
      <c r="AI312" s="292">
        <f t="shared" si="89"/>
        <v>95000000</v>
      </c>
      <c r="AJ312" s="292">
        <f t="shared" si="90"/>
        <v>0</v>
      </c>
      <c r="AK312" s="292">
        <f t="shared" si="91"/>
        <v>0</v>
      </c>
      <c r="AL312" s="292">
        <f t="shared" si="116"/>
        <v>0</v>
      </c>
      <c r="AM312" s="292">
        <f t="shared" si="117"/>
        <v>0</v>
      </c>
      <c r="AN312" s="292">
        <f t="shared" si="92"/>
        <v>0</v>
      </c>
      <c r="AO312" s="292">
        <f t="shared" si="93"/>
        <v>0</v>
      </c>
      <c r="AP312" s="292">
        <f t="shared" si="94"/>
        <v>0</v>
      </c>
      <c r="AQ312" s="292">
        <f t="shared" si="95"/>
        <v>0</v>
      </c>
      <c r="AR312" s="292">
        <f t="shared" si="96"/>
        <v>0</v>
      </c>
      <c r="AS312" s="292">
        <f t="shared" si="97"/>
        <v>0</v>
      </c>
      <c r="AT312" s="292">
        <f t="shared" si="98"/>
        <v>0</v>
      </c>
      <c r="AU312" s="292">
        <f t="shared" si="99"/>
        <v>0</v>
      </c>
      <c r="AV312" s="292">
        <f t="shared" si="100"/>
        <v>0</v>
      </c>
      <c r="AW312" s="292">
        <f t="shared" si="101"/>
        <v>0</v>
      </c>
      <c r="AX312" s="292">
        <f t="shared" si="102"/>
        <v>0</v>
      </c>
      <c r="AY312" s="292">
        <f t="shared" si="103"/>
        <v>0</v>
      </c>
      <c r="AZ312" s="292">
        <f t="shared" si="104"/>
        <v>0</v>
      </c>
      <c r="BA312" s="292">
        <f t="shared" si="105"/>
        <v>0</v>
      </c>
      <c r="BB312" s="292">
        <f t="shared" si="106"/>
        <v>0</v>
      </c>
      <c r="BC312" s="292">
        <f t="shared" si="107"/>
        <v>0</v>
      </c>
      <c r="BD312" s="292">
        <f t="shared" si="108"/>
        <v>0</v>
      </c>
      <c r="BE312" s="292">
        <f t="shared" si="109"/>
        <v>0</v>
      </c>
      <c r="BF312" s="292">
        <f t="shared" si="110"/>
        <v>0</v>
      </c>
      <c r="BG312" s="292">
        <f t="shared" si="111"/>
        <v>0</v>
      </c>
    </row>
    <row r="313" spans="1:59" s="289" customFormat="1" ht="15" customHeight="1">
      <c r="A313" s="63">
        <f t="array" ref="A313">IF(C313&lt;&gt;0,SUM(($C$11:C313&lt;&gt;0)*1),"")</f>
        <v>303</v>
      </c>
      <c r="B313" s="1099">
        <v>42494</v>
      </c>
      <c r="C313" s="290" t="s">
        <v>8</v>
      </c>
      <c r="D313" s="1099">
        <v>42494</v>
      </c>
      <c r="E313" s="344" t="s">
        <v>958</v>
      </c>
      <c r="F313" s="345">
        <v>92467100</v>
      </c>
      <c r="G313" s="346" t="s">
        <v>9</v>
      </c>
      <c r="H313" s="346" t="s">
        <v>31</v>
      </c>
      <c r="I313" s="63">
        <f t="shared" si="124"/>
        <v>303</v>
      </c>
      <c r="J313" s="292">
        <f t="shared" si="74"/>
        <v>0</v>
      </c>
      <c r="K313" s="292">
        <f t="shared" si="75"/>
        <v>0</v>
      </c>
      <c r="L313" s="292">
        <f t="shared" si="76"/>
        <v>0</v>
      </c>
      <c r="M313" s="292">
        <f t="shared" si="77"/>
        <v>92467100</v>
      </c>
      <c r="N313" s="292">
        <f t="shared" si="112"/>
        <v>0</v>
      </c>
      <c r="O313" s="292">
        <f t="shared" si="113"/>
        <v>0</v>
      </c>
      <c r="P313" s="292">
        <f t="shared" si="78"/>
        <v>0</v>
      </c>
      <c r="Q313" s="292">
        <f t="shared" si="79"/>
        <v>0</v>
      </c>
      <c r="R313" s="292">
        <f t="shared" si="118"/>
        <v>0</v>
      </c>
      <c r="S313" s="292">
        <f t="shared" si="119"/>
        <v>0</v>
      </c>
      <c r="T313" s="292">
        <f t="shared" si="80"/>
        <v>0</v>
      </c>
      <c r="U313" s="292">
        <f t="shared" si="81"/>
        <v>0</v>
      </c>
      <c r="V313" s="292">
        <f t="shared" si="120"/>
        <v>0</v>
      </c>
      <c r="W313" s="292">
        <f t="shared" si="121"/>
        <v>0</v>
      </c>
      <c r="X313" s="292">
        <f t="shared" si="122"/>
        <v>0</v>
      </c>
      <c r="Y313" s="292">
        <f t="shared" si="123"/>
        <v>0</v>
      </c>
      <c r="Z313" s="292">
        <f t="shared" si="114"/>
        <v>0</v>
      </c>
      <c r="AA313" s="292">
        <f t="shared" si="115"/>
        <v>0</v>
      </c>
      <c r="AB313" s="292">
        <f t="shared" si="82"/>
        <v>92467100</v>
      </c>
      <c r="AC313" s="292">
        <f t="shared" si="83"/>
        <v>0</v>
      </c>
      <c r="AD313" s="292">
        <f t="shared" si="84"/>
        <v>0</v>
      </c>
      <c r="AE313" s="292">
        <f t="shared" si="85"/>
        <v>0</v>
      </c>
      <c r="AF313" s="292">
        <f t="shared" si="86"/>
        <v>0</v>
      </c>
      <c r="AG313" s="292">
        <f t="shared" si="87"/>
        <v>0</v>
      </c>
      <c r="AH313" s="292">
        <f t="shared" si="88"/>
        <v>0</v>
      </c>
      <c r="AI313" s="292">
        <f t="shared" si="89"/>
        <v>0</v>
      </c>
      <c r="AJ313" s="292">
        <f t="shared" si="90"/>
        <v>0</v>
      </c>
      <c r="AK313" s="292">
        <f t="shared" si="91"/>
        <v>0</v>
      </c>
      <c r="AL313" s="292">
        <f t="shared" si="116"/>
        <v>0</v>
      </c>
      <c r="AM313" s="292">
        <f t="shared" si="117"/>
        <v>0</v>
      </c>
      <c r="AN313" s="292">
        <f t="shared" si="92"/>
        <v>0</v>
      </c>
      <c r="AO313" s="292">
        <f t="shared" si="93"/>
        <v>0</v>
      </c>
      <c r="AP313" s="292">
        <f t="shared" si="94"/>
        <v>0</v>
      </c>
      <c r="AQ313" s="292">
        <f t="shared" si="95"/>
        <v>0</v>
      </c>
      <c r="AR313" s="292">
        <f t="shared" si="96"/>
        <v>0</v>
      </c>
      <c r="AS313" s="292">
        <f t="shared" si="97"/>
        <v>0</v>
      </c>
      <c r="AT313" s="292">
        <f t="shared" si="98"/>
        <v>0</v>
      </c>
      <c r="AU313" s="292">
        <f t="shared" si="99"/>
        <v>0</v>
      </c>
      <c r="AV313" s="292">
        <f t="shared" si="100"/>
        <v>0</v>
      </c>
      <c r="AW313" s="292">
        <f t="shared" si="101"/>
        <v>0</v>
      </c>
      <c r="AX313" s="292">
        <f t="shared" si="102"/>
        <v>0</v>
      </c>
      <c r="AY313" s="292">
        <f t="shared" si="103"/>
        <v>0</v>
      </c>
      <c r="AZ313" s="292">
        <f t="shared" si="104"/>
        <v>0</v>
      </c>
      <c r="BA313" s="292">
        <f t="shared" si="105"/>
        <v>0</v>
      </c>
      <c r="BB313" s="292">
        <f t="shared" si="106"/>
        <v>0</v>
      </c>
      <c r="BC313" s="292">
        <f t="shared" si="107"/>
        <v>0</v>
      </c>
      <c r="BD313" s="292">
        <f t="shared" si="108"/>
        <v>0</v>
      </c>
      <c r="BE313" s="292">
        <f t="shared" si="109"/>
        <v>0</v>
      </c>
      <c r="BF313" s="292">
        <f t="shared" si="110"/>
        <v>0</v>
      </c>
      <c r="BG313" s="292">
        <f t="shared" si="111"/>
        <v>0</v>
      </c>
    </row>
    <row r="314" spans="1:59" s="289" customFormat="1" ht="15" customHeight="1">
      <c r="A314" s="63">
        <f t="array" ref="A314">IF(C314&lt;&gt;0,SUM(($C$11:C314&lt;&gt;0)*1),"")</f>
        <v>304</v>
      </c>
      <c r="B314" s="1099">
        <v>42494</v>
      </c>
      <c r="C314" s="290" t="s">
        <v>8</v>
      </c>
      <c r="D314" s="1099">
        <v>42494</v>
      </c>
      <c r="E314" s="344" t="s">
        <v>22</v>
      </c>
      <c r="F314" s="345">
        <v>46234</v>
      </c>
      <c r="G314" s="346" t="s">
        <v>135</v>
      </c>
      <c r="H314" s="346" t="s">
        <v>31</v>
      </c>
      <c r="I314" s="63">
        <f t="shared" si="124"/>
        <v>304</v>
      </c>
      <c r="J314" s="292">
        <f t="shared" si="74"/>
        <v>0</v>
      </c>
      <c r="K314" s="292">
        <f t="shared" si="75"/>
        <v>0</v>
      </c>
      <c r="L314" s="292">
        <f t="shared" si="76"/>
        <v>0</v>
      </c>
      <c r="M314" s="292">
        <f t="shared" si="77"/>
        <v>46234</v>
      </c>
      <c r="N314" s="292">
        <f t="shared" si="112"/>
        <v>0</v>
      </c>
      <c r="O314" s="292">
        <f t="shared" si="113"/>
        <v>0</v>
      </c>
      <c r="P314" s="292">
        <f t="shared" si="78"/>
        <v>0</v>
      </c>
      <c r="Q314" s="292">
        <f t="shared" si="79"/>
        <v>0</v>
      </c>
      <c r="R314" s="292">
        <f t="shared" si="118"/>
        <v>0</v>
      </c>
      <c r="S314" s="292">
        <f t="shared" si="119"/>
        <v>0</v>
      </c>
      <c r="T314" s="292">
        <f t="shared" si="80"/>
        <v>0</v>
      </c>
      <c r="U314" s="292">
        <f t="shared" si="81"/>
        <v>0</v>
      </c>
      <c r="V314" s="292">
        <f t="shared" si="120"/>
        <v>0</v>
      </c>
      <c r="W314" s="292">
        <f t="shared" si="121"/>
        <v>0</v>
      </c>
      <c r="X314" s="292">
        <f t="shared" si="122"/>
        <v>0</v>
      </c>
      <c r="Y314" s="292">
        <f t="shared" si="123"/>
        <v>0</v>
      </c>
      <c r="Z314" s="292">
        <f t="shared" si="114"/>
        <v>0</v>
      </c>
      <c r="AA314" s="292">
        <f t="shared" si="115"/>
        <v>0</v>
      </c>
      <c r="AB314" s="292">
        <f t="shared" si="82"/>
        <v>0</v>
      </c>
      <c r="AC314" s="292">
        <f t="shared" si="83"/>
        <v>0</v>
      </c>
      <c r="AD314" s="292">
        <f t="shared" si="84"/>
        <v>0</v>
      </c>
      <c r="AE314" s="292">
        <f t="shared" si="85"/>
        <v>0</v>
      </c>
      <c r="AF314" s="292">
        <f t="shared" si="86"/>
        <v>0</v>
      </c>
      <c r="AG314" s="292">
        <f t="shared" si="87"/>
        <v>0</v>
      </c>
      <c r="AH314" s="292">
        <f t="shared" si="88"/>
        <v>0</v>
      </c>
      <c r="AI314" s="292">
        <f t="shared" si="89"/>
        <v>0</v>
      </c>
      <c r="AJ314" s="292">
        <f t="shared" si="90"/>
        <v>0</v>
      </c>
      <c r="AK314" s="292">
        <f t="shared" si="91"/>
        <v>0</v>
      </c>
      <c r="AL314" s="292">
        <f t="shared" si="116"/>
        <v>0</v>
      </c>
      <c r="AM314" s="292">
        <f t="shared" si="117"/>
        <v>0</v>
      </c>
      <c r="AN314" s="292">
        <f t="shared" si="92"/>
        <v>0</v>
      </c>
      <c r="AO314" s="292">
        <f t="shared" si="93"/>
        <v>0</v>
      </c>
      <c r="AP314" s="292">
        <f t="shared" si="94"/>
        <v>0</v>
      </c>
      <c r="AQ314" s="292">
        <f t="shared" si="95"/>
        <v>0</v>
      </c>
      <c r="AR314" s="292">
        <f t="shared" si="96"/>
        <v>0</v>
      </c>
      <c r="AS314" s="292">
        <f t="shared" si="97"/>
        <v>0</v>
      </c>
      <c r="AT314" s="292">
        <f t="shared" si="98"/>
        <v>0</v>
      </c>
      <c r="AU314" s="292">
        <f t="shared" si="99"/>
        <v>0</v>
      </c>
      <c r="AV314" s="292">
        <f t="shared" si="100"/>
        <v>0</v>
      </c>
      <c r="AW314" s="292">
        <f t="shared" si="101"/>
        <v>0</v>
      </c>
      <c r="AX314" s="292">
        <f t="shared" si="102"/>
        <v>46234</v>
      </c>
      <c r="AY314" s="292">
        <f t="shared" si="103"/>
        <v>0</v>
      </c>
      <c r="AZ314" s="292">
        <f t="shared" si="104"/>
        <v>0</v>
      </c>
      <c r="BA314" s="292">
        <f t="shared" si="105"/>
        <v>0</v>
      </c>
      <c r="BB314" s="292">
        <f t="shared" si="106"/>
        <v>0</v>
      </c>
      <c r="BC314" s="292">
        <f t="shared" si="107"/>
        <v>0</v>
      </c>
      <c r="BD314" s="292">
        <f t="shared" si="108"/>
        <v>0</v>
      </c>
      <c r="BE314" s="292">
        <f t="shared" si="109"/>
        <v>0</v>
      </c>
      <c r="BF314" s="292">
        <f t="shared" si="110"/>
        <v>0</v>
      </c>
      <c r="BG314" s="292">
        <f t="shared" si="111"/>
        <v>0</v>
      </c>
    </row>
    <row r="315" spans="1:59" s="289" customFormat="1" ht="15" customHeight="1">
      <c r="A315" s="63">
        <f t="array" ref="A315">IF(C315&lt;&gt;0,SUM(($C$11:C315&lt;&gt;0)*1),"")</f>
        <v>305</v>
      </c>
      <c r="B315" s="1099">
        <v>42494</v>
      </c>
      <c r="C315" s="290" t="s">
        <v>8</v>
      </c>
      <c r="D315" s="1099">
        <v>42494</v>
      </c>
      <c r="E315" s="344" t="s">
        <v>23</v>
      </c>
      <c r="F315" s="345">
        <v>4623</v>
      </c>
      <c r="G315" s="346" t="s">
        <v>10</v>
      </c>
      <c r="H315" s="346" t="s">
        <v>31</v>
      </c>
      <c r="I315" s="63">
        <f t="shared" si="124"/>
        <v>305</v>
      </c>
      <c r="J315" s="292">
        <f t="shared" si="74"/>
        <v>0</v>
      </c>
      <c r="K315" s="292">
        <f t="shared" si="75"/>
        <v>0</v>
      </c>
      <c r="L315" s="292">
        <f t="shared" si="76"/>
        <v>0</v>
      </c>
      <c r="M315" s="292">
        <f t="shared" si="77"/>
        <v>4623</v>
      </c>
      <c r="N315" s="292">
        <f t="shared" si="112"/>
        <v>0</v>
      </c>
      <c r="O315" s="292">
        <f t="shared" si="113"/>
        <v>0</v>
      </c>
      <c r="P315" s="292">
        <f t="shared" si="78"/>
        <v>4623</v>
      </c>
      <c r="Q315" s="292">
        <f t="shared" si="79"/>
        <v>0</v>
      </c>
      <c r="R315" s="292">
        <f t="shared" si="118"/>
        <v>0</v>
      </c>
      <c r="S315" s="292">
        <f t="shared" si="119"/>
        <v>0</v>
      </c>
      <c r="T315" s="292">
        <f t="shared" si="80"/>
        <v>0</v>
      </c>
      <c r="U315" s="292">
        <f t="shared" si="81"/>
        <v>0</v>
      </c>
      <c r="V315" s="292">
        <f t="shared" si="120"/>
        <v>0</v>
      </c>
      <c r="W315" s="292">
        <f t="shared" si="121"/>
        <v>0</v>
      </c>
      <c r="X315" s="292">
        <f t="shared" si="122"/>
        <v>0</v>
      </c>
      <c r="Y315" s="292">
        <f t="shared" si="123"/>
        <v>0</v>
      </c>
      <c r="Z315" s="292">
        <f t="shared" si="114"/>
        <v>0</v>
      </c>
      <c r="AA315" s="292">
        <f t="shared" si="115"/>
        <v>0</v>
      </c>
      <c r="AB315" s="292">
        <f t="shared" si="82"/>
        <v>0</v>
      </c>
      <c r="AC315" s="292">
        <f t="shared" si="83"/>
        <v>0</v>
      </c>
      <c r="AD315" s="292">
        <f t="shared" si="84"/>
        <v>0</v>
      </c>
      <c r="AE315" s="292">
        <f t="shared" si="85"/>
        <v>0</v>
      </c>
      <c r="AF315" s="292">
        <f t="shared" si="86"/>
        <v>0</v>
      </c>
      <c r="AG315" s="292">
        <f t="shared" si="87"/>
        <v>0</v>
      </c>
      <c r="AH315" s="292">
        <f t="shared" si="88"/>
        <v>0</v>
      </c>
      <c r="AI315" s="292">
        <f t="shared" si="89"/>
        <v>0</v>
      </c>
      <c r="AJ315" s="292">
        <f t="shared" si="90"/>
        <v>0</v>
      </c>
      <c r="AK315" s="292">
        <f t="shared" si="91"/>
        <v>0</v>
      </c>
      <c r="AL315" s="292">
        <f t="shared" si="116"/>
        <v>0</v>
      </c>
      <c r="AM315" s="292">
        <f t="shared" si="117"/>
        <v>0</v>
      </c>
      <c r="AN315" s="292">
        <f t="shared" si="92"/>
        <v>0</v>
      </c>
      <c r="AO315" s="292">
        <f t="shared" si="93"/>
        <v>0</v>
      </c>
      <c r="AP315" s="292">
        <f t="shared" si="94"/>
        <v>0</v>
      </c>
      <c r="AQ315" s="292">
        <f t="shared" si="95"/>
        <v>0</v>
      </c>
      <c r="AR315" s="292">
        <f t="shared" si="96"/>
        <v>0</v>
      </c>
      <c r="AS315" s="292">
        <f t="shared" si="97"/>
        <v>0</v>
      </c>
      <c r="AT315" s="292">
        <f t="shared" si="98"/>
        <v>0</v>
      </c>
      <c r="AU315" s="292">
        <f t="shared" si="99"/>
        <v>0</v>
      </c>
      <c r="AV315" s="292">
        <f t="shared" si="100"/>
        <v>0</v>
      </c>
      <c r="AW315" s="292">
        <f t="shared" si="101"/>
        <v>0</v>
      </c>
      <c r="AX315" s="292">
        <f t="shared" si="102"/>
        <v>0</v>
      </c>
      <c r="AY315" s="292">
        <f t="shared" si="103"/>
        <v>0</v>
      </c>
      <c r="AZ315" s="292">
        <f t="shared" si="104"/>
        <v>0</v>
      </c>
      <c r="BA315" s="292">
        <f t="shared" si="105"/>
        <v>0</v>
      </c>
      <c r="BB315" s="292">
        <f t="shared" si="106"/>
        <v>0</v>
      </c>
      <c r="BC315" s="292">
        <f t="shared" si="107"/>
        <v>0</v>
      </c>
      <c r="BD315" s="292">
        <f t="shared" si="108"/>
        <v>0</v>
      </c>
      <c r="BE315" s="292">
        <f t="shared" si="109"/>
        <v>0</v>
      </c>
      <c r="BF315" s="292">
        <f t="shared" si="110"/>
        <v>0</v>
      </c>
      <c r="BG315" s="292">
        <f t="shared" si="111"/>
        <v>0</v>
      </c>
    </row>
    <row r="316" spans="1:59" s="289" customFormat="1" ht="15" customHeight="1">
      <c r="A316" s="63">
        <f t="array" ref="A316">IF(C316&lt;&gt;0,SUM(($C$11:C316&lt;&gt;0)*1),"")</f>
        <v>306</v>
      </c>
      <c r="B316" s="1099">
        <v>42500</v>
      </c>
      <c r="C316" s="290" t="s">
        <v>192</v>
      </c>
      <c r="D316" s="1099">
        <v>42500</v>
      </c>
      <c r="E316" s="344" t="s">
        <v>979</v>
      </c>
      <c r="F316" s="345">
        <v>7272727</v>
      </c>
      <c r="G316" s="346" t="s">
        <v>135</v>
      </c>
      <c r="H316" s="346" t="s">
        <v>97</v>
      </c>
      <c r="I316" s="63">
        <f t="shared" si="124"/>
        <v>306</v>
      </c>
      <c r="J316" s="292">
        <f t="shared" si="74"/>
        <v>0</v>
      </c>
      <c r="K316" s="292">
        <f t="shared" si="75"/>
        <v>7272727</v>
      </c>
      <c r="L316" s="292">
        <f t="shared" si="76"/>
        <v>0</v>
      </c>
      <c r="M316" s="292">
        <f t="shared" si="77"/>
        <v>0</v>
      </c>
      <c r="N316" s="292">
        <f t="shared" si="112"/>
        <v>0</v>
      </c>
      <c r="O316" s="292">
        <f t="shared" si="113"/>
        <v>0</v>
      </c>
      <c r="P316" s="292">
        <f t="shared" si="78"/>
        <v>0</v>
      </c>
      <c r="Q316" s="292">
        <f t="shared" si="79"/>
        <v>0</v>
      </c>
      <c r="R316" s="292">
        <f t="shared" si="118"/>
        <v>0</v>
      </c>
      <c r="S316" s="292">
        <f t="shared" si="119"/>
        <v>0</v>
      </c>
      <c r="T316" s="292">
        <f t="shared" si="80"/>
        <v>0</v>
      </c>
      <c r="U316" s="292">
        <f t="shared" si="81"/>
        <v>0</v>
      </c>
      <c r="V316" s="292">
        <f t="shared" si="120"/>
        <v>0</v>
      </c>
      <c r="W316" s="292">
        <f t="shared" si="121"/>
        <v>0</v>
      </c>
      <c r="X316" s="292">
        <f t="shared" si="122"/>
        <v>0</v>
      </c>
      <c r="Y316" s="292">
        <f t="shared" si="123"/>
        <v>0</v>
      </c>
      <c r="Z316" s="292">
        <f t="shared" si="114"/>
        <v>0</v>
      </c>
      <c r="AA316" s="292">
        <f t="shared" si="115"/>
        <v>0</v>
      </c>
      <c r="AB316" s="292">
        <f t="shared" si="82"/>
        <v>0</v>
      </c>
      <c r="AC316" s="292">
        <f t="shared" si="83"/>
        <v>0</v>
      </c>
      <c r="AD316" s="292">
        <f t="shared" si="84"/>
        <v>0</v>
      </c>
      <c r="AE316" s="292">
        <f t="shared" si="85"/>
        <v>0</v>
      </c>
      <c r="AF316" s="292">
        <f t="shared" si="86"/>
        <v>0</v>
      </c>
      <c r="AG316" s="292">
        <f t="shared" si="87"/>
        <v>0</v>
      </c>
      <c r="AH316" s="292">
        <f t="shared" si="88"/>
        <v>0</v>
      </c>
      <c r="AI316" s="292">
        <f t="shared" si="89"/>
        <v>0</v>
      </c>
      <c r="AJ316" s="292">
        <f t="shared" si="90"/>
        <v>0</v>
      </c>
      <c r="AK316" s="292">
        <f t="shared" si="91"/>
        <v>0</v>
      </c>
      <c r="AL316" s="292">
        <f t="shared" si="116"/>
        <v>0</v>
      </c>
      <c r="AM316" s="292">
        <f t="shared" si="117"/>
        <v>0</v>
      </c>
      <c r="AN316" s="292">
        <f t="shared" si="92"/>
        <v>0</v>
      </c>
      <c r="AO316" s="292">
        <f t="shared" si="93"/>
        <v>0</v>
      </c>
      <c r="AP316" s="292">
        <f t="shared" si="94"/>
        <v>0</v>
      </c>
      <c r="AQ316" s="292">
        <f t="shared" si="95"/>
        <v>0</v>
      </c>
      <c r="AR316" s="292">
        <f t="shared" si="96"/>
        <v>0</v>
      </c>
      <c r="AS316" s="292">
        <f t="shared" si="97"/>
        <v>0</v>
      </c>
      <c r="AT316" s="292">
        <f t="shared" si="98"/>
        <v>0</v>
      </c>
      <c r="AU316" s="292">
        <f t="shared" si="99"/>
        <v>0</v>
      </c>
      <c r="AV316" s="292">
        <f t="shared" si="100"/>
        <v>0</v>
      </c>
      <c r="AW316" s="292">
        <f t="shared" si="101"/>
        <v>0</v>
      </c>
      <c r="AX316" s="292">
        <f t="shared" si="102"/>
        <v>7272727</v>
      </c>
      <c r="AY316" s="292">
        <f t="shared" si="103"/>
        <v>0</v>
      </c>
      <c r="AZ316" s="292">
        <f t="shared" si="104"/>
        <v>0</v>
      </c>
      <c r="BA316" s="292">
        <f t="shared" si="105"/>
        <v>0</v>
      </c>
      <c r="BB316" s="292">
        <f t="shared" si="106"/>
        <v>0</v>
      </c>
      <c r="BC316" s="292">
        <f t="shared" si="107"/>
        <v>0</v>
      </c>
      <c r="BD316" s="292">
        <f t="shared" si="108"/>
        <v>0</v>
      </c>
      <c r="BE316" s="292">
        <f t="shared" si="109"/>
        <v>0</v>
      </c>
      <c r="BF316" s="292">
        <f t="shared" si="110"/>
        <v>0</v>
      </c>
      <c r="BG316" s="292">
        <f t="shared" si="111"/>
        <v>0</v>
      </c>
    </row>
    <row r="317" spans="1:59" s="289" customFormat="1" ht="15" customHeight="1">
      <c r="A317" s="63">
        <f t="array" ref="A317">IF(C317&lt;&gt;0,SUM(($C$11:C317&lt;&gt;0)*1),"")</f>
        <v>307</v>
      </c>
      <c r="B317" s="1099">
        <v>42500</v>
      </c>
      <c r="C317" s="290" t="s">
        <v>192</v>
      </c>
      <c r="D317" s="1099">
        <v>42500</v>
      </c>
      <c r="E317" s="344" t="s">
        <v>980</v>
      </c>
      <c r="F317" s="345">
        <v>727273</v>
      </c>
      <c r="G317" s="346" t="s">
        <v>10</v>
      </c>
      <c r="H317" s="346" t="s">
        <v>97</v>
      </c>
      <c r="I317" s="63">
        <f t="shared" si="124"/>
        <v>307</v>
      </c>
      <c r="J317" s="292">
        <f t="shared" si="74"/>
        <v>0</v>
      </c>
      <c r="K317" s="292">
        <f t="shared" si="75"/>
        <v>727273</v>
      </c>
      <c r="L317" s="292">
        <f t="shared" si="76"/>
        <v>0</v>
      </c>
      <c r="M317" s="292">
        <f t="shared" si="77"/>
        <v>0</v>
      </c>
      <c r="N317" s="292">
        <f t="shared" si="112"/>
        <v>0</v>
      </c>
      <c r="O317" s="292">
        <f t="shared" si="113"/>
        <v>0</v>
      </c>
      <c r="P317" s="292">
        <f t="shared" si="78"/>
        <v>727273</v>
      </c>
      <c r="Q317" s="292">
        <f t="shared" si="79"/>
        <v>0</v>
      </c>
      <c r="R317" s="292">
        <f t="shared" si="118"/>
        <v>0</v>
      </c>
      <c r="S317" s="292">
        <f t="shared" si="119"/>
        <v>0</v>
      </c>
      <c r="T317" s="292">
        <f t="shared" si="80"/>
        <v>0</v>
      </c>
      <c r="U317" s="292">
        <f t="shared" si="81"/>
        <v>0</v>
      </c>
      <c r="V317" s="292">
        <f t="shared" si="120"/>
        <v>0</v>
      </c>
      <c r="W317" s="292">
        <f t="shared" si="121"/>
        <v>0</v>
      </c>
      <c r="X317" s="292">
        <f t="shared" si="122"/>
        <v>0</v>
      </c>
      <c r="Y317" s="292">
        <f t="shared" si="123"/>
        <v>0</v>
      </c>
      <c r="Z317" s="292">
        <f t="shared" si="114"/>
        <v>0</v>
      </c>
      <c r="AA317" s="292">
        <f t="shared" si="115"/>
        <v>0</v>
      </c>
      <c r="AB317" s="292">
        <f t="shared" si="82"/>
        <v>0</v>
      </c>
      <c r="AC317" s="292">
        <f t="shared" si="83"/>
        <v>0</v>
      </c>
      <c r="AD317" s="292">
        <f t="shared" si="84"/>
        <v>0</v>
      </c>
      <c r="AE317" s="292">
        <f t="shared" si="85"/>
        <v>0</v>
      </c>
      <c r="AF317" s="292">
        <f t="shared" si="86"/>
        <v>0</v>
      </c>
      <c r="AG317" s="292">
        <f t="shared" si="87"/>
        <v>0</v>
      </c>
      <c r="AH317" s="292">
        <f t="shared" si="88"/>
        <v>0</v>
      </c>
      <c r="AI317" s="292">
        <f t="shared" si="89"/>
        <v>0</v>
      </c>
      <c r="AJ317" s="292">
        <f t="shared" si="90"/>
        <v>0</v>
      </c>
      <c r="AK317" s="292">
        <f t="shared" si="91"/>
        <v>0</v>
      </c>
      <c r="AL317" s="292">
        <f t="shared" si="116"/>
        <v>0</v>
      </c>
      <c r="AM317" s="292">
        <f t="shared" si="117"/>
        <v>0</v>
      </c>
      <c r="AN317" s="292">
        <f t="shared" si="92"/>
        <v>0</v>
      </c>
      <c r="AO317" s="292">
        <f t="shared" si="93"/>
        <v>0</v>
      </c>
      <c r="AP317" s="292">
        <f t="shared" si="94"/>
        <v>0</v>
      </c>
      <c r="AQ317" s="292">
        <f t="shared" si="95"/>
        <v>0</v>
      </c>
      <c r="AR317" s="292">
        <f t="shared" si="96"/>
        <v>0</v>
      </c>
      <c r="AS317" s="292">
        <f t="shared" si="97"/>
        <v>0</v>
      </c>
      <c r="AT317" s="292">
        <f t="shared" si="98"/>
        <v>0</v>
      </c>
      <c r="AU317" s="292">
        <f t="shared" si="99"/>
        <v>0</v>
      </c>
      <c r="AV317" s="292">
        <f t="shared" si="100"/>
        <v>0</v>
      </c>
      <c r="AW317" s="292">
        <f t="shared" si="101"/>
        <v>0</v>
      </c>
      <c r="AX317" s="292">
        <f t="shared" si="102"/>
        <v>0</v>
      </c>
      <c r="AY317" s="292">
        <f t="shared" si="103"/>
        <v>0</v>
      </c>
      <c r="AZ317" s="292">
        <f t="shared" si="104"/>
        <v>0</v>
      </c>
      <c r="BA317" s="292">
        <f t="shared" si="105"/>
        <v>0</v>
      </c>
      <c r="BB317" s="292">
        <f t="shared" si="106"/>
        <v>0</v>
      </c>
      <c r="BC317" s="292">
        <f t="shared" si="107"/>
        <v>0</v>
      </c>
      <c r="BD317" s="292">
        <f t="shared" si="108"/>
        <v>0</v>
      </c>
      <c r="BE317" s="292">
        <f t="shared" si="109"/>
        <v>0</v>
      </c>
      <c r="BF317" s="292">
        <f t="shared" si="110"/>
        <v>0</v>
      </c>
      <c r="BG317" s="292">
        <f t="shared" si="111"/>
        <v>0</v>
      </c>
    </row>
    <row r="318" spans="1:59" s="289" customFormat="1" ht="15" customHeight="1">
      <c r="A318" s="63">
        <f t="array" ref="A318">IF(C318&lt;&gt;0,SUM(($C$11:C318&lt;&gt;0)*1),"")</f>
        <v>308</v>
      </c>
      <c r="B318" s="1099">
        <v>42500</v>
      </c>
      <c r="C318" s="290" t="s">
        <v>193</v>
      </c>
      <c r="D318" s="1099">
        <v>42500</v>
      </c>
      <c r="E318" s="344" t="s">
        <v>925</v>
      </c>
      <c r="F318" s="345">
        <v>1479091</v>
      </c>
      <c r="G318" s="346" t="s">
        <v>135</v>
      </c>
      <c r="H318" s="346" t="s">
        <v>97</v>
      </c>
      <c r="I318" s="63">
        <f t="shared" si="124"/>
        <v>308</v>
      </c>
      <c r="J318" s="292">
        <f t="shared" si="74"/>
        <v>0</v>
      </c>
      <c r="K318" s="292">
        <f t="shared" si="75"/>
        <v>1479091</v>
      </c>
      <c r="L318" s="292">
        <f t="shared" si="76"/>
        <v>0</v>
      </c>
      <c r="M318" s="292">
        <f t="shared" si="77"/>
        <v>0</v>
      </c>
      <c r="N318" s="292">
        <f t="shared" si="112"/>
        <v>0</v>
      </c>
      <c r="O318" s="292">
        <f t="shared" si="113"/>
        <v>0</v>
      </c>
      <c r="P318" s="292">
        <f t="shared" si="78"/>
        <v>0</v>
      </c>
      <c r="Q318" s="292">
        <f t="shared" si="79"/>
        <v>0</v>
      </c>
      <c r="R318" s="292">
        <f t="shared" si="118"/>
        <v>0</v>
      </c>
      <c r="S318" s="292">
        <f t="shared" si="119"/>
        <v>0</v>
      </c>
      <c r="T318" s="292">
        <f t="shared" si="80"/>
        <v>0</v>
      </c>
      <c r="U318" s="292">
        <f t="shared" si="81"/>
        <v>0</v>
      </c>
      <c r="V318" s="292">
        <f t="shared" si="120"/>
        <v>0</v>
      </c>
      <c r="W318" s="292">
        <f t="shared" si="121"/>
        <v>0</v>
      </c>
      <c r="X318" s="292">
        <f t="shared" si="122"/>
        <v>0</v>
      </c>
      <c r="Y318" s="292">
        <f t="shared" si="123"/>
        <v>0</v>
      </c>
      <c r="Z318" s="292">
        <f t="shared" si="114"/>
        <v>0</v>
      </c>
      <c r="AA318" s="292">
        <f t="shared" si="115"/>
        <v>0</v>
      </c>
      <c r="AB318" s="292">
        <f t="shared" si="82"/>
        <v>0</v>
      </c>
      <c r="AC318" s="292">
        <f t="shared" si="83"/>
        <v>0</v>
      </c>
      <c r="AD318" s="292">
        <f t="shared" si="84"/>
        <v>0</v>
      </c>
      <c r="AE318" s="292">
        <f t="shared" si="85"/>
        <v>0</v>
      </c>
      <c r="AF318" s="292">
        <f t="shared" si="86"/>
        <v>0</v>
      </c>
      <c r="AG318" s="292">
        <f t="shared" si="87"/>
        <v>0</v>
      </c>
      <c r="AH318" s="292">
        <f t="shared" si="88"/>
        <v>0</v>
      </c>
      <c r="AI318" s="292">
        <f t="shared" si="89"/>
        <v>0</v>
      </c>
      <c r="AJ318" s="292">
        <f t="shared" si="90"/>
        <v>0</v>
      </c>
      <c r="AK318" s="292">
        <f t="shared" si="91"/>
        <v>0</v>
      </c>
      <c r="AL318" s="292">
        <f t="shared" si="116"/>
        <v>0</v>
      </c>
      <c r="AM318" s="292">
        <f t="shared" si="117"/>
        <v>0</v>
      </c>
      <c r="AN318" s="292">
        <f t="shared" si="92"/>
        <v>0</v>
      </c>
      <c r="AO318" s="292">
        <f t="shared" si="93"/>
        <v>0</v>
      </c>
      <c r="AP318" s="292">
        <f t="shared" si="94"/>
        <v>0</v>
      </c>
      <c r="AQ318" s="292">
        <f t="shared" si="95"/>
        <v>0</v>
      </c>
      <c r="AR318" s="292">
        <f t="shared" si="96"/>
        <v>0</v>
      </c>
      <c r="AS318" s="292">
        <f t="shared" si="97"/>
        <v>0</v>
      </c>
      <c r="AT318" s="292">
        <f t="shared" si="98"/>
        <v>0</v>
      </c>
      <c r="AU318" s="292">
        <f t="shared" si="99"/>
        <v>0</v>
      </c>
      <c r="AV318" s="292">
        <f t="shared" si="100"/>
        <v>0</v>
      </c>
      <c r="AW318" s="292">
        <f t="shared" si="101"/>
        <v>0</v>
      </c>
      <c r="AX318" s="292">
        <f t="shared" si="102"/>
        <v>1479091</v>
      </c>
      <c r="AY318" s="292">
        <f t="shared" si="103"/>
        <v>0</v>
      </c>
      <c r="AZ318" s="292">
        <f t="shared" si="104"/>
        <v>0</v>
      </c>
      <c r="BA318" s="292">
        <f t="shared" si="105"/>
        <v>0</v>
      </c>
      <c r="BB318" s="292">
        <f t="shared" si="106"/>
        <v>0</v>
      </c>
      <c r="BC318" s="292">
        <f t="shared" si="107"/>
        <v>0</v>
      </c>
      <c r="BD318" s="292">
        <f t="shared" si="108"/>
        <v>0</v>
      </c>
      <c r="BE318" s="292">
        <f t="shared" si="109"/>
        <v>0</v>
      </c>
      <c r="BF318" s="292">
        <f t="shared" si="110"/>
        <v>0</v>
      </c>
      <c r="BG318" s="292">
        <f t="shared" si="111"/>
        <v>0</v>
      </c>
    </row>
    <row r="319" spans="1:59" s="289" customFormat="1" ht="15" customHeight="1">
      <c r="A319" s="63">
        <f t="array" ref="A319">IF(C319&lt;&gt;0,SUM(($C$11:C319&lt;&gt;0)*1),"")</f>
        <v>309</v>
      </c>
      <c r="B319" s="1099">
        <v>42500</v>
      </c>
      <c r="C319" s="290" t="s">
        <v>193</v>
      </c>
      <c r="D319" s="1099">
        <v>42500</v>
      </c>
      <c r="E319" s="344" t="s">
        <v>926</v>
      </c>
      <c r="F319" s="345">
        <v>147909</v>
      </c>
      <c r="G319" s="346" t="s">
        <v>10</v>
      </c>
      <c r="H319" s="346" t="s">
        <v>97</v>
      </c>
      <c r="I319" s="63">
        <f t="shared" si="124"/>
        <v>309</v>
      </c>
      <c r="J319" s="292">
        <f t="shared" si="74"/>
        <v>0</v>
      </c>
      <c r="K319" s="292">
        <f t="shared" si="75"/>
        <v>147909</v>
      </c>
      <c r="L319" s="292">
        <f t="shared" si="76"/>
        <v>0</v>
      </c>
      <c r="M319" s="292">
        <f t="shared" si="77"/>
        <v>0</v>
      </c>
      <c r="N319" s="292">
        <f t="shared" si="112"/>
        <v>0</v>
      </c>
      <c r="O319" s="292">
        <f t="shared" si="113"/>
        <v>0</v>
      </c>
      <c r="P319" s="292">
        <f t="shared" si="78"/>
        <v>147909</v>
      </c>
      <c r="Q319" s="292">
        <f t="shared" si="79"/>
        <v>0</v>
      </c>
      <c r="R319" s="292">
        <f t="shared" si="118"/>
        <v>0</v>
      </c>
      <c r="S319" s="292">
        <f t="shared" si="119"/>
        <v>0</v>
      </c>
      <c r="T319" s="292">
        <f t="shared" si="80"/>
        <v>0</v>
      </c>
      <c r="U319" s="292">
        <f t="shared" si="81"/>
        <v>0</v>
      </c>
      <c r="V319" s="292">
        <f t="shared" si="120"/>
        <v>0</v>
      </c>
      <c r="W319" s="292">
        <f t="shared" si="121"/>
        <v>0</v>
      </c>
      <c r="X319" s="292">
        <f t="shared" si="122"/>
        <v>0</v>
      </c>
      <c r="Y319" s="292">
        <f t="shared" si="123"/>
        <v>0</v>
      </c>
      <c r="Z319" s="292">
        <f t="shared" si="114"/>
        <v>0</v>
      </c>
      <c r="AA319" s="292">
        <f t="shared" si="115"/>
        <v>0</v>
      </c>
      <c r="AB319" s="292">
        <f t="shared" si="82"/>
        <v>0</v>
      </c>
      <c r="AC319" s="292">
        <f t="shared" si="83"/>
        <v>0</v>
      </c>
      <c r="AD319" s="292">
        <f t="shared" si="84"/>
        <v>0</v>
      </c>
      <c r="AE319" s="292">
        <f t="shared" si="85"/>
        <v>0</v>
      </c>
      <c r="AF319" s="292">
        <f t="shared" si="86"/>
        <v>0</v>
      </c>
      <c r="AG319" s="292">
        <f t="shared" si="87"/>
        <v>0</v>
      </c>
      <c r="AH319" s="292">
        <f t="shared" si="88"/>
        <v>0</v>
      </c>
      <c r="AI319" s="292">
        <f t="shared" si="89"/>
        <v>0</v>
      </c>
      <c r="AJ319" s="292">
        <f t="shared" si="90"/>
        <v>0</v>
      </c>
      <c r="AK319" s="292">
        <f t="shared" si="91"/>
        <v>0</v>
      </c>
      <c r="AL319" s="292">
        <f t="shared" si="116"/>
        <v>0</v>
      </c>
      <c r="AM319" s="292">
        <f t="shared" si="117"/>
        <v>0</v>
      </c>
      <c r="AN319" s="292">
        <f t="shared" si="92"/>
        <v>0</v>
      </c>
      <c r="AO319" s="292">
        <f t="shared" si="93"/>
        <v>0</v>
      </c>
      <c r="AP319" s="292">
        <f t="shared" si="94"/>
        <v>0</v>
      </c>
      <c r="AQ319" s="292">
        <f t="shared" si="95"/>
        <v>0</v>
      </c>
      <c r="AR319" s="292">
        <f t="shared" si="96"/>
        <v>0</v>
      </c>
      <c r="AS319" s="292">
        <f t="shared" si="97"/>
        <v>0</v>
      </c>
      <c r="AT319" s="292">
        <f t="shared" si="98"/>
        <v>0</v>
      </c>
      <c r="AU319" s="292">
        <f t="shared" si="99"/>
        <v>0</v>
      </c>
      <c r="AV319" s="292">
        <f t="shared" si="100"/>
        <v>0</v>
      </c>
      <c r="AW319" s="292">
        <f t="shared" si="101"/>
        <v>0</v>
      </c>
      <c r="AX319" s="292">
        <f t="shared" si="102"/>
        <v>0</v>
      </c>
      <c r="AY319" s="292">
        <f t="shared" si="103"/>
        <v>0</v>
      </c>
      <c r="AZ319" s="292">
        <f t="shared" si="104"/>
        <v>0</v>
      </c>
      <c r="BA319" s="292">
        <f t="shared" si="105"/>
        <v>0</v>
      </c>
      <c r="BB319" s="292">
        <f t="shared" si="106"/>
        <v>0</v>
      </c>
      <c r="BC319" s="292">
        <f t="shared" si="107"/>
        <v>0</v>
      </c>
      <c r="BD319" s="292">
        <f t="shared" si="108"/>
        <v>0</v>
      </c>
      <c r="BE319" s="292">
        <f t="shared" si="109"/>
        <v>0</v>
      </c>
      <c r="BF319" s="292">
        <f t="shared" si="110"/>
        <v>0</v>
      </c>
      <c r="BG319" s="292">
        <f t="shared" si="111"/>
        <v>0</v>
      </c>
    </row>
    <row r="320" spans="1:59" s="289" customFormat="1" ht="15" customHeight="1">
      <c r="A320" s="63">
        <f t="array" ref="A320">IF(C320&lt;&gt;0,SUM(($C$11:C320&lt;&gt;0)*1),"")</f>
        <v>310</v>
      </c>
      <c r="B320" s="1099">
        <v>42503</v>
      </c>
      <c r="C320" s="290" t="s">
        <v>194</v>
      </c>
      <c r="D320" s="1099">
        <v>42503</v>
      </c>
      <c r="E320" s="344" t="s">
        <v>399</v>
      </c>
      <c r="F320" s="345">
        <v>1700000</v>
      </c>
      <c r="G320" s="346" t="s">
        <v>242</v>
      </c>
      <c r="H320" s="346" t="s">
        <v>97</v>
      </c>
      <c r="I320" s="63">
        <f t="shared" si="124"/>
        <v>310</v>
      </c>
      <c r="J320" s="292">
        <f t="shared" si="74"/>
        <v>0</v>
      </c>
      <c r="K320" s="292">
        <f t="shared" si="75"/>
        <v>1700000</v>
      </c>
      <c r="L320" s="292">
        <f t="shared" si="76"/>
        <v>0</v>
      </c>
      <c r="M320" s="292">
        <f t="shared" si="77"/>
        <v>0</v>
      </c>
      <c r="N320" s="292">
        <f t="shared" si="112"/>
        <v>0</v>
      </c>
      <c r="O320" s="292">
        <f t="shared" si="113"/>
        <v>0</v>
      </c>
      <c r="P320" s="292">
        <f t="shared" si="78"/>
        <v>0</v>
      </c>
      <c r="Q320" s="292">
        <f t="shared" si="79"/>
        <v>0</v>
      </c>
      <c r="R320" s="292">
        <f t="shared" si="118"/>
        <v>0</v>
      </c>
      <c r="S320" s="292">
        <f t="shared" si="119"/>
        <v>0</v>
      </c>
      <c r="T320" s="292">
        <f t="shared" si="80"/>
        <v>0</v>
      </c>
      <c r="U320" s="292">
        <f t="shared" si="81"/>
        <v>0</v>
      </c>
      <c r="V320" s="292">
        <f t="shared" si="120"/>
        <v>0</v>
      </c>
      <c r="W320" s="292">
        <f t="shared" si="121"/>
        <v>0</v>
      </c>
      <c r="X320" s="292">
        <f t="shared" si="122"/>
        <v>0</v>
      </c>
      <c r="Y320" s="292">
        <f t="shared" si="123"/>
        <v>0</v>
      </c>
      <c r="Z320" s="292">
        <f t="shared" si="114"/>
        <v>1700000</v>
      </c>
      <c r="AA320" s="292">
        <f t="shared" si="115"/>
        <v>0</v>
      </c>
      <c r="AB320" s="292">
        <f t="shared" si="82"/>
        <v>0</v>
      </c>
      <c r="AC320" s="292">
        <f t="shared" si="83"/>
        <v>0</v>
      </c>
      <c r="AD320" s="292">
        <f t="shared" si="84"/>
        <v>0</v>
      </c>
      <c r="AE320" s="292">
        <f t="shared" si="85"/>
        <v>0</v>
      </c>
      <c r="AF320" s="292">
        <f t="shared" si="86"/>
        <v>0</v>
      </c>
      <c r="AG320" s="292">
        <f t="shared" si="87"/>
        <v>0</v>
      </c>
      <c r="AH320" s="292">
        <f t="shared" si="88"/>
        <v>0</v>
      </c>
      <c r="AI320" s="292">
        <f t="shared" si="89"/>
        <v>0</v>
      </c>
      <c r="AJ320" s="292">
        <f t="shared" si="90"/>
        <v>0</v>
      </c>
      <c r="AK320" s="292">
        <f t="shared" si="91"/>
        <v>0</v>
      </c>
      <c r="AL320" s="292">
        <f t="shared" si="116"/>
        <v>0</v>
      </c>
      <c r="AM320" s="292">
        <f t="shared" si="117"/>
        <v>0</v>
      </c>
      <c r="AN320" s="292">
        <f t="shared" si="92"/>
        <v>0</v>
      </c>
      <c r="AO320" s="292">
        <f t="shared" si="93"/>
        <v>0</v>
      </c>
      <c r="AP320" s="292">
        <f t="shared" si="94"/>
        <v>0</v>
      </c>
      <c r="AQ320" s="292">
        <f t="shared" si="95"/>
        <v>0</v>
      </c>
      <c r="AR320" s="292">
        <f t="shared" si="96"/>
        <v>0</v>
      </c>
      <c r="AS320" s="292">
        <f t="shared" si="97"/>
        <v>0</v>
      </c>
      <c r="AT320" s="292">
        <f t="shared" si="98"/>
        <v>0</v>
      </c>
      <c r="AU320" s="292">
        <f t="shared" si="99"/>
        <v>0</v>
      </c>
      <c r="AV320" s="292">
        <f t="shared" si="100"/>
        <v>0</v>
      </c>
      <c r="AW320" s="292">
        <f t="shared" si="101"/>
        <v>0</v>
      </c>
      <c r="AX320" s="292">
        <f t="shared" si="102"/>
        <v>0</v>
      </c>
      <c r="AY320" s="292">
        <f t="shared" si="103"/>
        <v>0</v>
      </c>
      <c r="AZ320" s="292">
        <f t="shared" si="104"/>
        <v>0</v>
      </c>
      <c r="BA320" s="292">
        <f t="shared" si="105"/>
        <v>0</v>
      </c>
      <c r="BB320" s="292">
        <f t="shared" si="106"/>
        <v>0</v>
      </c>
      <c r="BC320" s="292">
        <f t="shared" si="107"/>
        <v>0</v>
      </c>
      <c r="BD320" s="292">
        <f t="shared" si="108"/>
        <v>0</v>
      </c>
      <c r="BE320" s="292">
        <f t="shared" si="109"/>
        <v>0</v>
      </c>
      <c r="BF320" s="292">
        <f t="shared" si="110"/>
        <v>0</v>
      </c>
      <c r="BG320" s="292">
        <f t="shared" si="111"/>
        <v>0</v>
      </c>
    </row>
    <row r="321" spans="1:59" s="289" customFormat="1" ht="15" customHeight="1">
      <c r="A321" s="63">
        <f t="array" ref="A321">IF(C321&lt;&gt;0,SUM(($C$11:C321&lt;&gt;0)*1),"")</f>
        <v>311</v>
      </c>
      <c r="B321" s="1099">
        <v>42507</v>
      </c>
      <c r="C321" s="290" t="s">
        <v>195</v>
      </c>
      <c r="D321" s="1099">
        <v>42507</v>
      </c>
      <c r="E321" s="344" t="s">
        <v>901</v>
      </c>
      <c r="F321" s="345">
        <v>481314</v>
      </c>
      <c r="G321" s="346" t="s">
        <v>135</v>
      </c>
      <c r="H321" s="346" t="s">
        <v>97</v>
      </c>
      <c r="I321" s="63">
        <f t="shared" si="124"/>
        <v>311</v>
      </c>
      <c r="J321" s="292">
        <f t="shared" si="74"/>
        <v>0</v>
      </c>
      <c r="K321" s="292">
        <f t="shared" si="75"/>
        <v>481314</v>
      </c>
      <c r="L321" s="292">
        <f t="shared" si="76"/>
        <v>0</v>
      </c>
      <c r="M321" s="292">
        <f t="shared" si="77"/>
        <v>0</v>
      </c>
      <c r="N321" s="292">
        <f t="shared" si="112"/>
        <v>0</v>
      </c>
      <c r="O321" s="292">
        <f t="shared" si="113"/>
        <v>0</v>
      </c>
      <c r="P321" s="292">
        <f t="shared" si="78"/>
        <v>0</v>
      </c>
      <c r="Q321" s="292">
        <f t="shared" si="79"/>
        <v>0</v>
      </c>
      <c r="R321" s="292">
        <f t="shared" si="118"/>
        <v>0</v>
      </c>
      <c r="S321" s="292">
        <f t="shared" si="119"/>
        <v>0</v>
      </c>
      <c r="T321" s="292">
        <f t="shared" si="80"/>
        <v>0</v>
      </c>
      <c r="U321" s="292">
        <f t="shared" si="81"/>
        <v>0</v>
      </c>
      <c r="V321" s="292">
        <f t="shared" si="120"/>
        <v>0</v>
      </c>
      <c r="W321" s="292">
        <f t="shared" si="121"/>
        <v>0</v>
      </c>
      <c r="X321" s="292">
        <f t="shared" si="122"/>
        <v>0</v>
      </c>
      <c r="Y321" s="292">
        <f t="shared" si="123"/>
        <v>0</v>
      </c>
      <c r="Z321" s="292">
        <f t="shared" si="114"/>
        <v>0</v>
      </c>
      <c r="AA321" s="292">
        <f t="shared" si="115"/>
        <v>0</v>
      </c>
      <c r="AB321" s="292">
        <f t="shared" si="82"/>
        <v>0</v>
      </c>
      <c r="AC321" s="292">
        <f t="shared" si="83"/>
        <v>0</v>
      </c>
      <c r="AD321" s="292">
        <f t="shared" si="84"/>
        <v>0</v>
      </c>
      <c r="AE321" s="292">
        <f t="shared" si="85"/>
        <v>0</v>
      </c>
      <c r="AF321" s="292">
        <f t="shared" si="86"/>
        <v>0</v>
      </c>
      <c r="AG321" s="292">
        <f t="shared" si="87"/>
        <v>0</v>
      </c>
      <c r="AH321" s="292">
        <f t="shared" si="88"/>
        <v>0</v>
      </c>
      <c r="AI321" s="292">
        <f t="shared" si="89"/>
        <v>0</v>
      </c>
      <c r="AJ321" s="292">
        <f t="shared" si="90"/>
        <v>0</v>
      </c>
      <c r="AK321" s="292">
        <f t="shared" si="91"/>
        <v>0</v>
      </c>
      <c r="AL321" s="292">
        <f t="shared" si="116"/>
        <v>0</v>
      </c>
      <c r="AM321" s="292">
        <f t="shared" si="117"/>
        <v>0</v>
      </c>
      <c r="AN321" s="292">
        <f t="shared" si="92"/>
        <v>0</v>
      </c>
      <c r="AO321" s="292">
        <f t="shared" si="93"/>
        <v>0</v>
      </c>
      <c r="AP321" s="292">
        <f t="shared" si="94"/>
        <v>0</v>
      </c>
      <c r="AQ321" s="292">
        <f t="shared" si="95"/>
        <v>0</v>
      </c>
      <c r="AR321" s="292">
        <f t="shared" si="96"/>
        <v>0</v>
      </c>
      <c r="AS321" s="292">
        <f t="shared" si="97"/>
        <v>0</v>
      </c>
      <c r="AT321" s="292">
        <f t="shared" si="98"/>
        <v>0</v>
      </c>
      <c r="AU321" s="292">
        <f t="shared" si="99"/>
        <v>0</v>
      </c>
      <c r="AV321" s="292">
        <f t="shared" si="100"/>
        <v>0</v>
      </c>
      <c r="AW321" s="292">
        <f t="shared" si="101"/>
        <v>0</v>
      </c>
      <c r="AX321" s="292">
        <f t="shared" si="102"/>
        <v>481314</v>
      </c>
      <c r="AY321" s="292">
        <f t="shared" si="103"/>
        <v>0</v>
      </c>
      <c r="AZ321" s="292">
        <f t="shared" si="104"/>
        <v>0</v>
      </c>
      <c r="BA321" s="292">
        <f t="shared" si="105"/>
        <v>0</v>
      </c>
      <c r="BB321" s="292">
        <f t="shared" si="106"/>
        <v>0</v>
      </c>
      <c r="BC321" s="292">
        <f t="shared" si="107"/>
        <v>0</v>
      </c>
      <c r="BD321" s="292">
        <f t="shared" si="108"/>
        <v>0</v>
      </c>
      <c r="BE321" s="292">
        <f t="shared" si="109"/>
        <v>0</v>
      </c>
      <c r="BF321" s="292">
        <f t="shared" si="110"/>
        <v>0</v>
      </c>
      <c r="BG321" s="292">
        <f t="shared" si="111"/>
        <v>0</v>
      </c>
    </row>
    <row r="322" spans="1:59" s="289" customFormat="1" ht="15" customHeight="1">
      <c r="A322" s="63">
        <f t="array" ref="A322">IF(C322&lt;&gt;0,SUM(($C$11:C322&lt;&gt;0)*1),"")</f>
        <v>312</v>
      </c>
      <c r="B322" s="1099">
        <v>42507</v>
      </c>
      <c r="C322" s="290" t="s">
        <v>195</v>
      </c>
      <c r="D322" s="1099">
        <v>42507</v>
      </c>
      <c r="E322" s="344" t="s">
        <v>902</v>
      </c>
      <c r="F322" s="345">
        <v>48131</v>
      </c>
      <c r="G322" s="346" t="s">
        <v>10</v>
      </c>
      <c r="H322" s="346" t="s">
        <v>97</v>
      </c>
      <c r="I322" s="63">
        <f t="shared" si="124"/>
        <v>312</v>
      </c>
      <c r="J322" s="292">
        <f t="shared" si="74"/>
        <v>0</v>
      </c>
      <c r="K322" s="292">
        <f t="shared" si="75"/>
        <v>48131</v>
      </c>
      <c r="L322" s="292">
        <f t="shared" si="76"/>
        <v>0</v>
      </c>
      <c r="M322" s="292">
        <f t="shared" si="77"/>
        <v>0</v>
      </c>
      <c r="N322" s="292">
        <f t="shared" si="112"/>
        <v>0</v>
      </c>
      <c r="O322" s="292">
        <f t="shared" si="113"/>
        <v>0</v>
      </c>
      <c r="P322" s="292">
        <f t="shared" si="78"/>
        <v>48131</v>
      </c>
      <c r="Q322" s="292">
        <f t="shared" si="79"/>
        <v>0</v>
      </c>
      <c r="R322" s="292">
        <f t="shared" si="118"/>
        <v>0</v>
      </c>
      <c r="S322" s="292">
        <f t="shared" si="119"/>
        <v>0</v>
      </c>
      <c r="T322" s="292">
        <f t="shared" si="80"/>
        <v>0</v>
      </c>
      <c r="U322" s="292">
        <f t="shared" si="81"/>
        <v>0</v>
      </c>
      <c r="V322" s="292">
        <f t="shared" si="120"/>
        <v>0</v>
      </c>
      <c r="W322" s="292">
        <f t="shared" si="121"/>
        <v>0</v>
      </c>
      <c r="X322" s="292">
        <f t="shared" si="122"/>
        <v>0</v>
      </c>
      <c r="Y322" s="292">
        <f t="shared" si="123"/>
        <v>0</v>
      </c>
      <c r="Z322" s="292">
        <f t="shared" si="114"/>
        <v>0</v>
      </c>
      <c r="AA322" s="292">
        <f t="shared" si="115"/>
        <v>0</v>
      </c>
      <c r="AB322" s="292">
        <f t="shared" si="82"/>
        <v>0</v>
      </c>
      <c r="AC322" s="292">
        <f t="shared" si="83"/>
        <v>0</v>
      </c>
      <c r="AD322" s="292">
        <f t="shared" si="84"/>
        <v>0</v>
      </c>
      <c r="AE322" s="292">
        <f t="shared" si="85"/>
        <v>0</v>
      </c>
      <c r="AF322" s="292">
        <f t="shared" si="86"/>
        <v>0</v>
      </c>
      <c r="AG322" s="292">
        <f t="shared" si="87"/>
        <v>0</v>
      </c>
      <c r="AH322" s="292">
        <f t="shared" si="88"/>
        <v>0</v>
      </c>
      <c r="AI322" s="292">
        <f t="shared" si="89"/>
        <v>0</v>
      </c>
      <c r="AJ322" s="292">
        <f t="shared" si="90"/>
        <v>0</v>
      </c>
      <c r="AK322" s="292">
        <f t="shared" si="91"/>
        <v>0</v>
      </c>
      <c r="AL322" s="292">
        <f t="shared" si="116"/>
        <v>0</v>
      </c>
      <c r="AM322" s="292">
        <f t="shared" si="117"/>
        <v>0</v>
      </c>
      <c r="AN322" s="292">
        <f t="shared" si="92"/>
        <v>0</v>
      </c>
      <c r="AO322" s="292">
        <f t="shared" si="93"/>
        <v>0</v>
      </c>
      <c r="AP322" s="292">
        <f t="shared" si="94"/>
        <v>0</v>
      </c>
      <c r="AQ322" s="292">
        <f t="shared" si="95"/>
        <v>0</v>
      </c>
      <c r="AR322" s="292">
        <f t="shared" si="96"/>
        <v>0</v>
      </c>
      <c r="AS322" s="292">
        <f t="shared" si="97"/>
        <v>0</v>
      </c>
      <c r="AT322" s="292">
        <f t="shared" si="98"/>
        <v>0</v>
      </c>
      <c r="AU322" s="292">
        <f t="shared" si="99"/>
        <v>0</v>
      </c>
      <c r="AV322" s="292">
        <f t="shared" si="100"/>
        <v>0</v>
      </c>
      <c r="AW322" s="292">
        <f t="shared" si="101"/>
        <v>0</v>
      </c>
      <c r="AX322" s="292">
        <f t="shared" si="102"/>
        <v>0</v>
      </c>
      <c r="AY322" s="292">
        <f t="shared" si="103"/>
        <v>0</v>
      </c>
      <c r="AZ322" s="292">
        <f t="shared" si="104"/>
        <v>0</v>
      </c>
      <c r="BA322" s="292">
        <f t="shared" si="105"/>
        <v>0</v>
      </c>
      <c r="BB322" s="292">
        <f t="shared" si="106"/>
        <v>0</v>
      </c>
      <c r="BC322" s="292">
        <f t="shared" si="107"/>
        <v>0</v>
      </c>
      <c r="BD322" s="292">
        <f t="shared" si="108"/>
        <v>0</v>
      </c>
      <c r="BE322" s="292">
        <f t="shared" si="109"/>
        <v>0</v>
      </c>
      <c r="BF322" s="292">
        <f t="shared" si="110"/>
        <v>0</v>
      </c>
      <c r="BG322" s="292">
        <f t="shared" si="111"/>
        <v>0</v>
      </c>
    </row>
    <row r="323" spans="1:59" s="289" customFormat="1" ht="15" customHeight="1">
      <c r="A323" s="63">
        <f t="array" ref="A323">IF(C323&lt;&gt;0,SUM(($C$11:C323&lt;&gt;0)*1),"")</f>
        <v>313</v>
      </c>
      <c r="B323" s="1099">
        <v>42507</v>
      </c>
      <c r="C323" s="290" t="s">
        <v>196</v>
      </c>
      <c r="D323" s="1099">
        <v>42507</v>
      </c>
      <c r="E323" s="344" t="s">
        <v>399</v>
      </c>
      <c r="F323" s="345">
        <v>3800000</v>
      </c>
      <c r="G323" s="346" t="s">
        <v>242</v>
      </c>
      <c r="H323" s="346" t="s">
        <v>97</v>
      </c>
      <c r="I323" s="63">
        <f t="shared" si="124"/>
        <v>313</v>
      </c>
      <c r="J323" s="292">
        <f t="shared" si="74"/>
        <v>0</v>
      </c>
      <c r="K323" s="292">
        <f t="shared" si="75"/>
        <v>3800000</v>
      </c>
      <c r="L323" s="292">
        <f t="shared" si="76"/>
        <v>0</v>
      </c>
      <c r="M323" s="292">
        <f t="shared" si="77"/>
        <v>0</v>
      </c>
      <c r="N323" s="292">
        <f t="shared" si="112"/>
        <v>0</v>
      </c>
      <c r="O323" s="292">
        <f t="shared" si="113"/>
        <v>0</v>
      </c>
      <c r="P323" s="292">
        <f t="shared" si="78"/>
        <v>0</v>
      </c>
      <c r="Q323" s="292">
        <f t="shared" si="79"/>
        <v>0</v>
      </c>
      <c r="R323" s="292">
        <f t="shared" si="118"/>
        <v>0</v>
      </c>
      <c r="S323" s="292">
        <f t="shared" si="119"/>
        <v>0</v>
      </c>
      <c r="T323" s="292">
        <f t="shared" si="80"/>
        <v>0</v>
      </c>
      <c r="U323" s="292">
        <f t="shared" si="81"/>
        <v>0</v>
      </c>
      <c r="V323" s="292">
        <f t="shared" si="120"/>
        <v>0</v>
      </c>
      <c r="W323" s="292">
        <f t="shared" si="121"/>
        <v>0</v>
      </c>
      <c r="X323" s="292">
        <f t="shared" si="122"/>
        <v>0</v>
      </c>
      <c r="Y323" s="292">
        <f t="shared" si="123"/>
        <v>0</v>
      </c>
      <c r="Z323" s="292">
        <f t="shared" si="114"/>
        <v>3800000</v>
      </c>
      <c r="AA323" s="292">
        <f t="shared" si="115"/>
        <v>0</v>
      </c>
      <c r="AB323" s="292">
        <f t="shared" si="82"/>
        <v>0</v>
      </c>
      <c r="AC323" s="292">
        <f t="shared" si="83"/>
        <v>0</v>
      </c>
      <c r="AD323" s="292">
        <f t="shared" si="84"/>
        <v>0</v>
      </c>
      <c r="AE323" s="292">
        <f t="shared" si="85"/>
        <v>0</v>
      </c>
      <c r="AF323" s="292">
        <f t="shared" si="86"/>
        <v>0</v>
      </c>
      <c r="AG323" s="292">
        <f t="shared" si="87"/>
        <v>0</v>
      </c>
      <c r="AH323" s="292">
        <f t="shared" si="88"/>
        <v>0</v>
      </c>
      <c r="AI323" s="292">
        <f t="shared" si="89"/>
        <v>0</v>
      </c>
      <c r="AJ323" s="292">
        <f t="shared" si="90"/>
        <v>0</v>
      </c>
      <c r="AK323" s="292">
        <f t="shared" si="91"/>
        <v>0</v>
      </c>
      <c r="AL323" s="292">
        <f t="shared" si="116"/>
        <v>0</v>
      </c>
      <c r="AM323" s="292">
        <f t="shared" si="117"/>
        <v>0</v>
      </c>
      <c r="AN323" s="292">
        <f t="shared" si="92"/>
        <v>0</v>
      </c>
      <c r="AO323" s="292">
        <f t="shared" si="93"/>
        <v>0</v>
      </c>
      <c r="AP323" s="292">
        <f t="shared" si="94"/>
        <v>0</v>
      </c>
      <c r="AQ323" s="292">
        <f t="shared" si="95"/>
        <v>0</v>
      </c>
      <c r="AR323" s="292">
        <f t="shared" si="96"/>
        <v>0</v>
      </c>
      <c r="AS323" s="292">
        <f t="shared" si="97"/>
        <v>0</v>
      </c>
      <c r="AT323" s="292">
        <f t="shared" si="98"/>
        <v>0</v>
      </c>
      <c r="AU323" s="292">
        <f t="shared" si="99"/>
        <v>0</v>
      </c>
      <c r="AV323" s="292">
        <f t="shared" si="100"/>
        <v>0</v>
      </c>
      <c r="AW323" s="292">
        <f t="shared" si="101"/>
        <v>0</v>
      </c>
      <c r="AX323" s="292">
        <f t="shared" si="102"/>
        <v>0</v>
      </c>
      <c r="AY323" s="292">
        <f t="shared" si="103"/>
        <v>0</v>
      </c>
      <c r="AZ323" s="292">
        <f t="shared" si="104"/>
        <v>0</v>
      </c>
      <c r="BA323" s="292">
        <f t="shared" si="105"/>
        <v>0</v>
      </c>
      <c r="BB323" s="292">
        <f t="shared" si="106"/>
        <v>0</v>
      </c>
      <c r="BC323" s="292">
        <f t="shared" si="107"/>
        <v>0</v>
      </c>
      <c r="BD323" s="292">
        <f t="shared" si="108"/>
        <v>0</v>
      </c>
      <c r="BE323" s="292">
        <f t="shared" si="109"/>
        <v>0</v>
      </c>
      <c r="BF323" s="292">
        <f t="shared" si="110"/>
        <v>0</v>
      </c>
      <c r="BG323" s="292">
        <f t="shared" si="111"/>
        <v>0</v>
      </c>
    </row>
    <row r="324" spans="1:59" s="289" customFormat="1" ht="15" customHeight="1">
      <c r="A324" s="63">
        <f t="array" ref="A324">IF(C324&lt;&gt;0,SUM(($C$11:C324&lt;&gt;0)*1),"")</f>
        <v>314</v>
      </c>
      <c r="B324" s="1099">
        <v>42509</v>
      </c>
      <c r="C324" s="290" t="s">
        <v>197</v>
      </c>
      <c r="D324" s="1099">
        <v>42509</v>
      </c>
      <c r="E324" s="344" t="s">
        <v>185</v>
      </c>
      <c r="F324" s="345">
        <v>1145000</v>
      </c>
      <c r="G324" s="346" t="s">
        <v>242</v>
      </c>
      <c r="H324" s="346" t="s">
        <v>97</v>
      </c>
      <c r="I324" s="63">
        <f t="shared" si="124"/>
        <v>314</v>
      </c>
      <c r="J324" s="292">
        <f t="shared" si="74"/>
        <v>0</v>
      </c>
      <c r="K324" s="292">
        <f t="shared" si="75"/>
        <v>1145000</v>
      </c>
      <c r="L324" s="292">
        <f t="shared" si="76"/>
        <v>0</v>
      </c>
      <c r="M324" s="292">
        <f t="shared" si="77"/>
        <v>0</v>
      </c>
      <c r="N324" s="292">
        <f t="shared" si="112"/>
        <v>0</v>
      </c>
      <c r="O324" s="292">
        <f t="shared" si="113"/>
        <v>0</v>
      </c>
      <c r="P324" s="292">
        <f t="shared" si="78"/>
        <v>0</v>
      </c>
      <c r="Q324" s="292">
        <f t="shared" si="79"/>
        <v>0</v>
      </c>
      <c r="R324" s="292">
        <f t="shared" si="118"/>
        <v>0</v>
      </c>
      <c r="S324" s="292">
        <f t="shared" si="119"/>
        <v>0</v>
      </c>
      <c r="T324" s="292">
        <f t="shared" si="80"/>
        <v>0</v>
      </c>
      <c r="U324" s="292">
        <f t="shared" si="81"/>
        <v>0</v>
      </c>
      <c r="V324" s="292">
        <f t="shared" si="120"/>
        <v>0</v>
      </c>
      <c r="W324" s="292">
        <f t="shared" si="121"/>
        <v>0</v>
      </c>
      <c r="X324" s="292">
        <f t="shared" si="122"/>
        <v>0</v>
      </c>
      <c r="Y324" s="292">
        <f t="shared" si="123"/>
        <v>0</v>
      </c>
      <c r="Z324" s="292">
        <f t="shared" si="114"/>
        <v>1145000</v>
      </c>
      <c r="AA324" s="292">
        <f t="shared" si="115"/>
        <v>0</v>
      </c>
      <c r="AB324" s="292">
        <f t="shared" si="82"/>
        <v>0</v>
      </c>
      <c r="AC324" s="292">
        <f t="shared" si="83"/>
        <v>0</v>
      </c>
      <c r="AD324" s="292">
        <f t="shared" si="84"/>
        <v>0</v>
      </c>
      <c r="AE324" s="292">
        <f t="shared" si="85"/>
        <v>0</v>
      </c>
      <c r="AF324" s="292">
        <f t="shared" si="86"/>
        <v>0</v>
      </c>
      <c r="AG324" s="292">
        <f t="shared" si="87"/>
        <v>0</v>
      </c>
      <c r="AH324" s="292">
        <f t="shared" si="88"/>
        <v>0</v>
      </c>
      <c r="AI324" s="292">
        <f t="shared" si="89"/>
        <v>0</v>
      </c>
      <c r="AJ324" s="292">
        <f t="shared" si="90"/>
        <v>0</v>
      </c>
      <c r="AK324" s="292">
        <f t="shared" si="91"/>
        <v>0</v>
      </c>
      <c r="AL324" s="292">
        <f t="shared" si="116"/>
        <v>0</v>
      </c>
      <c r="AM324" s="292">
        <f t="shared" si="117"/>
        <v>0</v>
      </c>
      <c r="AN324" s="292">
        <f t="shared" si="92"/>
        <v>0</v>
      </c>
      <c r="AO324" s="292">
        <f t="shared" si="93"/>
        <v>0</v>
      </c>
      <c r="AP324" s="292">
        <f t="shared" si="94"/>
        <v>0</v>
      </c>
      <c r="AQ324" s="292">
        <f t="shared" si="95"/>
        <v>0</v>
      </c>
      <c r="AR324" s="292">
        <f t="shared" si="96"/>
        <v>0</v>
      </c>
      <c r="AS324" s="292">
        <f t="shared" si="97"/>
        <v>0</v>
      </c>
      <c r="AT324" s="292">
        <f t="shared" si="98"/>
        <v>0</v>
      </c>
      <c r="AU324" s="292">
        <f t="shared" si="99"/>
        <v>0</v>
      </c>
      <c r="AV324" s="292">
        <f t="shared" si="100"/>
        <v>0</v>
      </c>
      <c r="AW324" s="292">
        <f t="shared" si="101"/>
        <v>0</v>
      </c>
      <c r="AX324" s="292">
        <f t="shared" si="102"/>
        <v>0</v>
      </c>
      <c r="AY324" s="292">
        <f t="shared" si="103"/>
        <v>0</v>
      </c>
      <c r="AZ324" s="292">
        <f t="shared" si="104"/>
        <v>0</v>
      </c>
      <c r="BA324" s="292">
        <f t="shared" si="105"/>
        <v>0</v>
      </c>
      <c r="BB324" s="292">
        <f t="shared" si="106"/>
        <v>0</v>
      </c>
      <c r="BC324" s="292">
        <f t="shared" si="107"/>
        <v>0</v>
      </c>
      <c r="BD324" s="292">
        <f t="shared" si="108"/>
        <v>0</v>
      </c>
      <c r="BE324" s="292">
        <f t="shared" si="109"/>
        <v>0</v>
      </c>
      <c r="BF324" s="292">
        <f t="shared" si="110"/>
        <v>0</v>
      </c>
      <c r="BG324" s="292">
        <f t="shared" si="111"/>
        <v>0</v>
      </c>
    </row>
    <row r="325" spans="1:59" s="289" customFormat="1" ht="15" customHeight="1">
      <c r="A325" s="63">
        <f t="array" ref="A325">IF(C325&lt;&gt;0,SUM(($C$11:C325&lt;&gt;0)*1),"")</f>
        <v>315</v>
      </c>
      <c r="B325" s="1099">
        <v>42509</v>
      </c>
      <c r="C325" s="290" t="s">
        <v>198</v>
      </c>
      <c r="D325" s="1099">
        <v>42509</v>
      </c>
      <c r="E325" s="344" t="s">
        <v>437</v>
      </c>
      <c r="F325" s="345">
        <v>14000000</v>
      </c>
      <c r="G325" s="346" t="s">
        <v>24</v>
      </c>
      <c r="H325" s="346" t="s">
        <v>97</v>
      </c>
      <c r="I325" s="63">
        <f t="shared" si="124"/>
        <v>315</v>
      </c>
      <c r="J325" s="292">
        <f t="shared" si="74"/>
        <v>0</v>
      </c>
      <c r="K325" s="292">
        <f t="shared" si="75"/>
        <v>14000000</v>
      </c>
      <c r="L325" s="292">
        <f t="shared" si="76"/>
        <v>0</v>
      </c>
      <c r="M325" s="292">
        <f t="shared" si="77"/>
        <v>0</v>
      </c>
      <c r="N325" s="292">
        <f t="shared" si="112"/>
        <v>0</v>
      </c>
      <c r="O325" s="292">
        <f t="shared" si="113"/>
        <v>0</v>
      </c>
      <c r="P325" s="292">
        <f t="shared" si="78"/>
        <v>0</v>
      </c>
      <c r="Q325" s="292">
        <f t="shared" si="79"/>
        <v>0</v>
      </c>
      <c r="R325" s="292">
        <f t="shared" si="118"/>
        <v>0</v>
      </c>
      <c r="S325" s="292">
        <f t="shared" si="119"/>
        <v>0</v>
      </c>
      <c r="T325" s="292">
        <f t="shared" si="80"/>
        <v>0</v>
      </c>
      <c r="U325" s="292">
        <f t="shared" si="81"/>
        <v>0</v>
      </c>
      <c r="V325" s="292">
        <f t="shared" si="120"/>
        <v>0</v>
      </c>
      <c r="W325" s="292">
        <f t="shared" si="121"/>
        <v>0</v>
      </c>
      <c r="X325" s="292">
        <f t="shared" si="122"/>
        <v>0</v>
      </c>
      <c r="Y325" s="292">
        <f t="shared" si="123"/>
        <v>0</v>
      </c>
      <c r="Z325" s="292">
        <f t="shared" si="114"/>
        <v>0</v>
      </c>
      <c r="AA325" s="292">
        <f t="shared" si="115"/>
        <v>0</v>
      </c>
      <c r="AB325" s="292">
        <f t="shared" si="82"/>
        <v>0</v>
      </c>
      <c r="AC325" s="292">
        <f t="shared" si="83"/>
        <v>0</v>
      </c>
      <c r="AD325" s="292">
        <f t="shared" si="84"/>
        <v>0</v>
      </c>
      <c r="AE325" s="292">
        <f t="shared" si="85"/>
        <v>0</v>
      </c>
      <c r="AF325" s="292">
        <f t="shared" si="86"/>
        <v>0</v>
      </c>
      <c r="AG325" s="292">
        <f t="shared" si="87"/>
        <v>0</v>
      </c>
      <c r="AH325" s="292">
        <f t="shared" si="88"/>
        <v>14000000</v>
      </c>
      <c r="AI325" s="292">
        <f t="shared" si="89"/>
        <v>0</v>
      </c>
      <c r="AJ325" s="292">
        <f t="shared" si="90"/>
        <v>0</v>
      </c>
      <c r="AK325" s="292">
        <f t="shared" si="91"/>
        <v>0</v>
      </c>
      <c r="AL325" s="292">
        <f t="shared" si="116"/>
        <v>0</v>
      </c>
      <c r="AM325" s="292">
        <f t="shared" si="117"/>
        <v>0</v>
      </c>
      <c r="AN325" s="292">
        <f t="shared" si="92"/>
        <v>0</v>
      </c>
      <c r="AO325" s="292">
        <f t="shared" si="93"/>
        <v>0</v>
      </c>
      <c r="AP325" s="292">
        <f t="shared" si="94"/>
        <v>0</v>
      </c>
      <c r="AQ325" s="292">
        <f t="shared" si="95"/>
        <v>0</v>
      </c>
      <c r="AR325" s="292">
        <f t="shared" si="96"/>
        <v>0</v>
      </c>
      <c r="AS325" s="292">
        <f t="shared" si="97"/>
        <v>0</v>
      </c>
      <c r="AT325" s="292">
        <f t="shared" si="98"/>
        <v>0</v>
      </c>
      <c r="AU325" s="292">
        <f t="shared" si="99"/>
        <v>0</v>
      </c>
      <c r="AV325" s="292">
        <f t="shared" si="100"/>
        <v>0</v>
      </c>
      <c r="AW325" s="292">
        <f t="shared" si="101"/>
        <v>0</v>
      </c>
      <c r="AX325" s="292">
        <f t="shared" si="102"/>
        <v>0</v>
      </c>
      <c r="AY325" s="292">
        <f t="shared" si="103"/>
        <v>0</v>
      </c>
      <c r="AZ325" s="292">
        <f t="shared" si="104"/>
        <v>0</v>
      </c>
      <c r="BA325" s="292">
        <f t="shared" si="105"/>
        <v>0</v>
      </c>
      <c r="BB325" s="292">
        <f t="shared" si="106"/>
        <v>0</v>
      </c>
      <c r="BC325" s="292">
        <f t="shared" si="107"/>
        <v>0</v>
      </c>
      <c r="BD325" s="292">
        <f t="shared" si="108"/>
        <v>0</v>
      </c>
      <c r="BE325" s="292">
        <f t="shared" si="109"/>
        <v>0</v>
      </c>
      <c r="BF325" s="292">
        <f t="shared" si="110"/>
        <v>0</v>
      </c>
      <c r="BG325" s="292">
        <f t="shared" si="111"/>
        <v>0</v>
      </c>
    </row>
    <row r="326" spans="1:59" s="289" customFormat="1" ht="15" customHeight="1">
      <c r="A326" s="63">
        <f t="array" ref="A326">IF(C326&lt;&gt;0,SUM(($C$11:C326&lt;&gt;0)*1),"")</f>
        <v>316</v>
      </c>
      <c r="B326" s="1099">
        <v>42509</v>
      </c>
      <c r="C326" s="290" t="s">
        <v>12</v>
      </c>
      <c r="D326" s="1099">
        <v>42509</v>
      </c>
      <c r="E326" s="344" t="s">
        <v>788</v>
      </c>
      <c r="F326" s="345">
        <v>14000000</v>
      </c>
      <c r="G326" s="346" t="s">
        <v>31</v>
      </c>
      <c r="H326" s="346" t="s">
        <v>24</v>
      </c>
      <c r="I326" s="63">
        <f t="shared" si="124"/>
        <v>316</v>
      </c>
      <c r="J326" s="292">
        <f t="shared" si="74"/>
        <v>0</v>
      </c>
      <c r="K326" s="292">
        <f t="shared" si="75"/>
        <v>0</v>
      </c>
      <c r="L326" s="292">
        <f t="shared" si="76"/>
        <v>14000000</v>
      </c>
      <c r="M326" s="292">
        <f t="shared" si="77"/>
        <v>0</v>
      </c>
      <c r="N326" s="292">
        <f t="shared" si="112"/>
        <v>0</v>
      </c>
      <c r="O326" s="292">
        <f t="shared" si="113"/>
        <v>0</v>
      </c>
      <c r="P326" s="292">
        <f t="shared" si="78"/>
        <v>0</v>
      </c>
      <c r="Q326" s="292">
        <f t="shared" si="79"/>
        <v>0</v>
      </c>
      <c r="R326" s="292">
        <f t="shared" si="118"/>
        <v>0</v>
      </c>
      <c r="S326" s="292">
        <f t="shared" si="119"/>
        <v>0</v>
      </c>
      <c r="T326" s="292">
        <f t="shared" si="80"/>
        <v>0</v>
      </c>
      <c r="U326" s="292">
        <f t="shared" si="81"/>
        <v>0</v>
      </c>
      <c r="V326" s="292">
        <f t="shared" si="120"/>
        <v>0</v>
      </c>
      <c r="W326" s="292">
        <f t="shared" si="121"/>
        <v>0</v>
      </c>
      <c r="X326" s="292">
        <f t="shared" si="122"/>
        <v>0</v>
      </c>
      <c r="Y326" s="292">
        <f t="shared" si="123"/>
        <v>0</v>
      </c>
      <c r="Z326" s="292">
        <f t="shared" si="114"/>
        <v>0</v>
      </c>
      <c r="AA326" s="292">
        <f t="shared" si="115"/>
        <v>0</v>
      </c>
      <c r="AB326" s="292">
        <f t="shared" si="82"/>
        <v>0</v>
      </c>
      <c r="AC326" s="292">
        <f t="shared" si="83"/>
        <v>0</v>
      </c>
      <c r="AD326" s="292">
        <f t="shared" si="84"/>
        <v>0</v>
      </c>
      <c r="AE326" s="292">
        <f t="shared" si="85"/>
        <v>0</v>
      </c>
      <c r="AF326" s="292">
        <f t="shared" si="86"/>
        <v>0</v>
      </c>
      <c r="AG326" s="292">
        <f t="shared" si="87"/>
        <v>0</v>
      </c>
      <c r="AH326" s="292">
        <f t="shared" si="88"/>
        <v>0</v>
      </c>
      <c r="AI326" s="292">
        <f t="shared" si="89"/>
        <v>14000000</v>
      </c>
      <c r="AJ326" s="292">
        <f t="shared" si="90"/>
        <v>0</v>
      </c>
      <c r="AK326" s="292">
        <f t="shared" si="91"/>
        <v>0</v>
      </c>
      <c r="AL326" s="292">
        <f t="shared" si="116"/>
        <v>0</v>
      </c>
      <c r="AM326" s="292">
        <f t="shared" si="117"/>
        <v>0</v>
      </c>
      <c r="AN326" s="292">
        <f t="shared" si="92"/>
        <v>0</v>
      </c>
      <c r="AO326" s="292">
        <f t="shared" si="93"/>
        <v>0</v>
      </c>
      <c r="AP326" s="292">
        <f t="shared" si="94"/>
        <v>0</v>
      </c>
      <c r="AQ326" s="292">
        <f t="shared" si="95"/>
        <v>0</v>
      </c>
      <c r="AR326" s="292">
        <f t="shared" si="96"/>
        <v>0</v>
      </c>
      <c r="AS326" s="292">
        <f t="shared" si="97"/>
        <v>0</v>
      </c>
      <c r="AT326" s="292">
        <f t="shared" si="98"/>
        <v>0</v>
      </c>
      <c r="AU326" s="292">
        <f t="shared" si="99"/>
        <v>0</v>
      </c>
      <c r="AV326" s="292">
        <f t="shared" si="100"/>
        <v>0</v>
      </c>
      <c r="AW326" s="292">
        <f t="shared" si="101"/>
        <v>0</v>
      </c>
      <c r="AX326" s="292">
        <f t="shared" si="102"/>
        <v>0</v>
      </c>
      <c r="AY326" s="292">
        <f t="shared" si="103"/>
        <v>0</v>
      </c>
      <c r="AZ326" s="292">
        <f t="shared" si="104"/>
        <v>0</v>
      </c>
      <c r="BA326" s="292">
        <f t="shared" si="105"/>
        <v>0</v>
      </c>
      <c r="BB326" s="292">
        <f t="shared" si="106"/>
        <v>0</v>
      </c>
      <c r="BC326" s="292">
        <f t="shared" si="107"/>
        <v>0</v>
      </c>
      <c r="BD326" s="292">
        <f t="shared" si="108"/>
        <v>0</v>
      </c>
      <c r="BE326" s="292">
        <f t="shared" si="109"/>
        <v>0</v>
      </c>
      <c r="BF326" s="292">
        <f t="shared" si="110"/>
        <v>0</v>
      </c>
      <c r="BG326" s="292">
        <f t="shared" si="111"/>
        <v>0</v>
      </c>
    </row>
    <row r="327" spans="1:59" s="289" customFormat="1" ht="15" customHeight="1">
      <c r="A327" s="63">
        <f t="array" ref="A327">IF(C327&lt;&gt;0,SUM(($C$11:C327&lt;&gt;0)*1),"")</f>
        <v>317</v>
      </c>
      <c r="B327" s="1099">
        <v>42509</v>
      </c>
      <c r="C327" s="290" t="s">
        <v>8</v>
      </c>
      <c r="D327" s="1099">
        <v>42509</v>
      </c>
      <c r="E327" s="344" t="s">
        <v>405</v>
      </c>
      <c r="F327" s="345">
        <v>6557460</v>
      </c>
      <c r="G327" s="346" t="s">
        <v>133</v>
      </c>
      <c r="H327" s="346" t="s">
        <v>31</v>
      </c>
      <c r="I327" s="63">
        <f t="shared" si="124"/>
        <v>317</v>
      </c>
      <c r="J327" s="292">
        <f t="shared" ref="J327:J390" si="125">IF($G327="1111",$F327,0)</f>
        <v>0</v>
      </c>
      <c r="K327" s="292">
        <f t="shared" ref="K327:K390" si="126">IF($H327="1111",$F327,0)</f>
        <v>0</v>
      </c>
      <c r="L327" s="292">
        <f t="shared" ref="L327:L390" si="127">IF($G327="1121",$F327,0)</f>
        <v>0</v>
      </c>
      <c r="M327" s="292">
        <f t="shared" ref="M327:M390" si="128">IF($H327="1121",$F327,0)</f>
        <v>6557460</v>
      </c>
      <c r="N327" s="292">
        <f t="shared" si="112"/>
        <v>0</v>
      </c>
      <c r="O327" s="292">
        <f t="shared" si="113"/>
        <v>0</v>
      </c>
      <c r="P327" s="292">
        <f t="shared" ref="P327:P390" si="129">IF($G327="1331",$F327,0)</f>
        <v>0</v>
      </c>
      <c r="Q327" s="292">
        <f t="shared" ref="Q327:Q390" si="130">IF($H327="1331",$F327,0)</f>
        <v>0</v>
      </c>
      <c r="R327" s="292">
        <f t="shared" si="118"/>
        <v>0</v>
      </c>
      <c r="S327" s="292">
        <f t="shared" si="119"/>
        <v>0</v>
      </c>
      <c r="T327" s="292">
        <f t="shared" ref="T327:T390" si="131">IF($G327="1388",$F327,0)</f>
        <v>0</v>
      </c>
      <c r="U327" s="292">
        <f t="shared" ref="U327:U390" si="132">IF($H327="1388",$F327,0)</f>
        <v>0</v>
      </c>
      <c r="V327" s="292">
        <f t="shared" si="120"/>
        <v>0</v>
      </c>
      <c r="W327" s="292">
        <f t="shared" si="121"/>
        <v>0</v>
      </c>
      <c r="X327" s="292">
        <f t="shared" si="122"/>
        <v>0</v>
      </c>
      <c r="Y327" s="292">
        <f t="shared" si="123"/>
        <v>0</v>
      </c>
      <c r="Z327" s="292">
        <f t="shared" si="114"/>
        <v>0</v>
      </c>
      <c r="AA327" s="292">
        <f t="shared" si="115"/>
        <v>0</v>
      </c>
      <c r="AB327" s="292">
        <f t="shared" ref="AB327:AB390" si="133">IF($G327="331",$F327,0)</f>
        <v>0</v>
      </c>
      <c r="AC327" s="292">
        <f t="shared" ref="AC327:AC390" si="134">IF($H327="331",$F327,0)</f>
        <v>0</v>
      </c>
      <c r="AD327" s="292">
        <f t="shared" ref="AD327:AD390" si="135">IF($G327="3334",$F327,0)</f>
        <v>0</v>
      </c>
      <c r="AE327" s="292">
        <f t="shared" ref="AE327:AE390" si="136">IF($H327="3334",$F327,0)</f>
        <v>0</v>
      </c>
      <c r="AF327" s="292">
        <f t="shared" ref="AF327:AF390" si="137">IF($G327="33382",$F327,0)</f>
        <v>0</v>
      </c>
      <c r="AG327" s="292">
        <f t="shared" ref="AG327:AG390" si="138">IF($H327="33382",$F327,0)</f>
        <v>0</v>
      </c>
      <c r="AH327" s="292">
        <f t="shared" ref="AH327:AH390" si="139">IF($G327="3388",$F327,0)</f>
        <v>0</v>
      </c>
      <c r="AI327" s="292">
        <f t="shared" ref="AI327:AI390" si="140">IF($H327="3388",$F327,0)</f>
        <v>0</v>
      </c>
      <c r="AJ327" s="292">
        <f t="shared" ref="AJ327:AJ390" si="141">IF($G327="3411",$F327,0)</f>
        <v>0</v>
      </c>
      <c r="AK327" s="292">
        <f t="shared" ref="AK327:AK390" si="142">IF($H327="3411",$F327,0)</f>
        <v>0</v>
      </c>
      <c r="AL327" s="292">
        <f t="shared" si="116"/>
        <v>0</v>
      </c>
      <c r="AM327" s="292">
        <f t="shared" si="117"/>
        <v>0</v>
      </c>
      <c r="AN327" s="292">
        <f t="shared" ref="AN327:AN390" si="143">IF($G327="4111",$F327,0)</f>
        <v>0</v>
      </c>
      <c r="AO327" s="292">
        <f t="shared" ref="AO327:AO390" si="144">IF($H327="4111",$F327,0)</f>
        <v>0</v>
      </c>
      <c r="AP327" s="292">
        <f t="shared" ref="AP327:AP390" si="145">IF($G327="4211",$F327,0)</f>
        <v>0</v>
      </c>
      <c r="AQ327" s="292">
        <f t="shared" ref="AQ327:AQ390" si="146">IF($H327="4211",$F327,0)</f>
        <v>0</v>
      </c>
      <c r="AR327" s="292">
        <f t="shared" ref="AR327:AR390" si="147">IF($G327="4212",$F327,0)</f>
        <v>0</v>
      </c>
      <c r="AS327" s="292">
        <f t="shared" ref="AS327:AS390" si="148">IF($H327="4212",$F327,0)</f>
        <v>0</v>
      </c>
      <c r="AT327" s="292">
        <f t="shared" ref="AT327:AT390" si="149">IF($G327="515",$F327,0)</f>
        <v>0</v>
      </c>
      <c r="AU327" s="292">
        <f t="shared" ref="AU327:AU390" si="150">IF($H327="515",$F327,0)</f>
        <v>0</v>
      </c>
      <c r="AV327" s="292">
        <f t="shared" ref="AV327:AV390" si="151">IF($G327="635",$F327,0)</f>
        <v>6557460</v>
      </c>
      <c r="AW327" s="292">
        <f t="shared" ref="AW327:AW390" si="152">IF($H327="635",$F327,0)</f>
        <v>0</v>
      </c>
      <c r="AX327" s="292">
        <f t="shared" ref="AX327:AX390" si="153">IF($G327="642",$F327,0)</f>
        <v>0</v>
      </c>
      <c r="AY327" s="292">
        <f t="shared" ref="AY327:AY390" si="154">IF($H327="642",$F327,0)</f>
        <v>0</v>
      </c>
      <c r="AZ327" s="292">
        <f t="shared" ref="AZ327:AZ390" si="155">IF($G327="711",$F327,0)</f>
        <v>0</v>
      </c>
      <c r="BA327" s="292">
        <f t="shared" ref="BA327:BA390" si="156">IF($H327="711",$F327,0)</f>
        <v>0</v>
      </c>
      <c r="BB327" s="292">
        <f t="shared" ref="BB327:BB390" si="157">IF($G327="811",$F327,0)</f>
        <v>0</v>
      </c>
      <c r="BC327" s="292">
        <f t="shared" ref="BC327:BC390" si="158">IF($H327="811",$F327,0)</f>
        <v>0</v>
      </c>
      <c r="BD327" s="292">
        <f t="shared" ref="BD327:BD390" si="159">IF($G327="821",$F327,0)</f>
        <v>0</v>
      </c>
      <c r="BE327" s="292">
        <f t="shared" ref="BE327:BE390" si="160">IF($H327="821",$F327,0)</f>
        <v>0</v>
      </c>
      <c r="BF327" s="292">
        <f t="shared" ref="BF327:BF390" si="161">IF($G327="911",$F327,0)</f>
        <v>0</v>
      </c>
      <c r="BG327" s="292">
        <f t="shared" ref="BG327:BG390" si="162">IF($H327="911",$F327,0)</f>
        <v>0</v>
      </c>
    </row>
    <row r="328" spans="1:59" s="289" customFormat="1" ht="15" customHeight="1">
      <c r="A328" s="63">
        <f t="array" ref="A328">IF(C328&lt;&gt;0,SUM(($C$11:C328&lt;&gt;0)*1),"")</f>
        <v>318</v>
      </c>
      <c r="B328" s="1099">
        <v>42515</v>
      </c>
      <c r="C328" s="290" t="s">
        <v>199</v>
      </c>
      <c r="D328" s="1099">
        <v>42515</v>
      </c>
      <c r="E328" s="344" t="s">
        <v>437</v>
      </c>
      <c r="F328" s="345">
        <v>85000000</v>
      </c>
      <c r="G328" s="346" t="s">
        <v>24</v>
      </c>
      <c r="H328" s="346" t="s">
        <v>97</v>
      </c>
      <c r="I328" s="63">
        <f t="shared" si="124"/>
        <v>318</v>
      </c>
      <c r="J328" s="292">
        <f t="shared" si="125"/>
        <v>0</v>
      </c>
      <c r="K328" s="292">
        <f t="shared" si="126"/>
        <v>85000000</v>
      </c>
      <c r="L328" s="292">
        <f t="shared" si="127"/>
        <v>0</v>
      </c>
      <c r="M328" s="292">
        <f t="shared" si="128"/>
        <v>0</v>
      </c>
      <c r="N328" s="292">
        <f t="shared" ref="N328:N391" si="163">IF($G328="1122",$F328,0)</f>
        <v>0</v>
      </c>
      <c r="O328" s="292">
        <f t="shared" ref="O328:O391" si="164">IF($H328="1122",$F328,0)</f>
        <v>0</v>
      </c>
      <c r="P328" s="292">
        <f t="shared" si="129"/>
        <v>0</v>
      </c>
      <c r="Q328" s="292">
        <f t="shared" si="130"/>
        <v>0</v>
      </c>
      <c r="R328" s="292">
        <f t="shared" si="118"/>
        <v>0</v>
      </c>
      <c r="S328" s="292">
        <f t="shared" si="119"/>
        <v>0</v>
      </c>
      <c r="T328" s="292">
        <f t="shared" si="131"/>
        <v>0</v>
      </c>
      <c r="U328" s="292">
        <f t="shared" si="132"/>
        <v>0</v>
      </c>
      <c r="V328" s="292">
        <f t="shared" si="120"/>
        <v>0</v>
      </c>
      <c r="W328" s="292">
        <f t="shared" si="121"/>
        <v>0</v>
      </c>
      <c r="X328" s="292">
        <f t="shared" si="122"/>
        <v>0</v>
      </c>
      <c r="Y328" s="292">
        <f t="shared" si="123"/>
        <v>0</v>
      </c>
      <c r="Z328" s="292">
        <f t="shared" ref="Z328:Z391" si="165">IF($G328="2412",$F328,0)</f>
        <v>0</v>
      </c>
      <c r="AA328" s="292">
        <f t="shared" ref="AA328:AA391" si="166">IF($H328="2412",$F328,0)</f>
        <v>0</v>
      </c>
      <c r="AB328" s="292">
        <f t="shared" si="133"/>
        <v>0</v>
      </c>
      <c r="AC328" s="292">
        <f t="shared" si="134"/>
        <v>0</v>
      </c>
      <c r="AD328" s="292">
        <f t="shared" si="135"/>
        <v>0</v>
      </c>
      <c r="AE328" s="292">
        <f t="shared" si="136"/>
        <v>0</v>
      </c>
      <c r="AF328" s="292">
        <f t="shared" si="137"/>
        <v>0</v>
      </c>
      <c r="AG328" s="292">
        <f t="shared" si="138"/>
        <v>0</v>
      </c>
      <c r="AH328" s="292">
        <f t="shared" si="139"/>
        <v>85000000</v>
      </c>
      <c r="AI328" s="292">
        <f t="shared" si="140"/>
        <v>0</v>
      </c>
      <c r="AJ328" s="292">
        <f t="shared" si="141"/>
        <v>0</v>
      </c>
      <c r="AK328" s="292">
        <f t="shared" si="142"/>
        <v>0</v>
      </c>
      <c r="AL328" s="292">
        <f t="shared" ref="AL328:AL391" si="167">IF($G328="3412",$F328,0)</f>
        <v>0</v>
      </c>
      <c r="AM328" s="292">
        <f t="shared" ref="AM328:AM391" si="168">IF($H328="3412",$F328,0)</f>
        <v>0</v>
      </c>
      <c r="AN328" s="292">
        <f t="shared" si="143"/>
        <v>0</v>
      </c>
      <c r="AO328" s="292">
        <f t="shared" si="144"/>
        <v>0</v>
      </c>
      <c r="AP328" s="292">
        <f t="shared" si="145"/>
        <v>0</v>
      </c>
      <c r="AQ328" s="292">
        <f t="shared" si="146"/>
        <v>0</v>
      </c>
      <c r="AR328" s="292">
        <f t="shared" si="147"/>
        <v>0</v>
      </c>
      <c r="AS328" s="292">
        <f t="shared" si="148"/>
        <v>0</v>
      </c>
      <c r="AT328" s="292">
        <f t="shared" si="149"/>
        <v>0</v>
      </c>
      <c r="AU328" s="292">
        <f t="shared" si="150"/>
        <v>0</v>
      </c>
      <c r="AV328" s="292">
        <f t="shared" si="151"/>
        <v>0</v>
      </c>
      <c r="AW328" s="292">
        <f t="shared" si="152"/>
        <v>0</v>
      </c>
      <c r="AX328" s="292">
        <f t="shared" si="153"/>
        <v>0</v>
      </c>
      <c r="AY328" s="292">
        <f t="shared" si="154"/>
        <v>0</v>
      </c>
      <c r="AZ328" s="292">
        <f t="shared" si="155"/>
        <v>0</v>
      </c>
      <c r="BA328" s="292">
        <f t="shared" si="156"/>
        <v>0</v>
      </c>
      <c r="BB328" s="292">
        <f t="shared" si="157"/>
        <v>0</v>
      </c>
      <c r="BC328" s="292">
        <f t="shared" si="158"/>
        <v>0</v>
      </c>
      <c r="BD328" s="292">
        <f t="shared" si="159"/>
        <v>0</v>
      </c>
      <c r="BE328" s="292">
        <f t="shared" si="160"/>
        <v>0</v>
      </c>
      <c r="BF328" s="292">
        <f t="shared" si="161"/>
        <v>0</v>
      </c>
      <c r="BG328" s="292">
        <f t="shared" si="162"/>
        <v>0</v>
      </c>
    </row>
    <row r="329" spans="1:59" s="289" customFormat="1" ht="15" customHeight="1">
      <c r="A329" s="63">
        <f t="array" ref="A329">IF(C329&lt;&gt;0,SUM(($C$11:C329&lt;&gt;0)*1),"")</f>
        <v>319</v>
      </c>
      <c r="B329" s="1099">
        <v>42515</v>
      </c>
      <c r="C329" s="290" t="s">
        <v>747</v>
      </c>
      <c r="D329" s="1099">
        <v>42515</v>
      </c>
      <c r="E329" s="344" t="s">
        <v>410</v>
      </c>
      <c r="F329" s="345">
        <v>40000000</v>
      </c>
      <c r="G329" s="346" t="s">
        <v>31</v>
      </c>
      <c r="H329" s="346" t="s">
        <v>97</v>
      </c>
      <c r="I329" s="63">
        <f t="shared" si="124"/>
        <v>319</v>
      </c>
      <c r="J329" s="292">
        <f t="shared" si="125"/>
        <v>0</v>
      </c>
      <c r="K329" s="292">
        <f t="shared" si="126"/>
        <v>40000000</v>
      </c>
      <c r="L329" s="292">
        <f t="shared" si="127"/>
        <v>40000000</v>
      </c>
      <c r="M329" s="292">
        <f t="shared" si="128"/>
        <v>0</v>
      </c>
      <c r="N329" s="292">
        <f t="shared" si="163"/>
        <v>0</v>
      </c>
      <c r="O329" s="292">
        <f t="shared" si="164"/>
        <v>0</v>
      </c>
      <c r="P329" s="292">
        <f t="shared" si="129"/>
        <v>0</v>
      </c>
      <c r="Q329" s="292">
        <f t="shared" si="130"/>
        <v>0</v>
      </c>
      <c r="R329" s="292">
        <f t="shared" si="118"/>
        <v>0</v>
      </c>
      <c r="S329" s="292">
        <f t="shared" si="119"/>
        <v>0</v>
      </c>
      <c r="T329" s="292">
        <f t="shared" si="131"/>
        <v>0</v>
      </c>
      <c r="U329" s="292">
        <f t="shared" si="132"/>
        <v>0</v>
      </c>
      <c r="V329" s="292">
        <f t="shared" si="120"/>
        <v>0</v>
      </c>
      <c r="W329" s="292">
        <f t="shared" si="121"/>
        <v>0</v>
      </c>
      <c r="X329" s="292">
        <f t="shared" si="122"/>
        <v>0</v>
      </c>
      <c r="Y329" s="292">
        <f t="shared" si="123"/>
        <v>0</v>
      </c>
      <c r="Z329" s="292">
        <f t="shared" si="165"/>
        <v>0</v>
      </c>
      <c r="AA329" s="292">
        <f t="shared" si="166"/>
        <v>0</v>
      </c>
      <c r="AB329" s="292">
        <f t="shared" si="133"/>
        <v>0</v>
      </c>
      <c r="AC329" s="292">
        <f t="shared" si="134"/>
        <v>0</v>
      </c>
      <c r="AD329" s="292">
        <f t="shared" si="135"/>
        <v>0</v>
      </c>
      <c r="AE329" s="292">
        <f t="shared" si="136"/>
        <v>0</v>
      </c>
      <c r="AF329" s="292">
        <f t="shared" si="137"/>
        <v>0</v>
      </c>
      <c r="AG329" s="292">
        <f t="shared" si="138"/>
        <v>0</v>
      </c>
      <c r="AH329" s="292">
        <f t="shared" si="139"/>
        <v>0</v>
      </c>
      <c r="AI329" s="292">
        <f t="shared" si="140"/>
        <v>0</v>
      </c>
      <c r="AJ329" s="292">
        <f t="shared" si="141"/>
        <v>0</v>
      </c>
      <c r="AK329" s="292">
        <f t="shared" si="142"/>
        <v>0</v>
      </c>
      <c r="AL329" s="292">
        <f t="shared" si="167"/>
        <v>0</v>
      </c>
      <c r="AM329" s="292">
        <f t="shared" si="168"/>
        <v>0</v>
      </c>
      <c r="AN329" s="292">
        <f t="shared" si="143"/>
        <v>0</v>
      </c>
      <c r="AO329" s="292">
        <f t="shared" si="144"/>
        <v>0</v>
      </c>
      <c r="AP329" s="292">
        <f t="shared" si="145"/>
        <v>0</v>
      </c>
      <c r="AQ329" s="292">
        <f t="shared" si="146"/>
        <v>0</v>
      </c>
      <c r="AR329" s="292">
        <f t="shared" si="147"/>
        <v>0</v>
      </c>
      <c r="AS329" s="292">
        <f t="shared" si="148"/>
        <v>0</v>
      </c>
      <c r="AT329" s="292">
        <f t="shared" si="149"/>
        <v>0</v>
      </c>
      <c r="AU329" s="292">
        <f t="shared" si="150"/>
        <v>0</v>
      </c>
      <c r="AV329" s="292">
        <f t="shared" si="151"/>
        <v>0</v>
      </c>
      <c r="AW329" s="292">
        <f t="shared" si="152"/>
        <v>0</v>
      </c>
      <c r="AX329" s="292">
        <f t="shared" si="153"/>
        <v>0</v>
      </c>
      <c r="AY329" s="292">
        <f t="shared" si="154"/>
        <v>0</v>
      </c>
      <c r="AZ329" s="292">
        <f t="shared" si="155"/>
        <v>0</v>
      </c>
      <c r="BA329" s="292">
        <f t="shared" si="156"/>
        <v>0</v>
      </c>
      <c r="BB329" s="292">
        <f t="shared" si="157"/>
        <v>0</v>
      </c>
      <c r="BC329" s="292">
        <f t="shared" si="158"/>
        <v>0</v>
      </c>
      <c r="BD329" s="292">
        <f t="shared" si="159"/>
        <v>0</v>
      </c>
      <c r="BE329" s="292">
        <f t="shared" si="160"/>
        <v>0</v>
      </c>
      <c r="BF329" s="292">
        <f t="shared" si="161"/>
        <v>0</v>
      </c>
      <c r="BG329" s="292">
        <f t="shared" si="162"/>
        <v>0</v>
      </c>
    </row>
    <row r="330" spans="1:59" s="289" customFormat="1" ht="15" customHeight="1">
      <c r="A330" s="63">
        <f t="array" ref="A330">IF(C330&lt;&gt;0,SUM(($C$11:C330&lt;&gt;0)*1),"")</f>
        <v>320</v>
      </c>
      <c r="B330" s="1099">
        <v>42515</v>
      </c>
      <c r="C330" s="290" t="s">
        <v>748</v>
      </c>
      <c r="D330" s="1099">
        <v>42515</v>
      </c>
      <c r="E330" s="344" t="s">
        <v>968</v>
      </c>
      <c r="F330" s="345">
        <v>10648600</v>
      </c>
      <c r="G330" s="346" t="s">
        <v>135</v>
      </c>
      <c r="H330" s="346" t="s">
        <v>97</v>
      </c>
      <c r="I330" s="63">
        <f t="shared" si="124"/>
        <v>320</v>
      </c>
      <c r="J330" s="292">
        <f t="shared" si="125"/>
        <v>0</v>
      </c>
      <c r="K330" s="292">
        <f t="shared" si="126"/>
        <v>10648600</v>
      </c>
      <c r="L330" s="292">
        <f t="shared" si="127"/>
        <v>0</v>
      </c>
      <c r="M330" s="292">
        <f t="shared" si="128"/>
        <v>0</v>
      </c>
      <c r="N330" s="292">
        <f t="shared" si="163"/>
        <v>0</v>
      </c>
      <c r="O330" s="292">
        <f t="shared" si="164"/>
        <v>0</v>
      </c>
      <c r="P330" s="292">
        <f t="shared" si="129"/>
        <v>0</v>
      </c>
      <c r="Q330" s="292">
        <f t="shared" si="130"/>
        <v>0</v>
      </c>
      <c r="R330" s="292">
        <f t="shared" si="118"/>
        <v>0</v>
      </c>
      <c r="S330" s="292">
        <f t="shared" si="119"/>
        <v>0</v>
      </c>
      <c r="T330" s="292">
        <f t="shared" si="131"/>
        <v>0</v>
      </c>
      <c r="U330" s="292">
        <f t="shared" si="132"/>
        <v>0</v>
      </c>
      <c r="V330" s="292">
        <f t="shared" si="120"/>
        <v>0</v>
      </c>
      <c r="W330" s="292">
        <f t="shared" si="121"/>
        <v>0</v>
      </c>
      <c r="X330" s="292">
        <f t="shared" si="122"/>
        <v>0</v>
      </c>
      <c r="Y330" s="292">
        <f t="shared" si="123"/>
        <v>0</v>
      </c>
      <c r="Z330" s="292">
        <f t="shared" si="165"/>
        <v>0</v>
      </c>
      <c r="AA330" s="292">
        <f t="shared" si="166"/>
        <v>0</v>
      </c>
      <c r="AB330" s="292">
        <f t="shared" si="133"/>
        <v>0</v>
      </c>
      <c r="AC330" s="292">
        <f t="shared" si="134"/>
        <v>0</v>
      </c>
      <c r="AD330" s="292">
        <f t="shared" si="135"/>
        <v>0</v>
      </c>
      <c r="AE330" s="292">
        <f t="shared" si="136"/>
        <v>0</v>
      </c>
      <c r="AF330" s="292">
        <f t="shared" si="137"/>
        <v>0</v>
      </c>
      <c r="AG330" s="292">
        <f t="shared" si="138"/>
        <v>0</v>
      </c>
      <c r="AH330" s="292">
        <f t="shared" si="139"/>
        <v>0</v>
      </c>
      <c r="AI330" s="292">
        <f t="shared" si="140"/>
        <v>0</v>
      </c>
      <c r="AJ330" s="292">
        <f t="shared" si="141"/>
        <v>0</v>
      </c>
      <c r="AK330" s="292">
        <f t="shared" si="142"/>
        <v>0</v>
      </c>
      <c r="AL330" s="292">
        <f t="shared" si="167"/>
        <v>0</v>
      </c>
      <c r="AM330" s="292">
        <f t="shared" si="168"/>
        <v>0</v>
      </c>
      <c r="AN330" s="292">
        <f t="shared" si="143"/>
        <v>0</v>
      </c>
      <c r="AO330" s="292">
        <f t="shared" si="144"/>
        <v>0</v>
      </c>
      <c r="AP330" s="292">
        <f t="shared" si="145"/>
        <v>0</v>
      </c>
      <c r="AQ330" s="292">
        <f t="shared" si="146"/>
        <v>0</v>
      </c>
      <c r="AR330" s="292">
        <f t="shared" si="147"/>
        <v>0</v>
      </c>
      <c r="AS330" s="292">
        <f t="shared" si="148"/>
        <v>0</v>
      </c>
      <c r="AT330" s="292">
        <f t="shared" si="149"/>
        <v>0</v>
      </c>
      <c r="AU330" s="292">
        <f t="shared" si="150"/>
        <v>0</v>
      </c>
      <c r="AV330" s="292">
        <f t="shared" si="151"/>
        <v>0</v>
      </c>
      <c r="AW330" s="292">
        <f t="shared" si="152"/>
        <v>0</v>
      </c>
      <c r="AX330" s="292">
        <f t="shared" si="153"/>
        <v>10648600</v>
      </c>
      <c r="AY330" s="292">
        <f t="shared" si="154"/>
        <v>0</v>
      </c>
      <c r="AZ330" s="292">
        <f t="shared" si="155"/>
        <v>0</v>
      </c>
      <c r="BA330" s="292">
        <f t="shared" si="156"/>
        <v>0</v>
      </c>
      <c r="BB330" s="292">
        <f t="shared" si="157"/>
        <v>0</v>
      </c>
      <c r="BC330" s="292">
        <f t="shared" si="158"/>
        <v>0</v>
      </c>
      <c r="BD330" s="292">
        <f t="shared" si="159"/>
        <v>0</v>
      </c>
      <c r="BE330" s="292">
        <f t="shared" si="160"/>
        <v>0</v>
      </c>
      <c r="BF330" s="292">
        <f t="shared" si="161"/>
        <v>0</v>
      </c>
      <c r="BG330" s="292">
        <f t="shared" si="162"/>
        <v>0</v>
      </c>
    </row>
    <row r="331" spans="1:59" s="289" customFormat="1" ht="15" customHeight="1">
      <c r="A331" s="63">
        <f t="array" ref="A331">IF(C331&lt;&gt;0,SUM(($C$11:C331&lt;&gt;0)*1),"")</f>
        <v>321</v>
      </c>
      <c r="B331" s="1099">
        <v>42515</v>
      </c>
      <c r="C331" s="290" t="s">
        <v>748</v>
      </c>
      <c r="D331" s="1099">
        <v>42515</v>
      </c>
      <c r="E331" s="344" t="s">
        <v>969</v>
      </c>
      <c r="F331" s="345">
        <v>532430</v>
      </c>
      <c r="G331" s="346" t="s">
        <v>10</v>
      </c>
      <c r="H331" s="346" t="s">
        <v>97</v>
      </c>
      <c r="I331" s="63">
        <f t="shared" si="124"/>
        <v>321</v>
      </c>
      <c r="J331" s="292">
        <f t="shared" si="125"/>
        <v>0</v>
      </c>
      <c r="K331" s="292">
        <f t="shared" si="126"/>
        <v>532430</v>
      </c>
      <c r="L331" s="292">
        <f t="shared" si="127"/>
        <v>0</v>
      </c>
      <c r="M331" s="292">
        <f t="shared" si="128"/>
        <v>0</v>
      </c>
      <c r="N331" s="292">
        <f t="shared" si="163"/>
        <v>0</v>
      </c>
      <c r="O331" s="292">
        <f t="shared" si="164"/>
        <v>0</v>
      </c>
      <c r="P331" s="292">
        <f t="shared" si="129"/>
        <v>532430</v>
      </c>
      <c r="Q331" s="292">
        <f t="shared" si="130"/>
        <v>0</v>
      </c>
      <c r="R331" s="292">
        <f t="shared" si="118"/>
        <v>0</v>
      </c>
      <c r="S331" s="292">
        <f t="shared" si="119"/>
        <v>0</v>
      </c>
      <c r="T331" s="292">
        <f t="shared" si="131"/>
        <v>0</v>
      </c>
      <c r="U331" s="292">
        <f t="shared" si="132"/>
        <v>0</v>
      </c>
      <c r="V331" s="292">
        <f t="shared" si="120"/>
        <v>0</v>
      </c>
      <c r="W331" s="292">
        <f t="shared" si="121"/>
        <v>0</v>
      </c>
      <c r="X331" s="292">
        <f t="shared" si="122"/>
        <v>0</v>
      </c>
      <c r="Y331" s="292">
        <f t="shared" si="123"/>
        <v>0</v>
      </c>
      <c r="Z331" s="292">
        <f t="shared" si="165"/>
        <v>0</v>
      </c>
      <c r="AA331" s="292">
        <f t="shared" si="166"/>
        <v>0</v>
      </c>
      <c r="AB331" s="292">
        <f t="shared" si="133"/>
        <v>0</v>
      </c>
      <c r="AC331" s="292">
        <f t="shared" si="134"/>
        <v>0</v>
      </c>
      <c r="AD331" s="292">
        <f t="shared" si="135"/>
        <v>0</v>
      </c>
      <c r="AE331" s="292">
        <f t="shared" si="136"/>
        <v>0</v>
      </c>
      <c r="AF331" s="292">
        <f t="shared" si="137"/>
        <v>0</v>
      </c>
      <c r="AG331" s="292">
        <f t="shared" si="138"/>
        <v>0</v>
      </c>
      <c r="AH331" s="292">
        <f t="shared" si="139"/>
        <v>0</v>
      </c>
      <c r="AI331" s="292">
        <f t="shared" si="140"/>
        <v>0</v>
      </c>
      <c r="AJ331" s="292">
        <f t="shared" si="141"/>
        <v>0</v>
      </c>
      <c r="AK331" s="292">
        <f t="shared" si="142"/>
        <v>0</v>
      </c>
      <c r="AL331" s="292">
        <f t="shared" si="167"/>
        <v>0</v>
      </c>
      <c r="AM331" s="292">
        <f t="shared" si="168"/>
        <v>0</v>
      </c>
      <c r="AN331" s="292">
        <f t="shared" si="143"/>
        <v>0</v>
      </c>
      <c r="AO331" s="292">
        <f t="shared" si="144"/>
        <v>0</v>
      </c>
      <c r="AP331" s="292">
        <f t="shared" si="145"/>
        <v>0</v>
      </c>
      <c r="AQ331" s="292">
        <f t="shared" si="146"/>
        <v>0</v>
      </c>
      <c r="AR331" s="292">
        <f t="shared" si="147"/>
        <v>0</v>
      </c>
      <c r="AS331" s="292">
        <f t="shared" si="148"/>
        <v>0</v>
      </c>
      <c r="AT331" s="292">
        <f t="shared" si="149"/>
        <v>0</v>
      </c>
      <c r="AU331" s="292">
        <f t="shared" si="150"/>
        <v>0</v>
      </c>
      <c r="AV331" s="292">
        <f t="shared" si="151"/>
        <v>0</v>
      </c>
      <c r="AW331" s="292">
        <f t="shared" si="152"/>
        <v>0</v>
      </c>
      <c r="AX331" s="292">
        <f t="shared" si="153"/>
        <v>0</v>
      </c>
      <c r="AY331" s="292">
        <f t="shared" si="154"/>
        <v>0</v>
      </c>
      <c r="AZ331" s="292">
        <f t="shared" si="155"/>
        <v>0</v>
      </c>
      <c r="BA331" s="292">
        <f t="shared" si="156"/>
        <v>0</v>
      </c>
      <c r="BB331" s="292">
        <f t="shared" si="157"/>
        <v>0</v>
      </c>
      <c r="BC331" s="292">
        <f t="shared" si="158"/>
        <v>0</v>
      </c>
      <c r="BD331" s="292">
        <f t="shared" si="159"/>
        <v>0</v>
      </c>
      <c r="BE331" s="292">
        <f t="shared" si="160"/>
        <v>0</v>
      </c>
      <c r="BF331" s="292">
        <f t="shared" si="161"/>
        <v>0</v>
      </c>
      <c r="BG331" s="292">
        <f t="shared" si="162"/>
        <v>0</v>
      </c>
    </row>
    <row r="332" spans="1:59" s="289" customFormat="1" ht="15" customHeight="1">
      <c r="A332" s="63">
        <f t="array" ref="A332">IF(C332&lt;&gt;0,SUM(($C$11:C332&lt;&gt;0)*1),"")</f>
        <v>322</v>
      </c>
      <c r="B332" s="1099">
        <v>42515</v>
      </c>
      <c r="C332" s="290" t="s">
        <v>12</v>
      </c>
      <c r="D332" s="1099">
        <v>42515</v>
      </c>
      <c r="E332" s="344" t="s">
        <v>788</v>
      </c>
      <c r="F332" s="345">
        <v>85000000</v>
      </c>
      <c r="G332" s="346" t="s">
        <v>31</v>
      </c>
      <c r="H332" s="346" t="s">
        <v>24</v>
      </c>
      <c r="I332" s="63">
        <f t="shared" si="124"/>
        <v>322</v>
      </c>
      <c r="J332" s="292">
        <f t="shared" si="125"/>
        <v>0</v>
      </c>
      <c r="K332" s="292">
        <f t="shared" si="126"/>
        <v>0</v>
      </c>
      <c r="L332" s="292">
        <f t="shared" si="127"/>
        <v>85000000</v>
      </c>
      <c r="M332" s="292">
        <f t="shared" si="128"/>
        <v>0</v>
      </c>
      <c r="N332" s="292">
        <f t="shared" si="163"/>
        <v>0</v>
      </c>
      <c r="O332" s="292">
        <f t="shared" si="164"/>
        <v>0</v>
      </c>
      <c r="P332" s="292">
        <f t="shared" si="129"/>
        <v>0</v>
      </c>
      <c r="Q332" s="292">
        <f t="shared" si="130"/>
        <v>0</v>
      </c>
      <c r="R332" s="292">
        <f t="shared" ref="R332:R395" si="169">IF($G332="1332",$F332,0)</f>
        <v>0</v>
      </c>
      <c r="S332" s="292">
        <f t="shared" ref="S332:S395" si="170">IF($H332="1332",$F332,0)</f>
        <v>0</v>
      </c>
      <c r="T332" s="292">
        <f t="shared" si="131"/>
        <v>0</v>
      </c>
      <c r="U332" s="292">
        <f t="shared" si="132"/>
        <v>0</v>
      </c>
      <c r="V332" s="292">
        <f t="shared" ref="V332:V395" si="171">IF($G332="1522",$F332,0)</f>
        <v>0</v>
      </c>
      <c r="W332" s="292">
        <f t="shared" ref="W332:W395" si="172">IF($H332="1522",$F332,0)</f>
        <v>0</v>
      </c>
      <c r="X332" s="292">
        <f t="shared" ref="X332:X395" si="173">IF($G332="154",$F332,0)</f>
        <v>0</v>
      </c>
      <c r="Y332" s="292">
        <f t="shared" ref="Y332:Y395" si="174">IF($H332="154",$F332,0)</f>
        <v>0</v>
      </c>
      <c r="Z332" s="292">
        <f t="shared" si="165"/>
        <v>0</v>
      </c>
      <c r="AA332" s="292">
        <f t="shared" si="166"/>
        <v>0</v>
      </c>
      <c r="AB332" s="292">
        <f t="shared" si="133"/>
        <v>0</v>
      </c>
      <c r="AC332" s="292">
        <f t="shared" si="134"/>
        <v>0</v>
      </c>
      <c r="AD332" s="292">
        <f t="shared" si="135"/>
        <v>0</v>
      </c>
      <c r="AE332" s="292">
        <f t="shared" si="136"/>
        <v>0</v>
      </c>
      <c r="AF332" s="292">
        <f t="shared" si="137"/>
        <v>0</v>
      </c>
      <c r="AG332" s="292">
        <f t="shared" si="138"/>
        <v>0</v>
      </c>
      <c r="AH332" s="292">
        <f t="shared" si="139"/>
        <v>0</v>
      </c>
      <c r="AI332" s="292">
        <f t="shared" si="140"/>
        <v>85000000</v>
      </c>
      <c r="AJ332" s="292">
        <f t="shared" si="141"/>
        <v>0</v>
      </c>
      <c r="AK332" s="292">
        <f t="shared" si="142"/>
        <v>0</v>
      </c>
      <c r="AL332" s="292">
        <f t="shared" si="167"/>
        <v>0</v>
      </c>
      <c r="AM332" s="292">
        <f t="shared" si="168"/>
        <v>0</v>
      </c>
      <c r="AN332" s="292">
        <f t="shared" si="143"/>
        <v>0</v>
      </c>
      <c r="AO332" s="292">
        <f t="shared" si="144"/>
        <v>0</v>
      </c>
      <c r="AP332" s="292">
        <f t="shared" si="145"/>
        <v>0</v>
      </c>
      <c r="AQ332" s="292">
        <f t="shared" si="146"/>
        <v>0</v>
      </c>
      <c r="AR332" s="292">
        <f t="shared" si="147"/>
        <v>0</v>
      </c>
      <c r="AS332" s="292">
        <f t="shared" si="148"/>
        <v>0</v>
      </c>
      <c r="AT332" s="292">
        <f t="shared" si="149"/>
        <v>0</v>
      </c>
      <c r="AU332" s="292">
        <f t="shared" si="150"/>
        <v>0</v>
      </c>
      <c r="AV332" s="292">
        <f t="shared" si="151"/>
        <v>0</v>
      </c>
      <c r="AW332" s="292">
        <f t="shared" si="152"/>
        <v>0</v>
      </c>
      <c r="AX332" s="292">
        <f t="shared" si="153"/>
        <v>0</v>
      </c>
      <c r="AY332" s="292">
        <f t="shared" si="154"/>
        <v>0</v>
      </c>
      <c r="AZ332" s="292">
        <f t="shared" si="155"/>
        <v>0</v>
      </c>
      <c r="BA332" s="292">
        <f t="shared" si="156"/>
        <v>0</v>
      </c>
      <c r="BB332" s="292">
        <f t="shared" si="157"/>
        <v>0</v>
      </c>
      <c r="BC332" s="292">
        <f t="shared" si="158"/>
        <v>0</v>
      </c>
      <c r="BD332" s="292">
        <f t="shared" si="159"/>
        <v>0</v>
      </c>
      <c r="BE332" s="292">
        <f t="shared" si="160"/>
        <v>0</v>
      </c>
      <c r="BF332" s="292">
        <f t="shared" si="161"/>
        <v>0</v>
      </c>
      <c r="BG332" s="292">
        <f t="shared" si="162"/>
        <v>0</v>
      </c>
    </row>
    <row r="333" spans="1:59" s="289" customFormat="1" ht="15" customHeight="1">
      <c r="A333" s="63">
        <f t="array" ref="A333">IF(C333&lt;&gt;0,SUM(($C$11:C333&lt;&gt;0)*1),"")</f>
        <v>323</v>
      </c>
      <c r="B333" s="1099">
        <v>42515</v>
      </c>
      <c r="C333" s="290" t="s">
        <v>8</v>
      </c>
      <c r="D333" s="1099">
        <v>42515</v>
      </c>
      <c r="E333" s="344" t="s">
        <v>405</v>
      </c>
      <c r="F333" s="345">
        <v>7935469</v>
      </c>
      <c r="G333" s="346" t="s">
        <v>133</v>
      </c>
      <c r="H333" s="346" t="s">
        <v>31</v>
      </c>
      <c r="I333" s="63">
        <f t="shared" si="124"/>
        <v>323</v>
      </c>
      <c r="J333" s="292">
        <f t="shared" si="125"/>
        <v>0</v>
      </c>
      <c r="K333" s="292">
        <f t="shared" si="126"/>
        <v>0</v>
      </c>
      <c r="L333" s="292">
        <f t="shared" si="127"/>
        <v>0</v>
      </c>
      <c r="M333" s="292">
        <f t="shared" si="128"/>
        <v>7935469</v>
      </c>
      <c r="N333" s="292">
        <f t="shared" si="163"/>
        <v>0</v>
      </c>
      <c r="O333" s="292">
        <f t="shared" si="164"/>
        <v>0</v>
      </c>
      <c r="P333" s="292">
        <f t="shared" si="129"/>
        <v>0</v>
      </c>
      <c r="Q333" s="292">
        <f t="shared" si="130"/>
        <v>0</v>
      </c>
      <c r="R333" s="292">
        <f t="shared" si="169"/>
        <v>0</v>
      </c>
      <c r="S333" s="292">
        <f t="shared" si="170"/>
        <v>0</v>
      </c>
      <c r="T333" s="292">
        <f t="shared" si="131"/>
        <v>0</v>
      </c>
      <c r="U333" s="292">
        <f t="shared" si="132"/>
        <v>0</v>
      </c>
      <c r="V333" s="292">
        <f t="shared" si="171"/>
        <v>0</v>
      </c>
      <c r="W333" s="292">
        <f t="shared" si="172"/>
        <v>0</v>
      </c>
      <c r="X333" s="292">
        <f t="shared" si="173"/>
        <v>0</v>
      </c>
      <c r="Y333" s="292">
        <f t="shared" si="174"/>
        <v>0</v>
      </c>
      <c r="Z333" s="292">
        <f t="shared" si="165"/>
        <v>0</v>
      </c>
      <c r="AA333" s="292">
        <f t="shared" si="166"/>
        <v>0</v>
      </c>
      <c r="AB333" s="292">
        <f t="shared" si="133"/>
        <v>0</v>
      </c>
      <c r="AC333" s="292">
        <f t="shared" si="134"/>
        <v>0</v>
      </c>
      <c r="AD333" s="292">
        <f t="shared" si="135"/>
        <v>0</v>
      </c>
      <c r="AE333" s="292">
        <f t="shared" si="136"/>
        <v>0</v>
      </c>
      <c r="AF333" s="292">
        <f t="shared" si="137"/>
        <v>0</v>
      </c>
      <c r="AG333" s="292">
        <f t="shared" si="138"/>
        <v>0</v>
      </c>
      <c r="AH333" s="292">
        <f t="shared" si="139"/>
        <v>0</v>
      </c>
      <c r="AI333" s="292">
        <f t="shared" si="140"/>
        <v>0</v>
      </c>
      <c r="AJ333" s="292">
        <f t="shared" si="141"/>
        <v>0</v>
      </c>
      <c r="AK333" s="292">
        <f t="shared" si="142"/>
        <v>0</v>
      </c>
      <c r="AL333" s="292">
        <f t="shared" si="167"/>
        <v>0</v>
      </c>
      <c r="AM333" s="292">
        <f t="shared" si="168"/>
        <v>0</v>
      </c>
      <c r="AN333" s="292">
        <f t="shared" si="143"/>
        <v>0</v>
      </c>
      <c r="AO333" s="292">
        <f t="shared" si="144"/>
        <v>0</v>
      </c>
      <c r="AP333" s="292">
        <f t="shared" si="145"/>
        <v>0</v>
      </c>
      <c r="AQ333" s="292">
        <f t="shared" si="146"/>
        <v>0</v>
      </c>
      <c r="AR333" s="292">
        <f t="shared" si="147"/>
        <v>0</v>
      </c>
      <c r="AS333" s="292">
        <f t="shared" si="148"/>
        <v>0</v>
      </c>
      <c r="AT333" s="292">
        <f t="shared" si="149"/>
        <v>0</v>
      </c>
      <c r="AU333" s="292">
        <f t="shared" si="150"/>
        <v>0</v>
      </c>
      <c r="AV333" s="292">
        <f t="shared" si="151"/>
        <v>7935469</v>
      </c>
      <c r="AW333" s="292">
        <f t="shared" si="152"/>
        <v>0</v>
      </c>
      <c r="AX333" s="292">
        <f t="shared" si="153"/>
        <v>0</v>
      </c>
      <c r="AY333" s="292">
        <f t="shared" si="154"/>
        <v>0</v>
      </c>
      <c r="AZ333" s="292">
        <f t="shared" si="155"/>
        <v>0</v>
      </c>
      <c r="BA333" s="292">
        <f t="shared" si="156"/>
        <v>0</v>
      </c>
      <c r="BB333" s="292">
        <f t="shared" si="157"/>
        <v>0</v>
      </c>
      <c r="BC333" s="292">
        <f t="shared" si="158"/>
        <v>0</v>
      </c>
      <c r="BD333" s="292">
        <f t="shared" si="159"/>
        <v>0</v>
      </c>
      <c r="BE333" s="292">
        <f t="shared" si="160"/>
        <v>0</v>
      </c>
      <c r="BF333" s="292">
        <f t="shared" si="161"/>
        <v>0</v>
      </c>
      <c r="BG333" s="292">
        <f t="shared" si="162"/>
        <v>0</v>
      </c>
    </row>
    <row r="334" spans="1:59" s="289" customFormat="1" ht="15" customHeight="1">
      <c r="A334" s="63">
        <f t="array" ref="A334">IF(C334&lt;&gt;0,SUM(($C$11:C334&lt;&gt;0)*1),"")</f>
        <v>324</v>
      </c>
      <c r="B334" s="1099">
        <v>42515</v>
      </c>
      <c r="C334" s="290" t="s">
        <v>8</v>
      </c>
      <c r="D334" s="1099">
        <v>42515</v>
      </c>
      <c r="E334" s="344" t="s">
        <v>405</v>
      </c>
      <c r="F334" s="345">
        <v>15870937</v>
      </c>
      <c r="G334" s="346" t="s">
        <v>133</v>
      </c>
      <c r="H334" s="346" t="s">
        <v>31</v>
      </c>
      <c r="I334" s="63">
        <f t="shared" si="124"/>
        <v>324</v>
      </c>
      <c r="J334" s="292">
        <f t="shared" si="125"/>
        <v>0</v>
      </c>
      <c r="K334" s="292">
        <f t="shared" si="126"/>
        <v>0</v>
      </c>
      <c r="L334" s="292">
        <f t="shared" si="127"/>
        <v>0</v>
      </c>
      <c r="M334" s="292">
        <f t="shared" si="128"/>
        <v>15870937</v>
      </c>
      <c r="N334" s="292">
        <f t="shared" si="163"/>
        <v>0</v>
      </c>
      <c r="O334" s="292">
        <f t="shared" si="164"/>
        <v>0</v>
      </c>
      <c r="P334" s="292">
        <f t="shared" si="129"/>
        <v>0</v>
      </c>
      <c r="Q334" s="292">
        <f t="shared" si="130"/>
        <v>0</v>
      </c>
      <c r="R334" s="292">
        <f t="shared" si="169"/>
        <v>0</v>
      </c>
      <c r="S334" s="292">
        <f t="shared" si="170"/>
        <v>0</v>
      </c>
      <c r="T334" s="292">
        <f t="shared" si="131"/>
        <v>0</v>
      </c>
      <c r="U334" s="292">
        <f t="shared" si="132"/>
        <v>0</v>
      </c>
      <c r="V334" s="292">
        <f t="shared" si="171"/>
        <v>0</v>
      </c>
      <c r="W334" s="292">
        <f t="shared" si="172"/>
        <v>0</v>
      </c>
      <c r="X334" s="292">
        <f t="shared" si="173"/>
        <v>0</v>
      </c>
      <c r="Y334" s="292">
        <f t="shared" si="174"/>
        <v>0</v>
      </c>
      <c r="Z334" s="292">
        <f t="shared" si="165"/>
        <v>0</v>
      </c>
      <c r="AA334" s="292">
        <f t="shared" si="166"/>
        <v>0</v>
      </c>
      <c r="AB334" s="292">
        <f t="shared" si="133"/>
        <v>0</v>
      </c>
      <c r="AC334" s="292">
        <f t="shared" si="134"/>
        <v>0</v>
      </c>
      <c r="AD334" s="292">
        <f t="shared" si="135"/>
        <v>0</v>
      </c>
      <c r="AE334" s="292">
        <f t="shared" si="136"/>
        <v>0</v>
      </c>
      <c r="AF334" s="292">
        <f t="shared" si="137"/>
        <v>0</v>
      </c>
      <c r="AG334" s="292">
        <f t="shared" si="138"/>
        <v>0</v>
      </c>
      <c r="AH334" s="292">
        <f t="shared" si="139"/>
        <v>0</v>
      </c>
      <c r="AI334" s="292">
        <f t="shared" si="140"/>
        <v>0</v>
      </c>
      <c r="AJ334" s="292">
        <f t="shared" si="141"/>
        <v>0</v>
      </c>
      <c r="AK334" s="292">
        <f t="shared" si="142"/>
        <v>0</v>
      </c>
      <c r="AL334" s="292">
        <f t="shared" si="167"/>
        <v>0</v>
      </c>
      <c r="AM334" s="292">
        <f t="shared" si="168"/>
        <v>0</v>
      </c>
      <c r="AN334" s="292">
        <f t="shared" si="143"/>
        <v>0</v>
      </c>
      <c r="AO334" s="292">
        <f t="shared" si="144"/>
        <v>0</v>
      </c>
      <c r="AP334" s="292">
        <f t="shared" si="145"/>
        <v>0</v>
      </c>
      <c r="AQ334" s="292">
        <f t="shared" si="146"/>
        <v>0</v>
      </c>
      <c r="AR334" s="292">
        <f t="shared" si="147"/>
        <v>0</v>
      </c>
      <c r="AS334" s="292">
        <f t="shared" si="148"/>
        <v>0</v>
      </c>
      <c r="AT334" s="292">
        <f t="shared" si="149"/>
        <v>0</v>
      </c>
      <c r="AU334" s="292">
        <f t="shared" si="150"/>
        <v>0</v>
      </c>
      <c r="AV334" s="292">
        <f t="shared" si="151"/>
        <v>15870937</v>
      </c>
      <c r="AW334" s="292">
        <f t="shared" si="152"/>
        <v>0</v>
      </c>
      <c r="AX334" s="292">
        <f t="shared" si="153"/>
        <v>0</v>
      </c>
      <c r="AY334" s="292">
        <f t="shared" si="154"/>
        <v>0</v>
      </c>
      <c r="AZ334" s="292">
        <f t="shared" si="155"/>
        <v>0</v>
      </c>
      <c r="BA334" s="292">
        <f t="shared" si="156"/>
        <v>0</v>
      </c>
      <c r="BB334" s="292">
        <f t="shared" si="157"/>
        <v>0</v>
      </c>
      <c r="BC334" s="292">
        <f t="shared" si="158"/>
        <v>0</v>
      </c>
      <c r="BD334" s="292">
        <f t="shared" si="159"/>
        <v>0</v>
      </c>
      <c r="BE334" s="292">
        <f t="shared" si="160"/>
        <v>0</v>
      </c>
      <c r="BF334" s="292">
        <f t="shared" si="161"/>
        <v>0</v>
      </c>
      <c r="BG334" s="292">
        <f t="shared" si="162"/>
        <v>0</v>
      </c>
    </row>
    <row r="335" spans="1:59" s="289" customFormat="1" ht="15" customHeight="1">
      <c r="A335" s="63">
        <f t="array" ref="A335">IF(C335&lt;&gt;0,SUM(($C$11:C335&lt;&gt;0)*1),"")</f>
        <v>325</v>
      </c>
      <c r="B335" s="1099">
        <v>42515</v>
      </c>
      <c r="C335" s="290" t="s">
        <v>8</v>
      </c>
      <c r="D335" s="1099">
        <v>42515</v>
      </c>
      <c r="E335" s="344" t="s">
        <v>405</v>
      </c>
      <c r="F335" s="345">
        <v>12696750</v>
      </c>
      <c r="G335" s="346" t="s">
        <v>133</v>
      </c>
      <c r="H335" s="346" t="s">
        <v>31</v>
      </c>
      <c r="I335" s="63">
        <f t="shared" si="124"/>
        <v>325</v>
      </c>
      <c r="J335" s="292">
        <f t="shared" si="125"/>
        <v>0</v>
      </c>
      <c r="K335" s="292">
        <f t="shared" si="126"/>
        <v>0</v>
      </c>
      <c r="L335" s="292">
        <f t="shared" si="127"/>
        <v>0</v>
      </c>
      <c r="M335" s="292">
        <f t="shared" si="128"/>
        <v>12696750</v>
      </c>
      <c r="N335" s="292">
        <f t="shared" si="163"/>
        <v>0</v>
      </c>
      <c r="O335" s="292">
        <f t="shared" si="164"/>
        <v>0</v>
      </c>
      <c r="P335" s="292">
        <f t="shared" si="129"/>
        <v>0</v>
      </c>
      <c r="Q335" s="292">
        <f t="shared" si="130"/>
        <v>0</v>
      </c>
      <c r="R335" s="292">
        <f t="shared" si="169"/>
        <v>0</v>
      </c>
      <c r="S335" s="292">
        <f t="shared" si="170"/>
        <v>0</v>
      </c>
      <c r="T335" s="292">
        <f t="shared" si="131"/>
        <v>0</v>
      </c>
      <c r="U335" s="292">
        <f t="shared" si="132"/>
        <v>0</v>
      </c>
      <c r="V335" s="292">
        <f t="shared" si="171"/>
        <v>0</v>
      </c>
      <c r="W335" s="292">
        <f t="shared" si="172"/>
        <v>0</v>
      </c>
      <c r="X335" s="292">
        <f t="shared" si="173"/>
        <v>0</v>
      </c>
      <c r="Y335" s="292">
        <f t="shared" si="174"/>
        <v>0</v>
      </c>
      <c r="Z335" s="292">
        <f t="shared" si="165"/>
        <v>0</v>
      </c>
      <c r="AA335" s="292">
        <f t="shared" si="166"/>
        <v>0</v>
      </c>
      <c r="AB335" s="292">
        <f t="shared" si="133"/>
        <v>0</v>
      </c>
      <c r="AC335" s="292">
        <f t="shared" si="134"/>
        <v>0</v>
      </c>
      <c r="AD335" s="292">
        <f t="shared" si="135"/>
        <v>0</v>
      </c>
      <c r="AE335" s="292">
        <f t="shared" si="136"/>
        <v>0</v>
      </c>
      <c r="AF335" s="292">
        <f t="shared" si="137"/>
        <v>0</v>
      </c>
      <c r="AG335" s="292">
        <f t="shared" si="138"/>
        <v>0</v>
      </c>
      <c r="AH335" s="292">
        <f t="shared" si="139"/>
        <v>0</v>
      </c>
      <c r="AI335" s="292">
        <f t="shared" si="140"/>
        <v>0</v>
      </c>
      <c r="AJ335" s="292">
        <f t="shared" si="141"/>
        <v>0</v>
      </c>
      <c r="AK335" s="292">
        <f t="shared" si="142"/>
        <v>0</v>
      </c>
      <c r="AL335" s="292">
        <f t="shared" si="167"/>
        <v>0</v>
      </c>
      <c r="AM335" s="292">
        <f t="shared" si="168"/>
        <v>0</v>
      </c>
      <c r="AN335" s="292">
        <f t="shared" si="143"/>
        <v>0</v>
      </c>
      <c r="AO335" s="292">
        <f t="shared" si="144"/>
        <v>0</v>
      </c>
      <c r="AP335" s="292">
        <f t="shared" si="145"/>
        <v>0</v>
      </c>
      <c r="AQ335" s="292">
        <f t="shared" si="146"/>
        <v>0</v>
      </c>
      <c r="AR335" s="292">
        <f t="shared" si="147"/>
        <v>0</v>
      </c>
      <c r="AS335" s="292">
        <f t="shared" si="148"/>
        <v>0</v>
      </c>
      <c r="AT335" s="292">
        <f t="shared" si="149"/>
        <v>0</v>
      </c>
      <c r="AU335" s="292">
        <f t="shared" si="150"/>
        <v>0</v>
      </c>
      <c r="AV335" s="292">
        <f t="shared" si="151"/>
        <v>12696750</v>
      </c>
      <c r="AW335" s="292">
        <f t="shared" si="152"/>
        <v>0</v>
      </c>
      <c r="AX335" s="292">
        <f t="shared" si="153"/>
        <v>0</v>
      </c>
      <c r="AY335" s="292">
        <f t="shared" si="154"/>
        <v>0</v>
      </c>
      <c r="AZ335" s="292">
        <f t="shared" si="155"/>
        <v>0</v>
      </c>
      <c r="BA335" s="292">
        <f t="shared" si="156"/>
        <v>0</v>
      </c>
      <c r="BB335" s="292">
        <f t="shared" si="157"/>
        <v>0</v>
      </c>
      <c r="BC335" s="292">
        <f t="shared" si="158"/>
        <v>0</v>
      </c>
      <c r="BD335" s="292">
        <f t="shared" si="159"/>
        <v>0</v>
      </c>
      <c r="BE335" s="292">
        <f t="shared" si="160"/>
        <v>0</v>
      </c>
      <c r="BF335" s="292">
        <f t="shared" si="161"/>
        <v>0</v>
      </c>
      <c r="BG335" s="292">
        <f t="shared" si="162"/>
        <v>0</v>
      </c>
    </row>
    <row r="336" spans="1:59" s="289" customFormat="1" ht="15" customHeight="1">
      <c r="A336" s="63">
        <f t="array" ref="A336">IF(C336&lt;&gt;0,SUM(($C$11:C336&lt;&gt;0)*1),"")</f>
        <v>326</v>
      </c>
      <c r="B336" s="1099">
        <v>42515</v>
      </c>
      <c r="C336" s="290" t="s">
        <v>8</v>
      </c>
      <c r="D336" s="1099">
        <v>42515</v>
      </c>
      <c r="E336" s="344" t="s">
        <v>405</v>
      </c>
      <c r="F336" s="345">
        <v>11903203</v>
      </c>
      <c r="G336" s="346" t="s">
        <v>133</v>
      </c>
      <c r="H336" s="346" t="s">
        <v>31</v>
      </c>
      <c r="I336" s="63">
        <f t="shared" si="124"/>
        <v>326</v>
      </c>
      <c r="J336" s="292">
        <f t="shared" si="125"/>
        <v>0</v>
      </c>
      <c r="K336" s="292">
        <f t="shared" si="126"/>
        <v>0</v>
      </c>
      <c r="L336" s="292">
        <f t="shared" si="127"/>
        <v>0</v>
      </c>
      <c r="M336" s="292">
        <f t="shared" si="128"/>
        <v>11903203</v>
      </c>
      <c r="N336" s="292">
        <f t="shared" si="163"/>
        <v>0</v>
      </c>
      <c r="O336" s="292">
        <f t="shared" si="164"/>
        <v>0</v>
      </c>
      <c r="P336" s="292">
        <f t="shared" si="129"/>
        <v>0</v>
      </c>
      <c r="Q336" s="292">
        <f t="shared" si="130"/>
        <v>0</v>
      </c>
      <c r="R336" s="292">
        <f t="shared" si="169"/>
        <v>0</v>
      </c>
      <c r="S336" s="292">
        <f t="shared" si="170"/>
        <v>0</v>
      </c>
      <c r="T336" s="292">
        <f t="shared" si="131"/>
        <v>0</v>
      </c>
      <c r="U336" s="292">
        <f t="shared" si="132"/>
        <v>0</v>
      </c>
      <c r="V336" s="292">
        <f t="shared" si="171"/>
        <v>0</v>
      </c>
      <c r="W336" s="292">
        <f t="shared" si="172"/>
        <v>0</v>
      </c>
      <c r="X336" s="292">
        <f t="shared" si="173"/>
        <v>0</v>
      </c>
      <c r="Y336" s="292">
        <f t="shared" si="174"/>
        <v>0</v>
      </c>
      <c r="Z336" s="292">
        <f t="shared" si="165"/>
        <v>0</v>
      </c>
      <c r="AA336" s="292">
        <f t="shared" si="166"/>
        <v>0</v>
      </c>
      <c r="AB336" s="292">
        <f t="shared" si="133"/>
        <v>0</v>
      </c>
      <c r="AC336" s="292">
        <f t="shared" si="134"/>
        <v>0</v>
      </c>
      <c r="AD336" s="292">
        <f t="shared" si="135"/>
        <v>0</v>
      </c>
      <c r="AE336" s="292">
        <f t="shared" si="136"/>
        <v>0</v>
      </c>
      <c r="AF336" s="292">
        <f t="shared" si="137"/>
        <v>0</v>
      </c>
      <c r="AG336" s="292">
        <f t="shared" si="138"/>
        <v>0</v>
      </c>
      <c r="AH336" s="292">
        <f t="shared" si="139"/>
        <v>0</v>
      </c>
      <c r="AI336" s="292">
        <f t="shared" si="140"/>
        <v>0</v>
      </c>
      <c r="AJ336" s="292">
        <f t="shared" si="141"/>
        <v>0</v>
      </c>
      <c r="AK336" s="292">
        <f t="shared" si="142"/>
        <v>0</v>
      </c>
      <c r="AL336" s="292">
        <f t="shared" si="167"/>
        <v>0</v>
      </c>
      <c r="AM336" s="292">
        <f t="shared" si="168"/>
        <v>0</v>
      </c>
      <c r="AN336" s="292">
        <f t="shared" si="143"/>
        <v>0</v>
      </c>
      <c r="AO336" s="292">
        <f t="shared" si="144"/>
        <v>0</v>
      </c>
      <c r="AP336" s="292">
        <f t="shared" si="145"/>
        <v>0</v>
      </c>
      <c r="AQ336" s="292">
        <f t="shared" si="146"/>
        <v>0</v>
      </c>
      <c r="AR336" s="292">
        <f t="shared" si="147"/>
        <v>0</v>
      </c>
      <c r="AS336" s="292">
        <f t="shared" si="148"/>
        <v>0</v>
      </c>
      <c r="AT336" s="292">
        <f t="shared" si="149"/>
        <v>0</v>
      </c>
      <c r="AU336" s="292">
        <f t="shared" si="150"/>
        <v>0</v>
      </c>
      <c r="AV336" s="292">
        <f t="shared" si="151"/>
        <v>11903203</v>
      </c>
      <c r="AW336" s="292">
        <f t="shared" si="152"/>
        <v>0</v>
      </c>
      <c r="AX336" s="292">
        <f t="shared" si="153"/>
        <v>0</v>
      </c>
      <c r="AY336" s="292">
        <f t="shared" si="154"/>
        <v>0</v>
      </c>
      <c r="AZ336" s="292">
        <f t="shared" si="155"/>
        <v>0</v>
      </c>
      <c r="BA336" s="292">
        <f t="shared" si="156"/>
        <v>0</v>
      </c>
      <c r="BB336" s="292">
        <f t="shared" si="157"/>
        <v>0</v>
      </c>
      <c r="BC336" s="292">
        <f t="shared" si="158"/>
        <v>0</v>
      </c>
      <c r="BD336" s="292">
        <f t="shared" si="159"/>
        <v>0</v>
      </c>
      <c r="BE336" s="292">
        <f t="shared" si="160"/>
        <v>0</v>
      </c>
      <c r="BF336" s="292">
        <f t="shared" si="161"/>
        <v>0</v>
      </c>
      <c r="BG336" s="292">
        <f t="shared" si="162"/>
        <v>0</v>
      </c>
    </row>
    <row r="337" spans="1:59" s="289" customFormat="1" ht="15" customHeight="1">
      <c r="A337" s="63">
        <f t="array" ref="A337">IF(C337&lt;&gt;0,SUM(($C$11:C337&lt;&gt;0)*1),"")</f>
        <v>327</v>
      </c>
      <c r="B337" s="1099">
        <v>42515</v>
      </c>
      <c r="C337" s="290" t="s">
        <v>8</v>
      </c>
      <c r="D337" s="1099">
        <v>42515</v>
      </c>
      <c r="E337" s="344" t="s">
        <v>405</v>
      </c>
      <c r="F337" s="345">
        <v>7935469</v>
      </c>
      <c r="G337" s="346" t="s">
        <v>133</v>
      </c>
      <c r="H337" s="346" t="s">
        <v>31</v>
      </c>
      <c r="I337" s="63">
        <f t="shared" si="124"/>
        <v>327</v>
      </c>
      <c r="J337" s="292">
        <f t="shared" si="125"/>
        <v>0</v>
      </c>
      <c r="K337" s="292">
        <f t="shared" si="126"/>
        <v>0</v>
      </c>
      <c r="L337" s="292">
        <f t="shared" si="127"/>
        <v>0</v>
      </c>
      <c r="M337" s="292">
        <f t="shared" si="128"/>
        <v>7935469</v>
      </c>
      <c r="N337" s="292">
        <f t="shared" si="163"/>
        <v>0</v>
      </c>
      <c r="O337" s="292">
        <f t="shared" si="164"/>
        <v>0</v>
      </c>
      <c r="P337" s="292">
        <f t="shared" si="129"/>
        <v>0</v>
      </c>
      <c r="Q337" s="292">
        <f t="shared" si="130"/>
        <v>0</v>
      </c>
      <c r="R337" s="292">
        <f t="shared" si="169"/>
        <v>0</v>
      </c>
      <c r="S337" s="292">
        <f t="shared" si="170"/>
        <v>0</v>
      </c>
      <c r="T337" s="292">
        <f t="shared" si="131"/>
        <v>0</v>
      </c>
      <c r="U337" s="292">
        <f t="shared" si="132"/>
        <v>0</v>
      </c>
      <c r="V337" s="292">
        <f t="shared" si="171"/>
        <v>0</v>
      </c>
      <c r="W337" s="292">
        <f t="shared" si="172"/>
        <v>0</v>
      </c>
      <c r="X337" s="292">
        <f t="shared" si="173"/>
        <v>0</v>
      </c>
      <c r="Y337" s="292">
        <f t="shared" si="174"/>
        <v>0</v>
      </c>
      <c r="Z337" s="292">
        <f t="shared" si="165"/>
        <v>0</v>
      </c>
      <c r="AA337" s="292">
        <f t="shared" si="166"/>
        <v>0</v>
      </c>
      <c r="AB337" s="292">
        <f t="shared" si="133"/>
        <v>0</v>
      </c>
      <c r="AC337" s="292">
        <f t="shared" si="134"/>
        <v>0</v>
      </c>
      <c r="AD337" s="292">
        <f t="shared" si="135"/>
        <v>0</v>
      </c>
      <c r="AE337" s="292">
        <f t="shared" si="136"/>
        <v>0</v>
      </c>
      <c r="AF337" s="292">
        <f t="shared" si="137"/>
        <v>0</v>
      </c>
      <c r="AG337" s="292">
        <f t="shared" si="138"/>
        <v>0</v>
      </c>
      <c r="AH337" s="292">
        <f t="shared" si="139"/>
        <v>0</v>
      </c>
      <c r="AI337" s="292">
        <f t="shared" si="140"/>
        <v>0</v>
      </c>
      <c r="AJ337" s="292">
        <f t="shared" si="141"/>
        <v>0</v>
      </c>
      <c r="AK337" s="292">
        <f t="shared" si="142"/>
        <v>0</v>
      </c>
      <c r="AL337" s="292">
        <f t="shared" si="167"/>
        <v>0</v>
      </c>
      <c r="AM337" s="292">
        <f t="shared" si="168"/>
        <v>0</v>
      </c>
      <c r="AN337" s="292">
        <f t="shared" si="143"/>
        <v>0</v>
      </c>
      <c r="AO337" s="292">
        <f t="shared" si="144"/>
        <v>0</v>
      </c>
      <c r="AP337" s="292">
        <f t="shared" si="145"/>
        <v>0</v>
      </c>
      <c r="AQ337" s="292">
        <f t="shared" si="146"/>
        <v>0</v>
      </c>
      <c r="AR337" s="292">
        <f t="shared" si="147"/>
        <v>0</v>
      </c>
      <c r="AS337" s="292">
        <f t="shared" si="148"/>
        <v>0</v>
      </c>
      <c r="AT337" s="292">
        <f t="shared" si="149"/>
        <v>0</v>
      </c>
      <c r="AU337" s="292">
        <f t="shared" si="150"/>
        <v>0</v>
      </c>
      <c r="AV337" s="292">
        <f t="shared" si="151"/>
        <v>7935469</v>
      </c>
      <c r="AW337" s="292">
        <f t="shared" si="152"/>
        <v>0</v>
      </c>
      <c r="AX337" s="292">
        <f t="shared" si="153"/>
        <v>0</v>
      </c>
      <c r="AY337" s="292">
        <f t="shared" si="154"/>
        <v>0</v>
      </c>
      <c r="AZ337" s="292">
        <f t="shared" si="155"/>
        <v>0</v>
      </c>
      <c r="BA337" s="292">
        <f t="shared" si="156"/>
        <v>0</v>
      </c>
      <c r="BB337" s="292">
        <f t="shared" si="157"/>
        <v>0</v>
      </c>
      <c r="BC337" s="292">
        <f t="shared" si="158"/>
        <v>0</v>
      </c>
      <c r="BD337" s="292">
        <f t="shared" si="159"/>
        <v>0</v>
      </c>
      <c r="BE337" s="292">
        <f t="shared" si="160"/>
        <v>0</v>
      </c>
      <c r="BF337" s="292">
        <f t="shared" si="161"/>
        <v>0</v>
      </c>
      <c r="BG337" s="292">
        <f t="shared" si="162"/>
        <v>0</v>
      </c>
    </row>
    <row r="338" spans="1:59" s="289" customFormat="1" ht="15" customHeight="1">
      <c r="A338" s="63">
        <f t="array" ref="A338">IF(C338&lt;&gt;0,SUM(($C$11:C338&lt;&gt;0)*1),"")</f>
        <v>328</v>
      </c>
      <c r="B338" s="1099">
        <v>42515</v>
      </c>
      <c r="C338" s="290" t="s">
        <v>8</v>
      </c>
      <c r="D338" s="1099">
        <v>42515</v>
      </c>
      <c r="E338" s="344" t="s">
        <v>405</v>
      </c>
      <c r="F338" s="345">
        <v>11903203</v>
      </c>
      <c r="G338" s="346" t="s">
        <v>133</v>
      </c>
      <c r="H338" s="346" t="s">
        <v>31</v>
      </c>
      <c r="I338" s="63">
        <f t="shared" ref="I338:I401" si="175">A338</f>
        <v>328</v>
      </c>
      <c r="J338" s="292">
        <f t="shared" si="125"/>
        <v>0</v>
      </c>
      <c r="K338" s="292">
        <f t="shared" si="126"/>
        <v>0</v>
      </c>
      <c r="L338" s="292">
        <f t="shared" si="127"/>
        <v>0</v>
      </c>
      <c r="M338" s="292">
        <f t="shared" si="128"/>
        <v>11903203</v>
      </c>
      <c r="N338" s="292">
        <f t="shared" si="163"/>
        <v>0</v>
      </c>
      <c r="O338" s="292">
        <f t="shared" si="164"/>
        <v>0</v>
      </c>
      <c r="P338" s="292">
        <f t="shared" si="129"/>
        <v>0</v>
      </c>
      <c r="Q338" s="292">
        <f t="shared" si="130"/>
        <v>0</v>
      </c>
      <c r="R338" s="292">
        <f t="shared" si="169"/>
        <v>0</v>
      </c>
      <c r="S338" s="292">
        <f t="shared" si="170"/>
        <v>0</v>
      </c>
      <c r="T338" s="292">
        <f t="shared" si="131"/>
        <v>0</v>
      </c>
      <c r="U338" s="292">
        <f t="shared" si="132"/>
        <v>0</v>
      </c>
      <c r="V338" s="292">
        <f t="shared" si="171"/>
        <v>0</v>
      </c>
      <c r="W338" s="292">
        <f t="shared" si="172"/>
        <v>0</v>
      </c>
      <c r="X338" s="292">
        <f t="shared" si="173"/>
        <v>0</v>
      </c>
      <c r="Y338" s="292">
        <f t="shared" si="174"/>
        <v>0</v>
      </c>
      <c r="Z338" s="292">
        <f t="shared" si="165"/>
        <v>0</v>
      </c>
      <c r="AA338" s="292">
        <f t="shared" si="166"/>
        <v>0</v>
      </c>
      <c r="AB338" s="292">
        <f t="shared" si="133"/>
        <v>0</v>
      </c>
      <c r="AC338" s="292">
        <f t="shared" si="134"/>
        <v>0</v>
      </c>
      <c r="AD338" s="292">
        <f t="shared" si="135"/>
        <v>0</v>
      </c>
      <c r="AE338" s="292">
        <f t="shared" si="136"/>
        <v>0</v>
      </c>
      <c r="AF338" s="292">
        <f t="shared" si="137"/>
        <v>0</v>
      </c>
      <c r="AG338" s="292">
        <f t="shared" si="138"/>
        <v>0</v>
      </c>
      <c r="AH338" s="292">
        <f t="shared" si="139"/>
        <v>0</v>
      </c>
      <c r="AI338" s="292">
        <f t="shared" si="140"/>
        <v>0</v>
      </c>
      <c r="AJ338" s="292">
        <f t="shared" si="141"/>
        <v>0</v>
      </c>
      <c r="AK338" s="292">
        <f t="shared" si="142"/>
        <v>0</v>
      </c>
      <c r="AL338" s="292">
        <f t="shared" si="167"/>
        <v>0</v>
      </c>
      <c r="AM338" s="292">
        <f t="shared" si="168"/>
        <v>0</v>
      </c>
      <c r="AN338" s="292">
        <f t="shared" si="143"/>
        <v>0</v>
      </c>
      <c r="AO338" s="292">
        <f t="shared" si="144"/>
        <v>0</v>
      </c>
      <c r="AP338" s="292">
        <f t="shared" si="145"/>
        <v>0</v>
      </c>
      <c r="AQ338" s="292">
        <f t="shared" si="146"/>
        <v>0</v>
      </c>
      <c r="AR338" s="292">
        <f t="shared" si="147"/>
        <v>0</v>
      </c>
      <c r="AS338" s="292">
        <f t="shared" si="148"/>
        <v>0</v>
      </c>
      <c r="AT338" s="292">
        <f t="shared" si="149"/>
        <v>0</v>
      </c>
      <c r="AU338" s="292">
        <f t="shared" si="150"/>
        <v>0</v>
      </c>
      <c r="AV338" s="292">
        <f t="shared" si="151"/>
        <v>11903203</v>
      </c>
      <c r="AW338" s="292">
        <f t="shared" si="152"/>
        <v>0</v>
      </c>
      <c r="AX338" s="292">
        <f t="shared" si="153"/>
        <v>0</v>
      </c>
      <c r="AY338" s="292">
        <f t="shared" si="154"/>
        <v>0</v>
      </c>
      <c r="AZ338" s="292">
        <f t="shared" si="155"/>
        <v>0</v>
      </c>
      <c r="BA338" s="292">
        <f t="shared" si="156"/>
        <v>0</v>
      </c>
      <c r="BB338" s="292">
        <f t="shared" si="157"/>
        <v>0</v>
      </c>
      <c r="BC338" s="292">
        <f t="shared" si="158"/>
        <v>0</v>
      </c>
      <c r="BD338" s="292">
        <f t="shared" si="159"/>
        <v>0</v>
      </c>
      <c r="BE338" s="292">
        <f t="shared" si="160"/>
        <v>0</v>
      </c>
      <c r="BF338" s="292">
        <f t="shared" si="161"/>
        <v>0</v>
      </c>
      <c r="BG338" s="292">
        <f t="shared" si="162"/>
        <v>0</v>
      </c>
    </row>
    <row r="339" spans="1:59" s="289" customFormat="1" ht="15" customHeight="1">
      <c r="A339" s="63">
        <f t="array" ref="A339">IF(C339&lt;&gt;0,SUM(($C$11:C339&lt;&gt;0)*1),"")</f>
        <v>329</v>
      </c>
      <c r="B339" s="1099">
        <v>42515</v>
      </c>
      <c r="C339" s="290" t="s">
        <v>8</v>
      </c>
      <c r="D339" s="1099">
        <v>42515</v>
      </c>
      <c r="E339" s="344" t="s">
        <v>405</v>
      </c>
      <c r="F339" s="345">
        <v>15870937</v>
      </c>
      <c r="G339" s="346" t="s">
        <v>133</v>
      </c>
      <c r="H339" s="346" t="s">
        <v>31</v>
      </c>
      <c r="I339" s="63">
        <f t="shared" si="175"/>
        <v>329</v>
      </c>
      <c r="J339" s="292">
        <f t="shared" si="125"/>
        <v>0</v>
      </c>
      <c r="K339" s="292">
        <f t="shared" si="126"/>
        <v>0</v>
      </c>
      <c r="L339" s="292">
        <f t="shared" si="127"/>
        <v>0</v>
      </c>
      <c r="M339" s="292">
        <f t="shared" si="128"/>
        <v>15870937</v>
      </c>
      <c r="N339" s="292">
        <f t="shared" si="163"/>
        <v>0</v>
      </c>
      <c r="O339" s="292">
        <f t="shared" si="164"/>
        <v>0</v>
      </c>
      <c r="P339" s="292">
        <f t="shared" si="129"/>
        <v>0</v>
      </c>
      <c r="Q339" s="292">
        <f t="shared" si="130"/>
        <v>0</v>
      </c>
      <c r="R339" s="292">
        <f t="shared" si="169"/>
        <v>0</v>
      </c>
      <c r="S339" s="292">
        <f t="shared" si="170"/>
        <v>0</v>
      </c>
      <c r="T339" s="292">
        <f t="shared" si="131"/>
        <v>0</v>
      </c>
      <c r="U339" s="292">
        <f t="shared" si="132"/>
        <v>0</v>
      </c>
      <c r="V339" s="292">
        <f t="shared" si="171"/>
        <v>0</v>
      </c>
      <c r="W339" s="292">
        <f t="shared" si="172"/>
        <v>0</v>
      </c>
      <c r="X339" s="292">
        <f t="shared" si="173"/>
        <v>0</v>
      </c>
      <c r="Y339" s="292">
        <f t="shared" si="174"/>
        <v>0</v>
      </c>
      <c r="Z339" s="292">
        <f t="shared" si="165"/>
        <v>0</v>
      </c>
      <c r="AA339" s="292">
        <f t="shared" si="166"/>
        <v>0</v>
      </c>
      <c r="AB339" s="292">
        <f t="shared" si="133"/>
        <v>0</v>
      </c>
      <c r="AC339" s="292">
        <f t="shared" si="134"/>
        <v>0</v>
      </c>
      <c r="AD339" s="292">
        <f t="shared" si="135"/>
        <v>0</v>
      </c>
      <c r="AE339" s="292">
        <f t="shared" si="136"/>
        <v>0</v>
      </c>
      <c r="AF339" s="292">
        <f t="shared" si="137"/>
        <v>0</v>
      </c>
      <c r="AG339" s="292">
        <f t="shared" si="138"/>
        <v>0</v>
      </c>
      <c r="AH339" s="292">
        <f t="shared" si="139"/>
        <v>0</v>
      </c>
      <c r="AI339" s="292">
        <f t="shared" si="140"/>
        <v>0</v>
      </c>
      <c r="AJ339" s="292">
        <f t="shared" si="141"/>
        <v>0</v>
      </c>
      <c r="AK339" s="292">
        <f t="shared" si="142"/>
        <v>0</v>
      </c>
      <c r="AL339" s="292">
        <f t="shared" si="167"/>
        <v>0</v>
      </c>
      <c r="AM339" s="292">
        <f t="shared" si="168"/>
        <v>0</v>
      </c>
      <c r="AN339" s="292">
        <f t="shared" si="143"/>
        <v>0</v>
      </c>
      <c r="AO339" s="292">
        <f t="shared" si="144"/>
        <v>0</v>
      </c>
      <c r="AP339" s="292">
        <f t="shared" si="145"/>
        <v>0</v>
      </c>
      <c r="AQ339" s="292">
        <f t="shared" si="146"/>
        <v>0</v>
      </c>
      <c r="AR339" s="292">
        <f t="shared" si="147"/>
        <v>0</v>
      </c>
      <c r="AS339" s="292">
        <f t="shared" si="148"/>
        <v>0</v>
      </c>
      <c r="AT339" s="292">
        <f t="shared" si="149"/>
        <v>0</v>
      </c>
      <c r="AU339" s="292">
        <f t="shared" si="150"/>
        <v>0</v>
      </c>
      <c r="AV339" s="292">
        <f t="shared" si="151"/>
        <v>15870937</v>
      </c>
      <c r="AW339" s="292">
        <f t="shared" si="152"/>
        <v>0</v>
      </c>
      <c r="AX339" s="292">
        <f t="shared" si="153"/>
        <v>0</v>
      </c>
      <c r="AY339" s="292">
        <f t="shared" si="154"/>
        <v>0</v>
      </c>
      <c r="AZ339" s="292">
        <f t="shared" si="155"/>
        <v>0</v>
      </c>
      <c r="BA339" s="292">
        <f t="shared" si="156"/>
        <v>0</v>
      </c>
      <c r="BB339" s="292">
        <f t="shared" si="157"/>
        <v>0</v>
      </c>
      <c r="BC339" s="292">
        <f t="shared" si="158"/>
        <v>0</v>
      </c>
      <c r="BD339" s="292">
        <f t="shared" si="159"/>
        <v>0</v>
      </c>
      <c r="BE339" s="292">
        <f t="shared" si="160"/>
        <v>0</v>
      </c>
      <c r="BF339" s="292">
        <f t="shared" si="161"/>
        <v>0</v>
      </c>
      <c r="BG339" s="292">
        <f t="shared" si="162"/>
        <v>0</v>
      </c>
    </row>
    <row r="340" spans="1:59" s="289" customFormat="1" ht="15" customHeight="1">
      <c r="A340" s="63">
        <f t="array" ref="A340">IF(C340&lt;&gt;0,SUM(($C$11:C340&lt;&gt;0)*1),"")</f>
        <v>330</v>
      </c>
      <c r="B340" s="1099">
        <v>42515</v>
      </c>
      <c r="C340" s="290" t="s">
        <v>8</v>
      </c>
      <c r="D340" s="1099">
        <v>42515</v>
      </c>
      <c r="E340" s="344" t="s">
        <v>405</v>
      </c>
      <c r="F340" s="345">
        <v>7935469</v>
      </c>
      <c r="G340" s="346" t="s">
        <v>133</v>
      </c>
      <c r="H340" s="346" t="s">
        <v>31</v>
      </c>
      <c r="I340" s="63">
        <f t="shared" si="175"/>
        <v>330</v>
      </c>
      <c r="J340" s="292">
        <f t="shared" si="125"/>
        <v>0</v>
      </c>
      <c r="K340" s="292">
        <f t="shared" si="126"/>
        <v>0</v>
      </c>
      <c r="L340" s="292">
        <f t="shared" si="127"/>
        <v>0</v>
      </c>
      <c r="M340" s="292">
        <f t="shared" si="128"/>
        <v>7935469</v>
      </c>
      <c r="N340" s="292">
        <f t="shared" si="163"/>
        <v>0</v>
      </c>
      <c r="O340" s="292">
        <f t="shared" si="164"/>
        <v>0</v>
      </c>
      <c r="P340" s="292">
        <f t="shared" si="129"/>
        <v>0</v>
      </c>
      <c r="Q340" s="292">
        <f t="shared" si="130"/>
        <v>0</v>
      </c>
      <c r="R340" s="292">
        <f t="shared" si="169"/>
        <v>0</v>
      </c>
      <c r="S340" s="292">
        <f t="shared" si="170"/>
        <v>0</v>
      </c>
      <c r="T340" s="292">
        <f t="shared" si="131"/>
        <v>0</v>
      </c>
      <c r="U340" s="292">
        <f t="shared" si="132"/>
        <v>0</v>
      </c>
      <c r="V340" s="292">
        <f t="shared" si="171"/>
        <v>0</v>
      </c>
      <c r="W340" s="292">
        <f t="shared" si="172"/>
        <v>0</v>
      </c>
      <c r="X340" s="292">
        <f t="shared" si="173"/>
        <v>0</v>
      </c>
      <c r="Y340" s="292">
        <f t="shared" si="174"/>
        <v>0</v>
      </c>
      <c r="Z340" s="292">
        <f t="shared" si="165"/>
        <v>0</v>
      </c>
      <c r="AA340" s="292">
        <f t="shared" si="166"/>
        <v>0</v>
      </c>
      <c r="AB340" s="292">
        <f t="shared" si="133"/>
        <v>0</v>
      </c>
      <c r="AC340" s="292">
        <f t="shared" si="134"/>
        <v>0</v>
      </c>
      <c r="AD340" s="292">
        <f t="shared" si="135"/>
        <v>0</v>
      </c>
      <c r="AE340" s="292">
        <f t="shared" si="136"/>
        <v>0</v>
      </c>
      <c r="AF340" s="292">
        <f t="shared" si="137"/>
        <v>0</v>
      </c>
      <c r="AG340" s="292">
        <f t="shared" si="138"/>
        <v>0</v>
      </c>
      <c r="AH340" s="292">
        <f t="shared" si="139"/>
        <v>0</v>
      </c>
      <c r="AI340" s="292">
        <f t="shared" si="140"/>
        <v>0</v>
      </c>
      <c r="AJ340" s="292">
        <f t="shared" si="141"/>
        <v>0</v>
      </c>
      <c r="AK340" s="292">
        <f t="shared" si="142"/>
        <v>0</v>
      </c>
      <c r="AL340" s="292">
        <f t="shared" si="167"/>
        <v>0</v>
      </c>
      <c r="AM340" s="292">
        <f t="shared" si="168"/>
        <v>0</v>
      </c>
      <c r="AN340" s="292">
        <f t="shared" si="143"/>
        <v>0</v>
      </c>
      <c r="AO340" s="292">
        <f t="shared" si="144"/>
        <v>0</v>
      </c>
      <c r="AP340" s="292">
        <f t="shared" si="145"/>
        <v>0</v>
      </c>
      <c r="AQ340" s="292">
        <f t="shared" si="146"/>
        <v>0</v>
      </c>
      <c r="AR340" s="292">
        <f t="shared" si="147"/>
        <v>0</v>
      </c>
      <c r="AS340" s="292">
        <f t="shared" si="148"/>
        <v>0</v>
      </c>
      <c r="AT340" s="292">
        <f t="shared" si="149"/>
        <v>0</v>
      </c>
      <c r="AU340" s="292">
        <f t="shared" si="150"/>
        <v>0</v>
      </c>
      <c r="AV340" s="292">
        <f t="shared" si="151"/>
        <v>7935469</v>
      </c>
      <c r="AW340" s="292">
        <f t="shared" si="152"/>
        <v>0</v>
      </c>
      <c r="AX340" s="292">
        <f t="shared" si="153"/>
        <v>0</v>
      </c>
      <c r="AY340" s="292">
        <f t="shared" si="154"/>
        <v>0</v>
      </c>
      <c r="AZ340" s="292">
        <f t="shared" si="155"/>
        <v>0</v>
      </c>
      <c r="BA340" s="292">
        <f t="shared" si="156"/>
        <v>0</v>
      </c>
      <c r="BB340" s="292">
        <f t="shared" si="157"/>
        <v>0</v>
      </c>
      <c r="BC340" s="292">
        <f t="shared" si="158"/>
        <v>0</v>
      </c>
      <c r="BD340" s="292">
        <f t="shared" si="159"/>
        <v>0</v>
      </c>
      <c r="BE340" s="292">
        <f t="shared" si="160"/>
        <v>0</v>
      </c>
      <c r="BF340" s="292">
        <f t="shared" si="161"/>
        <v>0</v>
      </c>
      <c r="BG340" s="292">
        <f t="shared" si="162"/>
        <v>0</v>
      </c>
    </row>
    <row r="341" spans="1:59" s="289" customFormat="1" ht="15" customHeight="1">
      <c r="A341" s="63">
        <f t="array" ref="A341">IF(C341&lt;&gt;0,SUM(($C$11:C341&lt;&gt;0)*1),"")</f>
        <v>331</v>
      </c>
      <c r="B341" s="1099">
        <v>42515</v>
      </c>
      <c r="C341" s="290" t="s">
        <v>8</v>
      </c>
      <c r="D341" s="1099">
        <v>42515</v>
      </c>
      <c r="E341" s="344" t="s">
        <v>405</v>
      </c>
      <c r="F341" s="345">
        <v>7935470</v>
      </c>
      <c r="G341" s="346" t="s">
        <v>133</v>
      </c>
      <c r="H341" s="346" t="s">
        <v>31</v>
      </c>
      <c r="I341" s="63">
        <f t="shared" si="175"/>
        <v>331</v>
      </c>
      <c r="J341" s="292">
        <f t="shared" si="125"/>
        <v>0</v>
      </c>
      <c r="K341" s="292">
        <f t="shared" si="126"/>
        <v>0</v>
      </c>
      <c r="L341" s="292">
        <f t="shared" si="127"/>
        <v>0</v>
      </c>
      <c r="M341" s="292">
        <f t="shared" si="128"/>
        <v>7935470</v>
      </c>
      <c r="N341" s="292">
        <f t="shared" si="163"/>
        <v>0</v>
      </c>
      <c r="O341" s="292">
        <f t="shared" si="164"/>
        <v>0</v>
      </c>
      <c r="P341" s="292">
        <f t="shared" si="129"/>
        <v>0</v>
      </c>
      <c r="Q341" s="292">
        <f t="shared" si="130"/>
        <v>0</v>
      </c>
      <c r="R341" s="292">
        <f t="shared" si="169"/>
        <v>0</v>
      </c>
      <c r="S341" s="292">
        <f t="shared" si="170"/>
        <v>0</v>
      </c>
      <c r="T341" s="292">
        <f t="shared" si="131"/>
        <v>0</v>
      </c>
      <c r="U341" s="292">
        <f t="shared" si="132"/>
        <v>0</v>
      </c>
      <c r="V341" s="292">
        <f t="shared" si="171"/>
        <v>0</v>
      </c>
      <c r="W341" s="292">
        <f t="shared" si="172"/>
        <v>0</v>
      </c>
      <c r="X341" s="292">
        <f t="shared" si="173"/>
        <v>0</v>
      </c>
      <c r="Y341" s="292">
        <f t="shared" si="174"/>
        <v>0</v>
      </c>
      <c r="Z341" s="292">
        <f t="shared" si="165"/>
        <v>0</v>
      </c>
      <c r="AA341" s="292">
        <f t="shared" si="166"/>
        <v>0</v>
      </c>
      <c r="AB341" s="292">
        <f t="shared" si="133"/>
        <v>0</v>
      </c>
      <c r="AC341" s="292">
        <f t="shared" si="134"/>
        <v>0</v>
      </c>
      <c r="AD341" s="292">
        <f t="shared" si="135"/>
        <v>0</v>
      </c>
      <c r="AE341" s="292">
        <f t="shared" si="136"/>
        <v>0</v>
      </c>
      <c r="AF341" s="292">
        <f t="shared" si="137"/>
        <v>0</v>
      </c>
      <c r="AG341" s="292">
        <f t="shared" si="138"/>
        <v>0</v>
      </c>
      <c r="AH341" s="292">
        <f t="shared" si="139"/>
        <v>0</v>
      </c>
      <c r="AI341" s="292">
        <f t="shared" si="140"/>
        <v>0</v>
      </c>
      <c r="AJ341" s="292">
        <f t="shared" si="141"/>
        <v>0</v>
      </c>
      <c r="AK341" s="292">
        <f t="shared" si="142"/>
        <v>0</v>
      </c>
      <c r="AL341" s="292">
        <f t="shared" si="167"/>
        <v>0</v>
      </c>
      <c r="AM341" s="292">
        <f t="shared" si="168"/>
        <v>0</v>
      </c>
      <c r="AN341" s="292">
        <f t="shared" si="143"/>
        <v>0</v>
      </c>
      <c r="AO341" s="292">
        <f t="shared" si="144"/>
        <v>0</v>
      </c>
      <c r="AP341" s="292">
        <f t="shared" si="145"/>
        <v>0</v>
      </c>
      <c r="AQ341" s="292">
        <f t="shared" si="146"/>
        <v>0</v>
      </c>
      <c r="AR341" s="292">
        <f t="shared" si="147"/>
        <v>0</v>
      </c>
      <c r="AS341" s="292">
        <f t="shared" si="148"/>
        <v>0</v>
      </c>
      <c r="AT341" s="292">
        <f t="shared" si="149"/>
        <v>0</v>
      </c>
      <c r="AU341" s="292">
        <f t="shared" si="150"/>
        <v>0</v>
      </c>
      <c r="AV341" s="292">
        <f t="shared" si="151"/>
        <v>7935470</v>
      </c>
      <c r="AW341" s="292">
        <f t="shared" si="152"/>
        <v>0</v>
      </c>
      <c r="AX341" s="292">
        <f t="shared" si="153"/>
        <v>0</v>
      </c>
      <c r="AY341" s="292">
        <f t="shared" si="154"/>
        <v>0</v>
      </c>
      <c r="AZ341" s="292">
        <f t="shared" si="155"/>
        <v>0</v>
      </c>
      <c r="BA341" s="292">
        <f t="shared" si="156"/>
        <v>0</v>
      </c>
      <c r="BB341" s="292">
        <f t="shared" si="157"/>
        <v>0</v>
      </c>
      <c r="BC341" s="292">
        <f t="shared" si="158"/>
        <v>0</v>
      </c>
      <c r="BD341" s="292">
        <f t="shared" si="159"/>
        <v>0</v>
      </c>
      <c r="BE341" s="292">
        <f t="shared" si="160"/>
        <v>0</v>
      </c>
      <c r="BF341" s="292">
        <f t="shared" si="161"/>
        <v>0</v>
      </c>
      <c r="BG341" s="292">
        <f t="shared" si="162"/>
        <v>0</v>
      </c>
    </row>
    <row r="342" spans="1:59" s="289" customFormat="1" ht="15" customHeight="1">
      <c r="A342" s="63">
        <f t="array" ref="A342">IF(C342&lt;&gt;0,SUM(($C$11:C342&lt;&gt;0)*1),"")</f>
        <v>332</v>
      </c>
      <c r="B342" s="1099">
        <v>42515</v>
      </c>
      <c r="C342" s="290" t="s">
        <v>8</v>
      </c>
      <c r="D342" s="1099">
        <v>42515</v>
      </c>
      <c r="E342" s="344" t="s">
        <v>405</v>
      </c>
      <c r="F342" s="345">
        <v>11109656</v>
      </c>
      <c r="G342" s="346" t="s">
        <v>133</v>
      </c>
      <c r="H342" s="346" t="s">
        <v>31</v>
      </c>
      <c r="I342" s="63">
        <f t="shared" si="175"/>
        <v>332</v>
      </c>
      <c r="J342" s="292">
        <f t="shared" si="125"/>
        <v>0</v>
      </c>
      <c r="K342" s="292">
        <f t="shared" si="126"/>
        <v>0</v>
      </c>
      <c r="L342" s="292">
        <f t="shared" si="127"/>
        <v>0</v>
      </c>
      <c r="M342" s="292">
        <f t="shared" si="128"/>
        <v>11109656</v>
      </c>
      <c r="N342" s="292">
        <f t="shared" si="163"/>
        <v>0</v>
      </c>
      <c r="O342" s="292">
        <f t="shared" si="164"/>
        <v>0</v>
      </c>
      <c r="P342" s="292">
        <f t="shared" si="129"/>
        <v>0</v>
      </c>
      <c r="Q342" s="292">
        <f t="shared" si="130"/>
        <v>0</v>
      </c>
      <c r="R342" s="292">
        <f t="shared" si="169"/>
        <v>0</v>
      </c>
      <c r="S342" s="292">
        <f t="shared" si="170"/>
        <v>0</v>
      </c>
      <c r="T342" s="292">
        <f t="shared" si="131"/>
        <v>0</v>
      </c>
      <c r="U342" s="292">
        <f t="shared" si="132"/>
        <v>0</v>
      </c>
      <c r="V342" s="292">
        <f t="shared" si="171"/>
        <v>0</v>
      </c>
      <c r="W342" s="292">
        <f t="shared" si="172"/>
        <v>0</v>
      </c>
      <c r="X342" s="292">
        <f t="shared" si="173"/>
        <v>0</v>
      </c>
      <c r="Y342" s="292">
        <f t="shared" si="174"/>
        <v>0</v>
      </c>
      <c r="Z342" s="292">
        <f t="shared" si="165"/>
        <v>0</v>
      </c>
      <c r="AA342" s="292">
        <f t="shared" si="166"/>
        <v>0</v>
      </c>
      <c r="AB342" s="292">
        <f t="shared" si="133"/>
        <v>0</v>
      </c>
      <c r="AC342" s="292">
        <f t="shared" si="134"/>
        <v>0</v>
      </c>
      <c r="AD342" s="292">
        <f t="shared" si="135"/>
        <v>0</v>
      </c>
      <c r="AE342" s="292">
        <f t="shared" si="136"/>
        <v>0</v>
      </c>
      <c r="AF342" s="292">
        <f t="shared" si="137"/>
        <v>0</v>
      </c>
      <c r="AG342" s="292">
        <f t="shared" si="138"/>
        <v>0</v>
      </c>
      <c r="AH342" s="292">
        <f t="shared" si="139"/>
        <v>0</v>
      </c>
      <c r="AI342" s="292">
        <f t="shared" si="140"/>
        <v>0</v>
      </c>
      <c r="AJ342" s="292">
        <f t="shared" si="141"/>
        <v>0</v>
      </c>
      <c r="AK342" s="292">
        <f t="shared" si="142"/>
        <v>0</v>
      </c>
      <c r="AL342" s="292">
        <f t="shared" si="167"/>
        <v>0</v>
      </c>
      <c r="AM342" s="292">
        <f t="shared" si="168"/>
        <v>0</v>
      </c>
      <c r="AN342" s="292">
        <f t="shared" si="143"/>
        <v>0</v>
      </c>
      <c r="AO342" s="292">
        <f t="shared" si="144"/>
        <v>0</v>
      </c>
      <c r="AP342" s="292">
        <f t="shared" si="145"/>
        <v>0</v>
      </c>
      <c r="AQ342" s="292">
        <f t="shared" si="146"/>
        <v>0</v>
      </c>
      <c r="AR342" s="292">
        <f t="shared" si="147"/>
        <v>0</v>
      </c>
      <c r="AS342" s="292">
        <f t="shared" si="148"/>
        <v>0</v>
      </c>
      <c r="AT342" s="292">
        <f t="shared" si="149"/>
        <v>0</v>
      </c>
      <c r="AU342" s="292">
        <f t="shared" si="150"/>
        <v>0</v>
      </c>
      <c r="AV342" s="292">
        <f t="shared" si="151"/>
        <v>11109656</v>
      </c>
      <c r="AW342" s="292">
        <f t="shared" si="152"/>
        <v>0</v>
      </c>
      <c r="AX342" s="292">
        <f t="shared" si="153"/>
        <v>0</v>
      </c>
      <c r="AY342" s="292">
        <f t="shared" si="154"/>
        <v>0</v>
      </c>
      <c r="AZ342" s="292">
        <f t="shared" si="155"/>
        <v>0</v>
      </c>
      <c r="BA342" s="292">
        <f t="shared" si="156"/>
        <v>0</v>
      </c>
      <c r="BB342" s="292">
        <f t="shared" si="157"/>
        <v>0</v>
      </c>
      <c r="BC342" s="292">
        <f t="shared" si="158"/>
        <v>0</v>
      </c>
      <c r="BD342" s="292">
        <f t="shared" si="159"/>
        <v>0</v>
      </c>
      <c r="BE342" s="292">
        <f t="shared" si="160"/>
        <v>0</v>
      </c>
      <c r="BF342" s="292">
        <f t="shared" si="161"/>
        <v>0</v>
      </c>
      <c r="BG342" s="292">
        <f t="shared" si="162"/>
        <v>0</v>
      </c>
    </row>
    <row r="343" spans="1:59" s="289" customFormat="1" ht="15" customHeight="1">
      <c r="A343" s="63">
        <f t="array" ref="A343">IF(C343&lt;&gt;0,SUM(($C$11:C343&lt;&gt;0)*1),"")</f>
        <v>333</v>
      </c>
      <c r="B343" s="1099">
        <v>42515</v>
      </c>
      <c r="C343" s="290" t="s">
        <v>8</v>
      </c>
      <c r="D343" s="1099">
        <v>42515</v>
      </c>
      <c r="E343" s="344" t="s">
        <v>405</v>
      </c>
      <c r="F343" s="345">
        <v>11903203</v>
      </c>
      <c r="G343" s="346" t="s">
        <v>133</v>
      </c>
      <c r="H343" s="346" t="s">
        <v>31</v>
      </c>
      <c r="I343" s="63">
        <f t="shared" si="175"/>
        <v>333</v>
      </c>
      <c r="J343" s="292">
        <f t="shared" si="125"/>
        <v>0</v>
      </c>
      <c r="K343" s="292">
        <f t="shared" si="126"/>
        <v>0</v>
      </c>
      <c r="L343" s="292">
        <f t="shared" si="127"/>
        <v>0</v>
      </c>
      <c r="M343" s="292">
        <f t="shared" si="128"/>
        <v>11903203</v>
      </c>
      <c r="N343" s="292">
        <f t="shared" si="163"/>
        <v>0</v>
      </c>
      <c r="O343" s="292">
        <f t="shared" si="164"/>
        <v>0</v>
      </c>
      <c r="P343" s="292">
        <f t="shared" si="129"/>
        <v>0</v>
      </c>
      <c r="Q343" s="292">
        <f t="shared" si="130"/>
        <v>0</v>
      </c>
      <c r="R343" s="292">
        <f t="shared" si="169"/>
        <v>0</v>
      </c>
      <c r="S343" s="292">
        <f t="shared" si="170"/>
        <v>0</v>
      </c>
      <c r="T343" s="292">
        <f t="shared" si="131"/>
        <v>0</v>
      </c>
      <c r="U343" s="292">
        <f t="shared" si="132"/>
        <v>0</v>
      </c>
      <c r="V343" s="292">
        <f t="shared" si="171"/>
        <v>0</v>
      </c>
      <c r="W343" s="292">
        <f t="shared" si="172"/>
        <v>0</v>
      </c>
      <c r="X343" s="292">
        <f t="shared" si="173"/>
        <v>0</v>
      </c>
      <c r="Y343" s="292">
        <f t="shared" si="174"/>
        <v>0</v>
      </c>
      <c r="Z343" s="292">
        <f t="shared" si="165"/>
        <v>0</v>
      </c>
      <c r="AA343" s="292">
        <f t="shared" si="166"/>
        <v>0</v>
      </c>
      <c r="AB343" s="292">
        <f t="shared" si="133"/>
        <v>0</v>
      </c>
      <c r="AC343" s="292">
        <f t="shared" si="134"/>
        <v>0</v>
      </c>
      <c r="AD343" s="292">
        <f t="shared" si="135"/>
        <v>0</v>
      </c>
      <c r="AE343" s="292">
        <f t="shared" si="136"/>
        <v>0</v>
      </c>
      <c r="AF343" s="292">
        <f t="shared" si="137"/>
        <v>0</v>
      </c>
      <c r="AG343" s="292">
        <f t="shared" si="138"/>
        <v>0</v>
      </c>
      <c r="AH343" s="292">
        <f t="shared" si="139"/>
        <v>0</v>
      </c>
      <c r="AI343" s="292">
        <f t="shared" si="140"/>
        <v>0</v>
      </c>
      <c r="AJ343" s="292">
        <f t="shared" si="141"/>
        <v>0</v>
      </c>
      <c r="AK343" s="292">
        <f t="shared" si="142"/>
        <v>0</v>
      </c>
      <c r="AL343" s="292">
        <f t="shared" si="167"/>
        <v>0</v>
      </c>
      <c r="AM343" s="292">
        <f t="shared" si="168"/>
        <v>0</v>
      </c>
      <c r="AN343" s="292">
        <f t="shared" si="143"/>
        <v>0</v>
      </c>
      <c r="AO343" s="292">
        <f t="shared" si="144"/>
        <v>0</v>
      </c>
      <c r="AP343" s="292">
        <f t="shared" si="145"/>
        <v>0</v>
      </c>
      <c r="AQ343" s="292">
        <f t="shared" si="146"/>
        <v>0</v>
      </c>
      <c r="AR343" s="292">
        <f t="shared" si="147"/>
        <v>0</v>
      </c>
      <c r="AS343" s="292">
        <f t="shared" si="148"/>
        <v>0</v>
      </c>
      <c r="AT343" s="292">
        <f t="shared" si="149"/>
        <v>0</v>
      </c>
      <c r="AU343" s="292">
        <f t="shared" si="150"/>
        <v>0</v>
      </c>
      <c r="AV343" s="292">
        <f t="shared" si="151"/>
        <v>11903203</v>
      </c>
      <c r="AW343" s="292">
        <f t="shared" si="152"/>
        <v>0</v>
      </c>
      <c r="AX343" s="292">
        <f t="shared" si="153"/>
        <v>0</v>
      </c>
      <c r="AY343" s="292">
        <f t="shared" si="154"/>
        <v>0</v>
      </c>
      <c r="AZ343" s="292">
        <f t="shared" si="155"/>
        <v>0</v>
      </c>
      <c r="BA343" s="292">
        <f t="shared" si="156"/>
        <v>0</v>
      </c>
      <c r="BB343" s="292">
        <f t="shared" si="157"/>
        <v>0</v>
      </c>
      <c r="BC343" s="292">
        <f t="shared" si="158"/>
        <v>0</v>
      </c>
      <c r="BD343" s="292">
        <f t="shared" si="159"/>
        <v>0</v>
      </c>
      <c r="BE343" s="292">
        <f t="shared" si="160"/>
        <v>0</v>
      </c>
      <c r="BF343" s="292">
        <f t="shared" si="161"/>
        <v>0</v>
      </c>
      <c r="BG343" s="292">
        <f t="shared" si="162"/>
        <v>0</v>
      </c>
    </row>
    <row r="344" spans="1:59" s="289" customFormat="1" ht="15" customHeight="1">
      <c r="A344" s="63">
        <f t="array" ref="A344">IF(C344&lt;&gt;0,SUM(($C$11:C344&lt;&gt;0)*1),"")</f>
        <v>334</v>
      </c>
      <c r="B344" s="1099">
        <v>42515</v>
      </c>
      <c r="C344" s="290" t="s">
        <v>8</v>
      </c>
      <c r="D344" s="1099">
        <v>42515</v>
      </c>
      <c r="E344" s="344" t="s">
        <v>405</v>
      </c>
      <c r="F344" s="345">
        <v>11903203</v>
      </c>
      <c r="G344" s="346" t="s">
        <v>133</v>
      </c>
      <c r="H344" s="346" t="s">
        <v>31</v>
      </c>
      <c r="I344" s="63">
        <f t="shared" si="175"/>
        <v>334</v>
      </c>
      <c r="J344" s="292">
        <f t="shared" si="125"/>
        <v>0</v>
      </c>
      <c r="K344" s="292">
        <f t="shared" si="126"/>
        <v>0</v>
      </c>
      <c r="L344" s="292">
        <f t="shared" si="127"/>
        <v>0</v>
      </c>
      <c r="M344" s="292">
        <f t="shared" si="128"/>
        <v>11903203</v>
      </c>
      <c r="N344" s="292">
        <f t="shared" si="163"/>
        <v>0</v>
      </c>
      <c r="O344" s="292">
        <f t="shared" si="164"/>
        <v>0</v>
      </c>
      <c r="P344" s="292">
        <f t="shared" si="129"/>
        <v>0</v>
      </c>
      <c r="Q344" s="292">
        <f t="shared" si="130"/>
        <v>0</v>
      </c>
      <c r="R344" s="292">
        <f t="shared" si="169"/>
        <v>0</v>
      </c>
      <c r="S344" s="292">
        <f t="shared" si="170"/>
        <v>0</v>
      </c>
      <c r="T344" s="292">
        <f t="shared" si="131"/>
        <v>0</v>
      </c>
      <c r="U344" s="292">
        <f t="shared" si="132"/>
        <v>0</v>
      </c>
      <c r="V344" s="292">
        <f t="shared" si="171"/>
        <v>0</v>
      </c>
      <c r="W344" s="292">
        <f t="shared" si="172"/>
        <v>0</v>
      </c>
      <c r="X344" s="292">
        <f t="shared" si="173"/>
        <v>0</v>
      </c>
      <c r="Y344" s="292">
        <f t="shared" si="174"/>
        <v>0</v>
      </c>
      <c r="Z344" s="292">
        <f t="shared" si="165"/>
        <v>0</v>
      </c>
      <c r="AA344" s="292">
        <f t="shared" si="166"/>
        <v>0</v>
      </c>
      <c r="AB344" s="292">
        <f t="shared" si="133"/>
        <v>0</v>
      </c>
      <c r="AC344" s="292">
        <f t="shared" si="134"/>
        <v>0</v>
      </c>
      <c r="AD344" s="292">
        <f t="shared" si="135"/>
        <v>0</v>
      </c>
      <c r="AE344" s="292">
        <f t="shared" si="136"/>
        <v>0</v>
      </c>
      <c r="AF344" s="292">
        <f t="shared" si="137"/>
        <v>0</v>
      </c>
      <c r="AG344" s="292">
        <f t="shared" si="138"/>
        <v>0</v>
      </c>
      <c r="AH344" s="292">
        <f t="shared" si="139"/>
        <v>0</v>
      </c>
      <c r="AI344" s="292">
        <f t="shared" si="140"/>
        <v>0</v>
      </c>
      <c r="AJ344" s="292">
        <f t="shared" si="141"/>
        <v>0</v>
      </c>
      <c r="AK344" s="292">
        <f t="shared" si="142"/>
        <v>0</v>
      </c>
      <c r="AL344" s="292">
        <f t="shared" si="167"/>
        <v>0</v>
      </c>
      <c r="AM344" s="292">
        <f t="shared" si="168"/>
        <v>0</v>
      </c>
      <c r="AN344" s="292">
        <f t="shared" si="143"/>
        <v>0</v>
      </c>
      <c r="AO344" s="292">
        <f t="shared" si="144"/>
        <v>0</v>
      </c>
      <c r="AP344" s="292">
        <f t="shared" si="145"/>
        <v>0</v>
      </c>
      <c r="AQ344" s="292">
        <f t="shared" si="146"/>
        <v>0</v>
      </c>
      <c r="AR344" s="292">
        <f t="shared" si="147"/>
        <v>0</v>
      </c>
      <c r="AS344" s="292">
        <f t="shared" si="148"/>
        <v>0</v>
      </c>
      <c r="AT344" s="292">
        <f t="shared" si="149"/>
        <v>0</v>
      </c>
      <c r="AU344" s="292">
        <f t="shared" si="150"/>
        <v>0</v>
      </c>
      <c r="AV344" s="292">
        <f t="shared" si="151"/>
        <v>11903203</v>
      </c>
      <c r="AW344" s="292">
        <f t="shared" si="152"/>
        <v>0</v>
      </c>
      <c r="AX344" s="292">
        <f t="shared" si="153"/>
        <v>0</v>
      </c>
      <c r="AY344" s="292">
        <f t="shared" si="154"/>
        <v>0</v>
      </c>
      <c r="AZ344" s="292">
        <f t="shared" si="155"/>
        <v>0</v>
      </c>
      <c r="BA344" s="292">
        <f t="shared" si="156"/>
        <v>0</v>
      </c>
      <c r="BB344" s="292">
        <f t="shared" si="157"/>
        <v>0</v>
      </c>
      <c r="BC344" s="292">
        <f t="shared" si="158"/>
        <v>0</v>
      </c>
      <c r="BD344" s="292">
        <f t="shared" si="159"/>
        <v>0</v>
      </c>
      <c r="BE344" s="292">
        <f t="shared" si="160"/>
        <v>0</v>
      </c>
      <c r="BF344" s="292">
        <f t="shared" si="161"/>
        <v>0</v>
      </c>
      <c r="BG344" s="292">
        <f t="shared" si="162"/>
        <v>0</v>
      </c>
    </row>
    <row r="345" spans="1:59" s="289" customFormat="1" ht="15" customHeight="1">
      <c r="A345" s="63">
        <f t="array" ref="A345">IF(C345&lt;&gt;0,SUM(($C$11:C345&lt;&gt;0)*1),"")</f>
        <v>335</v>
      </c>
      <c r="B345" s="1099">
        <v>42516</v>
      </c>
      <c r="C345" s="290" t="s">
        <v>752</v>
      </c>
      <c r="D345" s="1099">
        <v>42516</v>
      </c>
      <c r="E345" s="344" t="s">
        <v>921</v>
      </c>
      <c r="F345" s="345">
        <v>9090909</v>
      </c>
      <c r="G345" s="346" t="s">
        <v>242</v>
      </c>
      <c r="H345" s="346" t="s">
        <v>9</v>
      </c>
      <c r="I345" s="63">
        <f t="shared" si="175"/>
        <v>335</v>
      </c>
      <c r="J345" s="292">
        <f t="shared" si="125"/>
        <v>0</v>
      </c>
      <c r="K345" s="292">
        <f t="shared" si="126"/>
        <v>0</v>
      </c>
      <c r="L345" s="292">
        <f t="shared" si="127"/>
        <v>0</v>
      </c>
      <c r="M345" s="292">
        <f t="shared" si="128"/>
        <v>0</v>
      </c>
      <c r="N345" s="292">
        <f t="shared" si="163"/>
        <v>0</v>
      </c>
      <c r="O345" s="292">
        <f t="shared" si="164"/>
        <v>0</v>
      </c>
      <c r="P345" s="292">
        <f t="shared" si="129"/>
        <v>0</v>
      </c>
      <c r="Q345" s="292">
        <f t="shared" si="130"/>
        <v>0</v>
      </c>
      <c r="R345" s="292">
        <f t="shared" si="169"/>
        <v>0</v>
      </c>
      <c r="S345" s="292">
        <f t="shared" si="170"/>
        <v>0</v>
      </c>
      <c r="T345" s="292">
        <f t="shared" si="131"/>
        <v>0</v>
      </c>
      <c r="U345" s="292">
        <f t="shared" si="132"/>
        <v>0</v>
      </c>
      <c r="V345" s="292">
        <f t="shared" si="171"/>
        <v>0</v>
      </c>
      <c r="W345" s="292">
        <f t="shared" si="172"/>
        <v>0</v>
      </c>
      <c r="X345" s="292">
        <f t="shared" si="173"/>
        <v>0</v>
      </c>
      <c r="Y345" s="292">
        <f t="shared" si="174"/>
        <v>0</v>
      </c>
      <c r="Z345" s="292">
        <f t="shared" si="165"/>
        <v>9090909</v>
      </c>
      <c r="AA345" s="292">
        <f t="shared" si="166"/>
        <v>0</v>
      </c>
      <c r="AB345" s="292">
        <f t="shared" si="133"/>
        <v>0</v>
      </c>
      <c r="AC345" s="292">
        <f t="shared" si="134"/>
        <v>9090909</v>
      </c>
      <c r="AD345" s="292">
        <f t="shared" si="135"/>
        <v>0</v>
      </c>
      <c r="AE345" s="292">
        <f t="shared" si="136"/>
        <v>0</v>
      </c>
      <c r="AF345" s="292">
        <f t="shared" si="137"/>
        <v>0</v>
      </c>
      <c r="AG345" s="292">
        <f t="shared" si="138"/>
        <v>0</v>
      </c>
      <c r="AH345" s="292">
        <f t="shared" si="139"/>
        <v>0</v>
      </c>
      <c r="AI345" s="292">
        <f t="shared" si="140"/>
        <v>0</v>
      </c>
      <c r="AJ345" s="292">
        <f t="shared" si="141"/>
        <v>0</v>
      </c>
      <c r="AK345" s="292">
        <f t="shared" si="142"/>
        <v>0</v>
      </c>
      <c r="AL345" s="292">
        <f t="shared" si="167"/>
        <v>0</v>
      </c>
      <c r="AM345" s="292">
        <f t="shared" si="168"/>
        <v>0</v>
      </c>
      <c r="AN345" s="292">
        <f t="shared" si="143"/>
        <v>0</v>
      </c>
      <c r="AO345" s="292">
        <f t="shared" si="144"/>
        <v>0</v>
      </c>
      <c r="AP345" s="292">
        <f t="shared" si="145"/>
        <v>0</v>
      </c>
      <c r="AQ345" s="292">
        <f t="shared" si="146"/>
        <v>0</v>
      </c>
      <c r="AR345" s="292">
        <f t="shared" si="147"/>
        <v>0</v>
      </c>
      <c r="AS345" s="292">
        <f t="shared" si="148"/>
        <v>0</v>
      </c>
      <c r="AT345" s="292">
        <f t="shared" si="149"/>
        <v>0</v>
      </c>
      <c r="AU345" s="292">
        <f t="shared" si="150"/>
        <v>0</v>
      </c>
      <c r="AV345" s="292">
        <f t="shared" si="151"/>
        <v>0</v>
      </c>
      <c r="AW345" s="292">
        <f t="shared" si="152"/>
        <v>0</v>
      </c>
      <c r="AX345" s="292">
        <f t="shared" si="153"/>
        <v>0</v>
      </c>
      <c r="AY345" s="292">
        <f t="shared" si="154"/>
        <v>0</v>
      </c>
      <c r="AZ345" s="292">
        <f t="shared" si="155"/>
        <v>0</v>
      </c>
      <c r="BA345" s="292">
        <f t="shared" si="156"/>
        <v>0</v>
      </c>
      <c r="BB345" s="292">
        <f t="shared" si="157"/>
        <v>0</v>
      </c>
      <c r="BC345" s="292">
        <f t="shared" si="158"/>
        <v>0</v>
      </c>
      <c r="BD345" s="292">
        <f t="shared" si="159"/>
        <v>0</v>
      </c>
      <c r="BE345" s="292">
        <f t="shared" si="160"/>
        <v>0</v>
      </c>
      <c r="BF345" s="292">
        <f t="shared" si="161"/>
        <v>0</v>
      </c>
      <c r="BG345" s="292">
        <f t="shared" si="162"/>
        <v>0</v>
      </c>
    </row>
    <row r="346" spans="1:59" s="289" customFormat="1" ht="15" customHeight="1">
      <c r="A346" s="63">
        <f t="array" ref="A346">IF(C346&lt;&gt;0,SUM(($C$11:C346&lt;&gt;0)*1),"")</f>
        <v>336</v>
      </c>
      <c r="B346" s="1099">
        <v>42516</v>
      </c>
      <c r="C346" s="290" t="s">
        <v>752</v>
      </c>
      <c r="D346" s="1099">
        <v>42516</v>
      </c>
      <c r="E346" s="344" t="s">
        <v>922</v>
      </c>
      <c r="F346" s="345">
        <v>909091</v>
      </c>
      <c r="G346" s="346" t="s">
        <v>981</v>
      </c>
      <c r="H346" s="346" t="s">
        <v>9</v>
      </c>
      <c r="I346" s="63">
        <f t="shared" si="175"/>
        <v>336</v>
      </c>
      <c r="J346" s="292">
        <f t="shared" si="125"/>
        <v>0</v>
      </c>
      <c r="K346" s="292">
        <f t="shared" si="126"/>
        <v>0</v>
      </c>
      <c r="L346" s="292">
        <f t="shared" si="127"/>
        <v>0</v>
      </c>
      <c r="M346" s="292">
        <f t="shared" si="128"/>
        <v>0</v>
      </c>
      <c r="N346" s="292">
        <f t="shared" si="163"/>
        <v>0</v>
      </c>
      <c r="O346" s="292">
        <f t="shared" si="164"/>
        <v>0</v>
      </c>
      <c r="P346" s="292">
        <f t="shared" si="129"/>
        <v>0</v>
      </c>
      <c r="Q346" s="292">
        <f t="shared" si="130"/>
        <v>0</v>
      </c>
      <c r="R346" s="292">
        <f t="shared" si="169"/>
        <v>909091</v>
      </c>
      <c r="S346" s="292">
        <f t="shared" si="170"/>
        <v>0</v>
      </c>
      <c r="T346" s="292">
        <f t="shared" si="131"/>
        <v>0</v>
      </c>
      <c r="U346" s="292">
        <f t="shared" si="132"/>
        <v>0</v>
      </c>
      <c r="V346" s="292">
        <f t="shared" si="171"/>
        <v>0</v>
      </c>
      <c r="W346" s="292">
        <f t="shared" si="172"/>
        <v>0</v>
      </c>
      <c r="X346" s="292">
        <f t="shared" si="173"/>
        <v>0</v>
      </c>
      <c r="Y346" s="292">
        <f t="shared" si="174"/>
        <v>0</v>
      </c>
      <c r="Z346" s="292">
        <f t="shared" si="165"/>
        <v>0</v>
      </c>
      <c r="AA346" s="292">
        <f t="shared" si="166"/>
        <v>0</v>
      </c>
      <c r="AB346" s="292">
        <f t="shared" si="133"/>
        <v>0</v>
      </c>
      <c r="AC346" s="292">
        <f t="shared" si="134"/>
        <v>909091</v>
      </c>
      <c r="AD346" s="292">
        <f t="shared" si="135"/>
        <v>0</v>
      </c>
      <c r="AE346" s="292">
        <f t="shared" si="136"/>
        <v>0</v>
      </c>
      <c r="AF346" s="292">
        <f t="shared" si="137"/>
        <v>0</v>
      </c>
      <c r="AG346" s="292">
        <f t="shared" si="138"/>
        <v>0</v>
      </c>
      <c r="AH346" s="292">
        <f t="shared" si="139"/>
        <v>0</v>
      </c>
      <c r="AI346" s="292">
        <f t="shared" si="140"/>
        <v>0</v>
      </c>
      <c r="AJ346" s="292">
        <f t="shared" si="141"/>
        <v>0</v>
      </c>
      <c r="AK346" s="292">
        <f t="shared" si="142"/>
        <v>0</v>
      </c>
      <c r="AL346" s="292">
        <f t="shared" si="167"/>
        <v>0</v>
      </c>
      <c r="AM346" s="292">
        <f t="shared" si="168"/>
        <v>0</v>
      </c>
      <c r="AN346" s="292">
        <f t="shared" si="143"/>
        <v>0</v>
      </c>
      <c r="AO346" s="292">
        <f t="shared" si="144"/>
        <v>0</v>
      </c>
      <c r="AP346" s="292">
        <f t="shared" si="145"/>
        <v>0</v>
      </c>
      <c r="AQ346" s="292">
        <f t="shared" si="146"/>
        <v>0</v>
      </c>
      <c r="AR346" s="292">
        <f t="shared" si="147"/>
        <v>0</v>
      </c>
      <c r="AS346" s="292">
        <f t="shared" si="148"/>
        <v>0</v>
      </c>
      <c r="AT346" s="292">
        <f t="shared" si="149"/>
        <v>0</v>
      </c>
      <c r="AU346" s="292">
        <f t="shared" si="150"/>
        <v>0</v>
      </c>
      <c r="AV346" s="292">
        <f t="shared" si="151"/>
        <v>0</v>
      </c>
      <c r="AW346" s="292">
        <f t="shared" si="152"/>
        <v>0</v>
      </c>
      <c r="AX346" s="292">
        <f t="shared" si="153"/>
        <v>0</v>
      </c>
      <c r="AY346" s="292">
        <f t="shared" si="154"/>
        <v>0</v>
      </c>
      <c r="AZ346" s="292">
        <f t="shared" si="155"/>
        <v>0</v>
      </c>
      <c r="BA346" s="292">
        <f t="shared" si="156"/>
        <v>0</v>
      </c>
      <c r="BB346" s="292">
        <f t="shared" si="157"/>
        <v>0</v>
      </c>
      <c r="BC346" s="292">
        <f t="shared" si="158"/>
        <v>0</v>
      </c>
      <c r="BD346" s="292">
        <f t="shared" si="159"/>
        <v>0</v>
      </c>
      <c r="BE346" s="292">
        <f t="shared" si="160"/>
        <v>0</v>
      </c>
      <c r="BF346" s="292">
        <f t="shared" si="161"/>
        <v>0</v>
      </c>
      <c r="BG346" s="292">
        <f t="shared" si="162"/>
        <v>0</v>
      </c>
    </row>
    <row r="347" spans="1:59" s="289" customFormat="1" ht="15" customHeight="1">
      <c r="A347" s="63">
        <f t="array" ref="A347">IF(C347&lt;&gt;0,SUM(($C$11:C347&lt;&gt;0)*1),"")</f>
        <v>337</v>
      </c>
      <c r="B347" s="1099">
        <v>42516</v>
      </c>
      <c r="C347" s="290" t="s">
        <v>1018</v>
      </c>
      <c r="D347" s="1099">
        <v>42501</v>
      </c>
      <c r="E347" s="344" t="s">
        <v>937</v>
      </c>
      <c r="F347" s="345">
        <v>27604000</v>
      </c>
      <c r="G347" s="346" t="s">
        <v>135</v>
      </c>
      <c r="H347" s="346" t="s">
        <v>9</v>
      </c>
      <c r="I347" s="63">
        <f t="shared" si="175"/>
        <v>337</v>
      </c>
      <c r="J347" s="292">
        <f t="shared" si="125"/>
        <v>0</v>
      </c>
      <c r="K347" s="292">
        <f t="shared" si="126"/>
        <v>0</v>
      </c>
      <c r="L347" s="292">
        <f t="shared" si="127"/>
        <v>0</v>
      </c>
      <c r="M347" s="292">
        <f t="shared" si="128"/>
        <v>0</v>
      </c>
      <c r="N347" s="292">
        <f t="shared" si="163"/>
        <v>0</v>
      </c>
      <c r="O347" s="292">
        <f t="shared" si="164"/>
        <v>0</v>
      </c>
      <c r="P347" s="292">
        <f t="shared" si="129"/>
        <v>0</v>
      </c>
      <c r="Q347" s="292">
        <f t="shared" si="130"/>
        <v>0</v>
      </c>
      <c r="R347" s="292">
        <f t="shared" si="169"/>
        <v>0</v>
      </c>
      <c r="S347" s="292">
        <f t="shared" si="170"/>
        <v>0</v>
      </c>
      <c r="T347" s="292">
        <f t="shared" si="131"/>
        <v>0</v>
      </c>
      <c r="U347" s="292">
        <f t="shared" si="132"/>
        <v>0</v>
      </c>
      <c r="V347" s="292">
        <f t="shared" si="171"/>
        <v>0</v>
      </c>
      <c r="W347" s="292">
        <f t="shared" si="172"/>
        <v>0</v>
      </c>
      <c r="X347" s="292">
        <f t="shared" si="173"/>
        <v>0</v>
      </c>
      <c r="Y347" s="292">
        <f t="shared" si="174"/>
        <v>0</v>
      </c>
      <c r="Z347" s="292">
        <f t="shared" si="165"/>
        <v>0</v>
      </c>
      <c r="AA347" s="292">
        <f t="shared" si="166"/>
        <v>0</v>
      </c>
      <c r="AB347" s="292">
        <f t="shared" si="133"/>
        <v>0</v>
      </c>
      <c r="AC347" s="292">
        <f t="shared" si="134"/>
        <v>27604000</v>
      </c>
      <c r="AD347" s="292">
        <f t="shared" si="135"/>
        <v>0</v>
      </c>
      <c r="AE347" s="292">
        <f t="shared" si="136"/>
        <v>0</v>
      </c>
      <c r="AF347" s="292">
        <f t="shared" si="137"/>
        <v>0</v>
      </c>
      <c r="AG347" s="292">
        <f t="shared" si="138"/>
        <v>0</v>
      </c>
      <c r="AH347" s="292">
        <f t="shared" si="139"/>
        <v>0</v>
      </c>
      <c r="AI347" s="292">
        <f t="shared" si="140"/>
        <v>0</v>
      </c>
      <c r="AJ347" s="292">
        <f t="shared" si="141"/>
        <v>0</v>
      </c>
      <c r="AK347" s="292">
        <f t="shared" si="142"/>
        <v>0</v>
      </c>
      <c r="AL347" s="292">
        <f t="shared" si="167"/>
        <v>0</v>
      </c>
      <c r="AM347" s="292">
        <f t="shared" si="168"/>
        <v>0</v>
      </c>
      <c r="AN347" s="292">
        <f t="shared" si="143"/>
        <v>0</v>
      </c>
      <c r="AO347" s="292">
        <f t="shared" si="144"/>
        <v>0</v>
      </c>
      <c r="AP347" s="292">
        <f t="shared" si="145"/>
        <v>0</v>
      </c>
      <c r="AQ347" s="292">
        <f t="shared" si="146"/>
        <v>0</v>
      </c>
      <c r="AR347" s="292">
        <f t="shared" si="147"/>
        <v>0</v>
      </c>
      <c r="AS347" s="292">
        <f t="shared" si="148"/>
        <v>0</v>
      </c>
      <c r="AT347" s="292">
        <f t="shared" si="149"/>
        <v>0</v>
      </c>
      <c r="AU347" s="292">
        <f t="shared" si="150"/>
        <v>0</v>
      </c>
      <c r="AV347" s="292">
        <f t="shared" si="151"/>
        <v>0</v>
      </c>
      <c r="AW347" s="292">
        <f t="shared" si="152"/>
        <v>0</v>
      </c>
      <c r="AX347" s="292">
        <f t="shared" si="153"/>
        <v>27604000</v>
      </c>
      <c r="AY347" s="292">
        <f t="shared" si="154"/>
        <v>0</v>
      </c>
      <c r="AZ347" s="292">
        <f t="shared" si="155"/>
        <v>0</v>
      </c>
      <c r="BA347" s="292">
        <f t="shared" si="156"/>
        <v>0</v>
      </c>
      <c r="BB347" s="292">
        <f t="shared" si="157"/>
        <v>0</v>
      </c>
      <c r="BC347" s="292">
        <f t="shared" si="158"/>
        <v>0</v>
      </c>
      <c r="BD347" s="292">
        <f t="shared" si="159"/>
        <v>0</v>
      </c>
      <c r="BE347" s="292">
        <f t="shared" si="160"/>
        <v>0</v>
      </c>
      <c r="BF347" s="292">
        <f t="shared" si="161"/>
        <v>0</v>
      </c>
      <c r="BG347" s="292">
        <f t="shared" si="162"/>
        <v>0</v>
      </c>
    </row>
    <row r="348" spans="1:59" s="289" customFormat="1" ht="15" customHeight="1">
      <c r="A348" s="63">
        <f t="array" ref="A348">IF(C348&lt;&gt;0,SUM(($C$11:C348&lt;&gt;0)*1),"")</f>
        <v>338</v>
      </c>
      <c r="B348" s="1099">
        <v>42516</v>
      </c>
      <c r="C348" s="290" t="s">
        <v>1018</v>
      </c>
      <c r="D348" s="1099">
        <v>42501</v>
      </c>
      <c r="E348" s="344" t="s">
        <v>938</v>
      </c>
      <c r="F348" s="345">
        <v>2760400</v>
      </c>
      <c r="G348" s="346" t="s">
        <v>10</v>
      </c>
      <c r="H348" s="346" t="s">
        <v>9</v>
      </c>
      <c r="I348" s="63">
        <f t="shared" si="175"/>
        <v>338</v>
      </c>
      <c r="J348" s="292">
        <f t="shared" si="125"/>
        <v>0</v>
      </c>
      <c r="K348" s="292">
        <f t="shared" si="126"/>
        <v>0</v>
      </c>
      <c r="L348" s="292">
        <f t="shared" si="127"/>
        <v>0</v>
      </c>
      <c r="M348" s="292">
        <f t="shared" si="128"/>
        <v>0</v>
      </c>
      <c r="N348" s="292">
        <f t="shared" si="163"/>
        <v>0</v>
      </c>
      <c r="O348" s="292">
        <f t="shared" si="164"/>
        <v>0</v>
      </c>
      <c r="P348" s="292">
        <f t="shared" si="129"/>
        <v>2760400</v>
      </c>
      <c r="Q348" s="292">
        <f t="shared" si="130"/>
        <v>0</v>
      </c>
      <c r="R348" s="292">
        <f t="shared" si="169"/>
        <v>0</v>
      </c>
      <c r="S348" s="292">
        <f t="shared" si="170"/>
        <v>0</v>
      </c>
      <c r="T348" s="292">
        <f t="shared" si="131"/>
        <v>0</v>
      </c>
      <c r="U348" s="292">
        <f t="shared" si="132"/>
        <v>0</v>
      </c>
      <c r="V348" s="292">
        <f t="shared" si="171"/>
        <v>0</v>
      </c>
      <c r="W348" s="292">
        <f t="shared" si="172"/>
        <v>0</v>
      </c>
      <c r="X348" s="292">
        <f t="shared" si="173"/>
        <v>0</v>
      </c>
      <c r="Y348" s="292">
        <f t="shared" si="174"/>
        <v>0</v>
      </c>
      <c r="Z348" s="292">
        <f t="shared" si="165"/>
        <v>0</v>
      </c>
      <c r="AA348" s="292">
        <f t="shared" si="166"/>
        <v>0</v>
      </c>
      <c r="AB348" s="292">
        <f t="shared" si="133"/>
        <v>0</v>
      </c>
      <c r="AC348" s="292">
        <f t="shared" si="134"/>
        <v>2760400</v>
      </c>
      <c r="AD348" s="292">
        <f t="shared" si="135"/>
        <v>0</v>
      </c>
      <c r="AE348" s="292">
        <f t="shared" si="136"/>
        <v>0</v>
      </c>
      <c r="AF348" s="292">
        <f t="shared" si="137"/>
        <v>0</v>
      </c>
      <c r="AG348" s="292">
        <f t="shared" si="138"/>
        <v>0</v>
      </c>
      <c r="AH348" s="292">
        <f t="shared" si="139"/>
        <v>0</v>
      </c>
      <c r="AI348" s="292">
        <f t="shared" si="140"/>
        <v>0</v>
      </c>
      <c r="AJ348" s="292">
        <f t="shared" si="141"/>
        <v>0</v>
      </c>
      <c r="AK348" s="292">
        <f t="shared" si="142"/>
        <v>0</v>
      </c>
      <c r="AL348" s="292">
        <f t="shared" si="167"/>
        <v>0</v>
      </c>
      <c r="AM348" s="292">
        <f t="shared" si="168"/>
        <v>0</v>
      </c>
      <c r="AN348" s="292">
        <f t="shared" si="143"/>
        <v>0</v>
      </c>
      <c r="AO348" s="292">
        <f t="shared" si="144"/>
        <v>0</v>
      </c>
      <c r="AP348" s="292">
        <f t="shared" si="145"/>
        <v>0</v>
      </c>
      <c r="AQ348" s="292">
        <f t="shared" si="146"/>
        <v>0</v>
      </c>
      <c r="AR348" s="292">
        <f t="shared" si="147"/>
        <v>0</v>
      </c>
      <c r="AS348" s="292">
        <f t="shared" si="148"/>
        <v>0</v>
      </c>
      <c r="AT348" s="292">
        <f t="shared" si="149"/>
        <v>0</v>
      </c>
      <c r="AU348" s="292">
        <f t="shared" si="150"/>
        <v>0</v>
      </c>
      <c r="AV348" s="292">
        <f t="shared" si="151"/>
        <v>0</v>
      </c>
      <c r="AW348" s="292">
        <f t="shared" si="152"/>
        <v>0</v>
      </c>
      <c r="AX348" s="292">
        <f t="shared" si="153"/>
        <v>0</v>
      </c>
      <c r="AY348" s="292">
        <f t="shared" si="154"/>
        <v>0</v>
      </c>
      <c r="AZ348" s="292">
        <f t="shared" si="155"/>
        <v>0</v>
      </c>
      <c r="BA348" s="292">
        <f t="shared" si="156"/>
        <v>0</v>
      </c>
      <c r="BB348" s="292">
        <f t="shared" si="157"/>
        <v>0</v>
      </c>
      <c r="BC348" s="292">
        <f t="shared" si="158"/>
        <v>0</v>
      </c>
      <c r="BD348" s="292">
        <f t="shared" si="159"/>
        <v>0</v>
      </c>
      <c r="BE348" s="292">
        <f t="shared" si="160"/>
        <v>0</v>
      </c>
      <c r="BF348" s="292">
        <f t="shared" si="161"/>
        <v>0</v>
      </c>
      <c r="BG348" s="292">
        <f t="shared" si="162"/>
        <v>0</v>
      </c>
    </row>
    <row r="349" spans="1:59" s="289" customFormat="1" ht="15" customHeight="1">
      <c r="A349" s="63">
        <f t="array" ref="A349">IF(C349&lt;&gt;0,SUM(($C$11:C349&lt;&gt;0)*1),"")</f>
        <v>339</v>
      </c>
      <c r="B349" s="1099">
        <v>42516</v>
      </c>
      <c r="C349" s="290" t="s">
        <v>1018</v>
      </c>
      <c r="D349" s="1099">
        <v>42510</v>
      </c>
      <c r="E349" s="344" t="s">
        <v>917</v>
      </c>
      <c r="F349" s="345">
        <v>8409091</v>
      </c>
      <c r="G349" s="346" t="s">
        <v>135</v>
      </c>
      <c r="H349" s="346" t="s">
        <v>9</v>
      </c>
      <c r="I349" s="63">
        <f t="shared" si="175"/>
        <v>339</v>
      </c>
      <c r="J349" s="292">
        <f t="shared" si="125"/>
        <v>0</v>
      </c>
      <c r="K349" s="292">
        <f t="shared" si="126"/>
        <v>0</v>
      </c>
      <c r="L349" s="292">
        <f t="shared" si="127"/>
        <v>0</v>
      </c>
      <c r="M349" s="292">
        <f t="shared" si="128"/>
        <v>0</v>
      </c>
      <c r="N349" s="292">
        <f t="shared" si="163"/>
        <v>0</v>
      </c>
      <c r="O349" s="292">
        <f t="shared" si="164"/>
        <v>0</v>
      </c>
      <c r="P349" s="292">
        <f t="shared" si="129"/>
        <v>0</v>
      </c>
      <c r="Q349" s="292">
        <f t="shared" si="130"/>
        <v>0</v>
      </c>
      <c r="R349" s="292">
        <f t="shared" si="169"/>
        <v>0</v>
      </c>
      <c r="S349" s="292">
        <f t="shared" si="170"/>
        <v>0</v>
      </c>
      <c r="T349" s="292">
        <f t="shared" si="131"/>
        <v>0</v>
      </c>
      <c r="U349" s="292">
        <f t="shared" si="132"/>
        <v>0</v>
      </c>
      <c r="V349" s="292">
        <f t="shared" si="171"/>
        <v>0</v>
      </c>
      <c r="W349" s="292">
        <f t="shared" si="172"/>
        <v>0</v>
      </c>
      <c r="X349" s="292">
        <f t="shared" si="173"/>
        <v>0</v>
      </c>
      <c r="Y349" s="292">
        <f t="shared" si="174"/>
        <v>0</v>
      </c>
      <c r="Z349" s="292">
        <f t="shared" si="165"/>
        <v>0</v>
      </c>
      <c r="AA349" s="292">
        <f t="shared" si="166"/>
        <v>0</v>
      </c>
      <c r="AB349" s="292">
        <f t="shared" si="133"/>
        <v>0</v>
      </c>
      <c r="AC349" s="292">
        <f t="shared" si="134"/>
        <v>8409091</v>
      </c>
      <c r="AD349" s="292">
        <f t="shared" si="135"/>
        <v>0</v>
      </c>
      <c r="AE349" s="292">
        <f t="shared" si="136"/>
        <v>0</v>
      </c>
      <c r="AF349" s="292">
        <f t="shared" si="137"/>
        <v>0</v>
      </c>
      <c r="AG349" s="292">
        <f t="shared" si="138"/>
        <v>0</v>
      </c>
      <c r="AH349" s="292">
        <f t="shared" si="139"/>
        <v>0</v>
      </c>
      <c r="AI349" s="292">
        <f t="shared" si="140"/>
        <v>0</v>
      </c>
      <c r="AJ349" s="292">
        <f t="shared" si="141"/>
        <v>0</v>
      </c>
      <c r="AK349" s="292">
        <f t="shared" si="142"/>
        <v>0</v>
      </c>
      <c r="AL349" s="292">
        <f t="shared" si="167"/>
        <v>0</v>
      </c>
      <c r="AM349" s="292">
        <f t="shared" si="168"/>
        <v>0</v>
      </c>
      <c r="AN349" s="292">
        <f t="shared" si="143"/>
        <v>0</v>
      </c>
      <c r="AO349" s="292">
        <f t="shared" si="144"/>
        <v>0</v>
      </c>
      <c r="AP349" s="292">
        <f t="shared" si="145"/>
        <v>0</v>
      </c>
      <c r="AQ349" s="292">
        <f t="shared" si="146"/>
        <v>0</v>
      </c>
      <c r="AR349" s="292">
        <f t="shared" si="147"/>
        <v>0</v>
      </c>
      <c r="AS349" s="292">
        <f t="shared" si="148"/>
        <v>0</v>
      </c>
      <c r="AT349" s="292">
        <f t="shared" si="149"/>
        <v>0</v>
      </c>
      <c r="AU349" s="292">
        <f t="shared" si="150"/>
        <v>0</v>
      </c>
      <c r="AV349" s="292">
        <f t="shared" si="151"/>
        <v>0</v>
      </c>
      <c r="AW349" s="292">
        <f t="shared" si="152"/>
        <v>0</v>
      </c>
      <c r="AX349" s="292">
        <f t="shared" si="153"/>
        <v>8409091</v>
      </c>
      <c r="AY349" s="292">
        <f t="shared" si="154"/>
        <v>0</v>
      </c>
      <c r="AZ349" s="292">
        <f t="shared" si="155"/>
        <v>0</v>
      </c>
      <c r="BA349" s="292">
        <f t="shared" si="156"/>
        <v>0</v>
      </c>
      <c r="BB349" s="292">
        <f t="shared" si="157"/>
        <v>0</v>
      </c>
      <c r="BC349" s="292">
        <f t="shared" si="158"/>
        <v>0</v>
      </c>
      <c r="BD349" s="292">
        <f t="shared" si="159"/>
        <v>0</v>
      </c>
      <c r="BE349" s="292">
        <f t="shared" si="160"/>
        <v>0</v>
      </c>
      <c r="BF349" s="292">
        <f t="shared" si="161"/>
        <v>0</v>
      </c>
      <c r="BG349" s="292">
        <f t="shared" si="162"/>
        <v>0</v>
      </c>
    </row>
    <row r="350" spans="1:59" s="289" customFormat="1" ht="15" customHeight="1">
      <c r="A350" s="63">
        <f t="array" ref="A350">IF(C350&lt;&gt;0,SUM(($C$11:C350&lt;&gt;0)*1),"")</f>
        <v>340</v>
      </c>
      <c r="B350" s="1099">
        <v>42516</v>
      </c>
      <c r="C350" s="290" t="s">
        <v>1018</v>
      </c>
      <c r="D350" s="1099">
        <v>42510</v>
      </c>
      <c r="E350" s="344" t="s">
        <v>918</v>
      </c>
      <c r="F350" s="345">
        <v>840909</v>
      </c>
      <c r="G350" s="346" t="s">
        <v>10</v>
      </c>
      <c r="H350" s="346" t="s">
        <v>9</v>
      </c>
      <c r="I350" s="63">
        <f t="shared" si="175"/>
        <v>340</v>
      </c>
      <c r="J350" s="292">
        <f t="shared" si="125"/>
        <v>0</v>
      </c>
      <c r="K350" s="292">
        <f t="shared" si="126"/>
        <v>0</v>
      </c>
      <c r="L350" s="292">
        <f t="shared" si="127"/>
        <v>0</v>
      </c>
      <c r="M350" s="292">
        <f t="shared" si="128"/>
        <v>0</v>
      </c>
      <c r="N350" s="292">
        <f t="shared" si="163"/>
        <v>0</v>
      </c>
      <c r="O350" s="292">
        <f t="shared" si="164"/>
        <v>0</v>
      </c>
      <c r="P350" s="292">
        <f t="shared" si="129"/>
        <v>840909</v>
      </c>
      <c r="Q350" s="292">
        <f t="shared" si="130"/>
        <v>0</v>
      </c>
      <c r="R350" s="292">
        <f t="shared" si="169"/>
        <v>0</v>
      </c>
      <c r="S350" s="292">
        <f t="shared" si="170"/>
        <v>0</v>
      </c>
      <c r="T350" s="292">
        <f t="shared" si="131"/>
        <v>0</v>
      </c>
      <c r="U350" s="292">
        <f t="shared" si="132"/>
        <v>0</v>
      </c>
      <c r="V350" s="292">
        <f t="shared" si="171"/>
        <v>0</v>
      </c>
      <c r="W350" s="292">
        <f t="shared" si="172"/>
        <v>0</v>
      </c>
      <c r="X350" s="292">
        <f t="shared" si="173"/>
        <v>0</v>
      </c>
      <c r="Y350" s="292">
        <f t="shared" si="174"/>
        <v>0</v>
      </c>
      <c r="Z350" s="292">
        <f t="shared" si="165"/>
        <v>0</v>
      </c>
      <c r="AA350" s="292">
        <f t="shared" si="166"/>
        <v>0</v>
      </c>
      <c r="AB350" s="292">
        <f t="shared" si="133"/>
        <v>0</v>
      </c>
      <c r="AC350" s="292">
        <f t="shared" si="134"/>
        <v>840909</v>
      </c>
      <c r="AD350" s="292">
        <f t="shared" si="135"/>
        <v>0</v>
      </c>
      <c r="AE350" s="292">
        <f t="shared" si="136"/>
        <v>0</v>
      </c>
      <c r="AF350" s="292">
        <f t="shared" si="137"/>
        <v>0</v>
      </c>
      <c r="AG350" s="292">
        <f t="shared" si="138"/>
        <v>0</v>
      </c>
      <c r="AH350" s="292">
        <f t="shared" si="139"/>
        <v>0</v>
      </c>
      <c r="AI350" s="292">
        <f t="shared" si="140"/>
        <v>0</v>
      </c>
      <c r="AJ350" s="292">
        <f t="shared" si="141"/>
        <v>0</v>
      </c>
      <c r="AK350" s="292">
        <f t="shared" si="142"/>
        <v>0</v>
      </c>
      <c r="AL350" s="292">
        <f t="shared" si="167"/>
        <v>0</v>
      </c>
      <c r="AM350" s="292">
        <f t="shared" si="168"/>
        <v>0</v>
      </c>
      <c r="AN350" s="292">
        <f t="shared" si="143"/>
        <v>0</v>
      </c>
      <c r="AO350" s="292">
        <f t="shared" si="144"/>
        <v>0</v>
      </c>
      <c r="AP350" s="292">
        <f t="shared" si="145"/>
        <v>0</v>
      </c>
      <c r="AQ350" s="292">
        <f t="shared" si="146"/>
        <v>0</v>
      </c>
      <c r="AR350" s="292">
        <f t="shared" si="147"/>
        <v>0</v>
      </c>
      <c r="AS350" s="292">
        <f t="shared" si="148"/>
        <v>0</v>
      </c>
      <c r="AT350" s="292">
        <f t="shared" si="149"/>
        <v>0</v>
      </c>
      <c r="AU350" s="292">
        <f t="shared" si="150"/>
        <v>0</v>
      </c>
      <c r="AV350" s="292">
        <f t="shared" si="151"/>
        <v>0</v>
      </c>
      <c r="AW350" s="292">
        <f t="shared" si="152"/>
        <v>0</v>
      </c>
      <c r="AX350" s="292">
        <f t="shared" si="153"/>
        <v>0</v>
      </c>
      <c r="AY350" s="292">
        <f t="shared" si="154"/>
        <v>0</v>
      </c>
      <c r="AZ350" s="292">
        <f t="shared" si="155"/>
        <v>0</v>
      </c>
      <c r="BA350" s="292">
        <f t="shared" si="156"/>
        <v>0</v>
      </c>
      <c r="BB350" s="292">
        <f t="shared" si="157"/>
        <v>0</v>
      </c>
      <c r="BC350" s="292">
        <f t="shared" si="158"/>
        <v>0</v>
      </c>
      <c r="BD350" s="292">
        <f t="shared" si="159"/>
        <v>0</v>
      </c>
      <c r="BE350" s="292">
        <f t="shared" si="160"/>
        <v>0</v>
      </c>
      <c r="BF350" s="292">
        <f t="shared" si="161"/>
        <v>0</v>
      </c>
      <c r="BG350" s="292">
        <f t="shared" si="162"/>
        <v>0</v>
      </c>
    </row>
    <row r="351" spans="1:59" s="289" customFormat="1" ht="15" customHeight="1">
      <c r="A351" s="63">
        <f t="array" ref="A351">IF(C351&lt;&gt;0,SUM(($C$11:C351&lt;&gt;0)*1),"")</f>
        <v>341</v>
      </c>
      <c r="B351" s="1099">
        <v>42516</v>
      </c>
      <c r="C351" s="290" t="s">
        <v>1018</v>
      </c>
      <c r="D351" s="1099">
        <v>42516</v>
      </c>
      <c r="E351" s="344" t="s">
        <v>939</v>
      </c>
      <c r="F351" s="345">
        <v>28089300</v>
      </c>
      <c r="G351" s="346" t="s">
        <v>135</v>
      </c>
      <c r="H351" s="346" t="s">
        <v>9</v>
      </c>
      <c r="I351" s="63">
        <f t="shared" si="175"/>
        <v>341</v>
      </c>
      <c r="J351" s="292">
        <f t="shared" si="125"/>
        <v>0</v>
      </c>
      <c r="K351" s="292">
        <f t="shared" si="126"/>
        <v>0</v>
      </c>
      <c r="L351" s="292">
        <f t="shared" si="127"/>
        <v>0</v>
      </c>
      <c r="M351" s="292">
        <f t="shared" si="128"/>
        <v>0</v>
      </c>
      <c r="N351" s="292">
        <f t="shared" si="163"/>
        <v>0</v>
      </c>
      <c r="O351" s="292">
        <f t="shared" si="164"/>
        <v>0</v>
      </c>
      <c r="P351" s="292">
        <f t="shared" si="129"/>
        <v>0</v>
      </c>
      <c r="Q351" s="292">
        <f t="shared" si="130"/>
        <v>0</v>
      </c>
      <c r="R351" s="292">
        <f t="shared" si="169"/>
        <v>0</v>
      </c>
      <c r="S351" s="292">
        <f t="shared" si="170"/>
        <v>0</v>
      </c>
      <c r="T351" s="292">
        <f t="shared" si="131"/>
        <v>0</v>
      </c>
      <c r="U351" s="292">
        <f t="shared" si="132"/>
        <v>0</v>
      </c>
      <c r="V351" s="292">
        <f t="shared" si="171"/>
        <v>0</v>
      </c>
      <c r="W351" s="292">
        <f t="shared" si="172"/>
        <v>0</v>
      </c>
      <c r="X351" s="292">
        <f t="shared" si="173"/>
        <v>0</v>
      </c>
      <c r="Y351" s="292">
        <f t="shared" si="174"/>
        <v>0</v>
      </c>
      <c r="Z351" s="292">
        <f t="shared" si="165"/>
        <v>0</v>
      </c>
      <c r="AA351" s="292">
        <f t="shared" si="166"/>
        <v>0</v>
      </c>
      <c r="AB351" s="292">
        <f t="shared" si="133"/>
        <v>0</v>
      </c>
      <c r="AC351" s="292">
        <f t="shared" si="134"/>
        <v>28089300</v>
      </c>
      <c r="AD351" s="292">
        <f t="shared" si="135"/>
        <v>0</v>
      </c>
      <c r="AE351" s="292">
        <f t="shared" si="136"/>
        <v>0</v>
      </c>
      <c r="AF351" s="292">
        <f t="shared" si="137"/>
        <v>0</v>
      </c>
      <c r="AG351" s="292">
        <f t="shared" si="138"/>
        <v>0</v>
      </c>
      <c r="AH351" s="292">
        <f t="shared" si="139"/>
        <v>0</v>
      </c>
      <c r="AI351" s="292">
        <f t="shared" si="140"/>
        <v>0</v>
      </c>
      <c r="AJ351" s="292">
        <f t="shared" si="141"/>
        <v>0</v>
      </c>
      <c r="AK351" s="292">
        <f t="shared" si="142"/>
        <v>0</v>
      </c>
      <c r="AL351" s="292">
        <f t="shared" si="167"/>
        <v>0</v>
      </c>
      <c r="AM351" s="292">
        <f t="shared" si="168"/>
        <v>0</v>
      </c>
      <c r="AN351" s="292">
        <f t="shared" si="143"/>
        <v>0</v>
      </c>
      <c r="AO351" s="292">
        <f t="shared" si="144"/>
        <v>0</v>
      </c>
      <c r="AP351" s="292">
        <f t="shared" si="145"/>
        <v>0</v>
      </c>
      <c r="AQ351" s="292">
        <f t="shared" si="146"/>
        <v>0</v>
      </c>
      <c r="AR351" s="292">
        <f t="shared" si="147"/>
        <v>0</v>
      </c>
      <c r="AS351" s="292">
        <f t="shared" si="148"/>
        <v>0</v>
      </c>
      <c r="AT351" s="292">
        <f t="shared" si="149"/>
        <v>0</v>
      </c>
      <c r="AU351" s="292">
        <f t="shared" si="150"/>
        <v>0</v>
      </c>
      <c r="AV351" s="292">
        <f t="shared" si="151"/>
        <v>0</v>
      </c>
      <c r="AW351" s="292">
        <f t="shared" si="152"/>
        <v>0</v>
      </c>
      <c r="AX351" s="292">
        <f t="shared" si="153"/>
        <v>28089300</v>
      </c>
      <c r="AY351" s="292">
        <f t="shared" si="154"/>
        <v>0</v>
      </c>
      <c r="AZ351" s="292">
        <f t="shared" si="155"/>
        <v>0</v>
      </c>
      <c r="BA351" s="292">
        <f t="shared" si="156"/>
        <v>0</v>
      </c>
      <c r="BB351" s="292">
        <f t="shared" si="157"/>
        <v>0</v>
      </c>
      <c r="BC351" s="292">
        <f t="shared" si="158"/>
        <v>0</v>
      </c>
      <c r="BD351" s="292">
        <f t="shared" si="159"/>
        <v>0</v>
      </c>
      <c r="BE351" s="292">
        <f t="shared" si="160"/>
        <v>0</v>
      </c>
      <c r="BF351" s="292">
        <f t="shared" si="161"/>
        <v>0</v>
      </c>
      <c r="BG351" s="292">
        <f t="shared" si="162"/>
        <v>0</v>
      </c>
    </row>
    <row r="352" spans="1:59" s="289" customFormat="1" ht="15" customHeight="1">
      <c r="A352" s="63">
        <f t="array" ref="A352">IF(C352&lt;&gt;0,SUM(($C$11:C352&lt;&gt;0)*1),"")</f>
        <v>342</v>
      </c>
      <c r="B352" s="1099">
        <v>42516</v>
      </c>
      <c r="C352" s="290" t="s">
        <v>1018</v>
      </c>
      <c r="D352" s="1099">
        <v>42516</v>
      </c>
      <c r="E352" s="344" t="s">
        <v>940</v>
      </c>
      <c r="F352" s="345">
        <v>2808930</v>
      </c>
      <c r="G352" s="346" t="s">
        <v>10</v>
      </c>
      <c r="H352" s="346" t="s">
        <v>9</v>
      </c>
      <c r="I352" s="63">
        <f t="shared" si="175"/>
        <v>342</v>
      </c>
      <c r="J352" s="292">
        <f t="shared" si="125"/>
        <v>0</v>
      </c>
      <c r="K352" s="292">
        <f t="shared" si="126"/>
        <v>0</v>
      </c>
      <c r="L352" s="292">
        <f t="shared" si="127"/>
        <v>0</v>
      </c>
      <c r="M352" s="292">
        <f t="shared" si="128"/>
        <v>0</v>
      </c>
      <c r="N352" s="292">
        <f t="shared" si="163"/>
        <v>0</v>
      </c>
      <c r="O352" s="292">
        <f t="shared" si="164"/>
        <v>0</v>
      </c>
      <c r="P352" s="292">
        <f t="shared" si="129"/>
        <v>2808930</v>
      </c>
      <c r="Q352" s="292">
        <f t="shared" si="130"/>
        <v>0</v>
      </c>
      <c r="R352" s="292">
        <f t="shared" si="169"/>
        <v>0</v>
      </c>
      <c r="S352" s="292">
        <f t="shared" si="170"/>
        <v>0</v>
      </c>
      <c r="T352" s="292">
        <f t="shared" si="131"/>
        <v>0</v>
      </c>
      <c r="U352" s="292">
        <f t="shared" si="132"/>
        <v>0</v>
      </c>
      <c r="V352" s="292">
        <f t="shared" si="171"/>
        <v>0</v>
      </c>
      <c r="W352" s="292">
        <f t="shared" si="172"/>
        <v>0</v>
      </c>
      <c r="X352" s="292">
        <f t="shared" si="173"/>
        <v>0</v>
      </c>
      <c r="Y352" s="292">
        <f t="shared" si="174"/>
        <v>0</v>
      </c>
      <c r="Z352" s="292">
        <f t="shared" si="165"/>
        <v>0</v>
      </c>
      <c r="AA352" s="292">
        <f t="shared" si="166"/>
        <v>0</v>
      </c>
      <c r="AB352" s="292">
        <f t="shared" si="133"/>
        <v>0</v>
      </c>
      <c r="AC352" s="292">
        <f t="shared" si="134"/>
        <v>2808930</v>
      </c>
      <c r="AD352" s="292">
        <f t="shared" si="135"/>
        <v>0</v>
      </c>
      <c r="AE352" s="292">
        <f t="shared" si="136"/>
        <v>0</v>
      </c>
      <c r="AF352" s="292">
        <f t="shared" si="137"/>
        <v>0</v>
      </c>
      <c r="AG352" s="292">
        <f t="shared" si="138"/>
        <v>0</v>
      </c>
      <c r="AH352" s="292">
        <f t="shared" si="139"/>
        <v>0</v>
      </c>
      <c r="AI352" s="292">
        <f t="shared" si="140"/>
        <v>0</v>
      </c>
      <c r="AJ352" s="292">
        <f t="shared" si="141"/>
        <v>0</v>
      </c>
      <c r="AK352" s="292">
        <f t="shared" si="142"/>
        <v>0</v>
      </c>
      <c r="AL352" s="292">
        <f t="shared" si="167"/>
        <v>0</v>
      </c>
      <c r="AM352" s="292">
        <f t="shared" si="168"/>
        <v>0</v>
      </c>
      <c r="AN352" s="292">
        <f t="shared" si="143"/>
        <v>0</v>
      </c>
      <c r="AO352" s="292">
        <f t="shared" si="144"/>
        <v>0</v>
      </c>
      <c r="AP352" s="292">
        <f t="shared" si="145"/>
        <v>0</v>
      </c>
      <c r="AQ352" s="292">
        <f t="shared" si="146"/>
        <v>0</v>
      </c>
      <c r="AR352" s="292">
        <f t="shared" si="147"/>
        <v>0</v>
      </c>
      <c r="AS352" s="292">
        <f t="shared" si="148"/>
        <v>0</v>
      </c>
      <c r="AT352" s="292">
        <f t="shared" si="149"/>
        <v>0</v>
      </c>
      <c r="AU352" s="292">
        <f t="shared" si="150"/>
        <v>0</v>
      </c>
      <c r="AV352" s="292">
        <f t="shared" si="151"/>
        <v>0</v>
      </c>
      <c r="AW352" s="292">
        <f t="shared" si="152"/>
        <v>0</v>
      </c>
      <c r="AX352" s="292">
        <f t="shared" si="153"/>
        <v>0</v>
      </c>
      <c r="AY352" s="292">
        <f t="shared" si="154"/>
        <v>0</v>
      </c>
      <c r="AZ352" s="292">
        <f t="shared" si="155"/>
        <v>0</v>
      </c>
      <c r="BA352" s="292">
        <f t="shared" si="156"/>
        <v>0</v>
      </c>
      <c r="BB352" s="292">
        <f t="shared" si="157"/>
        <v>0</v>
      </c>
      <c r="BC352" s="292">
        <f t="shared" si="158"/>
        <v>0</v>
      </c>
      <c r="BD352" s="292">
        <f t="shared" si="159"/>
        <v>0</v>
      </c>
      <c r="BE352" s="292">
        <f t="shared" si="160"/>
        <v>0</v>
      </c>
      <c r="BF352" s="292">
        <f t="shared" si="161"/>
        <v>0</v>
      </c>
      <c r="BG352" s="292">
        <f t="shared" si="162"/>
        <v>0</v>
      </c>
    </row>
    <row r="353" spans="1:59" s="289" customFormat="1" ht="15" customHeight="1">
      <c r="A353" s="63">
        <f t="array" ref="A353">IF(C353&lt;&gt;0,SUM(($C$11:C353&lt;&gt;0)*1),"")</f>
        <v>343</v>
      </c>
      <c r="B353" s="1099">
        <v>42517</v>
      </c>
      <c r="C353" s="290" t="s">
        <v>752</v>
      </c>
      <c r="D353" s="1099">
        <v>42517</v>
      </c>
      <c r="E353" s="344" t="s">
        <v>185</v>
      </c>
      <c r="F353" s="345">
        <v>1186000</v>
      </c>
      <c r="G353" s="346" t="s">
        <v>242</v>
      </c>
      <c r="H353" s="346" t="s">
        <v>97</v>
      </c>
      <c r="I353" s="63">
        <f t="shared" si="175"/>
        <v>343</v>
      </c>
      <c r="J353" s="292">
        <f t="shared" si="125"/>
        <v>0</v>
      </c>
      <c r="K353" s="292">
        <f t="shared" si="126"/>
        <v>1186000</v>
      </c>
      <c r="L353" s="292">
        <f t="shared" si="127"/>
        <v>0</v>
      </c>
      <c r="M353" s="292">
        <f t="shared" si="128"/>
        <v>0</v>
      </c>
      <c r="N353" s="292">
        <f t="shared" si="163"/>
        <v>0</v>
      </c>
      <c r="O353" s="292">
        <f t="shared" si="164"/>
        <v>0</v>
      </c>
      <c r="P353" s="292">
        <f t="shared" si="129"/>
        <v>0</v>
      </c>
      <c r="Q353" s="292">
        <f t="shared" si="130"/>
        <v>0</v>
      </c>
      <c r="R353" s="292">
        <f t="shared" si="169"/>
        <v>0</v>
      </c>
      <c r="S353" s="292">
        <f t="shared" si="170"/>
        <v>0</v>
      </c>
      <c r="T353" s="292">
        <f t="shared" si="131"/>
        <v>0</v>
      </c>
      <c r="U353" s="292">
        <f t="shared" si="132"/>
        <v>0</v>
      </c>
      <c r="V353" s="292">
        <f t="shared" si="171"/>
        <v>0</v>
      </c>
      <c r="W353" s="292">
        <f t="shared" si="172"/>
        <v>0</v>
      </c>
      <c r="X353" s="292">
        <f t="shared" si="173"/>
        <v>0</v>
      </c>
      <c r="Y353" s="292">
        <f t="shared" si="174"/>
        <v>0</v>
      </c>
      <c r="Z353" s="292">
        <f t="shared" si="165"/>
        <v>1186000</v>
      </c>
      <c r="AA353" s="292">
        <f t="shared" si="166"/>
        <v>0</v>
      </c>
      <c r="AB353" s="292">
        <f t="shared" si="133"/>
        <v>0</v>
      </c>
      <c r="AC353" s="292">
        <f t="shared" si="134"/>
        <v>0</v>
      </c>
      <c r="AD353" s="292">
        <f t="shared" si="135"/>
        <v>0</v>
      </c>
      <c r="AE353" s="292">
        <f t="shared" si="136"/>
        <v>0</v>
      </c>
      <c r="AF353" s="292">
        <f t="shared" si="137"/>
        <v>0</v>
      </c>
      <c r="AG353" s="292">
        <f t="shared" si="138"/>
        <v>0</v>
      </c>
      <c r="AH353" s="292">
        <f t="shared" si="139"/>
        <v>0</v>
      </c>
      <c r="AI353" s="292">
        <f t="shared" si="140"/>
        <v>0</v>
      </c>
      <c r="AJ353" s="292">
        <f t="shared" si="141"/>
        <v>0</v>
      </c>
      <c r="AK353" s="292">
        <f t="shared" si="142"/>
        <v>0</v>
      </c>
      <c r="AL353" s="292">
        <f t="shared" si="167"/>
        <v>0</v>
      </c>
      <c r="AM353" s="292">
        <f t="shared" si="168"/>
        <v>0</v>
      </c>
      <c r="AN353" s="292">
        <f t="shared" si="143"/>
        <v>0</v>
      </c>
      <c r="AO353" s="292">
        <f t="shared" si="144"/>
        <v>0</v>
      </c>
      <c r="AP353" s="292">
        <f t="shared" si="145"/>
        <v>0</v>
      </c>
      <c r="AQ353" s="292">
        <f t="shared" si="146"/>
        <v>0</v>
      </c>
      <c r="AR353" s="292">
        <f t="shared" si="147"/>
        <v>0</v>
      </c>
      <c r="AS353" s="292">
        <f t="shared" si="148"/>
        <v>0</v>
      </c>
      <c r="AT353" s="292">
        <f t="shared" si="149"/>
        <v>0</v>
      </c>
      <c r="AU353" s="292">
        <f t="shared" si="150"/>
        <v>0</v>
      </c>
      <c r="AV353" s="292">
        <f t="shared" si="151"/>
        <v>0</v>
      </c>
      <c r="AW353" s="292">
        <f t="shared" si="152"/>
        <v>0</v>
      </c>
      <c r="AX353" s="292">
        <f t="shared" si="153"/>
        <v>0</v>
      </c>
      <c r="AY353" s="292">
        <f t="shared" si="154"/>
        <v>0</v>
      </c>
      <c r="AZ353" s="292">
        <f t="shared" si="155"/>
        <v>0</v>
      </c>
      <c r="BA353" s="292">
        <f t="shared" si="156"/>
        <v>0</v>
      </c>
      <c r="BB353" s="292">
        <f t="shared" si="157"/>
        <v>0</v>
      </c>
      <c r="BC353" s="292">
        <f t="shared" si="158"/>
        <v>0</v>
      </c>
      <c r="BD353" s="292">
        <f t="shared" si="159"/>
        <v>0</v>
      </c>
      <c r="BE353" s="292">
        <f t="shared" si="160"/>
        <v>0</v>
      </c>
      <c r="BF353" s="292">
        <f t="shared" si="161"/>
        <v>0</v>
      </c>
      <c r="BG353" s="292">
        <f t="shared" si="162"/>
        <v>0</v>
      </c>
    </row>
    <row r="354" spans="1:59" s="289" customFormat="1" ht="15" customHeight="1">
      <c r="A354" s="63">
        <f t="array" ref="A354">IF(C354&lt;&gt;0,SUM(($C$11:C354&lt;&gt;0)*1),"")</f>
        <v>344</v>
      </c>
      <c r="B354" s="1099">
        <v>42517</v>
      </c>
      <c r="C354" s="290" t="s">
        <v>755</v>
      </c>
      <c r="D354" s="1099">
        <v>42517</v>
      </c>
      <c r="E354" s="344" t="s">
        <v>410</v>
      </c>
      <c r="F354" s="345">
        <v>24000000</v>
      </c>
      <c r="G354" s="346" t="s">
        <v>31</v>
      </c>
      <c r="H354" s="346" t="s">
        <v>97</v>
      </c>
      <c r="I354" s="63">
        <f t="shared" si="175"/>
        <v>344</v>
      </c>
      <c r="J354" s="292">
        <f t="shared" si="125"/>
        <v>0</v>
      </c>
      <c r="K354" s="292">
        <f t="shared" si="126"/>
        <v>24000000</v>
      </c>
      <c r="L354" s="292">
        <f t="shared" si="127"/>
        <v>24000000</v>
      </c>
      <c r="M354" s="292">
        <f t="shared" si="128"/>
        <v>0</v>
      </c>
      <c r="N354" s="292">
        <f t="shared" si="163"/>
        <v>0</v>
      </c>
      <c r="O354" s="292">
        <f t="shared" si="164"/>
        <v>0</v>
      </c>
      <c r="P354" s="292">
        <f t="shared" si="129"/>
        <v>0</v>
      </c>
      <c r="Q354" s="292">
        <f t="shared" si="130"/>
        <v>0</v>
      </c>
      <c r="R354" s="292">
        <f t="shared" si="169"/>
        <v>0</v>
      </c>
      <c r="S354" s="292">
        <f t="shared" si="170"/>
        <v>0</v>
      </c>
      <c r="T354" s="292">
        <f t="shared" si="131"/>
        <v>0</v>
      </c>
      <c r="U354" s="292">
        <f t="shared" si="132"/>
        <v>0</v>
      </c>
      <c r="V354" s="292">
        <f t="shared" si="171"/>
        <v>0</v>
      </c>
      <c r="W354" s="292">
        <f t="shared" si="172"/>
        <v>0</v>
      </c>
      <c r="X354" s="292">
        <f t="shared" si="173"/>
        <v>0</v>
      </c>
      <c r="Y354" s="292">
        <f t="shared" si="174"/>
        <v>0</v>
      </c>
      <c r="Z354" s="292">
        <f t="shared" si="165"/>
        <v>0</v>
      </c>
      <c r="AA354" s="292">
        <f t="shared" si="166"/>
        <v>0</v>
      </c>
      <c r="AB354" s="292">
        <f t="shared" si="133"/>
        <v>0</v>
      </c>
      <c r="AC354" s="292">
        <f t="shared" si="134"/>
        <v>0</v>
      </c>
      <c r="AD354" s="292">
        <f t="shared" si="135"/>
        <v>0</v>
      </c>
      <c r="AE354" s="292">
        <f t="shared" si="136"/>
        <v>0</v>
      </c>
      <c r="AF354" s="292">
        <f t="shared" si="137"/>
        <v>0</v>
      </c>
      <c r="AG354" s="292">
        <f t="shared" si="138"/>
        <v>0</v>
      </c>
      <c r="AH354" s="292">
        <f t="shared" si="139"/>
        <v>0</v>
      </c>
      <c r="AI354" s="292">
        <f t="shared" si="140"/>
        <v>0</v>
      </c>
      <c r="AJ354" s="292">
        <f t="shared" si="141"/>
        <v>0</v>
      </c>
      <c r="AK354" s="292">
        <f t="shared" si="142"/>
        <v>0</v>
      </c>
      <c r="AL354" s="292">
        <f t="shared" si="167"/>
        <v>0</v>
      </c>
      <c r="AM354" s="292">
        <f t="shared" si="168"/>
        <v>0</v>
      </c>
      <c r="AN354" s="292">
        <f t="shared" si="143"/>
        <v>0</v>
      </c>
      <c r="AO354" s="292">
        <f t="shared" si="144"/>
        <v>0</v>
      </c>
      <c r="AP354" s="292">
        <f t="shared" si="145"/>
        <v>0</v>
      </c>
      <c r="AQ354" s="292">
        <f t="shared" si="146"/>
        <v>0</v>
      </c>
      <c r="AR354" s="292">
        <f t="shared" si="147"/>
        <v>0</v>
      </c>
      <c r="AS354" s="292">
        <f t="shared" si="148"/>
        <v>0</v>
      </c>
      <c r="AT354" s="292">
        <f t="shared" si="149"/>
        <v>0</v>
      </c>
      <c r="AU354" s="292">
        <f t="shared" si="150"/>
        <v>0</v>
      </c>
      <c r="AV354" s="292">
        <f t="shared" si="151"/>
        <v>0</v>
      </c>
      <c r="AW354" s="292">
        <f t="shared" si="152"/>
        <v>0</v>
      </c>
      <c r="AX354" s="292">
        <f t="shared" si="153"/>
        <v>0</v>
      </c>
      <c r="AY354" s="292">
        <f t="shared" si="154"/>
        <v>0</v>
      </c>
      <c r="AZ354" s="292">
        <f t="shared" si="155"/>
        <v>0</v>
      </c>
      <c r="BA354" s="292">
        <f t="shared" si="156"/>
        <v>0</v>
      </c>
      <c r="BB354" s="292">
        <f t="shared" si="157"/>
        <v>0</v>
      </c>
      <c r="BC354" s="292">
        <f t="shared" si="158"/>
        <v>0</v>
      </c>
      <c r="BD354" s="292">
        <f t="shared" si="159"/>
        <v>0</v>
      </c>
      <c r="BE354" s="292">
        <f t="shared" si="160"/>
        <v>0</v>
      </c>
      <c r="BF354" s="292">
        <f t="shared" si="161"/>
        <v>0</v>
      </c>
      <c r="BG354" s="292">
        <f t="shared" si="162"/>
        <v>0</v>
      </c>
    </row>
    <row r="355" spans="1:59" s="289" customFormat="1" ht="15" customHeight="1">
      <c r="A355" s="63">
        <f t="array" ref="A355">IF(C355&lt;&gt;0,SUM(($C$11:C355&lt;&gt;0)*1),"")</f>
        <v>345</v>
      </c>
      <c r="B355" s="1099">
        <v>42517</v>
      </c>
      <c r="C355" s="290" t="s">
        <v>8</v>
      </c>
      <c r="D355" s="1099">
        <v>42517</v>
      </c>
      <c r="E355" s="344" t="s">
        <v>405</v>
      </c>
      <c r="F355" s="345">
        <v>11912604</v>
      </c>
      <c r="G355" s="346" t="s">
        <v>133</v>
      </c>
      <c r="H355" s="346" t="s">
        <v>31</v>
      </c>
      <c r="I355" s="63">
        <f t="shared" si="175"/>
        <v>345</v>
      </c>
      <c r="J355" s="292">
        <f t="shared" si="125"/>
        <v>0</v>
      </c>
      <c r="K355" s="292">
        <f t="shared" si="126"/>
        <v>0</v>
      </c>
      <c r="L355" s="292">
        <f t="shared" si="127"/>
        <v>0</v>
      </c>
      <c r="M355" s="292">
        <f t="shared" si="128"/>
        <v>11912604</v>
      </c>
      <c r="N355" s="292">
        <f t="shared" si="163"/>
        <v>0</v>
      </c>
      <c r="O355" s="292">
        <f t="shared" si="164"/>
        <v>0</v>
      </c>
      <c r="P355" s="292">
        <f t="shared" si="129"/>
        <v>0</v>
      </c>
      <c r="Q355" s="292">
        <f t="shared" si="130"/>
        <v>0</v>
      </c>
      <c r="R355" s="292">
        <f t="shared" si="169"/>
        <v>0</v>
      </c>
      <c r="S355" s="292">
        <f t="shared" si="170"/>
        <v>0</v>
      </c>
      <c r="T355" s="292">
        <f t="shared" si="131"/>
        <v>0</v>
      </c>
      <c r="U355" s="292">
        <f t="shared" si="132"/>
        <v>0</v>
      </c>
      <c r="V355" s="292">
        <f t="shared" si="171"/>
        <v>0</v>
      </c>
      <c r="W355" s="292">
        <f t="shared" si="172"/>
        <v>0</v>
      </c>
      <c r="X355" s="292">
        <f t="shared" si="173"/>
        <v>0</v>
      </c>
      <c r="Y355" s="292">
        <f t="shared" si="174"/>
        <v>0</v>
      </c>
      <c r="Z355" s="292">
        <f t="shared" si="165"/>
        <v>0</v>
      </c>
      <c r="AA355" s="292">
        <f t="shared" si="166"/>
        <v>0</v>
      </c>
      <c r="AB355" s="292">
        <f t="shared" si="133"/>
        <v>0</v>
      </c>
      <c r="AC355" s="292">
        <f t="shared" si="134"/>
        <v>0</v>
      </c>
      <c r="AD355" s="292">
        <f t="shared" si="135"/>
        <v>0</v>
      </c>
      <c r="AE355" s="292">
        <f t="shared" si="136"/>
        <v>0</v>
      </c>
      <c r="AF355" s="292">
        <f t="shared" si="137"/>
        <v>0</v>
      </c>
      <c r="AG355" s="292">
        <f t="shared" si="138"/>
        <v>0</v>
      </c>
      <c r="AH355" s="292">
        <f t="shared" si="139"/>
        <v>0</v>
      </c>
      <c r="AI355" s="292">
        <f t="shared" si="140"/>
        <v>0</v>
      </c>
      <c r="AJ355" s="292">
        <f t="shared" si="141"/>
        <v>0</v>
      </c>
      <c r="AK355" s="292">
        <f t="shared" si="142"/>
        <v>0</v>
      </c>
      <c r="AL355" s="292">
        <f t="shared" si="167"/>
        <v>0</v>
      </c>
      <c r="AM355" s="292">
        <f t="shared" si="168"/>
        <v>0</v>
      </c>
      <c r="AN355" s="292">
        <f t="shared" si="143"/>
        <v>0</v>
      </c>
      <c r="AO355" s="292">
        <f t="shared" si="144"/>
        <v>0</v>
      </c>
      <c r="AP355" s="292">
        <f t="shared" si="145"/>
        <v>0</v>
      </c>
      <c r="AQ355" s="292">
        <f t="shared" si="146"/>
        <v>0</v>
      </c>
      <c r="AR355" s="292">
        <f t="shared" si="147"/>
        <v>0</v>
      </c>
      <c r="AS355" s="292">
        <f t="shared" si="148"/>
        <v>0</v>
      </c>
      <c r="AT355" s="292">
        <f t="shared" si="149"/>
        <v>0</v>
      </c>
      <c r="AU355" s="292">
        <f t="shared" si="150"/>
        <v>0</v>
      </c>
      <c r="AV355" s="292">
        <f t="shared" si="151"/>
        <v>11912604</v>
      </c>
      <c r="AW355" s="292">
        <f t="shared" si="152"/>
        <v>0</v>
      </c>
      <c r="AX355" s="292">
        <f t="shared" si="153"/>
        <v>0</v>
      </c>
      <c r="AY355" s="292">
        <f t="shared" si="154"/>
        <v>0</v>
      </c>
      <c r="AZ355" s="292">
        <f t="shared" si="155"/>
        <v>0</v>
      </c>
      <c r="BA355" s="292">
        <f t="shared" si="156"/>
        <v>0</v>
      </c>
      <c r="BB355" s="292">
        <f t="shared" si="157"/>
        <v>0</v>
      </c>
      <c r="BC355" s="292">
        <f t="shared" si="158"/>
        <v>0</v>
      </c>
      <c r="BD355" s="292">
        <f t="shared" si="159"/>
        <v>0</v>
      </c>
      <c r="BE355" s="292">
        <f t="shared" si="160"/>
        <v>0</v>
      </c>
      <c r="BF355" s="292">
        <f t="shared" si="161"/>
        <v>0</v>
      </c>
      <c r="BG355" s="292">
        <f t="shared" si="162"/>
        <v>0</v>
      </c>
    </row>
    <row r="356" spans="1:59" s="289" customFormat="1" ht="15" customHeight="1">
      <c r="A356" s="63">
        <f t="array" ref="A356">IF(C356&lt;&gt;0,SUM(($C$11:C356&lt;&gt;0)*1),"")</f>
        <v>346</v>
      </c>
      <c r="B356" s="1099">
        <v>42517</v>
      </c>
      <c r="C356" s="290" t="s">
        <v>8</v>
      </c>
      <c r="D356" s="1099">
        <v>42517</v>
      </c>
      <c r="E356" s="344" t="s">
        <v>405</v>
      </c>
      <c r="F356" s="345">
        <v>11912604</v>
      </c>
      <c r="G356" s="346" t="s">
        <v>133</v>
      </c>
      <c r="H356" s="346" t="s">
        <v>31</v>
      </c>
      <c r="I356" s="63">
        <f t="shared" si="175"/>
        <v>346</v>
      </c>
      <c r="J356" s="292">
        <f t="shared" si="125"/>
        <v>0</v>
      </c>
      <c r="K356" s="292">
        <f t="shared" si="126"/>
        <v>0</v>
      </c>
      <c r="L356" s="292">
        <f t="shared" si="127"/>
        <v>0</v>
      </c>
      <c r="M356" s="292">
        <f t="shared" si="128"/>
        <v>11912604</v>
      </c>
      <c r="N356" s="292">
        <f t="shared" si="163"/>
        <v>0</v>
      </c>
      <c r="O356" s="292">
        <f t="shared" si="164"/>
        <v>0</v>
      </c>
      <c r="P356" s="292">
        <f t="shared" si="129"/>
        <v>0</v>
      </c>
      <c r="Q356" s="292">
        <f t="shared" si="130"/>
        <v>0</v>
      </c>
      <c r="R356" s="292">
        <f t="shared" si="169"/>
        <v>0</v>
      </c>
      <c r="S356" s="292">
        <f t="shared" si="170"/>
        <v>0</v>
      </c>
      <c r="T356" s="292">
        <f t="shared" si="131"/>
        <v>0</v>
      </c>
      <c r="U356" s="292">
        <f t="shared" si="132"/>
        <v>0</v>
      </c>
      <c r="V356" s="292">
        <f t="shared" si="171"/>
        <v>0</v>
      </c>
      <c r="W356" s="292">
        <f t="shared" si="172"/>
        <v>0</v>
      </c>
      <c r="X356" s="292">
        <f t="shared" si="173"/>
        <v>0</v>
      </c>
      <c r="Y356" s="292">
        <f t="shared" si="174"/>
        <v>0</v>
      </c>
      <c r="Z356" s="292">
        <f t="shared" si="165"/>
        <v>0</v>
      </c>
      <c r="AA356" s="292">
        <f t="shared" si="166"/>
        <v>0</v>
      </c>
      <c r="AB356" s="292">
        <f t="shared" si="133"/>
        <v>0</v>
      </c>
      <c r="AC356" s="292">
        <f t="shared" si="134"/>
        <v>0</v>
      </c>
      <c r="AD356" s="292">
        <f t="shared" si="135"/>
        <v>0</v>
      </c>
      <c r="AE356" s="292">
        <f t="shared" si="136"/>
        <v>0</v>
      </c>
      <c r="AF356" s="292">
        <f t="shared" si="137"/>
        <v>0</v>
      </c>
      <c r="AG356" s="292">
        <f t="shared" si="138"/>
        <v>0</v>
      </c>
      <c r="AH356" s="292">
        <f t="shared" si="139"/>
        <v>0</v>
      </c>
      <c r="AI356" s="292">
        <f t="shared" si="140"/>
        <v>0</v>
      </c>
      <c r="AJ356" s="292">
        <f t="shared" si="141"/>
        <v>0</v>
      </c>
      <c r="AK356" s="292">
        <f t="shared" si="142"/>
        <v>0</v>
      </c>
      <c r="AL356" s="292">
        <f t="shared" si="167"/>
        <v>0</v>
      </c>
      <c r="AM356" s="292">
        <f t="shared" si="168"/>
        <v>0</v>
      </c>
      <c r="AN356" s="292">
        <f t="shared" si="143"/>
        <v>0</v>
      </c>
      <c r="AO356" s="292">
        <f t="shared" si="144"/>
        <v>0</v>
      </c>
      <c r="AP356" s="292">
        <f t="shared" si="145"/>
        <v>0</v>
      </c>
      <c r="AQ356" s="292">
        <f t="shared" si="146"/>
        <v>0</v>
      </c>
      <c r="AR356" s="292">
        <f t="shared" si="147"/>
        <v>0</v>
      </c>
      <c r="AS356" s="292">
        <f t="shared" si="148"/>
        <v>0</v>
      </c>
      <c r="AT356" s="292">
        <f t="shared" si="149"/>
        <v>0</v>
      </c>
      <c r="AU356" s="292">
        <f t="shared" si="150"/>
        <v>0</v>
      </c>
      <c r="AV356" s="292">
        <f t="shared" si="151"/>
        <v>11912604</v>
      </c>
      <c r="AW356" s="292">
        <f t="shared" si="152"/>
        <v>0</v>
      </c>
      <c r="AX356" s="292">
        <f t="shared" si="153"/>
        <v>0</v>
      </c>
      <c r="AY356" s="292">
        <f t="shared" si="154"/>
        <v>0</v>
      </c>
      <c r="AZ356" s="292">
        <f t="shared" si="155"/>
        <v>0</v>
      </c>
      <c r="BA356" s="292">
        <f t="shared" si="156"/>
        <v>0</v>
      </c>
      <c r="BB356" s="292">
        <f t="shared" si="157"/>
        <v>0</v>
      </c>
      <c r="BC356" s="292">
        <f t="shared" si="158"/>
        <v>0</v>
      </c>
      <c r="BD356" s="292">
        <f t="shared" si="159"/>
        <v>0</v>
      </c>
      <c r="BE356" s="292">
        <f t="shared" si="160"/>
        <v>0</v>
      </c>
      <c r="BF356" s="292">
        <f t="shared" si="161"/>
        <v>0</v>
      </c>
      <c r="BG356" s="292">
        <f t="shared" si="162"/>
        <v>0</v>
      </c>
    </row>
    <row r="357" spans="1:59" s="289" customFormat="1" ht="15" customHeight="1">
      <c r="A357" s="63">
        <f t="array" ref="A357">IF(C357&lt;&gt;0,SUM(($C$11:C357&lt;&gt;0)*1),"")</f>
        <v>347</v>
      </c>
      <c r="B357" s="1099">
        <v>42520</v>
      </c>
      <c r="C357" s="290" t="s">
        <v>762</v>
      </c>
      <c r="D357" s="1099">
        <v>42520</v>
      </c>
      <c r="E357" s="344" t="s">
        <v>800</v>
      </c>
      <c r="F357" s="345">
        <v>6379636</v>
      </c>
      <c r="G357" s="346" t="s">
        <v>135</v>
      </c>
      <c r="H357" s="346" t="s">
        <v>97</v>
      </c>
      <c r="I357" s="63">
        <f t="shared" si="175"/>
        <v>347</v>
      </c>
      <c r="J357" s="292">
        <f t="shared" si="125"/>
        <v>0</v>
      </c>
      <c r="K357" s="292">
        <f t="shared" si="126"/>
        <v>6379636</v>
      </c>
      <c r="L357" s="292">
        <f t="shared" si="127"/>
        <v>0</v>
      </c>
      <c r="M357" s="292">
        <f t="shared" si="128"/>
        <v>0</v>
      </c>
      <c r="N357" s="292">
        <f t="shared" si="163"/>
        <v>0</v>
      </c>
      <c r="O357" s="292">
        <f t="shared" si="164"/>
        <v>0</v>
      </c>
      <c r="P357" s="292">
        <f t="shared" si="129"/>
        <v>0</v>
      </c>
      <c r="Q357" s="292">
        <f t="shared" si="130"/>
        <v>0</v>
      </c>
      <c r="R357" s="292">
        <f t="shared" si="169"/>
        <v>0</v>
      </c>
      <c r="S357" s="292">
        <f t="shared" si="170"/>
        <v>0</v>
      </c>
      <c r="T357" s="292">
        <f t="shared" si="131"/>
        <v>0</v>
      </c>
      <c r="U357" s="292">
        <f t="shared" si="132"/>
        <v>0</v>
      </c>
      <c r="V357" s="292">
        <f t="shared" si="171"/>
        <v>0</v>
      </c>
      <c r="W357" s="292">
        <f t="shared" si="172"/>
        <v>0</v>
      </c>
      <c r="X357" s="292">
        <f t="shared" si="173"/>
        <v>0</v>
      </c>
      <c r="Y357" s="292">
        <f t="shared" si="174"/>
        <v>0</v>
      </c>
      <c r="Z357" s="292">
        <f t="shared" si="165"/>
        <v>0</v>
      </c>
      <c r="AA357" s="292">
        <f t="shared" si="166"/>
        <v>0</v>
      </c>
      <c r="AB357" s="292">
        <f t="shared" si="133"/>
        <v>0</v>
      </c>
      <c r="AC357" s="292">
        <f t="shared" si="134"/>
        <v>0</v>
      </c>
      <c r="AD357" s="292">
        <f t="shared" si="135"/>
        <v>0</v>
      </c>
      <c r="AE357" s="292">
        <f t="shared" si="136"/>
        <v>0</v>
      </c>
      <c r="AF357" s="292">
        <f t="shared" si="137"/>
        <v>0</v>
      </c>
      <c r="AG357" s="292">
        <f t="shared" si="138"/>
        <v>0</v>
      </c>
      <c r="AH357" s="292">
        <f t="shared" si="139"/>
        <v>0</v>
      </c>
      <c r="AI357" s="292">
        <f t="shared" si="140"/>
        <v>0</v>
      </c>
      <c r="AJ357" s="292">
        <f t="shared" si="141"/>
        <v>0</v>
      </c>
      <c r="AK357" s="292">
        <f t="shared" si="142"/>
        <v>0</v>
      </c>
      <c r="AL357" s="292">
        <f t="shared" si="167"/>
        <v>0</v>
      </c>
      <c r="AM357" s="292">
        <f t="shared" si="168"/>
        <v>0</v>
      </c>
      <c r="AN357" s="292">
        <f t="shared" si="143"/>
        <v>0</v>
      </c>
      <c r="AO357" s="292">
        <f t="shared" si="144"/>
        <v>0</v>
      </c>
      <c r="AP357" s="292">
        <f t="shared" si="145"/>
        <v>0</v>
      </c>
      <c r="AQ357" s="292">
        <f t="shared" si="146"/>
        <v>0</v>
      </c>
      <c r="AR357" s="292">
        <f t="shared" si="147"/>
        <v>0</v>
      </c>
      <c r="AS357" s="292">
        <f t="shared" si="148"/>
        <v>0</v>
      </c>
      <c r="AT357" s="292">
        <f t="shared" si="149"/>
        <v>0</v>
      </c>
      <c r="AU357" s="292">
        <f t="shared" si="150"/>
        <v>0</v>
      </c>
      <c r="AV357" s="292">
        <f t="shared" si="151"/>
        <v>0</v>
      </c>
      <c r="AW357" s="292">
        <f t="shared" si="152"/>
        <v>0</v>
      </c>
      <c r="AX357" s="292">
        <f t="shared" si="153"/>
        <v>6379636</v>
      </c>
      <c r="AY357" s="292">
        <f t="shared" si="154"/>
        <v>0</v>
      </c>
      <c r="AZ357" s="292">
        <f t="shared" si="155"/>
        <v>0</v>
      </c>
      <c r="BA357" s="292">
        <f t="shared" si="156"/>
        <v>0</v>
      </c>
      <c r="BB357" s="292">
        <f t="shared" si="157"/>
        <v>0</v>
      </c>
      <c r="BC357" s="292">
        <f t="shared" si="158"/>
        <v>0</v>
      </c>
      <c r="BD357" s="292">
        <f t="shared" si="159"/>
        <v>0</v>
      </c>
      <c r="BE357" s="292">
        <f t="shared" si="160"/>
        <v>0</v>
      </c>
      <c r="BF357" s="292">
        <f t="shared" si="161"/>
        <v>0</v>
      </c>
      <c r="BG357" s="292">
        <f t="shared" si="162"/>
        <v>0</v>
      </c>
    </row>
    <row r="358" spans="1:59" s="289" customFormat="1" ht="15" customHeight="1">
      <c r="A358" s="63">
        <f t="array" ref="A358">IF(C358&lt;&gt;0,SUM(($C$11:C358&lt;&gt;0)*1),"")</f>
        <v>348</v>
      </c>
      <c r="B358" s="1099">
        <v>42520</v>
      </c>
      <c r="C358" s="290" t="s">
        <v>762</v>
      </c>
      <c r="D358" s="1099">
        <v>42520</v>
      </c>
      <c r="E358" s="344" t="s">
        <v>802</v>
      </c>
      <c r="F358" s="345">
        <v>637964</v>
      </c>
      <c r="G358" s="346" t="s">
        <v>10</v>
      </c>
      <c r="H358" s="346" t="s">
        <v>97</v>
      </c>
      <c r="I358" s="63">
        <f t="shared" si="175"/>
        <v>348</v>
      </c>
      <c r="J358" s="292">
        <f t="shared" si="125"/>
        <v>0</v>
      </c>
      <c r="K358" s="292">
        <f t="shared" si="126"/>
        <v>637964</v>
      </c>
      <c r="L358" s="292">
        <f t="shared" si="127"/>
        <v>0</v>
      </c>
      <c r="M358" s="292">
        <f t="shared" si="128"/>
        <v>0</v>
      </c>
      <c r="N358" s="292">
        <f t="shared" si="163"/>
        <v>0</v>
      </c>
      <c r="O358" s="292">
        <f t="shared" si="164"/>
        <v>0</v>
      </c>
      <c r="P358" s="292">
        <f t="shared" si="129"/>
        <v>637964</v>
      </c>
      <c r="Q358" s="292">
        <f t="shared" si="130"/>
        <v>0</v>
      </c>
      <c r="R358" s="292">
        <f t="shared" si="169"/>
        <v>0</v>
      </c>
      <c r="S358" s="292">
        <f t="shared" si="170"/>
        <v>0</v>
      </c>
      <c r="T358" s="292">
        <f t="shared" si="131"/>
        <v>0</v>
      </c>
      <c r="U358" s="292">
        <f t="shared" si="132"/>
        <v>0</v>
      </c>
      <c r="V358" s="292">
        <f t="shared" si="171"/>
        <v>0</v>
      </c>
      <c r="W358" s="292">
        <f t="shared" si="172"/>
        <v>0</v>
      </c>
      <c r="X358" s="292">
        <f t="shared" si="173"/>
        <v>0</v>
      </c>
      <c r="Y358" s="292">
        <f t="shared" si="174"/>
        <v>0</v>
      </c>
      <c r="Z358" s="292">
        <f t="shared" si="165"/>
        <v>0</v>
      </c>
      <c r="AA358" s="292">
        <f t="shared" si="166"/>
        <v>0</v>
      </c>
      <c r="AB358" s="292">
        <f t="shared" si="133"/>
        <v>0</v>
      </c>
      <c r="AC358" s="292">
        <f t="shared" si="134"/>
        <v>0</v>
      </c>
      <c r="AD358" s="292">
        <f t="shared" si="135"/>
        <v>0</v>
      </c>
      <c r="AE358" s="292">
        <f t="shared" si="136"/>
        <v>0</v>
      </c>
      <c r="AF358" s="292">
        <f t="shared" si="137"/>
        <v>0</v>
      </c>
      <c r="AG358" s="292">
        <f t="shared" si="138"/>
        <v>0</v>
      </c>
      <c r="AH358" s="292">
        <f t="shared" si="139"/>
        <v>0</v>
      </c>
      <c r="AI358" s="292">
        <f t="shared" si="140"/>
        <v>0</v>
      </c>
      <c r="AJ358" s="292">
        <f t="shared" si="141"/>
        <v>0</v>
      </c>
      <c r="AK358" s="292">
        <f t="shared" si="142"/>
        <v>0</v>
      </c>
      <c r="AL358" s="292">
        <f t="shared" si="167"/>
        <v>0</v>
      </c>
      <c r="AM358" s="292">
        <f t="shared" si="168"/>
        <v>0</v>
      </c>
      <c r="AN358" s="292">
        <f t="shared" si="143"/>
        <v>0</v>
      </c>
      <c r="AO358" s="292">
        <f t="shared" si="144"/>
        <v>0</v>
      </c>
      <c r="AP358" s="292">
        <f t="shared" si="145"/>
        <v>0</v>
      </c>
      <c r="AQ358" s="292">
        <f t="shared" si="146"/>
        <v>0</v>
      </c>
      <c r="AR358" s="292">
        <f t="shared" si="147"/>
        <v>0</v>
      </c>
      <c r="AS358" s="292">
        <f t="shared" si="148"/>
        <v>0</v>
      </c>
      <c r="AT358" s="292">
        <f t="shared" si="149"/>
        <v>0</v>
      </c>
      <c r="AU358" s="292">
        <f t="shared" si="150"/>
        <v>0</v>
      </c>
      <c r="AV358" s="292">
        <f t="shared" si="151"/>
        <v>0</v>
      </c>
      <c r="AW358" s="292">
        <f t="shared" si="152"/>
        <v>0</v>
      </c>
      <c r="AX358" s="292">
        <f t="shared" si="153"/>
        <v>0</v>
      </c>
      <c r="AY358" s="292">
        <f t="shared" si="154"/>
        <v>0</v>
      </c>
      <c r="AZ358" s="292">
        <f t="shared" si="155"/>
        <v>0</v>
      </c>
      <c r="BA358" s="292">
        <f t="shared" si="156"/>
        <v>0</v>
      </c>
      <c r="BB358" s="292">
        <f t="shared" si="157"/>
        <v>0</v>
      </c>
      <c r="BC358" s="292">
        <f t="shared" si="158"/>
        <v>0</v>
      </c>
      <c r="BD358" s="292">
        <f t="shared" si="159"/>
        <v>0</v>
      </c>
      <c r="BE358" s="292">
        <f t="shared" si="160"/>
        <v>0</v>
      </c>
      <c r="BF358" s="292">
        <f t="shared" si="161"/>
        <v>0</v>
      </c>
      <c r="BG358" s="292">
        <f t="shared" si="162"/>
        <v>0</v>
      </c>
    </row>
    <row r="359" spans="1:59" s="289" customFormat="1" ht="15" customHeight="1">
      <c r="A359" s="63">
        <f t="array" ref="A359">IF(C359&lt;&gt;0,SUM(($C$11:C359&lt;&gt;0)*1),"")</f>
        <v>349</v>
      </c>
      <c r="B359" s="1099">
        <v>42521</v>
      </c>
      <c r="C359" s="290" t="s">
        <v>764</v>
      </c>
      <c r="D359" s="1099">
        <v>42521</v>
      </c>
      <c r="E359" s="344" t="s">
        <v>911</v>
      </c>
      <c r="F359" s="345">
        <v>3000000</v>
      </c>
      <c r="G359" s="346" t="s">
        <v>135</v>
      </c>
      <c r="H359" s="346" t="s">
        <v>97</v>
      </c>
      <c r="I359" s="63">
        <f t="shared" si="175"/>
        <v>349</v>
      </c>
      <c r="J359" s="292">
        <f t="shared" si="125"/>
        <v>0</v>
      </c>
      <c r="K359" s="292">
        <f t="shared" si="126"/>
        <v>3000000</v>
      </c>
      <c r="L359" s="292">
        <f t="shared" si="127"/>
        <v>0</v>
      </c>
      <c r="M359" s="292">
        <f t="shared" si="128"/>
        <v>0</v>
      </c>
      <c r="N359" s="292">
        <f t="shared" si="163"/>
        <v>0</v>
      </c>
      <c r="O359" s="292">
        <f t="shared" si="164"/>
        <v>0</v>
      </c>
      <c r="P359" s="292">
        <f t="shared" si="129"/>
        <v>0</v>
      </c>
      <c r="Q359" s="292">
        <f t="shared" si="130"/>
        <v>0</v>
      </c>
      <c r="R359" s="292">
        <f t="shared" si="169"/>
        <v>0</v>
      </c>
      <c r="S359" s="292">
        <f t="shared" si="170"/>
        <v>0</v>
      </c>
      <c r="T359" s="292">
        <f t="shared" si="131"/>
        <v>0</v>
      </c>
      <c r="U359" s="292">
        <f t="shared" si="132"/>
        <v>0</v>
      </c>
      <c r="V359" s="292">
        <f t="shared" si="171"/>
        <v>0</v>
      </c>
      <c r="W359" s="292">
        <f t="shared" si="172"/>
        <v>0</v>
      </c>
      <c r="X359" s="292">
        <f t="shared" si="173"/>
        <v>0</v>
      </c>
      <c r="Y359" s="292">
        <f t="shared" si="174"/>
        <v>0</v>
      </c>
      <c r="Z359" s="292">
        <f t="shared" si="165"/>
        <v>0</v>
      </c>
      <c r="AA359" s="292">
        <f t="shared" si="166"/>
        <v>0</v>
      </c>
      <c r="AB359" s="292">
        <f t="shared" si="133"/>
        <v>0</v>
      </c>
      <c r="AC359" s="292">
        <f t="shared" si="134"/>
        <v>0</v>
      </c>
      <c r="AD359" s="292">
        <f t="shared" si="135"/>
        <v>0</v>
      </c>
      <c r="AE359" s="292">
        <f t="shared" si="136"/>
        <v>0</v>
      </c>
      <c r="AF359" s="292">
        <f t="shared" si="137"/>
        <v>0</v>
      </c>
      <c r="AG359" s="292">
        <f t="shared" si="138"/>
        <v>0</v>
      </c>
      <c r="AH359" s="292">
        <f t="shared" si="139"/>
        <v>0</v>
      </c>
      <c r="AI359" s="292">
        <f t="shared" si="140"/>
        <v>0</v>
      </c>
      <c r="AJ359" s="292">
        <f t="shared" si="141"/>
        <v>0</v>
      </c>
      <c r="AK359" s="292">
        <f t="shared" si="142"/>
        <v>0</v>
      </c>
      <c r="AL359" s="292">
        <f t="shared" si="167"/>
        <v>0</v>
      </c>
      <c r="AM359" s="292">
        <f t="shared" si="168"/>
        <v>0</v>
      </c>
      <c r="AN359" s="292">
        <f t="shared" si="143"/>
        <v>0</v>
      </c>
      <c r="AO359" s="292">
        <f t="shared" si="144"/>
        <v>0</v>
      </c>
      <c r="AP359" s="292">
        <f t="shared" si="145"/>
        <v>0</v>
      </c>
      <c r="AQ359" s="292">
        <f t="shared" si="146"/>
        <v>0</v>
      </c>
      <c r="AR359" s="292">
        <f t="shared" si="147"/>
        <v>0</v>
      </c>
      <c r="AS359" s="292">
        <f t="shared" si="148"/>
        <v>0</v>
      </c>
      <c r="AT359" s="292">
        <f t="shared" si="149"/>
        <v>0</v>
      </c>
      <c r="AU359" s="292">
        <f t="shared" si="150"/>
        <v>0</v>
      </c>
      <c r="AV359" s="292">
        <f t="shared" si="151"/>
        <v>0</v>
      </c>
      <c r="AW359" s="292">
        <f t="shared" si="152"/>
        <v>0</v>
      </c>
      <c r="AX359" s="292">
        <f t="shared" si="153"/>
        <v>3000000</v>
      </c>
      <c r="AY359" s="292">
        <f t="shared" si="154"/>
        <v>0</v>
      </c>
      <c r="AZ359" s="292">
        <f t="shared" si="155"/>
        <v>0</v>
      </c>
      <c r="BA359" s="292">
        <f t="shared" si="156"/>
        <v>0</v>
      </c>
      <c r="BB359" s="292">
        <f t="shared" si="157"/>
        <v>0</v>
      </c>
      <c r="BC359" s="292">
        <f t="shared" si="158"/>
        <v>0</v>
      </c>
      <c r="BD359" s="292">
        <f t="shared" si="159"/>
        <v>0</v>
      </c>
      <c r="BE359" s="292">
        <f t="shared" si="160"/>
        <v>0</v>
      </c>
      <c r="BF359" s="292">
        <f t="shared" si="161"/>
        <v>0</v>
      </c>
      <c r="BG359" s="292">
        <f t="shared" si="162"/>
        <v>0</v>
      </c>
    </row>
    <row r="360" spans="1:59" s="289" customFormat="1" ht="15" customHeight="1">
      <c r="A360" s="63">
        <f t="array" ref="A360">IF(C360&lt;&gt;0,SUM(($C$11:C360&lt;&gt;0)*1),"")</f>
        <v>350</v>
      </c>
      <c r="B360" s="1099">
        <v>42521</v>
      </c>
      <c r="C360" s="290" t="s">
        <v>764</v>
      </c>
      <c r="D360" s="1099">
        <v>42521</v>
      </c>
      <c r="E360" s="344" t="s">
        <v>913</v>
      </c>
      <c r="F360" s="345">
        <v>300000</v>
      </c>
      <c r="G360" s="346" t="s">
        <v>10</v>
      </c>
      <c r="H360" s="346" t="s">
        <v>97</v>
      </c>
      <c r="I360" s="63">
        <f t="shared" si="175"/>
        <v>350</v>
      </c>
      <c r="J360" s="292">
        <f t="shared" si="125"/>
        <v>0</v>
      </c>
      <c r="K360" s="292">
        <f t="shared" si="126"/>
        <v>300000</v>
      </c>
      <c r="L360" s="292">
        <f t="shared" si="127"/>
        <v>0</v>
      </c>
      <c r="M360" s="292">
        <f t="shared" si="128"/>
        <v>0</v>
      </c>
      <c r="N360" s="292">
        <f t="shared" si="163"/>
        <v>0</v>
      </c>
      <c r="O360" s="292">
        <f t="shared" si="164"/>
        <v>0</v>
      </c>
      <c r="P360" s="292">
        <f t="shared" si="129"/>
        <v>300000</v>
      </c>
      <c r="Q360" s="292">
        <f t="shared" si="130"/>
        <v>0</v>
      </c>
      <c r="R360" s="292">
        <f t="shared" si="169"/>
        <v>0</v>
      </c>
      <c r="S360" s="292">
        <f t="shared" si="170"/>
        <v>0</v>
      </c>
      <c r="T360" s="292">
        <f t="shared" si="131"/>
        <v>0</v>
      </c>
      <c r="U360" s="292">
        <f t="shared" si="132"/>
        <v>0</v>
      </c>
      <c r="V360" s="292">
        <f t="shared" si="171"/>
        <v>0</v>
      </c>
      <c r="W360" s="292">
        <f t="shared" si="172"/>
        <v>0</v>
      </c>
      <c r="X360" s="292">
        <f t="shared" si="173"/>
        <v>0</v>
      </c>
      <c r="Y360" s="292">
        <f t="shared" si="174"/>
        <v>0</v>
      </c>
      <c r="Z360" s="292">
        <f t="shared" si="165"/>
        <v>0</v>
      </c>
      <c r="AA360" s="292">
        <f t="shared" si="166"/>
        <v>0</v>
      </c>
      <c r="AB360" s="292">
        <f t="shared" si="133"/>
        <v>0</v>
      </c>
      <c r="AC360" s="292">
        <f t="shared" si="134"/>
        <v>0</v>
      </c>
      <c r="AD360" s="292">
        <f t="shared" si="135"/>
        <v>0</v>
      </c>
      <c r="AE360" s="292">
        <f t="shared" si="136"/>
        <v>0</v>
      </c>
      <c r="AF360" s="292">
        <f t="shared" si="137"/>
        <v>0</v>
      </c>
      <c r="AG360" s="292">
        <f t="shared" si="138"/>
        <v>0</v>
      </c>
      <c r="AH360" s="292">
        <f t="shared" si="139"/>
        <v>0</v>
      </c>
      <c r="AI360" s="292">
        <f t="shared" si="140"/>
        <v>0</v>
      </c>
      <c r="AJ360" s="292">
        <f t="shared" si="141"/>
        <v>0</v>
      </c>
      <c r="AK360" s="292">
        <f t="shared" si="142"/>
        <v>0</v>
      </c>
      <c r="AL360" s="292">
        <f t="shared" si="167"/>
        <v>0</v>
      </c>
      <c r="AM360" s="292">
        <f t="shared" si="168"/>
        <v>0</v>
      </c>
      <c r="AN360" s="292">
        <f t="shared" si="143"/>
        <v>0</v>
      </c>
      <c r="AO360" s="292">
        <f t="shared" si="144"/>
        <v>0</v>
      </c>
      <c r="AP360" s="292">
        <f t="shared" si="145"/>
        <v>0</v>
      </c>
      <c r="AQ360" s="292">
        <f t="shared" si="146"/>
        <v>0</v>
      </c>
      <c r="AR360" s="292">
        <f t="shared" si="147"/>
        <v>0</v>
      </c>
      <c r="AS360" s="292">
        <f t="shared" si="148"/>
        <v>0</v>
      </c>
      <c r="AT360" s="292">
        <f t="shared" si="149"/>
        <v>0</v>
      </c>
      <c r="AU360" s="292">
        <f t="shared" si="150"/>
        <v>0</v>
      </c>
      <c r="AV360" s="292">
        <f t="shared" si="151"/>
        <v>0</v>
      </c>
      <c r="AW360" s="292">
        <f t="shared" si="152"/>
        <v>0</v>
      </c>
      <c r="AX360" s="292">
        <f t="shared" si="153"/>
        <v>0</v>
      </c>
      <c r="AY360" s="292">
        <f t="shared" si="154"/>
        <v>0</v>
      </c>
      <c r="AZ360" s="292">
        <f t="shared" si="155"/>
        <v>0</v>
      </c>
      <c r="BA360" s="292">
        <f t="shared" si="156"/>
        <v>0</v>
      </c>
      <c r="BB360" s="292">
        <f t="shared" si="157"/>
        <v>0</v>
      </c>
      <c r="BC360" s="292">
        <f t="shared" si="158"/>
        <v>0</v>
      </c>
      <c r="BD360" s="292">
        <f t="shared" si="159"/>
        <v>0</v>
      </c>
      <c r="BE360" s="292">
        <f t="shared" si="160"/>
        <v>0</v>
      </c>
      <c r="BF360" s="292">
        <f t="shared" si="161"/>
        <v>0</v>
      </c>
      <c r="BG360" s="292">
        <f t="shared" si="162"/>
        <v>0</v>
      </c>
    </row>
    <row r="361" spans="1:59" s="289" customFormat="1" ht="15" customHeight="1">
      <c r="A361" s="63">
        <f t="array" ref="A361">IF(C361&lt;&gt;0,SUM(($C$11:C361&lt;&gt;0)*1),"")</f>
        <v>351</v>
      </c>
      <c r="B361" s="1099">
        <v>42521</v>
      </c>
      <c r="C361" s="290" t="s">
        <v>796</v>
      </c>
      <c r="D361" s="1099">
        <v>42521</v>
      </c>
      <c r="E361" s="344" t="s">
        <v>410</v>
      </c>
      <c r="F361" s="345">
        <v>62000000</v>
      </c>
      <c r="G361" s="346" t="s">
        <v>31</v>
      </c>
      <c r="H361" s="346" t="s">
        <v>97</v>
      </c>
      <c r="I361" s="63">
        <f t="shared" si="175"/>
        <v>351</v>
      </c>
      <c r="J361" s="292">
        <f t="shared" si="125"/>
        <v>0</v>
      </c>
      <c r="K361" s="292">
        <f t="shared" si="126"/>
        <v>62000000</v>
      </c>
      <c r="L361" s="292">
        <f t="shared" si="127"/>
        <v>62000000</v>
      </c>
      <c r="M361" s="292">
        <f t="shared" si="128"/>
        <v>0</v>
      </c>
      <c r="N361" s="292">
        <f t="shared" si="163"/>
        <v>0</v>
      </c>
      <c r="O361" s="292">
        <f t="shared" si="164"/>
        <v>0</v>
      </c>
      <c r="P361" s="292">
        <f t="shared" si="129"/>
        <v>0</v>
      </c>
      <c r="Q361" s="292">
        <f t="shared" si="130"/>
        <v>0</v>
      </c>
      <c r="R361" s="292">
        <f t="shared" si="169"/>
        <v>0</v>
      </c>
      <c r="S361" s="292">
        <f t="shared" si="170"/>
        <v>0</v>
      </c>
      <c r="T361" s="292">
        <f t="shared" si="131"/>
        <v>0</v>
      </c>
      <c r="U361" s="292">
        <f t="shared" si="132"/>
        <v>0</v>
      </c>
      <c r="V361" s="292">
        <f t="shared" si="171"/>
        <v>0</v>
      </c>
      <c r="W361" s="292">
        <f t="shared" si="172"/>
        <v>0</v>
      </c>
      <c r="X361" s="292">
        <f t="shared" si="173"/>
        <v>0</v>
      </c>
      <c r="Y361" s="292">
        <f t="shared" si="174"/>
        <v>0</v>
      </c>
      <c r="Z361" s="292">
        <f t="shared" si="165"/>
        <v>0</v>
      </c>
      <c r="AA361" s="292">
        <f t="shared" si="166"/>
        <v>0</v>
      </c>
      <c r="AB361" s="292">
        <f t="shared" si="133"/>
        <v>0</v>
      </c>
      <c r="AC361" s="292">
        <f t="shared" si="134"/>
        <v>0</v>
      </c>
      <c r="AD361" s="292">
        <f t="shared" si="135"/>
        <v>0</v>
      </c>
      <c r="AE361" s="292">
        <f t="shared" si="136"/>
        <v>0</v>
      </c>
      <c r="AF361" s="292">
        <f t="shared" si="137"/>
        <v>0</v>
      </c>
      <c r="AG361" s="292">
        <f t="shared" si="138"/>
        <v>0</v>
      </c>
      <c r="AH361" s="292">
        <f t="shared" si="139"/>
        <v>0</v>
      </c>
      <c r="AI361" s="292">
        <f t="shared" si="140"/>
        <v>0</v>
      </c>
      <c r="AJ361" s="292">
        <f t="shared" si="141"/>
        <v>0</v>
      </c>
      <c r="AK361" s="292">
        <f t="shared" si="142"/>
        <v>0</v>
      </c>
      <c r="AL361" s="292">
        <f t="shared" si="167"/>
        <v>0</v>
      </c>
      <c r="AM361" s="292">
        <f t="shared" si="168"/>
        <v>0</v>
      </c>
      <c r="AN361" s="292">
        <f t="shared" si="143"/>
        <v>0</v>
      </c>
      <c r="AO361" s="292">
        <f t="shared" si="144"/>
        <v>0</v>
      </c>
      <c r="AP361" s="292">
        <f t="shared" si="145"/>
        <v>0</v>
      </c>
      <c r="AQ361" s="292">
        <f t="shared" si="146"/>
        <v>0</v>
      </c>
      <c r="AR361" s="292">
        <f t="shared" si="147"/>
        <v>0</v>
      </c>
      <c r="AS361" s="292">
        <f t="shared" si="148"/>
        <v>0</v>
      </c>
      <c r="AT361" s="292">
        <f t="shared" si="149"/>
        <v>0</v>
      </c>
      <c r="AU361" s="292">
        <f t="shared" si="150"/>
        <v>0</v>
      </c>
      <c r="AV361" s="292">
        <f t="shared" si="151"/>
        <v>0</v>
      </c>
      <c r="AW361" s="292">
        <f t="shared" si="152"/>
        <v>0</v>
      </c>
      <c r="AX361" s="292">
        <f t="shared" si="153"/>
        <v>0</v>
      </c>
      <c r="AY361" s="292">
        <f t="shared" si="154"/>
        <v>0</v>
      </c>
      <c r="AZ361" s="292">
        <f t="shared" si="155"/>
        <v>0</v>
      </c>
      <c r="BA361" s="292">
        <f t="shared" si="156"/>
        <v>0</v>
      </c>
      <c r="BB361" s="292">
        <f t="shared" si="157"/>
        <v>0</v>
      </c>
      <c r="BC361" s="292">
        <f t="shared" si="158"/>
        <v>0</v>
      </c>
      <c r="BD361" s="292">
        <f t="shared" si="159"/>
        <v>0</v>
      </c>
      <c r="BE361" s="292">
        <f t="shared" si="160"/>
        <v>0</v>
      </c>
      <c r="BF361" s="292">
        <f t="shared" si="161"/>
        <v>0</v>
      </c>
      <c r="BG361" s="292">
        <f t="shared" si="162"/>
        <v>0</v>
      </c>
    </row>
    <row r="362" spans="1:59" s="289" customFormat="1" ht="15" customHeight="1">
      <c r="A362" s="63">
        <f t="array" ref="A362">IF(C362&lt;&gt;0,SUM(($C$11:C362&lt;&gt;0)*1),"")</f>
        <v>352</v>
      </c>
      <c r="B362" s="1099">
        <v>42521</v>
      </c>
      <c r="C362" s="290" t="s">
        <v>8</v>
      </c>
      <c r="D362" s="1099">
        <v>42521</v>
      </c>
      <c r="E362" s="344" t="s">
        <v>959</v>
      </c>
      <c r="F362" s="345">
        <v>61262630</v>
      </c>
      <c r="G362" s="346" t="s">
        <v>9</v>
      </c>
      <c r="H362" s="346" t="s">
        <v>31</v>
      </c>
      <c r="I362" s="63">
        <f t="shared" si="175"/>
        <v>352</v>
      </c>
      <c r="J362" s="292">
        <f t="shared" si="125"/>
        <v>0</v>
      </c>
      <c r="K362" s="292">
        <f t="shared" si="126"/>
        <v>0</v>
      </c>
      <c r="L362" s="292">
        <f t="shared" si="127"/>
        <v>0</v>
      </c>
      <c r="M362" s="292">
        <f t="shared" si="128"/>
        <v>61262630</v>
      </c>
      <c r="N362" s="292">
        <f t="shared" si="163"/>
        <v>0</v>
      </c>
      <c r="O362" s="292">
        <f t="shared" si="164"/>
        <v>0</v>
      </c>
      <c r="P362" s="292">
        <f t="shared" si="129"/>
        <v>0</v>
      </c>
      <c r="Q362" s="292">
        <f t="shared" si="130"/>
        <v>0</v>
      </c>
      <c r="R362" s="292">
        <f t="shared" si="169"/>
        <v>0</v>
      </c>
      <c r="S362" s="292">
        <f t="shared" si="170"/>
        <v>0</v>
      </c>
      <c r="T362" s="292">
        <f t="shared" si="131"/>
        <v>0</v>
      </c>
      <c r="U362" s="292">
        <f t="shared" si="132"/>
        <v>0</v>
      </c>
      <c r="V362" s="292">
        <f t="shared" si="171"/>
        <v>0</v>
      </c>
      <c r="W362" s="292">
        <f t="shared" si="172"/>
        <v>0</v>
      </c>
      <c r="X362" s="292">
        <f t="shared" si="173"/>
        <v>0</v>
      </c>
      <c r="Y362" s="292">
        <f t="shared" si="174"/>
        <v>0</v>
      </c>
      <c r="Z362" s="292">
        <f t="shared" si="165"/>
        <v>0</v>
      </c>
      <c r="AA362" s="292">
        <f t="shared" si="166"/>
        <v>0</v>
      </c>
      <c r="AB362" s="292">
        <f t="shared" si="133"/>
        <v>61262630</v>
      </c>
      <c r="AC362" s="292">
        <f t="shared" si="134"/>
        <v>0</v>
      </c>
      <c r="AD362" s="292">
        <f t="shared" si="135"/>
        <v>0</v>
      </c>
      <c r="AE362" s="292">
        <f t="shared" si="136"/>
        <v>0</v>
      </c>
      <c r="AF362" s="292">
        <f t="shared" si="137"/>
        <v>0</v>
      </c>
      <c r="AG362" s="292">
        <f t="shared" si="138"/>
        <v>0</v>
      </c>
      <c r="AH362" s="292">
        <f t="shared" si="139"/>
        <v>0</v>
      </c>
      <c r="AI362" s="292">
        <f t="shared" si="140"/>
        <v>0</v>
      </c>
      <c r="AJ362" s="292">
        <f t="shared" si="141"/>
        <v>0</v>
      </c>
      <c r="AK362" s="292">
        <f t="shared" si="142"/>
        <v>0</v>
      </c>
      <c r="AL362" s="292">
        <f t="shared" si="167"/>
        <v>0</v>
      </c>
      <c r="AM362" s="292">
        <f t="shared" si="168"/>
        <v>0</v>
      </c>
      <c r="AN362" s="292">
        <f t="shared" si="143"/>
        <v>0</v>
      </c>
      <c r="AO362" s="292">
        <f t="shared" si="144"/>
        <v>0</v>
      </c>
      <c r="AP362" s="292">
        <f t="shared" si="145"/>
        <v>0</v>
      </c>
      <c r="AQ362" s="292">
        <f t="shared" si="146"/>
        <v>0</v>
      </c>
      <c r="AR362" s="292">
        <f t="shared" si="147"/>
        <v>0</v>
      </c>
      <c r="AS362" s="292">
        <f t="shared" si="148"/>
        <v>0</v>
      </c>
      <c r="AT362" s="292">
        <f t="shared" si="149"/>
        <v>0</v>
      </c>
      <c r="AU362" s="292">
        <f t="shared" si="150"/>
        <v>0</v>
      </c>
      <c r="AV362" s="292">
        <f t="shared" si="151"/>
        <v>0</v>
      </c>
      <c r="AW362" s="292">
        <f t="shared" si="152"/>
        <v>0</v>
      </c>
      <c r="AX362" s="292">
        <f t="shared" si="153"/>
        <v>0</v>
      </c>
      <c r="AY362" s="292">
        <f t="shared" si="154"/>
        <v>0</v>
      </c>
      <c r="AZ362" s="292">
        <f t="shared" si="155"/>
        <v>0</v>
      </c>
      <c r="BA362" s="292">
        <f t="shared" si="156"/>
        <v>0</v>
      </c>
      <c r="BB362" s="292">
        <f t="shared" si="157"/>
        <v>0</v>
      </c>
      <c r="BC362" s="292">
        <f t="shared" si="158"/>
        <v>0</v>
      </c>
      <c r="BD362" s="292">
        <f t="shared" si="159"/>
        <v>0</v>
      </c>
      <c r="BE362" s="292">
        <f t="shared" si="160"/>
        <v>0</v>
      </c>
      <c r="BF362" s="292">
        <f t="shared" si="161"/>
        <v>0</v>
      </c>
      <c r="BG362" s="292">
        <f t="shared" si="162"/>
        <v>0</v>
      </c>
    </row>
    <row r="363" spans="1:59" s="289" customFormat="1" ht="15" customHeight="1">
      <c r="A363" s="63">
        <f t="array" ref="A363">IF(C363&lt;&gt;0,SUM(($C$11:C363&lt;&gt;0)*1),"")</f>
        <v>353</v>
      </c>
      <c r="B363" s="1099">
        <v>42521</v>
      </c>
      <c r="C363" s="290" t="s">
        <v>8</v>
      </c>
      <c r="D363" s="1099">
        <v>42521</v>
      </c>
      <c r="E363" s="344" t="s">
        <v>22</v>
      </c>
      <c r="F363" s="345">
        <v>50631</v>
      </c>
      <c r="G363" s="346" t="s">
        <v>135</v>
      </c>
      <c r="H363" s="346" t="s">
        <v>31</v>
      </c>
      <c r="I363" s="63">
        <f t="shared" si="175"/>
        <v>353</v>
      </c>
      <c r="J363" s="292">
        <f t="shared" si="125"/>
        <v>0</v>
      </c>
      <c r="K363" s="292">
        <f t="shared" si="126"/>
        <v>0</v>
      </c>
      <c r="L363" s="292">
        <f t="shared" si="127"/>
        <v>0</v>
      </c>
      <c r="M363" s="292">
        <f t="shared" si="128"/>
        <v>50631</v>
      </c>
      <c r="N363" s="292">
        <f t="shared" si="163"/>
        <v>0</v>
      </c>
      <c r="O363" s="292">
        <f t="shared" si="164"/>
        <v>0</v>
      </c>
      <c r="P363" s="292">
        <f t="shared" si="129"/>
        <v>0</v>
      </c>
      <c r="Q363" s="292">
        <f t="shared" si="130"/>
        <v>0</v>
      </c>
      <c r="R363" s="292">
        <f t="shared" si="169"/>
        <v>0</v>
      </c>
      <c r="S363" s="292">
        <f t="shared" si="170"/>
        <v>0</v>
      </c>
      <c r="T363" s="292">
        <f t="shared" si="131"/>
        <v>0</v>
      </c>
      <c r="U363" s="292">
        <f t="shared" si="132"/>
        <v>0</v>
      </c>
      <c r="V363" s="292">
        <f t="shared" si="171"/>
        <v>0</v>
      </c>
      <c r="W363" s="292">
        <f t="shared" si="172"/>
        <v>0</v>
      </c>
      <c r="X363" s="292">
        <f t="shared" si="173"/>
        <v>0</v>
      </c>
      <c r="Y363" s="292">
        <f t="shared" si="174"/>
        <v>0</v>
      </c>
      <c r="Z363" s="292">
        <f t="shared" si="165"/>
        <v>0</v>
      </c>
      <c r="AA363" s="292">
        <f t="shared" si="166"/>
        <v>0</v>
      </c>
      <c r="AB363" s="292">
        <f t="shared" si="133"/>
        <v>0</v>
      </c>
      <c r="AC363" s="292">
        <f t="shared" si="134"/>
        <v>0</v>
      </c>
      <c r="AD363" s="292">
        <f t="shared" si="135"/>
        <v>0</v>
      </c>
      <c r="AE363" s="292">
        <f t="shared" si="136"/>
        <v>0</v>
      </c>
      <c r="AF363" s="292">
        <f t="shared" si="137"/>
        <v>0</v>
      </c>
      <c r="AG363" s="292">
        <f t="shared" si="138"/>
        <v>0</v>
      </c>
      <c r="AH363" s="292">
        <f t="shared" si="139"/>
        <v>0</v>
      </c>
      <c r="AI363" s="292">
        <f t="shared" si="140"/>
        <v>0</v>
      </c>
      <c r="AJ363" s="292">
        <f t="shared" si="141"/>
        <v>0</v>
      </c>
      <c r="AK363" s="292">
        <f t="shared" si="142"/>
        <v>0</v>
      </c>
      <c r="AL363" s="292">
        <f t="shared" si="167"/>
        <v>0</v>
      </c>
      <c r="AM363" s="292">
        <f t="shared" si="168"/>
        <v>0</v>
      </c>
      <c r="AN363" s="292">
        <f t="shared" si="143"/>
        <v>0</v>
      </c>
      <c r="AO363" s="292">
        <f t="shared" si="144"/>
        <v>0</v>
      </c>
      <c r="AP363" s="292">
        <f t="shared" si="145"/>
        <v>0</v>
      </c>
      <c r="AQ363" s="292">
        <f t="shared" si="146"/>
        <v>0</v>
      </c>
      <c r="AR363" s="292">
        <f t="shared" si="147"/>
        <v>0</v>
      </c>
      <c r="AS363" s="292">
        <f t="shared" si="148"/>
        <v>0</v>
      </c>
      <c r="AT363" s="292">
        <f t="shared" si="149"/>
        <v>0</v>
      </c>
      <c r="AU363" s="292">
        <f t="shared" si="150"/>
        <v>0</v>
      </c>
      <c r="AV363" s="292">
        <f t="shared" si="151"/>
        <v>0</v>
      </c>
      <c r="AW363" s="292">
        <f t="shared" si="152"/>
        <v>0</v>
      </c>
      <c r="AX363" s="292">
        <f t="shared" si="153"/>
        <v>50631</v>
      </c>
      <c r="AY363" s="292">
        <f t="shared" si="154"/>
        <v>0</v>
      </c>
      <c r="AZ363" s="292">
        <f t="shared" si="155"/>
        <v>0</v>
      </c>
      <c r="BA363" s="292">
        <f t="shared" si="156"/>
        <v>0</v>
      </c>
      <c r="BB363" s="292">
        <f t="shared" si="157"/>
        <v>0</v>
      </c>
      <c r="BC363" s="292">
        <f t="shared" si="158"/>
        <v>0</v>
      </c>
      <c r="BD363" s="292">
        <f t="shared" si="159"/>
        <v>0</v>
      </c>
      <c r="BE363" s="292">
        <f t="shared" si="160"/>
        <v>0</v>
      </c>
      <c r="BF363" s="292">
        <f t="shared" si="161"/>
        <v>0</v>
      </c>
      <c r="BG363" s="292">
        <f t="shared" si="162"/>
        <v>0</v>
      </c>
    </row>
    <row r="364" spans="1:59" s="289" customFormat="1" ht="15" customHeight="1">
      <c r="A364" s="63">
        <f t="array" ref="A364">IF(C364&lt;&gt;0,SUM(($C$11:C364&lt;&gt;0)*1),"")</f>
        <v>354</v>
      </c>
      <c r="B364" s="1099">
        <v>42521</v>
      </c>
      <c r="C364" s="290" t="s">
        <v>8</v>
      </c>
      <c r="D364" s="1099">
        <v>42521</v>
      </c>
      <c r="E364" s="344" t="s">
        <v>23</v>
      </c>
      <c r="F364" s="345">
        <v>5063</v>
      </c>
      <c r="G364" s="346" t="s">
        <v>10</v>
      </c>
      <c r="H364" s="346" t="s">
        <v>31</v>
      </c>
      <c r="I364" s="63">
        <f t="shared" si="175"/>
        <v>354</v>
      </c>
      <c r="J364" s="292">
        <f t="shared" si="125"/>
        <v>0</v>
      </c>
      <c r="K364" s="292">
        <f t="shared" si="126"/>
        <v>0</v>
      </c>
      <c r="L364" s="292">
        <f t="shared" si="127"/>
        <v>0</v>
      </c>
      <c r="M364" s="292">
        <f t="shared" si="128"/>
        <v>5063</v>
      </c>
      <c r="N364" s="292">
        <f t="shared" si="163"/>
        <v>0</v>
      </c>
      <c r="O364" s="292">
        <f t="shared" si="164"/>
        <v>0</v>
      </c>
      <c r="P364" s="292">
        <f t="shared" si="129"/>
        <v>5063</v>
      </c>
      <c r="Q364" s="292">
        <f t="shared" si="130"/>
        <v>0</v>
      </c>
      <c r="R364" s="292">
        <f t="shared" si="169"/>
        <v>0</v>
      </c>
      <c r="S364" s="292">
        <f t="shared" si="170"/>
        <v>0</v>
      </c>
      <c r="T364" s="292">
        <f t="shared" si="131"/>
        <v>0</v>
      </c>
      <c r="U364" s="292">
        <f t="shared" si="132"/>
        <v>0</v>
      </c>
      <c r="V364" s="292">
        <f t="shared" si="171"/>
        <v>0</v>
      </c>
      <c r="W364" s="292">
        <f t="shared" si="172"/>
        <v>0</v>
      </c>
      <c r="X364" s="292">
        <f t="shared" si="173"/>
        <v>0</v>
      </c>
      <c r="Y364" s="292">
        <f t="shared" si="174"/>
        <v>0</v>
      </c>
      <c r="Z364" s="292">
        <f t="shared" si="165"/>
        <v>0</v>
      </c>
      <c r="AA364" s="292">
        <f t="shared" si="166"/>
        <v>0</v>
      </c>
      <c r="AB364" s="292">
        <f t="shared" si="133"/>
        <v>0</v>
      </c>
      <c r="AC364" s="292">
        <f t="shared" si="134"/>
        <v>0</v>
      </c>
      <c r="AD364" s="292">
        <f t="shared" si="135"/>
        <v>0</v>
      </c>
      <c r="AE364" s="292">
        <f t="shared" si="136"/>
        <v>0</v>
      </c>
      <c r="AF364" s="292">
        <f t="shared" si="137"/>
        <v>0</v>
      </c>
      <c r="AG364" s="292">
        <f t="shared" si="138"/>
        <v>0</v>
      </c>
      <c r="AH364" s="292">
        <f t="shared" si="139"/>
        <v>0</v>
      </c>
      <c r="AI364" s="292">
        <f t="shared" si="140"/>
        <v>0</v>
      </c>
      <c r="AJ364" s="292">
        <f t="shared" si="141"/>
        <v>0</v>
      </c>
      <c r="AK364" s="292">
        <f t="shared" si="142"/>
        <v>0</v>
      </c>
      <c r="AL364" s="292">
        <f t="shared" si="167"/>
        <v>0</v>
      </c>
      <c r="AM364" s="292">
        <f t="shared" si="168"/>
        <v>0</v>
      </c>
      <c r="AN364" s="292">
        <f t="shared" si="143"/>
        <v>0</v>
      </c>
      <c r="AO364" s="292">
        <f t="shared" si="144"/>
        <v>0</v>
      </c>
      <c r="AP364" s="292">
        <f t="shared" si="145"/>
        <v>0</v>
      </c>
      <c r="AQ364" s="292">
        <f t="shared" si="146"/>
        <v>0</v>
      </c>
      <c r="AR364" s="292">
        <f t="shared" si="147"/>
        <v>0</v>
      </c>
      <c r="AS364" s="292">
        <f t="shared" si="148"/>
        <v>0</v>
      </c>
      <c r="AT364" s="292">
        <f t="shared" si="149"/>
        <v>0</v>
      </c>
      <c r="AU364" s="292">
        <f t="shared" si="150"/>
        <v>0</v>
      </c>
      <c r="AV364" s="292">
        <f t="shared" si="151"/>
        <v>0</v>
      </c>
      <c r="AW364" s="292">
        <f t="shared" si="152"/>
        <v>0</v>
      </c>
      <c r="AX364" s="292">
        <f t="shared" si="153"/>
        <v>0</v>
      </c>
      <c r="AY364" s="292">
        <f t="shared" si="154"/>
        <v>0</v>
      </c>
      <c r="AZ364" s="292">
        <f t="shared" si="155"/>
        <v>0</v>
      </c>
      <c r="BA364" s="292">
        <f t="shared" si="156"/>
        <v>0</v>
      </c>
      <c r="BB364" s="292">
        <f t="shared" si="157"/>
        <v>0</v>
      </c>
      <c r="BC364" s="292">
        <f t="shared" si="158"/>
        <v>0</v>
      </c>
      <c r="BD364" s="292">
        <f t="shared" si="159"/>
        <v>0</v>
      </c>
      <c r="BE364" s="292">
        <f t="shared" si="160"/>
        <v>0</v>
      </c>
      <c r="BF364" s="292">
        <f t="shared" si="161"/>
        <v>0</v>
      </c>
      <c r="BG364" s="292">
        <f t="shared" si="162"/>
        <v>0</v>
      </c>
    </row>
    <row r="365" spans="1:59" s="289" customFormat="1" ht="15" customHeight="1">
      <c r="A365" s="63">
        <f t="array" ref="A365">IF(C365&lt;&gt;0,SUM(($C$11:C365&lt;&gt;0)*1),"")</f>
        <v>355</v>
      </c>
      <c r="B365" s="1099">
        <v>42531</v>
      </c>
      <c r="C365" s="290" t="s">
        <v>799</v>
      </c>
      <c r="D365" s="1099">
        <v>42531</v>
      </c>
      <c r="E365" s="344" t="s">
        <v>399</v>
      </c>
      <c r="F365" s="345">
        <v>2588000</v>
      </c>
      <c r="G365" s="346" t="s">
        <v>242</v>
      </c>
      <c r="H365" s="346" t="s">
        <v>97</v>
      </c>
      <c r="I365" s="63">
        <f t="shared" si="175"/>
        <v>355</v>
      </c>
      <c r="J365" s="292">
        <f t="shared" si="125"/>
        <v>0</v>
      </c>
      <c r="K365" s="292">
        <f t="shared" si="126"/>
        <v>2588000</v>
      </c>
      <c r="L365" s="292">
        <f t="shared" si="127"/>
        <v>0</v>
      </c>
      <c r="M365" s="292">
        <f t="shared" si="128"/>
        <v>0</v>
      </c>
      <c r="N365" s="292">
        <f t="shared" si="163"/>
        <v>0</v>
      </c>
      <c r="O365" s="292">
        <f t="shared" si="164"/>
        <v>0</v>
      </c>
      <c r="P365" s="292">
        <f t="shared" si="129"/>
        <v>0</v>
      </c>
      <c r="Q365" s="292">
        <f t="shared" si="130"/>
        <v>0</v>
      </c>
      <c r="R365" s="292">
        <f t="shared" si="169"/>
        <v>0</v>
      </c>
      <c r="S365" s="292">
        <f t="shared" si="170"/>
        <v>0</v>
      </c>
      <c r="T365" s="292">
        <f t="shared" si="131"/>
        <v>0</v>
      </c>
      <c r="U365" s="292">
        <f t="shared" si="132"/>
        <v>0</v>
      </c>
      <c r="V365" s="292">
        <f t="shared" si="171"/>
        <v>0</v>
      </c>
      <c r="W365" s="292">
        <f t="shared" si="172"/>
        <v>0</v>
      </c>
      <c r="X365" s="292">
        <f t="shared" si="173"/>
        <v>0</v>
      </c>
      <c r="Y365" s="292">
        <f t="shared" si="174"/>
        <v>0</v>
      </c>
      <c r="Z365" s="292">
        <f t="shared" si="165"/>
        <v>2588000</v>
      </c>
      <c r="AA365" s="292">
        <f t="shared" si="166"/>
        <v>0</v>
      </c>
      <c r="AB365" s="292">
        <f t="shared" si="133"/>
        <v>0</v>
      </c>
      <c r="AC365" s="292">
        <f t="shared" si="134"/>
        <v>0</v>
      </c>
      <c r="AD365" s="292">
        <f t="shared" si="135"/>
        <v>0</v>
      </c>
      <c r="AE365" s="292">
        <f t="shared" si="136"/>
        <v>0</v>
      </c>
      <c r="AF365" s="292">
        <f t="shared" si="137"/>
        <v>0</v>
      </c>
      <c r="AG365" s="292">
        <f t="shared" si="138"/>
        <v>0</v>
      </c>
      <c r="AH365" s="292">
        <f t="shared" si="139"/>
        <v>0</v>
      </c>
      <c r="AI365" s="292">
        <f t="shared" si="140"/>
        <v>0</v>
      </c>
      <c r="AJ365" s="292">
        <f t="shared" si="141"/>
        <v>0</v>
      </c>
      <c r="AK365" s="292">
        <f t="shared" si="142"/>
        <v>0</v>
      </c>
      <c r="AL365" s="292">
        <f t="shared" si="167"/>
        <v>0</v>
      </c>
      <c r="AM365" s="292">
        <f t="shared" si="168"/>
        <v>0</v>
      </c>
      <c r="AN365" s="292">
        <f t="shared" si="143"/>
        <v>0</v>
      </c>
      <c r="AO365" s="292">
        <f t="shared" si="144"/>
        <v>0</v>
      </c>
      <c r="AP365" s="292">
        <f t="shared" si="145"/>
        <v>0</v>
      </c>
      <c r="AQ365" s="292">
        <f t="shared" si="146"/>
        <v>0</v>
      </c>
      <c r="AR365" s="292">
        <f t="shared" si="147"/>
        <v>0</v>
      </c>
      <c r="AS365" s="292">
        <f t="shared" si="148"/>
        <v>0</v>
      </c>
      <c r="AT365" s="292">
        <f t="shared" si="149"/>
        <v>0</v>
      </c>
      <c r="AU365" s="292">
        <f t="shared" si="150"/>
        <v>0</v>
      </c>
      <c r="AV365" s="292">
        <f t="shared" si="151"/>
        <v>0</v>
      </c>
      <c r="AW365" s="292">
        <f t="shared" si="152"/>
        <v>0</v>
      </c>
      <c r="AX365" s="292">
        <f t="shared" si="153"/>
        <v>0</v>
      </c>
      <c r="AY365" s="292">
        <f t="shared" si="154"/>
        <v>0</v>
      </c>
      <c r="AZ365" s="292">
        <f t="shared" si="155"/>
        <v>0</v>
      </c>
      <c r="BA365" s="292">
        <f t="shared" si="156"/>
        <v>0</v>
      </c>
      <c r="BB365" s="292">
        <f t="shared" si="157"/>
        <v>0</v>
      </c>
      <c r="BC365" s="292">
        <f t="shared" si="158"/>
        <v>0</v>
      </c>
      <c r="BD365" s="292">
        <f t="shared" si="159"/>
        <v>0</v>
      </c>
      <c r="BE365" s="292">
        <f t="shared" si="160"/>
        <v>0</v>
      </c>
      <c r="BF365" s="292">
        <f t="shared" si="161"/>
        <v>0</v>
      </c>
      <c r="BG365" s="292">
        <f t="shared" si="162"/>
        <v>0</v>
      </c>
    </row>
    <row r="366" spans="1:59" s="289" customFormat="1" ht="15" customHeight="1">
      <c r="A366" s="63">
        <f t="array" ref="A366">IF(C366&lt;&gt;0,SUM(($C$11:C366&lt;&gt;0)*1),"")</f>
        <v>356</v>
      </c>
      <c r="B366" s="1099">
        <v>42531</v>
      </c>
      <c r="C366" s="290" t="s">
        <v>803</v>
      </c>
      <c r="D366" s="1099">
        <v>42531</v>
      </c>
      <c r="E366" s="344" t="s">
        <v>976</v>
      </c>
      <c r="F366" s="345">
        <v>7272727</v>
      </c>
      <c r="G366" s="346" t="s">
        <v>135</v>
      </c>
      <c r="H366" s="346" t="s">
        <v>97</v>
      </c>
      <c r="I366" s="63">
        <f t="shared" si="175"/>
        <v>356</v>
      </c>
      <c r="J366" s="292">
        <f t="shared" si="125"/>
        <v>0</v>
      </c>
      <c r="K366" s="292">
        <f t="shared" si="126"/>
        <v>7272727</v>
      </c>
      <c r="L366" s="292">
        <f t="shared" si="127"/>
        <v>0</v>
      </c>
      <c r="M366" s="292">
        <f t="shared" si="128"/>
        <v>0</v>
      </c>
      <c r="N366" s="292">
        <f t="shared" si="163"/>
        <v>0</v>
      </c>
      <c r="O366" s="292">
        <f t="shared" si="164"/>
        <v>0</v>
      </c>
      <c r="P366" s="292">
        <f t="shared" si="129"/>
        <v>0</v>
      </c>
      <c r="Q366" s="292">
        <f t="shared" si="130"/>
        <v>0</v>
      </c>
      <c r="R366" s="292">
        <f t="shared" si="169"/>
        <v>0</v>
      </c>
      <c r="S366" s="292">
        <f t="shared" si="170"/>
        <v>0</v>
      </c>
      <c r="T366" s="292">
        <f t="shared" si="131"/>
        <v>0</v>
      </c>
      <c r="U366" s="292">
        <f t="shared" si="132"/>
        <v>0</v>
      </c>
      <c r="V366" s="292">
        <f t="shared" si="171"/>
        <v>0</v>
      </c>
      <c r="W366" s="292">
        <f t="shared" si="172"/>
        <v>0</v>
      </c>
      <c r="X366" s="292">
        <f t="shared" si="173"/>
        <v>0</v>
      </c>
      <c r="Y366" s="292">
        <f t="shared" si="174"/>
        <v>0</v>
      </c>
      <c r="Z366" s="292">
        <f t="shared" si="165"/>
        <v>0</v>
      </c>
      <c r="AA366" s="292">
        <f t="shared" si="166"/>
        <v>0</v>
      </c>
      <c r="AB366" s="292">
        <f t="shared" si="133"/>
        <v>0</v>
      </c>
      <c r="AC366" s="292">
        <f t="shared" si="134"/>
        <v>0</v>
      </c>
      <c r="AD366" s="292">
        <f t="shared" si="135"/>
        <v>0</v>
      </c>
      <c r="AE366" s="292">
        <f t="shared" si="136"/>
        <v>0</v>
      </c>
      <c r="AF366" s="292">
        <f t="shared" si="137"/>
        <v>0</v>
      </c>
      <c r="AG366" s="292">
        <f t="shared" si="138"/>
        <v>0</v>
      </c>
      <c r="AH366" s="292">
        <f t="shared" si="139"/>
        <v>0</v>
      </c>
      <c r="AI366" s="292">
        <f t="shared" si="140"/>
        <v>0</v>
      </c>
      <c r="AJ366" s="292">
        <f t="shared" si="141"/>
        <v>0</v>
      </c>
      <c r="AK366" s="292">
        <f t="shared" si="142"/>
        <v>0</v>
      </c>
      <c r="AL366" s="292">
        <f t="shared" si="167"/>
        <v>0</v>
      </c>
      <c r="AM366" s="292">
        <f t="shared" si="168"/>
        <v>0</v>
      </c>
      <c r="AN366" s="292">
        <f t="shared" si="143"/>
        <v>0</v>
      </c>
      <c r="AO366" s="292">
        <f t="shared" si="144"/>
        <v>0</v>
      </c>
      <c r="AP366" s="292">
        <f t="shared" si="145"/>
        <v>0</v>
      </c>
      <c r="AQ366" s="292">
        <f t="shared" si="146"/>
        <v>0</v>
      </c>
      <c r="AR366" s="292">
        <f t="shared" si="147"/>
        <v>0</v>
      </c>
      <c r="AS366" s="292">
        <f t="shared" si="148"/>
        <v>0</v>
      </c>
      <c r="AT366" s="292">
        <f t="shared" si="149"/>
        <v>0</v>
      </c>
      <c r="AU366" s="292">
        <f t="shared" si="150"/>
        <v>0</v>
      </c>
      <c r="AV366" s="292">
        <f t="shared" si="151"/>
        <v>0</v>
      </c>
      <c r="AW366" s="292">
        <f t="shared" si="152"/>
        <v>0</v>
      </c>
      <c r="AX366" s="292">
        <f t="shared" si="153"/>
        <v>7272727</v>
      </c>
      <c r="AY366" s="292">
        <f t="shared" si="154"/>
        <v>0</v>
      </c>
      <c r="AZ366" s="292">
        <f t="shared" si="155"/>
        <v>0</v>
      </c>
      <c r="BA366" s="292">
        <f t="shared" si="156"/>
        <v>0</v>
      </c>
      <c r="BB366" s="292">
        <f t="shared" si="157"/>
        <v>0</v>
      </c>
      <c r="BC366" s="292">
        <f t="shared" si="158"/>
        <v>0</v>
      </c>
      <c r="BD366" s="292">
        <f t="shared" si="159"/>
        <v>0</v>
      </c>
      <c r="BE366" s="292">
        <f t="shared" si="160"/>
        <v>0</v>
      </c>
      <c r="BF366" s="292">
        <f t="shared" si="161"/>
        <v>0</v>
      </c>
      <c r="BG366" s="292">
        <f t="shared" si="162"/>
        <v>0</v>
      </c>
    </row>
    <row r="367" spans="1:59" s="289" customFormat="1" ht="15" customHeight="1">
      <c r="A367" s="63">
        <f t="array" ref="A367">IF(C367&lt;&gt;0,SUM(($C$11:C367&lt;&gt;0)*1),"")</f>
        <v>357</v>
      </c>
      <c r="B367" s="1099">
        <v>42531</v>
      </c>
      <c r="C367" s="290" t="s">
        <v>803</v>
      </c>
      <c r="D367" s="1099">
        <v>42531</v>
      </c>
      <c r="E367" s="344" t="s">
        <v>977</v>
      </c>
      <c r="F367" s="345">
        <v>727273</v>
      </c>
      <c r="G367" s="346" t="s">
        <v>10</v>
      </c>
      <c r="H367" s="346" t="s">
        <v>97</v>
      </c>
      <c r="I367" s="63">
        <f t="shared" si="175"/>
        <v>357</v>
      </c>
      <c r="J367" s="292">
        <f t="shared" si="125"/>
        <v>0</v>
      </c>
      <c r="K367" s="292">
        <f t="shared" si="126"/>
        <v>727273</v>
      </c>
      <c r="L367" s="292">
        <f t="shared" si="127"/>
        <v>0</v>
      </c>
      <c r="M367" s="292">
        <f t="shared" si="128"/>
        <v>0</v>
      </c>
      <c r="N367" s="292">
        <f t="shared" si="163"/>
        <v>0</v>
      </c>
      <c r="O367" s="292">
        <f t="shared" si="164"/>
        <v>0</v>
      </c>
      <c r="P367" s="292">
        <f t="shared" si="129"/>
        <v>727273</v>
      </c>
      <c r="Q367" s="292">
        <f t="shared" si="130"/>
        <v>0</v>
      </c>
      <c r="R367" s="292">
        <f t="shared" si="169"/>
        <v>0</v>
      </c>
      <c r="S367" s="292">
        <f t="shared" si="170"/>
        <v>0</v>
      </c>
      <c r="T367" s="292">
        <f t="shared" si="131"/>
        <v>0</v>
      </c>
      <c r="U367" s="292">
        <f t="shared" si="132"/>
        <v>0</v>
      </c>
      <c r="V367" s="292">
        <f t="shared" si="171"/>
        <v>0</v>
      </c>
      <c r="W367" s="292">
        <f t="shared" si="172"/>
        <v>0</v>
      </c>
      <c r="X367" s="292">
        <f t="shared" si="173"/>
        <v>0</v>
      </c>
      <c r="Y367" s="292">
        <f t="shared" si="174"/>
        <v>0</v>
      </c>
      <c r="Z367" s="292">
        <f t="shared" si="165"/>
        <v>0</v>
      </c>
      <c r="AA367" s="292">
        <f t="shared" si="166"/>
        <v>0</v>
      </c>
      <c r="AB367" s="292">
        <f t="shared" si="133"/>
        <v>0</v>
      </c>
      <c r="AC367" s="292">
        <f t="shared" si="134"/>
        <v>0</v>
      </c>
      <c r="AD367" s="292">
        <f t="shared" si="135"/>
        <v>0</v>
      </c>
      <c r="AE367" s="292">
        <f t="shared" si="136"/>
        <v>0</v>
      </c>
      <c r="AF367" s="292">
        <f t="shared" si="137"/>
        <v>0</v>
      </c>
      <c r="AG367" s="292">
        <f t="shared" si="138"/>
        <v>0</v>
      </c>
      <c r="AH367" s="292">
        <f t="shared" si="139"/>
        <v>0</v>
      </c>
      <c r="AI367" s="292">
        <f t="shared" si="140"/>
        <v>0</v>
      </c>
      <c r="AJ367" s="292">
        <f t="shared" si="141"/>
        <v>0</v>
      </c>
      <c r="AK367" s="292">
        <f t="shared" si="142"/>
        <v>0</v>
      </c>
      <c r="AL367" s="292">
        <f t="shared" si="167"/>
        <v>0</v>
      </c>
      <c r="AM367" s="292">
        <f t="shared" si="168"/>
        <v>0</v>
      </c>
      <c r="AN367" s="292">
        <f t="shared" si="143"/>
        <v>0</v>
      </c>
      <c r="AO367" s="292">
        <f t="shared" si="144"/>
        <v>0</v>
      </c>
      <c r="AP367" s="292">
        <f t="shared" si="145"/>
        <v>0</v>
      </c>
      <c r="AQ367" s="292">
        <f t="shared" si="146"/>
        <v>0</v>
      </c>
      <c r="AR367" s="292">
        <f t="shared" si="147"/>
        <v>0</v>
      </c>
      <c r="AS367" s="292">
        <f t="shared" si="148"/>
        <v>0</v>
      </c>
      <c r="AT367" s="292">
        <f t="shared" si="149"/>
        <v>0</v>
      </c>
      <c r="AU367" s="292">
        <f t="shared" si="150"/>
        <v>0</v>
      </c>
      <c r="AV367" s="292">
        <f t="shared" si="151"/>
        <v>0</v>
      </c>
      <c r="AW367" s="292">
        <f t="shared" si="152"/>
        <v>0</v>
      </c>
      <c r="AX367" s="292">
        <f t="shared" si="153"/>
        <v>0</v>
      </c>
      <c r="AY367" s="292">
        <f t="shared" si="154"/>
        <v>0</v>
      </c>
      <c r="AZ367" s="292">
        <f t="shared" si="155"/>
        <v>0</v>
      </c>
      <c r="BA367" s="292">
        <f t="shared" si="156"/>
        <v>0</v>
      </c>
      <c r="BB367" s="292">
        <f t="shared" si="157"/>
        <v>0</v>
      </c>
      <c r="BC367" s="292">
        <f t="shared" si="158"/>
        <v>0</v>
      </c>
      <c r="BD367" s="292">
        <f t="shared" si="159"/>
        <v>0</v>
      </c>
      <c r="BE367" s="292">
        <f t="shared" si="160"/>
        <v>0</v>
      </c>
      <c r="BF367" s="292">
        <f t="shared" si="161"/>
        <v>0</v>
      </c>
      <c r="BG367" s="292">
        <f t="shared" si="162"/>
        <v>0</v>
      </c>
    </row>
    <row r="368" spans="1:59" s="289" customFormat="1" ht="15" customHeight="1">
      <c r="A368" s="63">
        <f t="array" ref="A368">IF(C368&lt;&gt;0,SUM(($C$11:C368&lt;&gt;0)*1),"")</f>
        <v>358</v>
      </c>
      <c r="B368" s="1099">
        <v>42537</v>
      </c>
      <c r="C368" s="290" t="s">
        <v>805</v>
      </c>
      <c r="D368" s="1099">
        <v>42537</v>
      </c>
      <c r="E368" s="344" t="s">
        <v>971</v>
      </c>
      <c r="F368" s="345">
        <v>421656</v>
      </c>
      <c r="G368" s="346" t="s">
        <v>135</v>
      </c>
      <c r="H368" s="346" t="s">
        <v>97</v>
      </c>
      <c r="I368" s="63">
        <f t="shared" si="175"/>
        <v>358</v>
      </c>
      <c r="J368" s="292">
        <f t="shared" si="125"/>
        <v>0</v>
      </c>
      <c r="K368" s="292">
        <f t="shared" si="126"/>
        <v>421656</v>
      </c>
      <c r="L368" s="292">
        <f t="shared" si="127"/>
        <v>0</v>
      </c>
      <c r="M368" s="292">
        <f t="shared" si="128"/>
        <v>0</v>
      </c>
      <c r="N368" s="292">
        <f t="shared" si="163"/>
        <v>0</v>
      </c>
      <c r="O368" s="292">
        <f t="shared" si="164"/>
        <v>0</v>
      </c>
      <c r="P368" s="292">
        <f t="shared" si="129"/>
        <v>0</v>
      </c>
      <c r="Q368" s="292">
        <f t="shared" si="130"/>
        <v>0</v>
      </c>
      <c r="R368" s="292">
        <f t="shared" si="169"/>
        <v>0</v>
      </c>
      <c r="S368" s="292">
        <f t="shared" si="170"/>
        <v>0</v>
      </c>
      <c r="T368" s="292">
        <f t="shared" si="131"/>
        <v>0</v>
      </c>
      <c r="U368" s="292">
        <f t="shared" si="132"/>
        <v>0</v>
      </c>
      <c r="V368" s="292">
        <f t="shared" si="171"/>
        <v>0</v>
      </c>
      <c r="W368" s="292">
        <f t="shared" si="172"/>
        <v>0</v>
      </c>
      <c r="X368" s="292">
        <f t="shared" si="173"/>
        <v>0</v>
      </c>
      <c r="Y368" s="292">
        <f t="shared" si="174"/>
        <v>0</v>
      </c>
      <c r="Z368" s="292">
        <f t="shared" si="165"/>
        <v>0</v>
      </c>
      <c r="AA368" s="292">
        <f t="shared" si="166"/>
        <v>0</v>
      </c>
      <c r="AB368" s="292">
        <f t="shared" si="133"/>
        <v>0</v>
      </c>
      <c r="AC368" s="292">
        <f t="shared" si="134"/>
        <v>0</v>
      </c>
      <c r="AD368" s="292">
        <f t="shared" si="135"/>
        <v>0</v>
      </c>
      <c r="AE368" s="292">
        <f t="shared" si="136"/>
        <v>0</v>
      </c>
      <c r="AF368" s="292">
        <f t="shared" si="137"/>
        <v>0</v>
      </c>
      <c r="AG368" s="292">
        <f t="shared" si="138"/>
        <v>0</v>
      </c>
      <c r="AH368" s="292">
        <f t="shared" si="139"/>
        <v>0</v>
      </c>
      <c r="AI368" s="292">
        <f t="shared" si="140"/>
        <v>0</v>
      </c>
      <c r="AJ368" s="292">
        <f t="shared" si="141"/>
        <v>0</v>
      </c>
      <c r="AK368" s="292">
        <f t="shared" si="142"/>
        <v>0</v>
      </c>
      <c r="AL368" s="292">
        <f t="shared" si="167"/>
        <v>0</v>
      </c>
      <c r="AM368" s="292">
        <f t="shared" si="168"/>
        <v>0</v>
      </c>
      <c r="AN368" s="292">
        <f t="shared" si="143"/>
        <v>0</v>
      </c>
      <c r="AO368" s="292">
        <f t="shared" si="144"/>
        <v>0</v>
      </c>
      <c r="AP368" s="292">
        <f t="shared" si="145"/>
        <v>0</v>
      </c>
      <c r="AQ368" s="292">
        <f t="shared" si="146"/>
        <v>0</v>
      </c>
      <c r="AR368" s="292">
        <f t="shared" si="147"/>
        <v>0</v>
      </c>
      <c r="AS368" s="292">
        <f t="shared" si="148"/>
        <v>0</v>
      </c>
      <c r="AT368" s="292">
        <f t="shared" si="149"/>
        <v>0</v>
      </c>
      <c r="AU368" s="292">
        <f t="shared" si="150"/>
        <v>0</v>
      </c>
      <c r="AV368" s="292">
        <f t="shared" si="151"/>
        <v>0</v>
      </c>
      <c r="AW368" s="292">
        <f t="shared" si="152"/>
        <v>0</v>
      </c>
      <c r="AX368" s="292">
        <f t="shared" si="153"/>
        <v>421656</v>
      </c>
      <c r="AY368" s="292">
        <f t="shared" si="154"/>
        <v>0</v>
      </c>
      <c r="AZ368" s="292">
        <f t="shared" si="155"/>
        <v>0</v>
      </c>
      <c r="BA368" s="292">
        <f t="shared" si="156"/>
        <v>0</v>
      </c>
      <c r="BB368" s="292">
        <f t="shared" si="157"/>
        <v>0</v>
      </c>
      <c r="BC368" s="292">
        <f t="shared" si="158"/>
        <v>0</v>
      </c>
      <c r="BD368" s="292">
        <f t="shared" si="159"/>
        <v>0</v>
      </c>
      <c r="BE368" s="292">
        <f t="shared" si="160"/>
        <v>0</v>
      </c>
      <c r="BF368" s="292">
        <f t="shared" si="161"/>
        <v>0</v>
      </c>
      <c r="BG368" s="292">
        <f t="shared" si="162"/>
        <v>0</v>
      </c>
    </row>
    <row r="369" spans="1:59" s="289" customFormat="1" ht="15" customHeight="1">
      <c r="A369" s="63">
        <f t="array" ref="A369">IF(C369&lt;&gt;0,SUM(($C$11:C369&lt;&gt;0)*1),"")</f>
        <v>359</v>
      </c>
      <c r="B369" s="1099">
        <v>42537</v>
      </c>
      <c r="C369" s="290" t="s">
        <v>805</v>
      </c>
      <c r="D369" s="1099">
        <v>42537</v>
      </c>
      <c r="E369" s="344" t="s">
        <v>972</v>
      </c>
      <c r="F369" s="345">
        <v>42165</v>
      </c>
      <c r="G369" s="346" t="s">
        <v>10</v>
      </c>
      <c r="H369" s="346" t="s">
        <v>97</v>
      </c>
      <c r="I369" s="63">
        <f t="shared" si="175"/>
        <v>359</v>
      </c>
      <c r="J369" s="292">
        <f t="shared" si="125"/>
        <v>0</v>
      </c>
      <c r="K369" s="292">
        <f t="shared" si="126"/>
        <v>42165</v>
      </c>
      <c r="L369" s="292">
        <f t="shared" si="127"/>
        <v>0</v>
      </c>
      <c r="M369" s="292">
        <f t="shared" si="128"/>
        <v>0</v>
      </c>
      <c r="N369" s="292">
        <f t="shared" si="163"/>
        <v>0</v>
      </c>
      <c r="O369" s="292">
        <f t="shared" si="164"/>
        <v>0</v>
      </c>
      <c r="P369" s="292">
        <f t="shared" si="129"/>
        <v>42165</v>
      </c>
      <c r="Q369" s="292">
        <f t="shared" si="130"/>
        <v>0</v>
      </c>
      <c r="R369" s="292">
        <f t="shared" si="169"/>
        <v>0</v>
      </c>
      <c r="S369" s="292">
        <f t="shared" si="170"/>
        <v>0</v>
      </c>
      <c r="T369" s="292">
        <f t="shared" si="131"/>
        <v>0</v>
      </c>
      <c r="U369" s="292">
        <f t="shared" si="132"/>
        <v>0</v>
      </c>
      <c r="V369" s="292">
        <f t="shared" si="171"/>
        <v>0</v>
      </c>
      <c r="W369" s="292">
        <f t="shared" si="172"/>
        <v>0</v>
      </c>
      <c r="X369" s="292">
        <f t="shared" si="173"/>
        <v>0</v>
      </c>
      <c r="Y369" s="292">
        <f t="shared" si="174"/>
        <v>0</v>
      </c>
      <c r="Z369" s="292">
        <f t="shared" si="165"/>
        <v>0</v>
      </c>
      <c r="AA369" s="292">
        <f t="shared" si="166"/>
        <v>0</v>
      </c>
      <c r="AB369" s="292">
        <f t="shared" si="133"/>
        <v>0</v>
      </c>
      <c r="AC369" s="292">
        <f t="shared" si="134"/>
        <v>0</v>
      </c>
      <c r="AD369" s="292">
        <f t="shared" si="135"/>
        <v>0</v>
      </c>
      <c r="AE369" s="292">
        <f t="shared" si="136"/>
        <v>0</v>
      </c>
      <c r="AF369" s="292">
        <f t="shared" si="137"/>
        <v>0</v>
      </c>
      <c r="AG369" s="292">
        <f t="shared" si="138"/>
        <v>0</v>
      </c>
      <c r="AH369" s="292">
        <f t="shared" si="139"/>
        <v>0</v>
      </c>
      <c r="AI369" s="292">
        <f t="shared" si="140"/>
        <v>0</v>
      </c>
      <c r="AJ369" s="292">
        <f t="shared" si="141"/>
        <v>0</v>
      </c>
      <c r="AK369" s="292">
        <f t="shared" si="142"/>
        <v>0</v>
      </c>
      <c r="AL369" s="292">
        <f t="shared" si="167"/>
        <v>0</v>
      </c>
      <c r="AM369" s="292">
        <f t="shared" si="168"/>
        <v>0</v>
      </c>
      <c r="AN369" s="292">
        <f t="shared" si="143"/>
        <v>0</v>
      </c>
      <c r="AO369" s="292">
        <f t="shared" si="144"/>
        <v>0</v>
      </c>
      <c r="AP369" s="292">
        <f t="shared" si="145"/>
        <v>0</v>
      </c>
      <c r="AQ369" s="292">
        <f t="shared" si="146"/>
        <v>0</v>
      </c>
      <c r="AR369" s="292">
        <f t="shared" si="147"/>
        <v>0</v>
      </c>
      <c r="AS369" s="292">
        <f t="shared" si="148"/>
        <v>0</v>
      </c>
      <c r="AT369" s="292">
        <f t="shared" si="149"/>
        <v>0</v>
      </c>
      <c r="AU369" s="292">
        <f t="shared" si="150"/>
        <v>0</v>
      </c>
      <c r="AV369" s="292">
        <f t="shared" si="151"/>
        <v>0</v>
      </c>
      <c r="AW369" s="292">
        <f t="shared" si="152"/>
        <v>0</v>
      </c>
      <c r="AX369" s="292">
        <f t="shared" si="153"/>
        <v>0</v>
      </c>
      <c r="AY369" s="292">
        <f t="shared" si="154"/>
        <v>0</v>
      </c>
      <c r="AZ369" s="292">
        <f t="shared" si="155"/>
        <v>0</v>
      </c>
      <c r="BA369" s="292">
        <f t="shared" si="156"/>
        <v>0</v>
      </c>
      <c r="BB369" s="292">
        <f t="shared" si="157"/>
        <v>0</v>
      </c>
      <c r="BC369" s="292">
        <f t="shared" si="158"/>
        <v>0</v>
      </c>
      <c r="BD369" s="292">
        <f t="shared" si="159"/>
        <v>0</v>
      </c>
      <c r="BE369" s="292">
        <f t="shared" si="160"/>
        <v>0</v>
      </c>
      <c r="BF369" s="292">
        <f t="shared" si="161"/>
        <v>0</v>
      </c>
      <c r="BG369" s="292">
        <f t="shared" si="162"/>
        <v>0</v>
      </c>
    </row>
    <row r="370" spans="1:59" s="289" customFormat="1" ht="15" customHeight="1">
      <c r="A370" s="63">
        <f t="array" ref="A370">IF(C370&lt;&gt;0,SUM(($C$11:C370&lt;&gt;0)*1),"")</f>
        <v>360</v>
      </c>
      <c r="B370" s="1099">
        <v>42538</v>
      </c>
      <c r="C370" s="290" t="s">
        <v>12</v>
      </c>
      <c r="D370" s="1099">
        <v>42538</v>
      </c>
      <c r="E370" s="344" t="s">
        <v>960</v>
      </c>
      <c r="F370" s="345">
        <v>1962840000</v>
      </c>
      <c r="G370" s="346" t="s">
        <v>453</v>
      </c>
      <c r="H370" s="346" t="s">
        <v>31</v>
      </c>
      <c r="I370" s="63">
        <f t="shared" si="175"/>
        <v>360</v>
      </c>
      <c r="J370" s="292">
        <f t="shared" si="125"/>
        <v>0</v>
      </c>
      <c r="K370" s="292">
        <f t="shared" si="126"/>
        <v>0</v>
      </c>
      <c r="L370" s="292">
        <f t="shared" si="127"/>
        <v>0</v>
      </c>
      <c r="M370" s="292">
        <f t="shared" si="128"/>
        <v>1962840000</v>
      </c>
      <c r="N370" s="292">
        <f t="shared" si="163"/>
        <v>1962840000</v>
      </c>
      <c r="O370" s="292">
        <f t="shared" si="164"/>
        <v>0</v>
      </c>
      <c r="P370" s="292">
        <f t="shared" si="129"/>
        <v>0</v>
      </c>
      <c r="Q370" s="292">
        <f t="shared" si="130"/>
        <v>0</v>
      </c>
      <c r="R370" s="292">
        <f t="shared" si="169"/>
        <v>0</v>
      </c>
      <c r="S370" s="292">
        <f t="shared" si="170"/>
        <v>0</v>
      </c>
      <c r="T370" s="292">
        <f t="shared" si="131"/>
        <v>0</v>
      </c>
      <c r="U370" s="292">
        <f t="shared" si="132"/>
        <v>0</v>
      </c>
      <c r="V370" s="292">
        <f t="shared" si="171"/>
        <v>0</v>
      </c>
      <c r="W370" s="292">
        <f t="shared" si="172"/>
        <v>0</v>
      </c>
      <c r="X370" s="292">
        <f t="shared" si="173"/>
        <v>0</v>
      </c>
      <c r="Y370" s="292">
        <f t="shared" si="174"/>
        <v>0</v>
      </c>
      <c r="Z370" s="292">
        <f t="shared" si="165"/>
        <v>0</v>
      </c>
      <c r="AA370" s="292">
        <f t="shared" si="166"/>
        <v>0</v>
      </c>
      <c r="AB370" s="292">
        <f t="shared" si="133"/>
        <v>0</v>
      </c>
      <c r="AC370" s="292">
        <f t="shared" si="134"/>
        <v>0</v>
      </c>
      <c r="AD370" s="292">
        <f t="shared" si="135"/>
        <v>0</v>
      </c>
      <c r="AE370" s="292">
        <f t="shared" si="136"/>
        <v>0</v>
      </c>
      <c r="AF370" s="292">
        <f t="shared" si="137"/>
        <v>0</v>
      </c>
      <c r="AG370" s="292">
        <f t="shared" si="138"/>
        <v>0</v>
      </c>
      <c r="AH370" s="292">
        <f t="shared" si="139"/>
        <v>0</v>
      </c>
      <c r="AI370" s="292">
        <f t="shared" si="140"/>
        <v>0</v>
      </c>
      <c r="AJ370" s="292">
        <f t="shared" si="141"/>
        <v>0</v>
      </c>
      <c r="AK370" s="292">
        <f t="shared" si="142"/>
        <v>0</v>
      </c>
      <c r="AL370" s="292">
        <f t="shared" si="167"/>
        <v>0</v>
      </c>
      <c r="AM370" s="292">
        <f t="shared" si="168"/>
        <v>0</v>
      </c>
      <c r="AN370" s="292">
        <f t="shared" si="143"/>
        <v>0</v>
      </c>
      <c r="AO370" s="292">
        <f t="shared" si="144"/>
        <v>0</v>
      </c>
      <c r="AP370" s="292">
        <f t="shared" si="145"/>
        <v>0</v>
      </c>
      <c r="AQ370" s="292">
        <f t="shared" si="146"/>
        <v>0</v>
      </c>
      <c r="AR370" s="292">
        <f t="shared" si="147"/>
        <v>0</v>
      </c>
      <c r="AS370" s="292">
        <f t="shared" si="148"/>
        <v>0</v>
      </c>
      <c r="AT370" s="292">
        <f t="shared" si="149"/>
        <v>0</v>
      </c>
      <c r="AU370" s="292">
        <f t="shared" si="150"/>
        <v>0</v>
      </c>
      <c r="AV370" s="292">
        <f t="shared" si="151"/>
        <v>0</v>
      </c>
      <c r="AW370" s="292">
        <f t="shared" si="152"/>
        <v>0</v>
      </c>
      <c r="AX370" s="292">
        <f t="shared" si="153"/>
        <v>0</v>
      </c>
      <c r="AY370" s="292">
        <f t="shared" si="154"/>
        <v>0</v>
      </c>
      <c r="AZ370" s="292">
        <f t="shared" si="155"/>
        <v>0</v>
      </c>
      <c r="BA370" s="292">
        <f t="shared" si="156"/>
        <v>0</v>
      </c>
      <c r="BB370" s="292">
        <f t="shared" si="157"/>
        <v>0</v>
      </c>
      <c r="BC370" s="292">
        <f t="shared" si="158"/>
        <v>0</v>
      </c>
      <c r="BD370" s="292">
        <f t="shared" si="159"/>
        <v>0</v>
      </c>
      <c r="BE370" s="292">
        <f t="shared" si="160"/>
        <v>0</v>
      </c>
      <c r="BF370" s="292">
        <f t="shared" si="161"/>
        <v>0</v>
      </c>
      <c r="BG370" s="292">
        <f t="shared" si="162"/>
        <v>0</v>
      </c>
    </row>
    <row r="371" spans="1:59" s="289" customFormat="1" ht="15" customHeight="1">
      <c r="A371" s="63">
        <f t="array" ref="A371">IF(C371&lt;&gt;0,SUM(($C$11:C371&lt;&gt;0)*1),"")</f>
        <v>361</v>
      </c>
      <c r="B371" s="1099">
        <v>42538</v>
      </c>
      <c r="C371" s="290" t="s">
        <v>12</v>
      </c>
      <c r="D371" s="1099">
        <v>42538</v>
      </c>
      <c r="E371" s="344" t="s">
        <v>788</v>
      </c>
      <c r="F371" s="345">
        <v>1975000000</v>
      </c>
      <c r="G371" s="346" t="s">
        <v>31</v>
      </c>
      <c r="H371" s="346" t="s">
        <v>24</v>
      </c>
      <c r="I371" s="63">
        <f t="shared" si="175"/>
        <v>361</v>
      </c>
      <c r="J371" s="292">
        <f t="shared" si="125"/>
        <v>0</v>
      </c>
      <c r="K371" s="292">
        <f t="shared" si="126"/>
        <v>0</v>
      </c>
      <c r="L371" s="292">
        <f t="shared" si="127"/>
        <v>1975000000</v>
      </c>
      <c r="M371" s="292">
        <f t="shared" si="128"/>
        <v>0</v>
      </c>
      <c r="N371" s="292">
        <f t="shared" si="163"/>
        <v>0</v>
      </c>
      <c r="O371" s="292">
        <f t="shared" si="164"/>
        <v>0</v>
      </c>
      <c r="P371" s="292">
        <f t="shared" si="129"/>
        <v>0</v>
      </c>
      <c r="Q371" s="292">
        <f t="shared" si="130"/>
        <v>0</v>
      </c>
      <c r="R371" s="292">
        <f t="shared" si="169"/>
        <v>0</v>
      </c>
      <c r="S371" s="292">
        <f t="shared" si="170"/>
        <v>0</v>
      </c>
      <c r="T371" s="292">
        <f t="shared" si="131"/>
        <v>0</v>
      </c>
      <c r="U371" s="292">
        <f t="shared" si="132"/>
        <v>0</v>
      </c>
      <c r="V371" s="292">
        <f t="shared" si="171"/>
        <v>0</v>
      </c>
      <c r="W371" s="292">
        <f t="shared" si="172"/>
        <v>0</v>
      </c>
      <c r="X371" s="292">
        <f t="shared" si="173"/>
        <v>0</v>
      </c>
      <c r="Y371" s="292">
        <f t="shared" si="174"/>
        <v>0</v>
      </c>
      <c r="Z371" s="292">
        <f t="shared" si="165"/>
        <v>0</v>
      </c>
      <c r="AA371" s="292">
        <f t="shared" si="166"/>
        <v>0</v>
      </c>
      <c r="AB371" s="292">
        <f t="shared" si="133"/>
        <v>0</v>
      </c>
      <c r="AC371" s="292">
        <f t="shared" si="134"/>
        <v>0</v>
      </c>
      <c r="AD371" s="292">
        <f t="shared" si="135"/>
        <v>0</v>
      </c>
      <c r="AE371" s="292">
        <f t="shared" si="136"/>
        <v>0</v>
      </c>
      <c r="AF371" s="292">
        <f t="shared" si="137"/>
        <v>0</v>
      </c>
      <c r="AG371" s="292">
        <f t="shared" si="138"/>
        <v>0</v>
      </c>
      <c r="AH371" s="292">
        <f t="shared" si="139"/>
        <v>0</v>
      </c>
      <c r="AI371" s="292">
        <f t="shared" si="140"/>
        <v>1975000000</v>
      </c>
      <c r="AJ371" s="292">
        <f t="shared" si="141"/>
        <v>0</v>
      </c>
      <c r="AK371" s="292">
        <f t="shared" si="142"/>
        <v>0</v>
      </c>
      <c r="AL371" s="292">
        <f t="shared" si="167"/>
        <v>0</v>
      </c>
      <c r="AM371" s="292">
        <f t="shared" si="168"/>
        <v>0</v>
      </c>
      <c r="AN371" s="292">
        <f t="shared" si="143"/>
        <v>0</v>
      </c>
      <c r="AO371" s="292">
        <f t="shared" si="144"/>
        <v>0</v>
      </c>
      <c r="AP371" s="292">
        <f t="shared" si="145"/>
        <v>0</v>
      </c>
      <c r="AQ371" s="292">
        <f t="shared" si="146"/>
        <v>0</v>
      </c>
      <c r="AR371" s="292">
        <f t="shared" si="147"/>
        <v>0</v>
      </c>
      <c r="AS371" s="292">
        <f t="shared" si="148"/>
        <v>0</v>
      </c>
      <c r="AT371" s="292">
        <f t="shared" si="149"/>
        <v>0</v>
      </c>
      <c r="AU371" s="292">
        <f t="shared" si="150"/>
        <v>0</v>
      </c>
      <c r="AV371" s="292">
        <f t="shared" si="151"/>
        <v>0</v>
      </c>
      <c r="AW371" s="292">
        <f t="shared" si="152"/>
        <v>0</v>
      </c>
      <c r="AX371" s="292">
        <f t="shared" si="153"/>
        <v>0</v>
      </c>
      <c r="AY371" s="292">
        <f t="shared" si="154"/>
        <v>0</v>
      </c>
      <c r="AZ371" s="292">
        <f t="shared" si="155"/>
        <v>0</v>
      </c>
      <c r="BA371" s="292">
        <f t="shared" si="156"/>
        <v>0</v>
      </c>
      <c r="BB371" s="292">
        <f t="shared" si="157"/>
        <v>0</v>
      </c>
      <c r="BC371" s="292">
        <f t="shared" si="158"/>
        <v>0</v>
      </c>
      <c r="BD371" s="292">
        <f t="shared" si="159"/>
        <v>0</v>
      </c>
      <c r="BE371" s="292">
        <f t="shared" si="160"/>
        <v>0</v>
      </c>
      <c r="BF371" s="292">
        <f t="shared" si="161"/>
        <v>0</v>
      </c>
      <c r="BG371" s="292">
        <f t="shared" si="162"/>
        <v>0</v>
      </c>
    </row>
    <row r="372" spans="1:59" s="289" customFormat="1" ht="15" customHeight="1">
      <c r="A372" s="63">
        <f t="array" ref="A372">IF(C372&lt;&gt;0,SUM(($C$11:C372&lt;&gt;0)*1),"")</f>
        <v>362</v>
      </c>
      <c r="B372" s="1099">
        <v>42538</v>
      </c>
      <c r="C372" s="290" t="s">
        <v>8</v>
      </c>
      <c r="D372" s="1099">
        <v>42538</v>
      </c>
      <c r="E372" s="344" t="s">
        <v>961</v>
      </c>
      <c r="F372" s="345">
        <v>1962840000</v>
      </c>
      <c r="G372" s="346" t="s">
        <v>441</v>
      </c>
      <c r="H372" s="346" t="s">
        <v>453</v>
      </c>
      <c r="I372" s="63">
        <f t="shared" si="175"/>
        <v>362</v>
      </c>
      <c r="J372" s="292">
        <f t="shared" si="125"/>
        <v>0</v>
      </c>
      <c r="K372" s="292">
        <f t="shared" si="126"/>
        <v>0</v>
      </c>
      <c r="L372" s="292">
        <f t="shared" si="127"/>
        <v>0</v>
      </c>
      <c r="M372" s="292">
        <f t="shared" si="128"/>
        <v>0</v>
      </c>
      <c r="N372" s="292">
        <f t="shared" si="163"/>
        <v>0</v>
      </c>
      <c r="O372" s="292">
        <f t="shared" si="164"/>
        <v>1962840000</v>
      </c>
      <c r="P372" s="292">
        <f t="shared" si="129"/>
        <v>0</v>
      </c>
      <c r="Q372" s="292">
        <f t="shared" si="130"/>
        <v>0</v>
      </c>
      <c r="R372" s="292">
        <f t="shared" si="169"/>
        <v>0</v>
      </c>
      <c r="S372" s="292">
        <f t="shared" si="170"/>
        <v>0</v>
      </c>
      <c r="T372" s="292">
        <f t="shared" si="131"/>
        <v>0</v>
      </c>
      <c r="U372" s="292">
        <f t="shared" si="132"/>
        <v>0</v>
      </c>
      <c r="V372" s="292">
        <f t="shared" si="171"/>
        <v>0</v>
      </c>
      <c r="W372" s="292">
        <f t="shared" si="172"/>
        <v>0</v>
      </c>
      <c r="X372" s="292">
        <f t="shared" si="173"/>
        <v>0</v>
      </c>
      <c r="Y372" s="292">
        <f t="shared" si="174"/>
        <v>0</v>
      </c>
      <c r="Z372" s="292">
        <f t="shared" si="165"/>
        <v>0</v>
      </c>
      <c r="AA372" s="292">
        <f t="shared" si="166"/>
        <v>0</v>
      </c>
      <c r="AB372" s="292">
        <f t="shared" si="133"/>
        <v>0</v>
      </c>
      <c r="AC372" s="292">
        <f t="shared" si="134"/>
        <v>0</v>
      </c>
      <c r="AD372" s="292">
        <f t="shared" si="135"/>
        <v>0</v>
      </c>
      <c r="AE372" s="292">
        <f t="shared" si="136"/>
        <v>0</v>
      </c>
      <c r="AF372" s="292">
        <f t="shared" si="137"/>
        <v>0</v>
      </c>
      <c r="AG372" s="292">
        <f t="shared" si="138"/>
        <v>0</v>
      </c>
      <c r="AH372" s="292">
        <f t="shared" si="139"/>
        <v>0</v>
      </c>
      <c r="AI372" s="292">
        <f t="shared" si="140"/>
        <v>0</v>
      </c>
      <c r="AJ372" s="292">
        <f t="shared" si="141"/>
        <v>0</v>
      </c>
      <c r="AK372" s="292">
        <f t="shared" si="142"/>
        <v>0</v>
      </c>
      <c r="AL372" s="292">
        <f t="shared" si="167"/>
        <v>1962840000</v>
      </c>
      <c r="AM372" s="292">
        <f t="shared" si="168"/>
        <v>0</v>
      </c>
      <c r="AN372" s="292">
        <f t="shared" si="143"/>
        <v>0</v>
      </c>
      <c r="AO372" s="292">
        <f t="shared" si="144"/>
        <v>0</v>
      </c>
      <c r="AP372" s="292">
        <f t="shared" si="145"/>
        <v>0</v>
      </c>
      <c r="AQ372" s="292">
        <f t="shared" si="146"/>
        <v>0</v>
      </c>
      <c r="AR372" s="292">
        <f t="shared" si="147"/>
        <v>0</v>
      </c>
      <c r="AS372" s="292">
        <f t="shared" si="148"/>
        <v>0</v>
      </c>
      <c r="AT372" s="292">
        <f t="shared" si="149"/>
        <v>0</v>
      </c>
      <c r="AU372" s="292">
        <f t="shared" si="150"/>
        <v>0</v>
      </c>
      <c r="AV372" s="292">
        <f t="shared" si="151"/>
        <v>0</v>
      </c>
      <c r="AW372" s="292">
        <f t="shared" si="152"/>
        <v>0</v>
      </c>
      <c r="AX372" s="292">
        <f t="shared" si="153"/>
        <v>0</v>
      </c>
      <c r="AY372" s="292">
        <f t="shared" si="154"/>
        <v>0</v>
      </c>
      <c r="AZ372" s="292">
        <f t="shared" si="155"/>
        <v>0</v>
      </c>
      <c r="BA372" s="292">
        <f t="shared" si="156"/>
        <v>0</v>
      </c>
      <c r="BB372" s="292">
        <f t="shared" si="157"/>
        <v>0</v>
      </c>
      <c r="BC372" s="292">
        <f t="shared" si="158"/>
        <v>0</v>
      </c>
      <c r="BD372" s="292">
        <f t="shared" si="159"/>
        <v>0</v>
      </c>
      <c r="BE372" s="292">
        <f t="shared" si="160"/>
        <v>0</v>
      </c>
      <c r="BF372" s="292">
        <f t="shared" si="161"/>
        <v>0</v>
      </c>
      <c r="BG372" s="292">
        <f t="shared" si="162"/>
        <v>0</v>
      </c>
    </row>
    <row r="373" spans="1:59" s="289" customFormat="1" ht="15" customHeight="1">
      <c r="A373" s="63">
        <f t="array" ref="A373">IF(C373&lt;&gt;0,SUM(($C$11:C373&lt;&gt;0)*1),"")</f>
        <v>363</v>
      </c>
      <c r="B373" s="1099">
        <v>42538</v>
      </c>
      <c r="C373" s="290" t="s">
        <v>8</v>
      </c>
      <c r="D373" s="1099">
        <v>42538</v>
      </c>
      <c r="E373" s="344" t="s">
        <v>966</v>
      </c>
      <c r="F373" s="345">
        <v>7210682</v>
      </c>
      <c r="G373" s="346" t="s">
        <v>133</v>
      </c>
      <c r="H373" s="346" t="s">
        <v>31</v>
      </c>
      <c r="I373" s="63">
        <f t="shared" si="175"/>
        <v>363</v>
      </c>
      <c r="J373" s="292">
        <f t="shared" si="125"/>
        <v>0</v>
      </c>
      <c r="K373" s="292">
        <f t="shared" si="126"/>
        <v>0</v>
      </c>
      <c r="L373" s="292">
        <f t="shared" si="127"/>
        <v>0</v>
      </c>
      <c r="M373" s="292">
        <f t="shared" si="128"/>
        <v>7210682</v>
      </c>
      <c r="N373" s="292">
        <f t="shared" si="163"/>
        <v>0</v>
      </c>
      <c r="O373" s="292">
        <f t="shared" si="164"/>
        <v>0</v>
      </c>
      <c r="P373" s="292">
        <f t="shared" si="129"/>
        <v>0</v>
      </c>
      <c r="Q373" s="292">
        <f t="shared" si="130"/>
        <v>0</v>
      </c>
      <c r="R373" s="292">
        <f t="shared" si="169"/>
        <v>0</v>
      </c>
      <c r="S373" s="292">
        <f t="shared" si="170"/>
        <v>0</v>
      </c>
      <c r="T373" s="292">
        <f t="shared" si="131"/>
        <v>0</v>
      </c>
      <c r="U373" s="292">
        <f t="shared" si="132"/>
        <v>0</v>
      </c>
      <c r="V373" s="292">
        <f t="shared" si="171"/>
        <v>0</v>
      </c>
      <c r="W373" s="292">
        <f t="shared" si="172"/>
        <v>0</v>
      </c>
      <c r="X373" s="292">
        <f t="shared" si="173"/>
        <v>0</v>
      </c>
      <c r="Y373" s="292">
        <f t="shared" si="174"/>
        <v>0</v>
      </c>
      <c r="Z373" s="292">
        <f t="shared" si="165"/>
        <v>0</v>
      </c>
      <c r="AA373" s="292">
        <f t="shared" si="166"/>
        <v>0</v>
      </c>
      <c r="AB373" s="292">
        <f t="shared" si="133"/>
        <v>0</v>
      </c>
      <c r="AC373" s="292">
        <f t="shared" si="134"/>
        <v>0</v>
      </c>
      <c r="AD373" s="292">
        <f t="shared" si="135"/>
        <v>0</v>
      </c>
      <c r="AE373" s="292">
        <f t="shared" si="136"/>
        <v>0</v>
      </c>
      <c r="AF373" s="292">
        <f t="shared" si="137"/>
        <v>0</v>
      </c>
      <c r="AG373" s="292">
        <f t="shared" si="138"/>
        <v>0</v>
      </c>
      <c r="AH373" s="292">
        <f t="shared" si="139"/>
        <v>0</v>
      </c>
      <c r="AI373" s="292">
        <f t="shared" si="140"/>
        <v>0</v>
      </c>
      <c r="AJ373" s="292">
        <f t="shared" si="141"/>
        <v>0</v>
      </c>
      <c r="AK373" s="292">
        <f t="shared" si="142"/>
        <v>0</v>
      </c>
      <c r="AL373" s="292">
        <f t="shared" si="167"/>
        <v>0</v>
      </c>
      <c r="AM373" s="292">
        <f t="shared" si="168"/>
        <v>0</v>
      </c>
      <c r="AN373" s="292">
        <f t="shared" si="143"/>
        <v>0</v>
      </c>
      <c r="AO373" s="292">
        <f t="shared" si="144"/>
        <v>0</v>
      </c>
      <c r="AP373" s="292">
        <f t="shared" si="145"/>
        <v>0</v>
      </c>
      <c r="AQ373" s="292">
        <f t="shared" si="146"/>
        <v>0</v>
      </c>
      <c r="AR373" s="292">
        <f t="shared" si="147"/>
        <v>0</v>
      </c>
      <c r="AS373" s="292">
        <f t="shared" si="148"/>
        <v>0</v>
      </c>
      <c r="AT373" s="292">
        <f t="shared" si="149"/>
        <v>0</v>
      </c>
      <c r="AU373" s="292">
        <f t="shared" si="150"/>
        <v>0</v>
      </c>
      <c r="AV373" s="292">
        <f t="shared" si="151"/>
        <v>7210682</v>
      </c>
      <c r="AW373" s="292">
        <f t="shared" si="152"/>
        <v>0</v>
      </c>
      <c r="AX373" s="292">
        <f t="shared" si="153"/>
        <v>0</v>
      </c>
      <c r="AY373" s="292">
        <f t="shared" si="154"/>
        <v>0</v>
      </c>
      <c r="AZ373" s="292">
        <f t="shared" si="155"/>
        <v>0</v>
      </c>
      <c r="BA373" s="292">
        <f t="shared" si="156"/>
        <v>0</v>
      </c>
      <c r="BB373" s="292">
        <f t="shared" si="157"/>
        <v>0</v>
      </c>
      <c r="BC373" s="292">
        <f t="shared" si="158"/>
        <v>0</v>
      </c>
      <c r="BD373" s="292">
        <f t="shared" si="159"/>
        <v>0</v>
      </c>
      <c r="BE373" s="292">
        <f t="shared" si="160"/>
        <v>0</v>
      </c>
      <c r="BF373" s="292">
        <f t="shared" si="161"/>
        <v>0</v>
      </c>
      <c r="BG373" s="292">
        <f t="shared" si="162"/>
        <v>0</v>
      </c>
    </row>
    <row r="374" spans="1:59" s="289" customFormat="1" ht="15" customHeight="1">
      <c r="A374" s="63">
        <f t="array" ref="A374">IF(C374&lt;&gt;0,SUM(($C$11:C374&lt;&gt;0)*1),"")</f>
        <v>364</v>
      </c>
      <c r="B374" s="1099">
        <v>42542</v>
      </c>
      <c r="C374" s="290" t="s">
        <v>809</v>
      </c>
      <c r="D374" s="1099">
        <v>42542</v>
      </c>
      <c r="E374" s="344" t="s">
        <v>410</v>
      </c>
      <c r="F374" s="345">
        <v>100000000</v>
      </c>
      <c r="G374" s="346" t="s">
        <v>31</v>
      </c>
      <c r="H374" s="346" t="s">
        <v>97</v>
      </c>
      <c r="I374" s="63">
        <f t="shared" si="175"/>
        <v>364</v>
      </c>
      <c r="J374" s="292">
        <f t="shared" si="125"/>
        <v>0</v>
      </c>
      <c r="K374" s="292">
        <f t="shared" si="126"/>
        <v>100000000</v>
      </c>
      <c r="L374" s="292">
        <f t="shared" si="127"/>
        <v>100000000</v>
      </c>
      <c r="M374" s="292">
        <f t="shared" si="128"/>
        <v>0</v>
      </c>
      <c r="N374" s="292">
        <f t="shared" si="163"/>
        <v>0</v>
      </c>
      <c r="O374" s="292">
        <f t="shared" si="164"/>
        <v>0</v>
      </c>
      <c r="P374" s="292">
        <f t="shared" si="129"/>
        <v>0</v>
      </c>
      <c r="Q374" s="292">
        <f t="shared" si="130"/>
        <v>0</v>
      </c>
      <c r="R374" s="292">
        <f t="shared" si="169"/>
        <v>0</v>
      </c>
      <c r="S374" s="292">
        <f t="shared" si="170"/>
        <v>0</v>
      </c>
      <c r="T374" s="292">
        <f t="shared" si="131"/>
        <v>0</v>
      </c>
      <c r="U374" s="292">
        <f t="shared" si="132"/>
        <v>0</v>
      </c>
      <c r="V374" s="292">
        <f t="shared" si="171"/>
        <v>0</v>
      </c>
      <c r="W374" s="292">
        <f t="shared" si="172"/>
        <v>0</v>
      </c>
      <c r="X374" s="292">
        <f t="shared" si="173"/>
        <v>0</v>
      </c>
      <c r="Y374" s="292">
        <f t="shared" si="174"/>
        <v>0</v>
      </c>
      <c r="Z374" s="292">
        <f t="shared" si="165"/>
        <v>0</v>
      </c>
      <c r="AA374" s="292">
        <f t="shared" si="166"/>
        <v>0</v>
      </c>
      <c r="AB374" s="292">
        <f t="shared" si="133"/>
        <v>0</v>
      </c>
      <c r="AC374" s="292">
        <f t="shared" si="134"/>
        <v>0</v>
      </c>
      <c r="AD374" s="292">
        <f t="shared" si="135"/>
        <v>0</v>
      </c>
      <c r="AE374" s="292">
        <f t="shared" si="136"/>
        <v>0</v>
      </c>
      <c r="AF374" s="292">
        <f t="shared" si="137"/>
        <v>0</v>
      </c>
      <c r="AG374" s="292">
        <f t="shared" si="138"/>
        <v>0</v>
      </c>
      <c r="AH374" s="292">
        <f t="shared" si="139"/>
        <v>0</v>
      </c>
      <c r="AI374" s="292">
        <f t="shared" si="140"/>
        <v>0</v>
      </c>
      <c r="AJ374" s="292">
        <f t="shared" si="141"/>
        <v>0</v>
      </c>
      <c r="AK374" s="292">
        <f t="shared" si="142"/>
        <v>0</v>
      </c>
      <c r="AL374" s="292">
        <f t="shared" si="167"/>
        <v>0</v>
      </c>
      <c r="AM374" s="292">
        <f t="shared" si="168"/>
        <v>0</v>
      </c>
      <c r="AN374" s="292">
        <f t="shared" si="143"/>
        <v>0</v>
      </c>
      <c r="AO374" s="292">
        <f t="shared" si="144"/>
        <v>0</v>
      </c>
      <c r="AP374" s="292">
        <f t="shared" si="145"/>
        <v>0</v>
      </c>
      <c r="AQ374" s="292">
        <f t="shared" si="146"/>
        <v>0</v>
      </c>
      <c r="AR374" s="292">
        <f t="shared" si="147"/>
        <v>0</v>
      </c>
      <c r="AS374" s="292">
        <f t="shared" si="148"/>
        <v>0</v>
      </c>
      <c r="AT374" s="292">
        <f t="shared" si="149"/>
        <v>0</v>
      </c>
      <c r="AU374" s="292">
        <f t="shared" si="150"/>
        <v>0</v>
      </c>
      <c r="AV374" s="292">
        <f t="shared" si="151"/>
        <v>0</v>
      </c>
      <c r="AW374" s="292">
        <f t="shared" si="152"/>
        <v>0</v>
      </c>
      <c r="AX374" s="292">
        <f t="shared" si="153"/>
        <v>0</v>
      </c>
      <c r="AY374" s="292">
        <f t="shared" si="154"/>
        <v>0</v>
      </c>
      <c r="AZ374" s="292">
        <f t="shared" si="155"/>
        <v>0</v>
      </c>
      <c r="BA374" s="292">
        <f t="shared" si="156"/>
        <v>0</v>
      </c>
      <c r="BB374" s="292">
        <f t="shared" si="157"/>
        <v>0</v>
      </c>
      <c r="BC374" s="292">
        <f t="shared" si="158"/>
        <v>0</v>
      </c>
      <c r="BD374" s="292">
        <f t="shared" si="159"/>
        <v>0</v>
      </c>
      <c r="BE374" s="292">
        <f t="shared" si="160"/>
        <v>0</v>
      </c>
      <c r="BF374" s="292">
        <f t="shared" si="161"/>
        <v>0</v>
      </c>
      <c r="BG374" s="292">
        <f t="shared" si="162"/>
        <v>0</v>
      </c>
    </row>
    <row r="375" spans="1:59" s="289" customFormat="1" ht="15" customHeight="1">
      <c r="A375" s="63">
        <f t="array" ref="A375">IF(C375&lt;&gt;0,SUM(($C$11:C375&lt;&gt;0)*1),"")</f>
        <v>365</v>
      </c>
      <c r="B375" s="1099">
        <v>42542</v>
      </c>
      <c r="C375" s="290" t="s">
        <v>809</v>
      </c>
      <c r="D375" s="1099">
        <v>42542</v>
      </c>
      <c r="E375" s="344" t="s">
        <v>410</v>
      </c>
      <c r="F375" s="345">
        <v>70000000</v>
      </c>
      <c r="G375" s="346" t="s">
        <v>31</v>
      </c>
      <c r="H375" s="346" t="s">
        <v>97</v>
      </c>
      <c r="I375" s="63">
        <f t="shared" si="175"/>
        <v>365</v>
      </c>
      <c r="J375" s="292">
        <f t="shared" si="125"/>
        <v>0</v>
      </c>
      <c r="K375" s="292">
        <f t="shared" si="126"/>
        <v>70000000</v>
      </c>
      <c r="L375" s="292">
        <f t="shared" si="127"/>
        <v>70000000</v>
      </c>
      <c r="M375" s="292">
        <f t="shared" si="128"/>
        <v>0</v>
      </c>
      <c r="N375" s="292">
        <f t="shared" si="163"/>
        <v>0</v>
      </c>
      <c r="O375" s="292">
        <f t="shared" si="164"/>
        <v>0</v>
      </c>
      <c r="P375" s="292">
        <f t="shared" si="129"/>
        <v>0</v>
      </c>
      <c r="Q375" s="292">
        <f t="shared" si="130"/>
        <v>0</v>
      </c>
      <c r="R375" s="292">
        <f t="shared" si="169"/>
        <v>0</v>
      </c>
      <c r="S375" s="292">
        <f t="shared" si="170"/>
        <v>0</v>
      </c>
      <c r="T375" s="292">
        <f t="shared" si="131"/>
        <v>0</v>
      </c>
      <c r="U375" s="292">
        <f t="shared" si="132"/>
        <v>0</v>
      </c>
      <c r="V375" s="292">
        <f t="shared" si="171"/>
        <v>0</v>
      </c>
      <c r="W375" s="292">
        <f t="shared" si="172"/>
        <v>0</v>
      </c>
      <c r="X375" s="292">
        <f t="shared" si="173"/>
        <v>0</v>
      </c>
      <c r="Y375" s="292">
        <f t="shared" si="174"/>
        <v>0</v>
      </c>
      <c r="Z375" s="292">
        <f t="shared" si="165"/>
        <v>0</v>
      </c>
      <c r="AA375" s="292">
        <f t="shared" si="166"/>
        <v>0</v>
      </c>
      <c r="AB375" s="292">
        <f t="shared" si="133"/>
        <v>0</v>
      </c>
      <c r="AC375" s="292">
        <f t="shared" si="134"/>
        <v>0</v>
      </c>
      <c r="AD375" s="292">
        <f t="shared" si="135"/>
        <v>0</v>
      </c>
      <c r="AE375" s="292">
        <f t="shared" si="136"/>
        <v>0</v>
      </c>
      <c r="AF375" s="292">
        <f t="shared" si="137"/>
        <v>0</v>
      </c>
      <c r="AG375" s="292">
        <f t="shared" si="138"/>
        <v>0</v>
      </c>
      <c r="AH375" s="292">
        <f t="shared" si="139"/>
        <v>0</v>
      </c>
      <c r="AI375" s="292">
        <f t="shared" si="140"/>
        <v>0</v>
      </c>
      <c r="AJ375" s="292">
        <f t="shared" si="141"/>
        <v>0</v>
      </c>
      <c r="AK375" s="292">
        <f t="shared" si="142"/>
        <v>0</v>
      </c>
      <c r="AL375" s="292">
        <f t="shared" si="167"/>
        <v>0</v>
      </c>
      <c r="AM375" s="292">
        <f t="shared" si="168"/>
        <v>0</v>
      </c>
      <c r="AN375" s="292">
        <f t="shared" si="143"/>
        <v>0</v>
      </c>
      <c r="AO375" s="292">
        <f t="shared" si="144"/>
        <v>0</v>
      </c>
      <c r="AP375" s="292">
        <f t="shared" si="145"/>
        <v>0</v>
      </c>
      <c r="AQ375" s="292">
        <f t="shared" si="146"/>
        <v>0</v>
      </c>
      <c r="AR375" s="292">
        <f t="shared" si="147"/>
        <v>0</v>
      </c>
      <c r="AS375" s="292">
        <f t="shared" si="148"/>
        <v>0</v>
      </c>
      <c r="AT375" s="292">
        <f t="shared" si="149"/>
        <v>0</v>
      </c>
      <c r="AU375" s="292">
        <f t="shared" si="150"/>
        <v>0</v>
      </c>
      <c r="AV375" s="292">
        <f t="shared" si="151"/>
        <v>0</v>
      </c>
      <c r="AW375" s="292">
        <f t="shared" si="152"/>
        <v>0</v>
      </c>
      <c r="AX375" s="292">
        <f t="shared" si="153"/>
        <v>0</v>
      </c>
      <c r="AY375" s="292">
        <f t="shared" si="154"/>
        <v>0</v>
      </c>
      <c r="AZ375" s="292">
        <f t="shared" si="155"/>
        <v>0</v>
      </c>
      <c r="BA375" s="292">
        <f t="shared" si="156"/>
        <v>0</v>
      </c>
      <c r="BB375" s="292">
        <f t="shared" si="157"/>
        <v>0</v>
      </c>
      <c r="BC375" s="292">
        <f t="shared" si="158"/>
        <v>0</v>
      </c>
      <c r="BD375" s="292">
        <f t="shared" si="159"/>
        <v>0</v>
      </c>
      <c r="BE375" s="292">
        <f t="shared" si="160"/>
        <v>0</v>
      </c>
      <c r="BF375" s="292">
        <f t="shared" si="161"/>
        <v>0</v>
      </c>
      <c r="BG375" s="292">
        <f t="shared" si="162"/>
        <v>0</v>
      </c>
    </row>
    <row r="376" spans="1:59" s="289" customFormat="1" ht="15" customHeight="1">
      <c r="A376" s="63">
        <f t="array" ref="A376">IF(C376&lt;&gt;0,SUM(($C$11:C376&lt;&gt;0)*1),"")</f>
        <v>366</v>
      </c>
      <c r="B376" s="1099">
        <v>42542</v>
      </c>
      <c r="C376" s="290" t="s">
        <v>8</v>
      </c>
      <c r="D376" s="1099">
        <v>42542</v>
      </c>
      <c r="E376" s="344" t="s">
        <v>405</v>
      </c>
      <c r="F376" s="345">
        <v>8187032</v>
      </c>
      <c r="G376" s="346" t="s">
        <v>133</v>
      </c>
      <c r="H376" s="346" t="s">
        <v>31</v>
      </c>
      <c r="I376" s="63">
        <f t="shared" si="175"/>
        <v>366</v>
      </c>
      <c r="J376" s="292">
        <f t="shared" si="125"/>
        <v>0</v>
      </c>
      <c r="K376" s="292">
        <f t="shared" si="126"/>
        <v>0</v>
      </c>
      <c r="L376" s="292">
        <f t="shared" si="127"/>
        <v>0</v>
      </c>
      <c r="M376" s="292">
        <f t="shared" si="128"/>
        <v>8187032</v>
      </c>
      <c r="N376" s="292">
        <f t="shared" si="163"/>
        <v>0</v>
      </c>
      <c r="O376" s="292">
        <f t="shared" si="164"/>
        <v>0</v>
      </c>
      <c r="P376" s="292">
        <f t="shared" si="129"/>
        <v>0</v>
      </c>
      <c r="Q376" s="292">
        <f t="shared" si="130"/>
        <v>0</v>
      </c>
      <c r="R376" s="292">
        <f t="shared" si="169"/>
        <v>0</v>
      </c>
      <c r="S376" s="292">
        <f t="shared" si="170"/>
        <v>0</v>
      </c>
      <c r="T376" s="292">
        <f t="shared" si="131"/>
        <v>0</v>
      </c>
      <c r="U376" s="292">
        <f t="shared" si="132"/>
        <v>0</v>
      </c>
      <c r="V376" s="292">
        <f t="shared" si="171"/>
        <v>0</v>
      </c>
      <c r="W376" s="292">
        <f t="shared" si="172"/>
        <v>0</v>
      </c>
      <c r="X376" s="292">
        <f t="shared" si="173"/>
        <v>0</v>
      </c>
      <c r="Y376" s="292">
        <f t="shared" si="174"/>
        <v>0</v>
      </c>
      <c r="Z376" s="292">
        <f t="shared" si="165"/>
        <v>0</v>
      </c>
      <c r="AA376" s="292">
        <f t="shared" si="166"/>
        <v>0</v>
      </c>
      <c r="AB376" s="292">
        <f t="shared" si="133"/>
        <v>0</v>
      </c>
      <c r="AC376" s="292">
        <f t="shared" si="134"/>
        <v>0</v>
      </c>
      <c r="AD376" s="292">
        <f t="shared" si="135"/>
        <v>0</v>
      </c>
      <c r="AE376" s="292">
        <f t="shared" si="136"/>
        <v>0</v>
      </c>
      <c r="AF376" s="292">
        <f t="shared" si="137"/>
        <v>0</v>
      </c>
      <c r="AG376" s="292">
        <f t="shared" si="138"/>
        <v>0</v>
      </c>
      <c r="AH376" s="292">
        <f t="shared" si="139"/>
        <v>0</v>
      </c>
      <c r="AI376" s="292">
        <f t="shared" si="140"/>
        <v>0</v>
      </c>
      <c r="AJ376" s="292">
        <f t="shared" si="141"/>
        <v>0</v>
      </c>
      <c r="AK376" s="292">
        <f t="shared" si="142"/>
        <v>0</v>
      </c>
      <c r="AL376" s="292">
        <f t="shared" si="167"/>
        <v>0</v>
      </c>
      <c r="AM376" s="292">
        <f t="shared" si="168"/>
        <v>0</v>
      </c>
      <c r="AN376" s="292">
        <f t="shared" si="143"/>
        <v>0</v>
      </c>
      <c r="AO376" s="292">
        <f t="shared" si="144"/>
        <v>0</v>
      </c>
      <c r="AP376" s="292">
        <f t="shared" si="145"/>
        <v>0</v>
      </c>
      <c r="AQ376" s="292">
        <f t="shared" si="146"/>
        <v>0</v>
      </c>
      <c r="AR376" s="292">
        <f t="shared" si="147"/>
        <v>0</v>
      </c>
      <c r="AS376" s="292">
        <f t="shared" si="148"/>
        <v>0</v>
      </c>
      <c r="AT376" s="292">
        <f t="shared" si="149"/>
        <v>0</v>
      </c>
      <c r="AU376" s="292">
        <f t="shared" si="150"/>
        <v>0</v>
      </c>
      <c r="AV376" s="292">
        <f t="shared" si="151"/>
        <v>8187032</v>
      </c>
      <c r="AW376" s="292">
        <f t="shared" si="152"/>
        <v>0</v>
      </c>
      <c r="AX376" s="292">
        <f t="shared" si="153"/>
        <v>0</v>
      </c>
      <c r="AY376" s="292">
        <f t="shared" si="154"/>
        <v>0</v>
      </c>
      <c r="AZ376" s="292">
        <f t="shared" si="155"/>
        <v>0</v>
      </c>
      <c r="BA376" s="292">
        <f t="shared" si="156"/>
        <v>0</v>
      </c>
      <c r="BB376" s="292">
        <f t="shared" si="157"/>
        <v>0</v>
      </c>
      <c r="BC376" s="292">
        <f t="shared" si="158"/>
        <v>0</v>
      </c>
      <c r="BD376" s="292">
        <f t="shared" si="159"/>
        <v>0</v>
      </c>
      <c r="BE376" s="292">
        <f t="shared" si="160"/>
        <v>0</v>
      </c>
      <c r="BF376" s="292">
        <f t="shared" si="161"/>
        <v>0</v>
      </c>
      <c r="BG376" s="292">
        <f t="shared" si="162"/>
        <v>0</v>
      </c>
    </row>
    <row r="377" spans="1:59" s="289" customFormat="1" ht="15" customHeight="1">
      <c r="A377" s="63">
        <f t="array" ref="A377">IF(C377&lt;&gt;0,SUM(($C$11:C377&lt;&gt;0)*1),"")</f>
        <v>367</v>
      </c>
      <c r="B377" s="1099">
        <v>42542</v>
      </c>
      <c r="C377" s="290" t="s">
        <v>8</v>
      </c>
      <c r="D377" s="1099">
        <v>42542</v>
      </c>
      <c r="E377" s="344" t="s">
        <v>405</v>
      </c>
      <c r="F377" s="345">
        <v>16374064</v>
      </c>
      <c r="G377" s="346" t="s">
        <v>133</v>
      </c>
      <c r="H377" s="346" t="s">
        <v>31</v>
      </c>
      <c r="I377" s="63">
        <f t="shared" si="175"/>
        <v>367</v>
      </c>
      <c r="J377" s="292">
        <f t="shared" si="125"/>
        <v>0</v>
      </c>
      <c r="K377" s="292">
        <f t="shared" si="126"/>
        <v>0</v>
      </c>
      <c r="L377" s="292">
        <f t="shared" si="127"/>
        <v>0</v>
      </c>
      <c r="M377" s="292">
        <f t="shared" si="128"/>
        <v>16374064</v>
      </c>
      <c r="N377" s="292">
        <f t="shared" si="163"/>
        <v>0</v>
      </c>
      <c r="O377" s="292">
        <f t="shared" si="164"/>
        <v>0</v>
      </c>
      <c r="P377" s="292">
        <f t="shared" si="129"/>
        <v>0</v>
      </c>
      <c r="Q377" s="292">
        <f t="shared" si="130"/>
        <v>0</v>
      </c>
      <c r="R377" s="292">
        <f t="shared" si="169"/>
        <v>0</v>
      </c>
      <c r="S377" s="292">
        <f t="shared" si="170"/>
        <v>0</v>
      </c>
      <c r="T377" s="292">
        <f t="shared" si="131"/>
        <v>0</v>
      </c>
      <c r="U377" s="292">
        <f t="shared" si="132"/>
        <v>0</v>
      </c>
      <c r="V377" s="292">
        <f t="shared" si="171"/>
        <v>0</v>
      </c>
      <c r="W377" s="292">
        <f t="shared" si="172"/>
        <v>0</v>
      </c>
      <c r="X377" s="292">
        <f t="shared" si="173"/>
        <v>0</v>
      </c>
      <c r="Y377" s="292">
        <f t="shared" si="174"/>
        <v>0</v>
      </c>
      <c r="Z377" s="292">
        <f t="shared" si="165"/>
        <v>0</v>
      </c>
      <c r="AA377" s="292">
        <f t="shared" si="166"/>
        <v>0</v>
      </c>
      <c r="AB377" s="292">
        <f t="shared" si="133"/>
        <v>0</v>
      </c>
      <c r="AC377" s="292">
        <f t="shared" si="134"/>
        <v>0</v>
      </c>
      <c r="AD377" s="292">
        <f t="shared" si="135"/>
        <v>0</v>
      </c>
      <c r="AE377" s="292">
        <f t="shared" si="136"/>
        <v>0</v>
      </c>
      <c r="AF377" s="292">
        <f t="shared" si="137"/>
        <v>0</v>
      </c>
      <c r="AG377" s="292">
        <f t="shared" si="138"/>
        <v>0</v>
      </c>
      <c r="AH377" s="292">
        <f t="shared" si="139"/>
        <v>0</v>
      </c>
      <c r="AI377" s="292">
        <f t="shared" si="140"/>
        <v>0</v>
      </c>
      <c r="AJ377" s="292">
        <f t="shared" si="141"/>
        <v>0</v>
      </c>
      <c r="AK377" s="292">
        <f t="shared" si="142"/>
        <v>0</v>
      </c>
      <c r="AL377" s="292">
        <f t="shared" si="167"/>
        <v>0</v>
      </c>
      <c r="AM377" s="292">
        <f t="shared" si="168"/>
        <v>0</v>
      </c>
      <c r="AN377" s="292">
        <f t="shared" si="143"/>
        <v>0</v>
      </c>
      <c r="AO377" s="292">
        <f t="shared" si="144"/>
        <v>0</v>
      </c>
      <c r="AP377" s="292">
        <f t="shared" si="145"/>
        <v>0</v>
      </c>
      <c r="AQ377" s="292">
        <f t="shared" si="146"/>
        <v>0</v>
      </c>
      <c r="AR377" s="292">
        <f t="shared" si="147"/>
        <v>0</v>
      </c>
      <c r="AS377" s="292">
        <f t="shared" si="148"/>
        <v>0</v>
      </c>
      <c r="AT377" s="292">
        <f t="shared" si="149"/>
        <v>0</v>
      </c>
      <c r="AU377" s="292">
        <f t="shared" si="150"/>
        <v>0</v>
      </c>
      <c r="AV377" s="292">
        <f t="shared" si="151"/>
        <v>16374064</v>
      </c>
      <c r="AW377" s="292">
        <f t="shared" si="152"/>
        <v>0</v>
      </c>
      <c r="AX377" s="292">
        <f t="shared" si="153"/>
        <v>0</v>
      </c>
      <c r="AY377" s="292">
        <f t="shared" si="154"/>
        <v>0</v>
      </c>
      <c r="AZ377" s="292">
        <f t="shared" si="155"/>
        <v>0</v>
      </c>
      <c r="BA377" s="292">
        <f t="shared" si="156"/>
        <v>0</v>
      </c>
      <c r="BB377" s="292">
        <f t="shared" si="157"/>
        <v>0</v>
      </c>
      <c r="BC377" s="292">
        <f t="shared" si="158"/>
        <v>0</v>
      </c>
      <c r="BD377" s="292">
        <f t="shared" si="159"/>
        <v>0</v>
      </c>
      <c r="BE377" s="292">
        <f t="shared" si="160"/>
        <v>0</v>
      </c>
      <c r="BF377" s="292">
        <f t="shared" si="161"/>
        <v>0</v>
      </c>
      <c r="BG377" s="292">
        <f t="shared" si="162"/>
        <v>0</v>
      </c>
    </row>
    <row r="378" spans="1:59" s="289" customFormat="1" ht="15" customHeight="1">
      <c r="A378" s="63">
        <f t="array" ref="A378">IF(C378&lt;&gt;0,SUM(($C$11:C378&lt;&gt;0)*1),"")</f>
        <v>368</v>
      </c>
      <c r="B378" s="1099">
        <v>42542</v>
      </c>
      <c r="C378" s="290" t="s">
        <v>8</v>
      </c>
      <c r="D378" s="1099">
        <v>42542</v>
      </c>
      <c r="E378" s="344" t="s">
        <v>405</v>
      </c>
      <c r="F378" s="345">
        <v>13099251</v>
      </c>
      <c r="G378" s="346" t="s">
        <v>133</v>
      </c>
      <c r="H378" s="346" t="s">
        <v>31</v>
      </c>
      <c r="I378" s="63">
        <f t="shared" si="175"/>
        <v>368</v>
      </c>
      <c r="J378" s="292">
        <f t="shared" si="125"/>
        <v>0</v>
      </c>
      <c r="K378" s="292">
        <f t="shared" si="126"/>
        <v>0</v>
      </c>
      <c r="L378" s="292">
        <f t="shared" si="127"/>
        <v>0</v>
      </c>
      <c r="M378" s="292">
        <f t="shared" si="128"/>
        <v>13099251</v>
      </c>
      <c r="N378" s="292">
        <f t="shared" si="163"/>
        <v>0</v>
      </c>
      <c r="O378" s="292">
        <f t="shared" si="164"/>
        <v>0</v>
      </c>
      <c r="P378" s="292">
        <f t="shared" si="129"/>
        <v>0</v>
      </c>
      <c r="Q378" s="292">
        <f t="shared" si="130"/>
        <v>0</v>
      </c>
      <c r="R378" s="292">
        <f t="shared" si="169"/>
        <v>0</v>
      </c>
      <c r="S378" s="292">
        <f t="shared" si="170"/>
        <v>0</v>
      </c>
      <c r="T378" s="292">
        <f t="shared" si="131"/>
        <v>0</v>
      </c>
      <c r="U378" s="292">
        <f t="shared" si="132"/>
        <v>0</v>
      </c>
      <c r="V378" s="292">
        <f t="shared" si="171"/>
        <v>0</v>
      </c>
      <c r="W378" s="292">
        <f t="shared" si="172"/>
        <v>0</v>
      </c>
      <c r="X378" s="292">
        <f t="shared" si="173"/>
        <v>0</v>
      </c>
      <c r="Y378" s="292">
        <f t="shared" si="174"/>
        <v>0</v>
      </c>
      <c r="Z378" s="292">
        <f t="shared" si="165"/>
        <v>0</v>
      </c>
      <c r="AA378" s="292">
        <f t="shared" si="166"/>
        <v>0</v>
      </c>
      <c r="AB378" s="292">
        <f t="shared" si="133"/>
        <v>0</v>
      </c>
      <c r="AC378" s="292">
        <f t="shared" si="134"/>
        <v>0</v>
      </c>
      <c r="AD378" s="292">
        <f t="shared" si="135"/>
        <v>0</v>
      </c>
      <c r="AE378" s="292">
        <f t="shared" si="136"/>
        <v>0</v>
      </c>
      <c r="AF378" s="292">
        <f t="shared" si="137"/>
        <v>0</v>
      </c>
      <c r="AG378" s="292">
        <f t="shared" si="138"/>
        <v>0</v>
      </c>
      <c r="AH378" s="292">
        <f t="shared" si="139"/>
        <v>0</v>
      </c>
      <c r="AI378" s="292">
        <f t="shared" si="140"/>
        <v>0</v>
      </c>
      <c r="AJ378" s="292">
        <f t="shared" si="141"/>
        <v>0</v>
      </c>
      <c r="AK378" s="292">
        <f t="shared" si="142"/>
        <v>0</v>
      </c>
      <c r="AL378" s="292">
        <f t="shared" si="167"/>
        <v>0</v>
      </c>
      <c r="AM378" s="292">
        <f t="shared" si="168"/>
        <v>0</v>
      </c>
      <c r="AN378" s="292">
        <f t="shared" si="143"/>
        <v>0</v>
      </c>
      <c r="AO378" s="292">
        <f t="shared" si="144"/>
        <v>0</v>
      </c>
      <c r="AP378" s="292">
        <f t="shared" si="145"/>
        <v>0</v>
      </c>
      <c r="AQ378" s="292">
        <f t="shared" si="146"/>
        <v>0</v>
      </c>
      <c r="AR378" s="292">
        <f t="shared" si="147"/>
        <v>0</v>
      </c>
      <c r="AS378" s="292">
        <f t="shared" si="148"/>
        <v>0</v>
      </c>
      <c r="AT378" s="292">
        <f t="shared" si="149"/>
        <v>0</v>
      </c>
      <c r="AU378" s="292">
        <f t="shared" si="150"/>
        <v>0</v>
      </c>
      <c r="AV378" s="292">
        <f t="shared" si="151"/>
        <v>13099251</v>
      </c>
      <c r="AW378" s="292">
        <f t="shared" si="152"/>
        <v>0</v>
      </c>
      <c r="AX378" s="292">
        <f t="shared" si="153"/>
        <v>0</v>
      </c>
      <c r="AY378" s="292">
        <f t="shared" si="154"/>
        <v>0</v>
      </c>
      <c r="AZ378" s="292">
        <f t="shared" si="155"/>
        <v>0</v>
      </c>
      <c r="BA378" s="292">
        <f t="shared" si="156"/>
        <v>0</v>
      </c>
      <c r="BB378" s="292">
        <f t="shared" si="157"/>
        <v>0</v>
      </c>
      <c r="BC378" s="292">
        <f t="shared" si="158"/>
        <v>0</v>
      </c>
      <c r="BD378" s="292">
        <f t="shared" si="159"/>
        <v>0</v>
      </c>
      <c r="BE378" s="292">
        <f t="shared" si="160"/>
        <v>0</v>
      </c>
      <c r="BF378" s="292">
        <f t="shared" si="161"/>
        <v>0</v>
      </c>
      <c r="BG378" s="292">
        <f t="shared" si="162"/>
        <v>0</v>
      </c>
    </row>
    <row r="379" spans="1:59" s="289" customFormat="1" ht="15" customHeight="1">
      <c r="A379" s="63">
        <f t="array" ref="A379">IF(C379&lt;&gt;0,SUM(($C$11:C379&lt;&gt;0)*1),"")</f>
        <v>369</v>
      </c>
      <c r="B379" s="1099">
        <v>42542</v>
      </c>
      <c r="C379" s="290" t="s">
        <v>8</v>
      </c>
      <c r="D379" s="1099">
        <v>42542</v>
      </c>
      <c r="E379" s="344" t="s">
        <v>405</v>
      </c>
      <c r="F379" s="345">
        <v>12280547</v>
      </c>
      <c r="G379" s="346" t="s">
        <v>133</v>
      </c>
      <c r="H379" s="346" t="s">
        <v>31</v>
      </c>
      <c r="I379" s="63">
        <f t="shared" si="175"/>
        <v>369</v>
      </c>
      <c r="J379" s="292">
        <f t="shared" si="125"/>
        <v>0</v>
      </c>
      <c r="K379" s="292">
        <f t="shared" si="126"/>
        <v>0</v>
      </c>
      <c r="L379" s="292">
        <f t="shared" si="127"/>
        <v>0</v>
      </c>
      <c r="M379" s="292">
        <f t="shared" si="128"/>
        <v>12280547</v>
      </c>
      <c r="N379" s="292">
        <f t="shared" si="163"/>
        <v>0</v>
      </c>
      <c r="O379" s="292">
        <f t="shared" si="164"/>
        <v>0</v>
      </c>
      <c r="P379" s="292">
        <f t="shared" si="129"/>
        <v>0</v>
      </c>
      <c r="Q379" s="292">
        <f t="shared" si="130"/>
        <v>0</v>
      </c>
      <c r="R379" s="292">
        <f t="shared" si="169"/>
        <v>0</v>
      </c>
      <c r="S379" s="292">
        <f t="shared" si="170"/>
        <v>0</v>
      </c>
      <c r="T379" s="292">
        <f t="shared" si="131"/>
        <v>0</v>
      </c>
      <c r="U379" s="292">
        <f t="shared" si="132"/>
        <v>0</v>
      </c>
      <c r="V379" s="292">
        <f t="shared" si="171"/>
        <v>0</v>
      </c>
      <c r="W379" s="292">
        <f t="shared" si="172"/>
        <v>0</v>
      </c>
      <c r="X379" s="292">
        <f t="shared" si="173"/>
        <v>0</v>
      </c>
      <c r="Y379" s="292">
        <f t="shared" si="174"/>
        <v>0</v>
      </c>
      <c r="Z379" s="292">
        <f t="shared" si="165"/>
        <v>0</v>
      </c>
      <c r="AA379" s="292">
        <f t="shared" si="166"/>
        <v>0</v>
      </c>
      <c r="AB379" s="292">
        <f t="shared" si="133"/>
        <v>0</v>
      </c>
      <c r="AC379" s="292">
        <f t="shared" si="134"/>
        <v>0</v>
      </c>
      <c r="AD379" s="292">
        <f t="shared" si="135"/>
        <v>0</v>
      </c>
      <c r="AE379" s="292">
        <f t="shared" si="136"/>
        <v>0</v>
      </c>
      <c r="AF379" s="292">
        <f t="shared" si="137"/>
        <v>0</v>
      </c>
      <c r="AG379" s="292">
        <f t="shared" si="138"/>
        <v>0</v>
      </c>
      <c r="AH379" s="292">
        <f t="shared" si="139"/>
        <v>0</v>
      </c>
      <c r="AI379" s="292">
        <f t="shared" si="140"/>
        <v>0</v>
      </c>
      <c r="AJ379" s="292">
        <f t="shared" si="141"/>
        <v>0</v>
      </c>
      <c r="AK379" s="292">
        <f t="shared" si="142"/>
        <v>0</v>
      </c>
      <c r="AL379" s="292">
        <f t="shared" si="167"/>
        <v>0</v>
      </c>
      <c r="AM379" s="292">
        <f t="shared" si="168"/>
        <v>0</v>
      </c>
      <c r="AN379" s="292">
        <f t="shared" si="143"/>
        <v>0</v>
      </c>
      <c r="AO379" s="292">
        <f t="shared" si="144"/>
        <v>0</v>
      </c>
      <c r="AP379" s="292">
        <f t="shared" si="145"/>
        <v>0</v>
      </c>
      <c r="AQ379" s="292">
        <f t="shared" si="146"/>
        <v>0</v>
      </c>
      <c r="AR379" s="292">
        <f t="shared" si="147"/>
        <v>0</v>
      </c>
      <c r="AS379" s="292">
        <f t="shared" si="148"/>
        <v>0</v>
      </c>
      <c r="AT379" s="292">
        <f t="shared" si="149"/>
        <v>0</v>
      </c>
      <c r="AU379" s="292">
        <f t="shared" si="150"/>
        <v>0</v>
      </c>
      <c r="AV379" s="292">
        <f t="shared" si="151"/>
        <v>12280547</v>
      </c>
      <c r="AW379" s="292">
        <f t="shared" si="152"/>
        <v>0</v>
      </c>
      <c r="AX379" s="292">
        <f t="shared" si="153"/>
        <v>0</v>
      </c>
      <c r="AY379" s="292">
        <f t="shared" si="154"/>
        <v>0</v>
      </c>
      <c r="AZ379" s="292">
        <f t="shared" si="155"/>
        <v>0</v>
      </c>
      <c r="BA379" s="292">
        <f t="shared" si="156"/>
        <v>0</v>
      </c>
      <c r="BB379" s="292">
        <f t="shared" si="157"/>
        <v>0</v>
      </c>
      <c r="BC379" s="292">
        <f t="shared" si="158"/>
        <v>0</v>
      </c>
      <c r="BD379" s="292">
        <f t="shared" si="159"/>
        <v>0</v>
      </c>
      <c r="BE379" s="292">
        <f t="shared" si="160"/>
        <v>0</v>
      </c>
      <c r="BF379" s="292">
        <f t="shared" si="161"/>
        <v>0</v>
      </c>
      <c r="BG379" s="292">
        <f t="shared" si="162"/>
        <v>0</v>
      </c>
    </row>
    <row r="380" spans="1:59" s="289" customFormat="1" ht="15" customHeight="1">
      <c r="A380" s="63">
        <f t="array" ref="A380">IF(C380&lt;&gt;0,SUM(($C$11:C380&lt;&gt;0)*1),"")</f>
        <v>370</v>
      </c>
      <c r="B380" s="1099">
        <v>42542</v>
      </c>
      <c r="C380" s="290" t="s">
        <v>8</v>
      </c>
      <c r="D380" s="1099">
        <v>42542</v>
      </c>
      <c r="E380" s="344" t="s">
        <v>405</v>
      </c>
      <c r="F380" s="345">
        <v>8187032</v>
      </c>
      <c r="G380" s="346" t="s">
        <v>133</v>
      </c>
      <c r="H380" s="346" t="s">
        <v>31</v>
      </c>
      <c r="I380" s="63">
        <f t="shared" si="175"/>
        <v>370</v>
      </c>
      <c r="J380" s="292">
        <f t="shared" si="125"/>
        <v>0</v>
      </c>
      <c r="K380" s="292">
        <f t="shared" si="126"/>
        <v>0</v>
      </c>
      <c r="L380" s="292">
        <f t="shared" si="127"/>
        <v>0</v>
      </c>
      <c r="M380" s="292">
        <f t="shared" si="128"/>
        <v>8187032</v>
      </c>
      <c r="N380" s="292">
        <f t="shared" si="163"/>
        <v>0</v>
      </c>
      <c r="O380" s="292">
        <f t="shared" si="164"/>
        <v>0</v>
      </c>
      <c r="P380" s="292">
        <f t="shared" si="129"/>
        <v>0</v>
      </c>
      <c r="Q380" s="292">
        <f t="shared" si="130"/>
        <v>0</v>
      </c>
      <c r="R380" s="292">
        <f t="shared" si="169"/>
        <v>0</v>
      </c>
      <c r="S380" s="292">
        <f t="shared" si="170"/>
        <v>0</v>
      </c>
      <c r="T380" s="292">
        <f t="shared" si="131"/>
        <v>0</v>
      </c>
      <c r="U380" s="292">
        <f t="shared" si="132"/>
        <v>0</v>
      </c>
      <c r="V380" s="292">
        <f t="shared" si="171"/>
        <v>0</v>
      </c>
      <c r="W380" s="292">
        <f t="shared" si="172"/>
        <v>0</v>
      </c>
      <c r="X380" s="292">
        <f t="shared" si="173"/>
        <v>0</v>
      </c>
      <c r="Y380" s="292">
        <f t="shared" si="174"/>
        <v>0</v>
      </c>
      <c r="Z380" s="292">
        <f t="shared" si="165"/>
        <v>0</v>
      </c>
      <c r="AA380" s="292">
        <f t="shared" si="166"/>
        <v>0</v>
      </c>
      <c r="AB380" s="292">
        <f t="shared" si="133"/>
        <v>0</v>
      </c>
      <c r="AC380" s="292">
        <f t="shared" si="134"/>
        <v>0</v>
      </c>
      <c r="AD380" s="292">
        <f t="shared" si="135"/>
        <v>0</v>
      </c>
      <c r="AE380" s="292">
        <f t="shared" si="136"/>
        <v>0</v>
      </c>
      <c r="AF380" s="292">
        <f t="shared" si="137"/>
        <v>0</v>
      </c>
      <c r="AG380" s="292">
        <f t="shared" si="138"/>
        <v>0</v>
      </c>
      <c r="AH380" s="292">
        <f t="shared" si="139"/>
        <v>0</v>
      </c>
      <c r="AI380" s="292">
        <f t="shared" si="140"/>
        <v>0</v>
      </c>
      <c r="AJ380" s="292">
        <f t="shared" si="141"/>
        <v>0</v>
      </c>
      <c r="AK380" s="292">
        <f t="shared" si="142"/>
        <v>0</v>
      </c>
      <c r="AL380" s="292">
        <f t="shared" si="167"/>
        <v>0</v>
      </c>
      <c r="AM380" s="292">
        <f t="shared" si="168"/>
        <v>0</v>
      </c>
      <c r="AN380" s="292">
        <f t="shared" si="143"/>
        <v>0</v>
      </c>
      <c r="AO380" s="292">
        <f t="shared" si="144"/>
        <v>0</v>
      </c>
      <c r="AP380" s="292">
        <f t="shared" si="145"/>
        <v>0</v>
      </c>
      <c r="AQ380" s="292">
        <f t="shared" si="146"/>
        <v>0</v>
      </c>
      <c r="AR380" s="292">
        <f t="shared" si="147"/>
        <v>0</v>
      </c>
      <c r="AS380" s="292">
        <f t="shared" si="148"/>
        <v>0</v>
      </c>
      <c r="AT380" s="292">
        <f t="shared" si="149"/>
        <v>0</v>
      </c>
      <c r="AU380" s="292">
        <f t="shared" si="150"/>
        <v>0</v>
      </c>
      <c r="AV380" s="292">
        <f t="shared" si="151"/>
        <v>8187032</v>
      </c>
      <c r="AW380" s="292">
        <f t="shared" si="152"/>
        <v>0</v>
      </c>
      <c r="AX380" s="292">
        <f t="shared" si="153"/>
        <v>0</v>
      </c>
      <c r="AY380" s="292">
        <f t="shared" si="154"/>
        <v>0</v>
      </c>
      <c r="AZ380" s="292">
        <f t="shared" si="155"/>
        <v>0</v>
      </c>
      <c r="BA380" s="292">
        <f t="shared" si="156"/>
        <v>0</v>
      </c>
      <c r="BB380" s="292">
        <f t="shared" si="157"/>
        <v>0</v>
      </c>
      <c r="BC380" s="292">
        <f t="shared" si="158"/>
        <v>0</v>
      </c>
      <c r="BD380" s="292">
        <f t="shared" si="159"/>
        <v>0</v>
      </c>
      <c r="BE380" s="292">
        <f t="shared" si="160"/>
        <v>0</v>
      </c>
      <c r="BF380" s="292">
        <f t="shared" si="161"/>
        <v>0</v>
      </c>
      <c r="BG380" s="292">
        <f t="shared" si="162"/>
        <v>0</v>
      </c>
    </row>
    <row r="381" spans="1:59" s="289" customFormat="1" ht="15" customHeight="1">
      <c r="A381" s="63">
        <f t="array" ref="A381">IF(C381&lt;&gt;0,SUM(($C$11:C381&lt;&gt;0)*1),"")</f>
        <v>371</v>
      </c>
      <c r="B381" s="1099">
        <v>42542</v>
      </c>
      <c r="C381" s="290" t="s">
        <v>8</v>
      </c>
      <c r="D381" s="1099">
        <v>42542</v>
      </c>
      <c r="E381" s="344" t="s">
        <v>405</v>
      </c>
      <c r="F381" s="345">
        <v>12280547</v>
      </c>
      <c r="G381" s="346" t="s">
        <v>133</v>
      </c>
      <c r="H381" s="346" t="s">
        <v>31</v>
      </c>
      <c r="I381" s="63">
        <f t="shared" si="175"/>
        <v>371</v>
      </c>
      <c r="J381" s="292">
        <f t="shared" si="125"/>
        <v>0</v>
      </c>
      <c r="K381" s="292">
        <f t="shared" si="126"/>
        <v>0</v>
      </c>
      <c r="L381" s="292">
        <f t="shared" si="127"/>
        <v>0</v>
      </c>
      <c r="M381" s="292">
        <f t="shared" si="128"/>
        <v>12280547</v>
      </c>
      <c r="N381" s="292">
        <f t="shared" si="163"/>
        <v>0</v>
      </c>
      <c r="O381" s="292">
        <f t="shared" si="164"/>
        <v>0</v>
      </c>
      <c r="P381" s="292">
        <f t="shared" si="129"/>
        <v>0</v>
      </c>
      <c r="Q381" s="292">
        <f t="shared" si="130"/>
        <v>0</v>
      </c>
      <c r="R381" s="292">
        <f t="shared" si="169"/>
        <v>0</v>
      </c>
      <c r="S381" s="292">
        <f t="shared" si="170"/>
        <v>0</v>
      </c>
      <c r="T381" s="292">
        <f t="shared" si="131"/>
        <v>0</v>
      </c>
      <c r="U381" s="292">
        <f t="shared" si="132"/>
        <v>0</v>
      </c>
      <c r="V381" s="292">
        <f t="shared" si="171"/>
        <v>0</v>
      </c>
      <c r="W381" s="292">
        <f t="shared" si="172"/>
        <v>0</v>
      </c>
      <c r="X381" s="292">
        <f t="shared" si="173"/>
        <v>0</v>
      </c>
      <c r="Y381" s="292">
        <f t="shared" si="174"/>
        <v>0</v>
      </c>
      <c r="Z381" s="292">
        <f t="shared" si="165"/>
        <v>0</v>
      </c>
      <c r="AA381" s="292">
        <f t="shared" si="166"/>
        <v>0</v>
      </c>
      <c r="AB381" s="292">
        <f t="shared" si="133"/>
        <v>0</v>
      </c>
      <c r="AC381" s="292">
        <f t="shared" si="134"/>
        <v>0</v>
      </c>
      <c r="AD381" s="292">
        <f t="shared" si="135"/>
        <v>0</v>
      </c>
      <c r="AE381" s="292">
        <f t="shared" si="136"/>
        <v>0</v>
      </c>
      <c r="AF381" s="292">
        <f t="shared" si="137"/>
        <v>0</v>
      </c>
      <c r="AG381" s="292">
        <f t="shared" si="138"/>
        <v>0</v>
      </c>
      <c r="AH381" s="292">
        <f t="shared" si="139"/>
        <v>0</v>
      </c>
      <c r="AI381" s="292">
        <f t="shared" si="140"/>
        <v>0</v>
      </c>
      <c r="AJ381" s="292">
        <f t="shared" si="141"/>
        <v>0</v>
      </c>
      <c r="AK381" s="292">
        <f t="shared" si="142"/>
        <v>0</v>
      </c>
      <c r="AL381" s="292">
        <f t="shared" si="167"/>
        <v>0</v>
      </c>
      <c r="AM381" s="292">
        <f t="shared" si="168"/>
        <v>0</v>
      </c>
      <c r="AN381" s="292">
        <f t="shared" si="143"/>
        <v>0</v>
      </c>
      <c r="AO381" s="292">
        <f t="shared" si="144"/>
        <v>0</v>
      </c>
      <c r="AP381" s="292">
        <f t="shared" si="145"/>
        <v>0</v>
      </c>
      <c r="AQ381" s="292">
        <f t="shared" si="146"/>
        <v>0</v>
      </c>
      <c r="AR381" s="292">
        <f t="shared" si="147"/>
        <v>0</v>
      </c>
      <c r="AS381" s="292">
        <f t="shared" si="148"/>
        <v>0</v>
      </c>
      <c r="AT381" s="292">
        <f t="shared" si="149"/>
        <v>0</v>
      </c>
      <c r="AU381" s="292">
        <f t="shared" si="150"/>
        <v>0</v>
      </c>
      <c r="AV381" s="292">
        <f t="shared" si="151"/>
        <v>12280547</v>
      </c>
      <c r="AW381" s="292">
        <f t="shared" si="152"/>
        <v>0</v>
      </c>
      <c r="AX381" s="292">
        <f t="shared" si="153"/>
        <v>0</v>
      </c>
      <c r="AY381" s="292">
        <f t="shared" si="154"/>
        <v>0</v>
      </c>
      <c r="AZ381" s="292">
        <f t="shared" si="155"/>
        <v>0</v>
      </c>
      <c r="BA381" s="292">
        <f t="shared" si="156"/>
        <v>0</v>
      </c>
      <c r="BB381" s="292">
        <f t="shared" si="157"/>
        <v>0</v>
      </c>
      <c r="BC381" s="292">
        <f t="shared" si="158"/>
        <v>0</v>
      </c>
      <c r="BD381" s="292">
        <f t="shared" si="159"/>
        <v>0</v>
      </c>
      <c r="BE381" s="292">
        <f t="shared" si="160"/>
        <v>0</v>
      </c>
      <c r="BF381" s="292">
        <f t="shared" si="161"/>
        <v>0</v>
      </c>
      <c r="BG381" s="292">
        <f t="shared" si="162"/>
        <v>0</v>
      </c>
    </row>
    <row r="382" spans="1:59" s="289" customFormat="1" ht="15" customHeight="1">
      <c r="A382" s="63">
        <f t="array" ref="A382">IF(C382&lt;&gt;0,SUM(($C$11:C382&lt;&gt;0)*1),"")</f>
        <v>372</v>
      </c>
      <c r="B382" s="1099">
        <v>42542</v>
      </c>
      <c r="C382" s="290" t="s">
        <v>8</v>
      </c>
      <c r="D382" s="1099">
        <v>42542</v>
      </c>
      <c r="E382" s="344" t="s">
        <v>405</v>
      </c>
      <c r="F382" s="345">
        <v>16374064</v>
      </c>
      <c r="G382" s="346" t="s">
        <v>133</v>
      </c>
      <c r="H382" s="346" t="s">
        <v>31</v>
      </c>
      <c r="I382" s="63">
        <f t="shared" si="175"/>
        <v>372</v>
      </c>
      <c r="J382" s="292">
        <f t="shared" si="125"/>
        <v>0</v>
      </c>
      <c r="K382" s="292">
        <f t="shared" si="126"/>
        <v>0</v>
      </c>
      <c r="L382" s="292">
        <f t="shared" si="127"/>
        <v>0</v>
      </c>
      <c r="M382" s="292">
        <f t="shared" si="128"/>
        <v>16374064</v>
      </c>
      <c r="N382" s="292">
        <f t="shared" si="163"/>
        <v>0</v>
      </c>
      <c r="O382" s="292">
        <f t="shared" si="164"/>
        <v>0</v>
      </c>
      <c r="P382" s="292">
        <f t="shared" si="129"/>
        <v>0</v>
      </c>
      <c r="Q382" s="292">
        <f t="shared" si="130"/>
        <v>0</v>
      </c>
      <c r="R382" s="292">
        <f t="shared" si="169"/>
        <v>0</v>
      </c>
      <c r="S382" s="292">
        <f t="shared" si="170"/>
        <v>0</v>
      </c>
      <c r="T382" s="292">
        <f t="shared" si="131"/>
        <v>0</v>
      </c>
      <c r="U382" s="292">
        <f t="shared" si="132"/>
        <v>0</v>
      </c>
      <c r="V382" s="292">
        <f t="shared" si="171"/>
        <v>0</v>
      </c>
      <c r="W382" s="292">
        <f t="shared" si="172"/>
        <v>0</v>
      </c>
      <c r="X382" s="292">
        <f t="shared" si="173"/>
        <v>0</v>
      </c>
      <c r="Y382" s="292">
        <f t="shared" si="174"/>
        <v>0</v>
      </c>
      <c r="Z382" s="292">
        <f t="shared" si="165"/>
        <v>0</v>
      </c>
      <c r="AA382" s="292">
        <f t="shared" si="166"/>
        <v>0</v>
      </c>
      <c r="AB382" s="292">
        <f t="shared" si="133"/>
        <v>0</v>
      </c>
      <c r="AC382" s="292">
        <f t="shared" si="134"/>
        <v>0</v>
      </c>
      <c r="AD382" s="292">
        <f t="shared" si="135"/>
        <v>0</v>
      </c>
      <c r="AE382" s="292">
        <f t="shared" si="136"/>
        <v>0</v>
      </c>
      <c r="AF382" s="292">
        <f t="shared" si="137"/>
        <v>0</v>
      </c>
      <c r="AG382" s="292">
        <f t="shared" si="138"/>
        <v>0</v>
      </c>
      <c r="AH382" s="292">
        <f t="shared" si="139"/>
        <v>0</v>
      </c>
      <c r="AI382" s="292">
        <f t="shared" si="140"/>
        <v>0</v>
      </c>
      <c r="AJ382" s="292">
        <f t="shared" si="141"/>
        <v>0</v>
      </c>
      <c r="AK382" s="292">
        <f t="shared" si="142"/>
        <v>0</v>
      </c>
      <c r="AL382" s="292">
        <f t="shared" si="167"/>
        <v>0</v>
      </c>
      <c r="AM382" s="292">
        <f t="shared" si="168"/>
        <v>0</v>
      </c>
      <c r="AN382" s="292">
        <f t="shared" si="143"/>
        <v>0</v>
      </c>
      <c r="AO382" s="292">
        <f t="shared" si="144"/>
        <v>0</v>
      </c>
      <c r="AP382" s="292">
        <f t="shared" si="145"/>
        <v>0</v>
      </c>
      <c r="AQ382" s="292">
        <f t="shared" si="146"/>
        <v>0</v>
      </c>
      <c r="AR382" s="292">
        <f t="shared" si="147"/>
        <v>0</v>
      </c>
      <c r="AS382" s="292">
        <f t="shared" si="148"/>
        <v>0</v>
      </c>
      <c r="AT382" s="292">
        <f t="shared" si="149"/>
        <v>0</v>
      </c>
      <c r="AU382" s="292">
        <f t="shared" si="150"/>
        <v>0</v>
      </c>
      <c r="AV382" s="292">
        <f t="shared" si="151"/>
        <v>16374064</v>
      </c>
      <c r="AW382" s="292">
        <f t="shared" si="152"/>
        <v>0</v>
      </c>
      <c r="AX382" s="292">
        <f t="shared" si="153"/>
        <v>0</v>
      </c>
      <c r="AY382" s="292">
        <f t="shared" si="154"/>
        <v>0</v>
      </c>
      <c r="AZ382" s="292">
        <f t="shared" si="155"/>
        <v>0</v>
      </c>
      <c r="BA382" s="292">
        <f t="shared" si="156"/>
        <v>0</v>
      </c>
      <c r="BB382" s="292">
        <f t="shared" si="157"/>
        <v>0</v>
      </c>
      <c r="BC382" s="292">
        <f t="shared" si="158"/>
        <v>0</v>
      </c>
      <c r="BD382" s="292">
        <f t="shared" si="159"/>
        <v>0</v>
      </c>
      <c r="BE382" s="292">
        <f t="shared" si="160"/>
        <v>0</v>
      </c>
      <c r="BF382" s="292">
        <f t="shared" si="161"/>
        <v>0</v>
      </c>
      <c r="BG382" s="292">
        <f t="shared" si="162"/>
        <v>0</v>
      </c>
    </row>
    <row r="383" spans="1:59" s="289" customFormat="1" ht="15" customHeight="1">
      <c r="A383" s="63">
        <f t="array" ref="A383">IF(C383&lt;&gt;0,SUM(($C$11:C383&lt;&gt;0)*1),"")</f>
        <v>373</v>
      </c>
      <c r="B383" s="1099">
        <v>42542</v>
      </c>
      <c r="C383" s="290" t="s">
        <v>8</v>
      </c>
      <c r="D383" s="1099">
        <v>42542</v>
      </c>
      <c r="E383" s="344" t="s">
        <v>405</v>
      </c>
      <c r="F383" s="345">
        <v>11461845</v>
      </c>
      <c r="G383" s="346" t="s">
        <v>133</v>
      </c>
      <c r="H383" s="346" t="s">
        <v>31</v>
      </c>
      <c r="I383" s="63">
        <f t="shared" si="175"/>
        <v>373</v>
      </c>
      <c r="J383" s="292">
        <f t="shared" si="125"/>
        <v>0</v>
      </c>
      <c r="K383" s="292">
        <f t="shared" si="126"/>
        <v>0</v>
      </c>
      <c r="L383" s="292">
        <f t="shared" si="127"/>
        <v>0</v>
      </c>
      <c r="M383" s="292">
        <f t="shared" si="128"/>
        <v>11461845</v>
      </c>
      <c r="N383" s="292">
        <f t="shared" si="163"/>
        <v>0</v>
      </c>
      <c r="O383" s="292">
        <f t="shared" si="164"/>
        <v>0</v>
      </c>
      <c r="P383" s="292">
        <f t="shared" si="129"/>
        <v>0</v>
      </c>
      <c r="Q383" s="292">
        <f t="shared" si="130"/>
        <v>0</v>
      </c>
      <c r="R383" s="292">
        <f t="shared" si="169"/>
        <v>0</v>
      </c>
      <c r="S383" s="292">
        <f t="shared" si="170"/>
        <v>0</v>
      </c>
      <c r="T383" s="292">
        <f t="shared" si="131"/>
        <v>0</v>
      </c>
      <c r="U383" s="292">
        <f t="shared" si="132"/>
        <v>0</v>
      </c>
      <c r="V383" s="292">
        <f t="shared" si="171"/>
        <v>0</v>
      </c>
      <c r="W383" s="292">
        <f t="shared" si="172"/>
        <v>0</v>
      </c>
      <c r="X383" s="292">
        <f t="shared" si="173"/>
        <v>0</v>
      </c>
      <c r="Y383" s="292">
        <f t="shared" si="174"/>
        <v>0</v>
      </c>
      <c r="Z383" s="292">
        <f t="shared" si="165"/>
        <v>0</v>
      </c>
      <c r="AA383" s="292">
        <f t="shared" si="166"/>
        <v>0</v>
      </c>
      <c r="AB383" s="292">
        <f t="shared" si="133"/>
        <v>0</v>
      </c>
      <c r="AC383" s="292">
        <f t="shared" si="134"/>
        <v>0</v>
      </c>
      <c r="AD383" s="292">
        <f t="shared" si="135"/>
        <v>0</v>
      </c>
      <c r="AE383" s="292">
        <f t="shared" si="136"/>
        <v>0</v>
      </c>
      <c r="AF383" s="292">
        <f t="shared" si="137"/>
        <v>0</v>
      </c>
      <c r="AG383" s="292">
        <f t="shared" si="138"/>
        <v>0</v>
      </c>
      <c r="AH383" s="292">
        <f t="shared" si="139"/>
        <v>0</v>
      </c>
      <c r="AI383" s="292">
        <f t="shared" si="140"/>
        <v>0</v>
      </c>
      <c r="AJ383" s="292">
        <f t="shared" si="141"/>
        <v>0</v>
      </c>
      <c r="AK383" s="292">
        <f t="shared" si="142"/>
        <v>0</v>
      </c>
      <c r="AL383" s="292">
        <f t="shared" si="167"/>
        <v>0</v>
      </c>
      <c r="AM383" s="292">
        <f t="shared" si="168"/>
        <v>0</v>
      </c>
      <c r="AN383" s="292">
        <f t="shared" si="143"/>
        <v>0</v>
      </c>
      <c r="AO383" s="292">
        <f t="shared" si="144"/>
        <v>0</v>
      </c>
      <c r="AP383" s="292">
        <f t="shared" si="145"/>
        <v>0</v>
      </c>
      <c r="AQ383" s="292">
        <f t="shared" si="146"/>
        <v>0</v>
      </c>
      <c r="AR383" s="292">
        <f t="shared" si="147"/>
        <v>0</v>
      </c>
      <c r="AS383" s="292">
        <f t="shared" si="148"/>
        <v>0</v>
      </c>
      <c r="AT383" s="292">
        <f t="shared" si="149"/>
        <v>0</v>
      </c>
      <c r="AU383" s="292">
        <f t="shared" si="150"/>
        <v>0</v>
      </c>
      <c r="AV383" s="292">
        <f t="shared" si="151"/>
        <v>11461845</v>
      </c>
      <c r="AW383" s="292">
        <f t="shared" si="152"/>
        <v>0</v>
      </c>
      <c r="AX383" s="292">
        <f t="shared" si="153"/>
        <v>0</v>
      </c>
      <c r="AY383" s="292">
        <f t="shared" si="154"/>
        <v>0</v>
      </c>
      <c r="AZ383" s="292">
        <f t="shared" si="155"/>
        <v>0</v>
      </c>
      <c r="BA383" s="292">
        <f t="shared" si="156"/>
        <v>0</v>
      </c>
      <c r="BB383" s="292">
        <f t="shared" si="157"/>
        <v>0</v>
      </c>
      <c r="BC383" s="292">
        <f t="shared" si="158"/>
        <v>0</v>
      </c>
      <c r="BD383" s="292">
        <f t="shared" si="159"/>
        <v>0</v>
      </c>
      <c r="BE383" s="292">
        <f t="shared" si="160"/>
        <v>0</v>
      </c>
      <c r="BF383" s="292">
        <f t="shared" si="161"/>
        <v>0</v>
      </c>
      <c r="BG383" s="292">
        <f t="shared" si="162"/>
        <v>0</v>
      </c>
    </row>
    <row r="384" spans="1:59" s="289" customFormat="1" ht="15" customHeight="1">
      <c r="A384" s="63">
        <f t="array" ref="A384">IF(C384&lt;&gt;0,SUM(($C$11:C384&lt;&gt;0)*1),"")</f>
        <v>374</v>
      </c>
      <c r="B384" s="1099">
        <v>42542</v>
      </c>
      <c r="C384" s="290" t="s">
        <v>8</v>
      </c>
      <c r="D384" s="1099">
        <v>42542</v>
      </c>
      <c r="E384" s="344" t="s">
        <v>405</v>
      </c>
      <c r="F384" s="345">
        <v>12280547</v>
      </c>
      <c r="G384" s="346" t="s">
        <v>133</v>
      </c>
      <c r="H384" s="346" t="s">
        <v>31</v>
      </c>
      <c r="I384" s="63">
        <f t="shared" si="175"/>
        <v>374</v>
      </c>
      <c r="J384" s="292">
        <f t="shared" si="125"/>
        <v>0</v>
      </c>
      <c r="K384" s="292">
        <f t="shared" si="126"/>
        <v>0</v>
      </c>
      <c r="L384" s="292">
        <f t="shared" si="127"/>
        <v>0</v>
      </c>
      <c r="M384" s="292">
        <f t="shared" si="128"/>
        <v>12280547</v>
      </c>
      <c r="N384" s="292">
        <f t="shared" si="163"/>
        <v>0</v>
      </c>
      <c r="O384" s="292">
        <f t="shared" si="164"/>
        <v>0</v>
      </c>
      <c r="P384" s="292">
        <f t="shared" si="129"/>
        <v>0</v>
      </c>
      <c r="Q384" s="292">
        <f t="shared" si="130"/>
        <v>0</v>
      </c>
      <c r="R384" s="292">
        <f t="shared" si="169"/>
        <v>0</v>
      </c>
      <c r="S384" s="292">
        <f t="shared" si="170"/>
        <v>0</v>
      </c>
      <c r="T384" s="292">
        <f t="shared" si="131"/>
        <v>0</v>
      </c>
      <c r="U384" s="292">
        <f t="shared" si="132"/>
        <v>0</v>
      </c>
      <c r="V384" s="292">
        <f t="shared" si="171"/>
        <v>0</v>
      </c>
      <c r="W384" s="292">
        <f t="shared" si="172"/>
        <v>0</v>
      </c>
      <c r="X384" s="292">
        <f t="shared" si="173"/>
        <v>0</v>
      </c>
      <c r="Y384" s="292">
        <f t="shared" si="174"/>
        <v>0</v>
      </c>
      <c r="Z384" s="292">
        <f t="shared" si="165"/>
        <v>0</v>
      </c>
      <c r="AA384" s="292">
        <f t="shared" si="166"/>
        <v>0</v>
      </c>
      <c r="AB384" s="292">
        <f t="shared" si="133"/>
        <v>0</v>
      </c>
      <c r="AC384" s="292">
        <f t="shared" si="134"/>
        <v>0</v>
      </c>
      <c r="AD384" s="292">
        <f t="shared" si="135"/>
        <v>0</v>
      </c>
      <c r="AE384" s="292">
        <f t="shared" si="136"/>
        <v>0</v>
      </c>
      <c r="AF384" s="292">
        <f t="shared" si="137"/>
        <v>0</v>
      </c>
      <c r="AG384" s="292">
        <f t="shared" si="138"/>
        <v>0</v>
      </c>
      <c r="AH384" s="292">
        <f t="shared" si="139"/>
        <v>0</v>
      </c>
      <c r="AI384" s="292">
        <f t="shared" si="140"/>
        <v>0</v>
      </c>
      <c r="AJ384" s="292">
        <f t="shared" si="141"/>
        <v>0</v>
      </c>
      <c r="AK384" s="292">
        <f t="shared" si="142"/>
        <v>0</v>
      </c>
      <c r="AL384" s="292">
        <f t="shared" si="167"/>
        <v>0</v>
      </c>
      <c r="AM384" s="292">
        <f t="shared" si="168"/>
        <v>0</v>
      </c>
      <c r="AN384" s="292">
        <f t="shared" si="143"/>
        <v>0</v>
      </c>
      <c r="AO384" s="292">
        <f t="shared" si="144"/>
        <v>0</v>
      </c>
      <c r="AP384" s="292">
        <f t="shared" si="145"/>
        <v>0</v>
      </c>
      <c r="AQ384" s="292">
        <f t="shared" si="146"/>
        <v>0</v>
      </c>
      <c r="AR384" s="292">
        <f t="shared" si="147"/>
        <v>0</v>
      </c>
      <c r="AS384" s="292">
        <f t="shared" si="148"/>
        <v>0</v>
      </c>
      <c r="AT384" s="292">
        <f t="shared" si="149"/>
        <v>0</v>
      </c>
      <c r="AU384" s="292">
        <f t="shared" si="150"/>
        <v>0</v>
      </c>
      <c r="AV384" s="292">
        <f t="shared" si="151"/>
        <v>12280547</v>
      </c>
      <c r="AW384" s="292">
        <f t="shared" si="152"/>
        <v>0</v>
      </c>
      <c r="AX384" s="292">
        <f t="shared" si="153"/>
        <v>0</v>
      </c>
      <c r="AY384" s="292">
        <f t="shared" si="154"/>
        <v>0</v>
      </c>
      <c r="AZ384" s="292">
        <f t="shared" si="155"/>
        <v>0</v>
      </c>
      <c r="BA384" s="292">
        <f t="shared" si="156"/>
        <v>0</v>
      </c>
      <c r="BB384" s="292">
        <f t="shared" si="157"/>
        <v>0</v>
      </c>
      <c r="BC384" s="292">
        <f t="shared" si="158"/>
        <v>0</v>
      </c>
      <c r="BD384" s="292">
        <f t="shared" si="159"/>
        <v>0</v>
      </c>
      <c r="BE384" s="292">
        <f t="shared" si="160"/>
        <v>0</v>
      </c>
      <c r="BF384" s="292">
        <f t="shared" si="161"/>
        <v>0</v>
      </c>
      <c r="BG384" s="292">
        <f t="shared" si="162"/>
        <v>0</v>
      </c>
    </row>
    <row r="385" spans="1:59" s="289" customFormat="1" ht="15" customHeight="1">
      <c r="A385" s="63">
        <f t="array" ref="A385">IF(C385&lt;&gt;0,SUM(($C$11:C385&lt;&gt;0)*1),"")</f>
        <v>375</v>
      </c>
      <c r="B385" s="1099">
        <v>42542</v>
      </c>
      <c r="C385" s="290" t="s">
        <v>8</v>
      </c>
      <c r="D385" s="1099">
        <v>42542</v>
      </c>
      <c r="E385" s="344" t="s">
        <v>405</v>
      </c>
      <c r="F385" s="345">
        <v>12280547</v>
      </c>
      <c r="G385" s="346" t="s">
        <v>133</v>
      </c>
      <c r="H385" s="346" t="s">
        <v>31</v>
      </c>
      <c r="I385" s="63">
        <f t="shared" si="175"/>
        <v>375</v>
      </c>
      <c r="J385" s="292">
        <f t="shared" si="125"/>
        <v>0</v>
      </c>
      <c r="K385" s="292">
        <f t="shared" si="126"/>
        <v>0</v>
      </c>
      <c r="L385" s="292">
        <f t="shared" si="127"/>
        <v>0</v>
      </c>
      <c r="M385" s="292">
        <f t="shared" si="128"/>
        <v>12280547</v>
      </c>
      <c r="N385" s="292">
        <f t="shared" si="163"/>
        <v>0</v>
      </c>
      <c r="O385" s="292">
        <f t="shared" si="164"/>
        <v>0</v>
      </c>
      <c r="P385" s="292">
        <f t="shared" si="129"/>
        <v>0</v>
      </c>
      <c r="Q385" s="292">
        <f t="shared" si="130"/>
        <v>0</v>
      </c>
      <c r="R385" s="292">
        <f t="shared" si="169"/>
        <v>0</v>
      </c>
      <c r="S385" s="292">
        <f t="shared" si="170"/>
        <v>0</v>
      </c>
      <c r="T385" s="292">
        <f t="shared" si="131"/>
        <v>0</v>
      </c>
      <c r="U385" s="292">
        <f t="shared" si="132"/>
        <v>0</v>
      </c>
      <c r="V385" s="292">
        <f t="shared" si="171"/>
        <v>0</v>
      </c>
      <c r="W385" s="292">
        <f t="shared" si="172"/>
        <v>0</v>
      </c>
      <c r="X385" s="292">
        <f t="shared" si="173"/>
        <v>0</v>
      </c>
      <c r="Y385" s="292">
        <f t="shared" si="174"/>
        <v>0</v>
      </c>
      <c r="Z385" s="292">
        <f t="shared" si="165"/>
        <v>0</v>
      </c>
      <c r="AA385" s="292">
        <f t="shared" si="166"/>
        <v>0</v>
      </c>
      <c r="AB385" s="292">
        <f t="shared" si="133"/>
        <v>0</v>
      </c>
      <c r="AC385" s="292">
        <f t="shared" si="134"/>
        <v>0</v>
      </c>
      <c r="AD385" s="292">
        <f t="shared" si="135"/>
        <v>0</v>
      </c>
      <c r="AE385" s="292">
        <f t="shared" si="136"/>
        <v>0</v>
      </c>
      <c r="AF385" s="292">
        <f t="shared" si="137"/>
        <v>0</v>
      </c>
      <c r="AG385" s="292">
        <f t="shared" si="138"/>
        <v>0</v>
      </c>
      <c r="AH385" s="292">
        <f t="shared" si="139"/>
        <v>0</v>
      </c>
      <c r="AI385" s="292">
        <f t="shared" si="140"/>
        <v>0</v>
      </c>
      <c r="AJ385" s="292">
        <f t="shared" si="141"/>
        <v>0</v>
      </c>
      <c r="AK385" s="292">
        <f t="shared" si="142"/>
        <v>0</v>
      </c>
      <c r="AL385" s="292">
        <f t="shared" si="167"/>
        <v>0</v>
      </c>
      <c r="AM385" s="292">
        <f t="shared" si="168"/>
        <v>0</v>
      </c>
      <c r="AN385" s="292">
        <f t="shared" si="143"/>
        <v>0</v>
      </c>
      <c r="AO385" s="292">
        <f t="shared" si="144"/>
        <v>0</v>
      </c>
      <c r="AP385" s="292">
        <f t="shared" si="145"/>
        <v>0</v>
      </c>
      <c r="AQ385" s="292">
        <f t="shared" si="146"/>
        <v>0</v>
      </c>
      <c r="AR385" s="292">
        <f t="shared" si="147"/>
        <v>0</v>
      </c>
      <c r="AS385" s="292">
        <f t="shared" si="148"/>
        <v>0</v>
      </c>
      <c r="AT385" s="292">
        <f t="shared" si="149"/>
        <v>0</v>
      </c>
      <c r="AU385" s="292">
        <f t="shared" si="150"/>
        <v>0</v>
      </c>
      <c r="AV385" s="292">
        <f t="shared" si="151"/>
        <v>12280547</v>
      </c>
      <c r="AW385" s="292">
        <f t="shared" si="152"/>
        <v>0</v>
      </c>
      <c r="AX385" s="292">
        <f t="shared" si="153"/>
        <v>0</v>
      </c>
      <c r="AY385" s="292">
        <f t="shared" si="154"/>
        <v>0</v>
      </c>
      <c r="AZ385" s="292">
        <f t="shared" si="155"/>
        <v>0</v>
      </c>
      <c r="BA385" s="292">
        <f t="shared" si="156"/>
        <v>0</v>
      </c>
      <c r="BB385" s="292">
        <f t="shared" si="157"/>
        <v>0</v>
      </c>
      <c r="BC385" s="292">
        <f t="shared" si="158"/>
        <v>0</v>
      </c>
      <c r="BD385" s="292">
        <f t="shared" si="159"/>
        <v>0</v>
      </c>
      <c r="BE385" s="292">
        <f t="shared" si="160"/>
        <v>0</v>
      </c>
      <c r="BF385" s="292">
        <f t="shared" si="161"/>
        <v>0</v>
      </c>
      <c r="BG385" s="292">
        <f t="shared" si="162"/>
        <v>0</v>
      </c>
    </row>
    <row r="386" spans="1:59" s="289" customFormat="1" ht="15" customHeight="1">
      <c r="A386" s="63">
        <f t="array" ref="A386">IF(C386&lt;&gt;0,SUM(($C$11:C386&lt;&gt;0)*1),"")</f>
        <v>376</v>
      </c>
      <c r="B386" s="1099">
        <v>42542</v>
      </c>
      <c r="C386" s="290" t="s">
        <v>8</v>
      </c>
      <c r="D386" s="1099">
        <v>42542</v>
      </c>
      <c r="E386" s="344" t="s">
        <v>405</v>
      </c>
      <c r="F386" s="345">
        <v>12280547</v>
      </c>
      <c r="G386" s="346" t="s">
        <v>133</v>
      </c>
      <c r="H386" s="346" t="s">
        <v>31</v>
      </c>
      <c r="I386" s="63">
        <f t="shared" si="175"/>
        <v>376</v>
      </c>
      <c r="J386" s="292">
        <f t="shared" si="125"/>
        <v>0</v>
      </c>
      <c r="K386" s="292">
        <f t="shared" si="126"/>
        <v>0</v>
      </c>
      <c r="L386" s="292">
        <f t="shared" si="127"/>
        <v>0</v>
      </c>
      <c r="M386" s="292">
        <f t="shared" si="128"/>
        <v>12280547</v>
      </c>
      <c r="N386" s="292">
        <f t="shared" si="163"/>
        <v>0</v>
      </c>
      <c r="O386" s="292">
        <f t="shared" si="164"/>
        <v>0</v>
      </c>
      <c r="P386" s="292">
        <f t="shared" si="129"/>
        <v>0</v>
      </c>
      <c r="Q386" s="292">
        <f t="shared" si="130"/>
        <v>0</v>
      </c>
      <c r="R386" s="292">
        <f t="shared" si="169"/>
        <v>0</v>
      </c>
      <c r="S386" s="292">
        <f t="shared" si="170"/>
        <v>0</v>
      </c>
      <c r="T386" s="292">
        <f t="shared" si="131"/>
        <v>0</v>
      </c>
      <c r="U386" s="292">
        <f t="shared" si="132"/>
        <v>0</v>
      </c>
      <c r="V386" s="292">
        <f t="shared" si="171"/>
        <v>0</v>
      </c>
      <c r="W386" s="292">
        <f t="shared" si="172"/>
        <v>0</v>
      </c>
      <c r="X386" s="292">
        <f t="shared" si="173"/>
        <v>0</v>
      </c>
      <c r="Y386" s="292">
        <f t="shared" si="174"/>
        <v>0</v>
      </c>
      <c r="Z386" s="292">
        <f t="shared" si="165"/>
        <v>0</v>
      </c>
      <c r="AA386" s="292">
        <f t="shared" si="166"/>
        <v>0</v>
      </c>
      <c r="AB386" s="292">
        <f t="shared" si="133"/>
        <v>0</v>
      </c>
      <c r="AC386" s="292">
        <f t="shared" si="134"/>
        <v>0</v>
      </c>
      <c r="AD386" s="292">
        <f t="shared" si="135"/>
        <v>0</v>
      </c>
      <c r="AE386" s="292">
        <f t="shared" si="136"/>
        <v>0</v>
      </c>
      <c r="AF386" s="292">
        <f t="shared" si="137"/>
        <v>0</v>
      </c>
      <c r="AG386" s="292">
        <f t="shared" si="138"/>
        <v>0</v>
      </c>
      <c r="AH386" s="292">
        <f t="shared" si="139"/>
        <v>0</v>
      </c>
      <c r="AI386" s="292">
        <f t="shared" si="140"/>
        <v>0</v>
      </c>
      <c r="AJ386" s="292">
        <f t="shared" si="141"/>
        <v>0</v>
      </c>
      <c r="AK386" s="292">
        <f t="shared" si="142"/>
        <v>0</v>
      </c>
      <c r="AL386" s="292">
        <f t="shared" si="167"/>
        <v>0</v>
      </c>
      <c r="AM386" s="292">
        <f t="shared" si="168"/>
        <v>0</v>
      </c>
      <c r="AN386" s="292">
        <f t="shared" si="143"/>
        <v>0</v>
      </c>
      <c r="AO386" s="292">
        <f t="shared" si="144"/>
        <v>0</v>
      </c>
      <c r="AP386" s="292">
        <f t="shared" si="145"/>
        <v>0</v>
      </c>
      <c r="AQ386" s="292">
        <f t="shared" si="146"/>
        <v>0</v>
      </c>
      <c r="AR386" s="292">
        <f t="shared" si="147"/>
        <v>0</v>
      </c>
      <c r="AS386" s="292">
        <f t="shared" si="148"/>
        <v>0</v>
      </c>
      <c r="AT386" s="292">
        <f t="shared" si="149"/>
        <v>0</v>
      </c>
      <c r="AU386" s="292">
        <f t="shared" si="150"/>
        <v>0</v>
      </c>
      <c r="AV386" s="292">
        <f t="shared" si="151"/>
        <v>12280547</v>
      </c>
      <c r="AW386" s="292">
        <f t="shared" si="152"/>
        <v>0</v>
      </c>
      <c r="AX386" s="292">
        <f t="shared" si="153"/>
        <v>0</v>
      </c>
      <c r="AY386" s="292">
        <f t="shared" si="154"/>
        <v>0</v>
      </c>
      <c r="AZ386" s="292">
        <f t="shared" si="155"/>
        <v>0</v>
      </c>
      <c r="BA386" s="292">
        <f t="shared" si="156"/>
        <v>0</v>
      </c>
      <c r="BB386" s="292">
        <f t="shared" si="157"/>
        <v>0</v>
      </c>
      <c r="BC386" s="292">
        <f t="shared" si="158"/>
        <v>0</v>
      </c>
      <c r="BD386" s="292">
        <f t="shared" si="159"/>
        <v>0</v>
      </c>
      <c r="BE386" s="292">
        <f t="shared" si="160"/>
        <v>0</v>
      </c>
      <c r="BF386" s="292">
        <f t="shared" si="161"/>
        <v>0</v>
      </c>
      <c r="BG386" s="292">
        <f t="shared" si="162"/>
        <v>0</v>
      </c>
    </row>
    <row r="387" spans="1:59" s="289" customFormat="1" ht="15" customHeight="1">
      <c r="A387" s="63">
        <f t="array" ref="A387">IF(C387&lt;&gt;0,SUM(($C$11:C387&lt;&gt;0)*1),"")</f>
        <v>377</v>
      </c>
      <c r="B387" s="1099">
        <v>42542</v>
      </c>
      <c r="C387" s="290" t="s">
        <v>8</v>
      </c>
      <c r="D387" s="1099">
        <v>42542</v>
      </c>
      <c r="E387" s="344" t="s">
        <v>405</v>
      </c>
      <c r="F387" s="345">
        <v>8187032</v>
      </c>
      <c r="G387" s="346" t="s">
        <v>133</v>
      </c>
      <c r="H387" s="346" t="s">
        <v>31</v>
      </c>
      <c r="I387" s="63">
        <f t="shared" si="175"/>
        <v>377</v>
      </c>
      <c r="J387" s="292">
        <f t="shared" si="125"/>
        <v>0</v>
      </c>
      <c r="K387" s="292">
        <f t="shared" si="126"/>
        <v>0</v>
      </c>
      <c r="L387" s="292">
        <f t="shared" si="127"/>
        <v>0</v>
      </c>
      <c r="M387" s="292">
        <f t="shared" si="128"/>
        <v>8187032</v>
      </c>
      <c r="N387" s="292">
        <f t="shared" si="163"/>
        <v>0</v>
      </c>
      <c r="O387" s="292">
        <f t="shared" si="164"/>
        <v>0</v>
      </c>
      <c r="P387" s="292">
        <f t="shared" si="129"/>
        <v>0</v>
      </c>
      <c r="Q387" s="292">
        <f t="shared" si="130"/>
        <v>0</v>
      </c>
      <c r="R387" s="292">
        <f t="shared" si="169"/>
        <v>0</v>
      </c>
      <c r="S387" s="292">
        <f t="shared" si="170"/>
        <v>0</v>
      </c>
      <c r="T387" s="292">
        <f t="shared" si="131"/>
        <v>0</v>
      </c>
      <c r="U387" s="292">
        <f t="shared" si="132"/>
        <v>0</v>
      </c>
      <c r="V387" s="292">
        <f t="shared" si="171"/>
        <v>0</v>
      </c>
      <c r="W387" s="292">
        <f t="shared" si="172"/>
        <v>0</v>
      </c>
      <c r="X387" s="292">
        <f t="shared" si="173"/>
        <v>0</v>
      </c>
      <c r="Y387" s="292">
        <f t="shared" si="174"/>
        <v>0</v>
      </c>
      <c r="Z387" s="292">
        <f t="shared" si="165"/>
        <v>0</v>
      </c>
      <c r="AA387" s="292">
        <f t="shared" si="166"/>
        <v>0</v>
      </c>
      <c r="AB387" s="292">
        <f t="shared" si="133"/>
        <v>0</v>
      </c>
      <c r="AC387" s="292">
        <f t="shared" si="134"/>
        <v>0</v>
      </c>
      <c r="AD387" s="292">
        <f t="shared" si="135"/>
        <v>0</v>
      </c>
      <c r="AE387" s="292">
        <f t="shared" si="136"/>
        <v>0</v>
      </c>
      <c r="AF387" s="292">
        <f t="shared" si="137"/>
        <v>0</v>
      </c>
      <c r="AG387" s="292">
        <f t="shared" si="138"/>
        <v>0</v>
      </c>
      <c r="AH387" s="292">
        <f t="shared" si="139"/>
        <v>0</v>
      </c>
      <c r="AI387" s="292">
        <f t="shared" si="140"/>
        <v>0</v>
      </c>
      <c r="AJ387" s="292">
        <f t="shared" si="141"/>
        <v>0</v>
      </c>
      <c r="AK387" s="292">
        <f t="shared" si="142"/>
        <v>0</v>
      </c>
      <c r="AL387" s="292">
        <f t="shared" si="167"/>
        <v>0</v>
      </c>
      <c r="AM387" s="292">
        <f t="shared" si="168"/>
        <v>0</v>
      </c>
      <c r="AN387" s="292">
        <f t="shared" si="143"/>
        <v>0</v>
      </c>
      <c r="AO387" s="292">
        <f t="shared" si="144"/>
        <v>0</v>
      </c>
      <c r="AP387" s="292">
        <f t="shared" si="145"/>
        <v>0</v>
      </c>
      <c r="AQ387" s="292">
        <f t="shared" si="146"/>
        <v>0</v>
      </c>
      <c r="AR387" s="292">
        <f t="shared" si="147"/>
        <v>0</v>
      </c>
      <c r="AS387" s="292">
        <f t="shared" si="148"/>
        <v>0</v>
      </c>
      <c r="AT387" s="292">
        <f t="shared" si="149"/>
        <v>0</v>
      </c>
      <c r="AU387" s="292">
        <f t="shared" si="150"/>
        <v>0</v>
      </c>
      <c r="AV387" s="292">
        <f t="shared" si="151"/>
        <v>8187032</v>
      </c>
      <c r="AW387" s="292">
        <f t="shared" si="152"/>
        <v>0</v>
      </c>
      <c r="AX387" s="292">
        <f t="shared" si="153"/>
        <v>0</v>
      </c>
      <c r="AY387" s="292">
        <f t="shared" si="154"/>
        <v>0</v>
      </c>
      <c r="AZ387" s="292">
        <f t="shared" si="155"/>
        <v>0</v>
      </c>
      <c r="BA387" s="292">
        <f t="shared" si="156"/>
        <v>0</v>
      </c>
      <c r="BB387" s="292">
        <f t="shared" si="157"/>
        <v>0</v>
      </c>
      <c r="BC387" s="292">
        <f t="shared" si="158"/>
        <v>0</v>
      </c>
      <c r="BD387" s="292">
        <f t="shared" si="159"/>
        <v>0</v>
      </c>
      <c r="BE387" s="292">
        <f t="shared" si="160"/>
        <v>0</v>
      </c>
      <c r="BF387" s="292">
        <f t="shared" si="161"/>
        <v>0</v>
      </c>
      <c r="BG387" s="292">
        <f t="shared" si="162"/>
        <v>0</v>
      </c>
    </row>
    <row r="388" spans="1:59" s="289" customFormat="1" ht="15" customHeight="1">
      <c r="A388" s="63">
        <f t="array" ref="A388">IF(C388&lt;&gt;0,SUM(($C$11:C388&lt;&gt;0)*1),"")</f>
        <v>378</v>
      </c>
      <c r="B388" s="1099">
        <v>42542</v>
      </c>
      <c r="C388" s="290" t="s">
        <v>8</v>
      </c>
      <c r="D388" s="1099">
        <v>42542</v>
      </c>
      <c r="E388" s="344" t="s">
        <v>405</v>
      </c>
      <c r="F388" s="345">
        <v>8187032</v>
      </c>
      <c r="G388" s="346" t="s">
        <v>133</v>
      </c>
      <c r="H388" s="346" t="s">
        <v>31</v>
      </c>
      <c r="I388" s="63">
        <f t="shared" si="175"/>
        <v>378</v>
      </c>
      <c r="J388" s="292">
        <f t="shared" si="125"/>
        <v>0</v>
      </c>
      <c r="K388" s="292">
        <f t="shared" si="126"/>
        <v>0</v>
      </c>
      <c r="L388" s="292">
        <f t="shared" si="127"/>
        <v>0</v>
      </c>
      <c r="M388" s="292">
        <f t="shared" si="128"/>
        <v>8187032</v>
      </c>
      <c r="N388" s="292">
        <f t="shared" si="163"/>
        <v>0</v>
      </c>
      <c r="O388" s="292">
        <f t="shared" si="164"/>
        <v>0</v>
      </c>
      <c r="P388" s="292">
        <f t="shared" si="129"/>
        <v>0</v>
      </c>
      <c r="Q388" s="292">
        <f t="shared" si="130"/>
        <v>0</v>
      </c>
      <c r="R388" s="292">
        <f t="shared" si="169"/>
        <v>0</v>
      </c>
      <c r="S388" s="292">
        <f t="shared" si="170"/>
        <v>0</v>
      </c>
      <c r="T388" s="292">
        <f t="shared" si="131"/>
        <v>0</v>
      </c>
      <c r="U388" s="292">
        <f t="shared" si="132"/>
        <v>0</v>
      </c>
      <c r="V388" s="292">
        <f t="shared" si="171"/>
        <v>0</v>
      </c>
      <c r="W388" s="292">
        <f t="shared" si="172"/>
        <v>0</v>
      </c>
      <c r="X388" s="292">
        <f t="shared" si="173"/>
        <v>0</v>
      </c>
      <c r="Y388" s="292">
        <f t="shared" si="174"/>
        <v>0</v>
      </c>
      <c r="Z388" s="292">
        <f t="shared" si="165"/>
        <v>0</v>
      </c>
      <c r="AA388" s="292">
        <f t="shared" si="166"/>
        <v>0</v>
      </c>
      <c r="AB388" s="292">
        <f t="shared" si="133"/>
        <v>0</v>
      </c>
      <c r="AC388" s="292">
        <f t="shared" si="134"/>
        <v>0</v>
      </c>
      <c r="AD388" s="292">
        <f t="shared" si="135"/>
        <v>0</v>
      </c>
      <c r="AE388" s="292">
        <f t="shared" si="136"/>
        <v>0</v>
      </c>
      <c r="AF388" s="292">
        <f t="shared" si="137"/>
        <v>0</v>
      </c>
      <c r="AG388" s="292">
        <f t="shared" si="138"/>
        <v>0</v>
      </c>
      <c r="AH388" s="292">
        <f t="shared" si="139"/>
        <v>0</v>
      </c>
      <c r="AI388" s="292">
        <f t="shared" si="140"/>
        <v>0</v>
      </c>
      <c r="AJ388" s="292">
        <f t="shared" si="141"/>
        <v>0</v>
      </c>
      <c r="AK388" s="292">
        <f t="shared" si="142"/>
        <v>0</v>
      </c>
      <c r="AL388" s="292">
        <f t="shared" si="167"/>
        <v>0</v>
      </c>
      <c r="AM388" s="292">
        <f t="shared" si="168"/>
        <v>0</v>
      </c>
      <c r="AN388" s="292">
        <f t="shared" si="143"/>
        <v>0</v>
      </c>
      <c r="AO388" s="292">
        <f t="shared" si="144"/>
        <v>0</v>
      </c>
      <c r="AP388" s="292">
        <f t="shared" si="145"/>
        <v>0</v>
      </c>
      <c r="AQ388" s="292">
        <f t="shared" si="146"/>
        <v>0</v>
      </c>
      <c r="AR388" s="292">
        <f t="shared" si="147"/>
        <v>0</v>
      </c>
      <c r="AS388" s="292">
        <f t="shared" si="148"/>
        <v>0</v>
      </c>
      <c r="AT388" s="292">
        <f t="shared" si="149"/>
        <v>0</v>
      </c>
      <c r="AU388" s="292">
        <f t="shared" si="150"/>
        <v>0</v>
      </c>
      <c r="AV388" s="292">
        <f t="shared" si="151"/>
        <v>8187032</v>
      </c>
      <c r="AW388" s="292">
        <f t="shared" si="152"/>
        <v>0</v>
      </c>
      <c r="AX388" s="292">
        <f t="shared" si="153"/>
        <v>0</v>
      </c>
      <c r="AY388" s="292">
        <f t="shared" si="154"/>
        <v>0</v>
      </c>
      <c r="AZ388" s="292">
        <f t="shared" si="155"/>
        <v>0</v>
      </c>
      <c r="BA388" s="292">
        <f t="shared" si="156"/>
        <v>0</v>
      </c>
      <c r="BB388" s="292">
        <f t="shared" si="157"/>
        <v>0</v>
      </c>
      <c r="BC388" s="292">
        <f t="shared" si="158"/>
        <v>0</v>
      </c>
      <c r="BD388" s="292">
        <f t="shared" si="159"/>
        <v>0</v>
      </c>
      <c r="BE388" s="292">
        <f t="shared" si="160"/>
        <v>0</v>
      </c>
      <c r="BF388" s="292">
        <f t="shared" si="161"/>
        <v>0</v>
      </c>
      <c r="BG388" s="292">
        <f t="shared" si="162"/>
        <v>0</v>
      </c>
    </row>
    <row r="389" spans="1:59" s="289" customFormat="1" ht="15" customHeight="1">
      <c r="A389" s="63">
        <f t="array" ref="A389">IF(C389&lt;&gt;0,SUM(($C$11:C389&lt;&gt;0)*1),"")</f>
        <v>379</v>
      </c>
      <c r="B389" s="1099">
        <v>42543</v>
      </c>
      <c r="C389" s="290" t="s">
        <v>12</v>
      </c>
      <c r="D389" s="1099">
        <v>42543</v>
      </c>
      <c r="E389" s="344" t="s">
        <v>964</v>
      </c>
      <c r="F389" s="345">
        <v>1961520000</v>
      </c>
      <c r="G389" s="346" t="s">
        <v>31</v>
      </c>
      <c r="H389" s="346" t="s">
        <v>441</v>
      </c>
      <c r="I389" s="63">
        <f t="shared" si="175"/>
        <v>379</v>
      </c>
      <c r="J389" s="292">
        <f t="shared" si="125"/>
        <v>0</v>
      </c>
      <c r="K389" s="292">
        <f t="shared" si="126"/>
        <v>0</v>
      </c>
      <c r="L389" s="292">
        <f t="shared" si="127"/>
        <v>1961520000</v>
      </c>
      <c r="M389" s="292">
        <f t="shared" si="128"/>
        <v>0</v>
      </c>
      <c r="N389" s="292">
        <f t="shared" si="163"/>
        <v>0</v>
      </c>
      <c r="O389" s="292">
        <f t="shared" si="164"/>
        <v>0</v>
      </c>
      <c r="P389" s="292">
        <f t="shared" si="129"/>
        <v>0</v>
      </c>
      <c r="Q389" s="292">
        <f t="shared" si="130"/>
        <v>0</v>
      </c>
      <c r="R389" s="292">
        <f t="shared" si="169"/>
        <v>0</v>
      </c>
      <c r="S389" s="292">
        <f t="shared" si="170"/>
        <v>0</v>
      </c>
      <c r="T389" s="292">
        <f t="shared" si="131"/>
        <v>0</v>
      </c>
      <c r="U389" s="292">
        <f t="shared" si="132"/>
        <v>0</v>
      </c>
      <c r="V389" s="292">
        <f t="shared" si="171"/>
        <v>0</v>
      </c>
      <c r="W389" s="292">
        <f t="shared" si="172"/>
        <v>0</v>
      </c>
      <c r="X389" s="292">
        <f t="shared" si="173"/>
        <v>0</v>
      </c>
      <c r="Y389" s="292">
        <f t="shared" si="174"/>
        <v>0</v>
      </c>
      <c r="Z389" s="292">
        <f t="shared" si="165"/>
        <v>0</v>
      </c>
      <c r="AA389" s="292">
        <f t="shared" si="166"/>
        <v>0</v>
      </c>
      <c r="AB389" s="292">
        <f t="shared" si="133"/>
        <v>0</v>
      </c>
      <c r="AC389" s="292">
        <f t="shared" si="134"/>
        <v>0</v>
      </c>
      <c r="AD389" s="292">
        <f t="shared" si="135"/>
        <v>0</v>
      </c>
      <c r="AE389" s="292">
        <f t="shared" si="136"/>
        <v>0</v>
      </c>
      <c r="AF389" s="292">
        <f t="shared" si="137"/>
        <v>0</v>
      </c>
      <c r="AG389" s="292">
        <f t="shared" si="138"/>
        <v>0</v>
      </c>
      <c r="AH389" s="292">
        <f t="shared" si="139"/>
        <v>0</v>
      </c>
      <c r="AI389" s="292">
        <f t="shared" si="140"/>
        <v>0</v>
      </c>
      <c r="AJ389" s="292">
        <f t="shared" si="141"/>
        <v>0</v>
      </c>
      <c r="AK389" s="292">
        <f t="shared" si="142"/>
        <v>0</v>
      </c>
      <c r="AL389" s="292">
        <f t="shared" si="167"/>
        <v>0</v>
      </c>
      <c r="AM389" s="292">
        <f t="shared" si="168"/>
        <v>1961520000</v>
      </c>
      <c r="AN389" s="292">
        <f t="shared" si="143"/>
        <v>0</v>
      </c>
      <c r="AO389" s="292">
        <f t="shared" si="144"/>
        <v>0</v>
      </c>
      <c r="AP389" s="292">
        <f t="shared" si="145"/>
        <v>0</v>
      </c>
      <c r="AQ389" s="292">
        <f t="shared" si="146"/>
        <v>0</v>
      </c>
      <c r="AR389" s="292">
        <f t="shared" si="147"/>
        <v>0</v>
      </c>
      <c r="AS389" s="292">
        <f t="shared" si="148"/>
        <v>0</v>
      </c>
      <c r="AT389" s="292">
        <f t="shared" si="149"/>
        <v>0</v>
      </c>
      <c r="AU389" s="292">
        <f t="shared" si="150"/>
        <v>0</v>
      </c>
      <c r="AV389" s="292">
        <f t="shared" si="151"/>
        <v>0</v>
      </c>
      <c r="AW389" s="292">
        <f t="shared" si="152"/>
        <v>0</v>
      </c>
      <c r="AX389" s="292">
        <f t="shared" si="153"/>
        <v>0</v>
      </c>
      <c r="AY389" s="292">
        <f t="shared" si="154"/>
        <v>0</v>
      </c>
      <c r="AZ389" s="292">
        <f t="shared" si="155"/>
        <v>0</v>
      </c>
      <c r="BA389" s="292">
        <f t="shared" si="156"/>
        <v>0</v>
      </c>
      <c r="BB389" s="292">
        <f t="shared" si="157"/>
        <v>0</v>
      </c>
      <c r="BC389" s="292">
        <f t="shared" si="158"/>
        <v>0</v>
      </c>
      <c r="BD389" s="292">
        <f t="shared" si="159"/>
        <v>0</v>
      </c>
      <c r="BE389" s="292">
        <f t="shared" si="160"/>
        <v>0</v>
      </c>
      <c r="BF389" s="292">
        <f t="shared" si="161"/>
        <v>0</v>
      </c>
      <c r="BG389" s="292">
        <f t="shared" si="162"/>
        <v>0</v>
      </c>
    </row>
    <row r="390" spans="1:59" s="289" customFormat="1" ht="15" customHeight="1">
      <c r="A390" s="63">
        <f t="array" ref="A390">IF(C390&lt;&gt;0,SUM(($C$11:C390&lt;&gt;0)*1),"")</f>
        <v>380</v>
      </c>
      <c r="B390" s="1099">
        <v>42543</v>
      </c>
      <c r="C390" s="290" t="s">
        <v>8</v>
      </c>
      <c r="D390" s="1099">
        <v>42543</v>
      </c>
      <c r="E390" s="344" t="s">
        <v>405</v>
      </c>
      <c r="F390" s="345">
        <v>12280547</v>
      </c>
      <c r="G390" s="346" t="s">
        <v>133</v>
      </c>
      <c r="H390" s="346" t="s">
        <v>31</v>
      </c>
      <c r="I390" s="63">
        <f t="shared" si="175"/>
        <v>380</v>
      </c>
      <c r="J390" s="292">
        <f t="shared" si="125"/>
        <v>0</v>
      </c>
      <c r="K390" s="292">
        <f t="shared" si="126"/>
        <v>0</v>
      </c>
      <c r="L390" s="292">
        <f t="shared" si="127"/>
        <v>0</v>
      </c>
      <c r="M390" s="292">
        <f t="shared" si="128"/>
        <v>12280547</v>
      </c>
      <c r="N390" s="292">
        <f t="shared" si="163"/>
        <v>0</v>
      </c>
      <c r="O390" s="292">
        <f t="shared" si="164"/>
        <v>0</v>
      </c>
      <c r="P390" s="292">
        <f t="shared" si="129"/>
        <v>0</v>
      </c>
      <c r="Q390" s="292">
        <f t="shared" si="130"/>
        <v>0</v>
      </c>
      <c r="R390" s="292">
        <f t="shared" si="169"/>
        <v>0</v>
      </c>
      <c r="S390" s="292">
        <f t="shared" si="170"/>
        <v>0</v>
      </c>
      <c r="T390" s="292">
        <f t="shared" si="131"/>
        <v>0</v>
      </c>
      <c r="U390" s="292">
        <f t="shared" si="132"/>
        <v>0</v>
      </c>
      <c r="V390" s="292">
        <f t="shared" si="171"/>
        <v>0</v>
      </c>
      <c r="W390" s="292">
        <f t="shared" si="172"/>
        <v>0</v>
      </c>
      <c r="X390" s="292">
        <f t="shared" si="173"/>
        <v>0</v>
      </c>
      <c r="Y390" s="292">
        <f t="shared" si="174"/>
        <v>0</v>
      </c>
      <c r="Z390" s="292">
        <f t="shared" si="165"/>
        <v>0</v>
      </c>
      <c r="AA390" s="292">
        <f t="shared" si="166"/>
        <v>0</v>
      </c>
      <c r="AB390" s="292">
        <f t="shared" si="133"/>
        <v>0</v>
      </c>
      <c r="AC390" s="292">
        <f t="shared" si="134"/>
        <v>0</v>
      </c>
      <c r="AD390" s="292">
        <f t="shared" si="135"/>
        <v>0</v>
      </c>
      <c r="AE390" s="292">
        <f t="shared" si="136"/>
        <v>0</v>
      </c>
      <c r="AF390" s="292">
        <f t="shared" si="137"/>
        <v>0</v>
      </c>
      <c r="AG390" s="292">
        <f t="shared" si="138"/>
        <v>0</v>
      </c>
      <c r="AH390" s="292">
        <f t="shared" si="139"/>
        <v>0</v>
      </c>
      <c r="AI390" s="292">
        <f t="shared" si="140"/>
        <v>0</v>
      </c>
      <c r="AJ390" s="292">
        <f t="shared" si="141"/>
        <v>0</v>
      </c>
      <c r="AK390" s="292">
        <f t="shared" si="142"/>
        <v>0</v>
      </c>
      <c r="AL390" s="292">
        <f t="shared" si="167"/>
        <v>0</v>
      </c>
      <c r="AM390" s="292">
        <f t="shared" si="168"/>
        <v>0</v>
      </c>
      <c r="AN390" s="292">
        <f t="shared" si="143"/>
        <v>0</v>
      </c>
      <c r="AO390" s="292">
        <f t="shared" si="144"/>
        <v>0</v>
      </c>
      <c r="AP390" s="292">
        <f t="shared" si="145"/>
        <v>0</v>
      </c>
      <c r="AQ390" s="292">
        <f t="shared" si="146"/>
        <v>0</v>
      </c>
      <c r="AR390" s="292">
        <f t="shared" si="147"/>
        <v>0</v>
      </c>
      <c r="AS390" s="292">
        <f t="shared" si="148"/>
        <v>0</v>
      </c>
      <c r="AT390" s="292">
        <f t="shared" si="149"/>
        <v>0</v>
      </c>
      <c r="AU390" s="292">
        <f t="shared" si="150"/>
        <v>0</v>
      </c>
      <c r="AV390" s="292">
        <f t="shared" si="151"/>
        <v>12280547</v>
      </c>
      <c r="AW390" s="292">
        <f t="shared" si="152"/>
        <v>0</v>
      </c>
      <c r="AX390" s="292">
        <f t="shared" si="153"/>
        <v>0</v>
      </c>
      <c r="AY390" s="292">
        <f t="shared" si="154"/>
        <v>0</v>
      </c>
      <c r="AZ390" s="292">
        <f t="shared" si="155"/>
        <v>0</v>
      </c>
      <c r="BA390" s="292">
        <f t="shared" si="156"/>
        <v>0</v>
      </c>
      <c r="BB390" s="292">
        <f t="shared" si="157"/>
        <v>0</v>
      </c>
      <c r="BC390" s="292">
        <f t="shared" si="158"/>
        <v>0</v>
      </c>
      <c r="BD390" s="292">
        <f t="shared" si="159"/>
        <v>0</v>
      </c>
      <c r="BE390" s="292">
        <f t="shared" si="160"/>
        <v>0</v>
      </c>
      <c r="BF390" s="292">
        <f t="shared" si="161"/>
        <v>0</v>
      </c>
      <c r="BG390" s="292">
        <f t="shared" si="162"/>
        <v>0</v>
      </c>
    </row>
    <row r="391" spans="1:59" s="289" customFormat="1" ht="15" customHeight="1">
      <c r="A391" s="63">
        <f t="array" ref="A391">IF(C391&lt;&gt;0,SUM(($C$11:C391&lt;&gt;0)*1),"")</f>
        <v>381</v>
      </c>
      <c r="B391" s="1099">
        <v>42543</v>
      </c>
      <c r="C391" s="290" t="s">
        <v>8</v>
      </c>
      <c r="D391" s="1099">
        <v>42543</v>
      </c>
      <c r="E391" s="344" t="s">
        <v>1008</v>
      </c>
      <c r="F391" s="345">
        <v>8000000</v>
      </c>
      <c r="G391" s="346" t="s">
        <v>24</v>
      </c>
      <c r="H391" s="346" t="s">
        <v>31</v>
      </c>
      <c r="I391" s="63">
        <f t="shared" si="175"/>
        <v>381</v>
      </c>
      <c r="J391" s="292">
        <f t="shared" ref="J391:J449" si="176">IF($G391="1111",$F391,0)</f>
        <v>0</v>
      </c>
      <c r="K391" s="292">
        <f t="shared" ref="K391:K449" si="177">IF($H391="1111",$F391,0)</f>
        <v>0</v>
      </c>
      <c r="L391" s="292">
        <f t="shared" ref="L391:L449" si="178">IF($G391="1121",$F391,0)</f>
        <v>0</v>
      </c>
      <c r="M391" s="292">
        <f t="shared" ref="M391:M449" si="179">IF($H391="1121",$F391,0)</f>
        <v>8000000</v>
      </c>
      <c r="N391" s="292">
        <f t="shared" si="163"/>
        <v>0</v>
      </c>
      <c r="O391" s="292">
        <f t="shared" si="164"/>
        <v>0</v>
      </c>
      <c r="P391" s="292">
        <f t="shared" ref="P391:P449" si="180">IF($G391="1331",$F391,0)</f>
        <v>0</v>
      </c>
      <c r="Q391" s="292">
        <f t="shared" ref="Q391:Q449" si="181">IF($H391="1331",$F391,0)</f>
        <v>0</v>
      </c>
      <c r="R391" s="292">
        <f t="shared" si="169"/>
        <v>0</v>
      </c>
      <c r="S391" s="292">
        <f t="shared" si="170"/>
        <v>0</v>
      </c>
      <c r="T391" s="292">
        <f t="shared" ref="T391:T449" si="182">IF($G391="1388",$F391,0)</f>
        <v>0</v>
      </c>
      <c r="U391" s="292">
        <f t="shared" ref="U391:U449" si="183">IF($H391="1388",$F391,0)</f>
        <v>0</v>
      </c>
      <c r="V391" s="292">
        <f t="shared" si="171"/>
        <v>0</v>
      </c>
      <c r="W391" s="292">
        <f t="shared" si="172"/>
        <v>0</v>
      </c>
      <c r="X391" s="292">
        <f t="shared" si="173"/>
        <v>0</v>
      </c>
      <c r="Y391" s="292">
        <f t="shared" si="174"/>
        <v>0</v>
      </c>
      <c r="Z391" s="292">
        <f t="shared" si="165"/>
        <v>0</v>
      </c>
      <c r="AA391" s="292">
        <f t="shared" si="166"/>
        <v>0</v>
      </c>
      <c r="AB391" s="292">
        <f t="shared" ref="AB391:AB449" si="184">IF($G391="331",$F391,0)</f>
        <v>0</v>
      </c>
      <c r="AC391" s="292">
        <f t="shared" ref="AC391:AC449" si="185">IF($H391="331",$F391,0)</f>
        <v>0</v>
      </c>
      <c r="AD391" s="292">
        <f t="shared" ref="AD391:AD449" si="186">IF($G391="3334",$F391,0)</f>
        <v>0</v>
      </c>
      <c r="AE391" s="292">
        <f t="shared" ref="AE391:AE449" si="187">IF($H391="3334",$F391,0)</f>
        <v>0</v>
      </c>
      <c r="AF391" s="292">
        <f t="shared" ref="AF391:AF449" si="188">IF($G391="33382",$F391,0)</f>
        <v>0</v>
      </c>
      <c r="AG391" s="292">
        <f t="shared" ref="AG391:AG449" si="189">IF($H391="33382",$F391,0)</f>
        <v>0</v>
      </c>
      <c r="AH391" s="292">
        <f t="shared" ref="AH391:AH449" si="190">IF($G391="3388",$F391,0)</f>
        <v>8000000</v>
      </c>
      <c r="AI391" s="292">
        <f t="shared" ref="AI391:AI449" si="191">IF($H391="3388",$F391,0)</f>
        <v>0</v>
      </c>
      <c r="AJ391" s="292">
        <f t="shared" ref="AJ391:AJ449" si="192">IF($G391="3411",$F391,0)</f>
        <v>0</v>
      </c>
      <c r="AK391" s="292">
        <f t="shared" ref="AK391:AK449" si="193">IF($H391="3411",$F391,0)</f>
        <v>0</v>
      </c>
      <c r="AL391" s="292">
        <f t="shared" si="167"/>
        <v>0</v>
      </c>
      <c r="AM391" s="292">
        <f t="shared" si="168"/>
        <v>0</v>
      </c>
      <c r="AN391" s="292">
        <f t="shared" ref="AN391:AN449" si="194">IF($G391="4111",$F391,0)</f>
        <v>0</v>
      </c>
      <c r="AO391" s="292">
        <f t="shared" ref="AO391:AO449" si="195">IF($H391="4111",$F391,0)</f>
        <v>0</v>
      </c>
      <c r="AP391" s="292">
        <f t="shared" ref="AP391:AP449" si="196">IF($G391="4211",$F391,0)</f>
        <v>0</v>
      </c>
      <c r="AQ391" s="292">
        <f t="shared" ref="AQ391:AQ449" si="197">IF($H391="4211",$F391,0)</f>
        <v>0</v>
      </c>
      <c r="AR391" s="292">
        <f t="shared" ref="AR391:AR449" si="198">IF($G391="4212",$F391,0)</f>
        <v>0</v>
      </c>
      <c r="AS391" s="292">
        <f t="shared" ref="AS391:AS449" si="199">IF($H391="4212",$F391,0)</f>
        <v>0</v>
      </c>
      <c r="AT391" s="292">
        <f t="shared" ref="AT391:AT449" si="200">IF($G391="515",$F391,0)</f>
        <v>0</v>
      </c>
      <c r="AU391" s="292">
        <f t="shared" ref="AU391:AU449" si="201">IF($H391="515",$F391,0)</f>
        <v>0</v>
      </c>
      <c r="AV391" s="292">
        <f t="shared" ref="AV391:AV449" si="202">IF($G391="635",$F391,0)</f>
        <v>0</v>
      </c>
      <c r="AW391" s="292">
        <f t="shared" ref="AW391:AW449" si="203">IF($H391="635",$F391,0)</f>
        <v>0</v>
      </c>
      <c r="AX391" s="292">
        <f t="shared" ref="AX391:AX449" si="204">IF($G391="642",$F391,0)</f>
        <v>0</v>
      </c>
      <c r="AY391" s="292">
        <f t="shared" ref="AY391:AY449" si="205">IF($H391="642",$F391,0)</f>
        <v>0</v>
      </c>
      <c r="AZ391" s="292">
        <f t="shared" ref="AZ391:AZ449" si="206">IF($G391="711",$F391,0)</f>
        <v>0</v>
      </c>
      <c r="BA391" s="292">
        <f t="shared" ref="BA391:BA449" si="207">IF($H391="711",$F391,0)</f>
        <v>0</v>
      </c>
      <c r="BB391" s="292">
        <f t="shared" ref="BB391:BB449" si="208">IF($G391="811",$F391,0)</f>
        <v>0</v>
      </c>
      <c r="BC391" s="292">
        <f t="shared" ref="BC391:BC449" si="209">IF($H391="811",$F391,0)</f>
        <v>0</v>
      </c>
      <c r="BD391" s="292">
        <f t="shared" ref="BD391:BD449" si="210">IF($G391="821",$F391,0)</f>
        <v>0</v>
      </c>
      <c r="BE391" s="292">
        <f t="shared" ref="BE391:BE449" si="211">IF($H391="821",$F391,0)</f>
        <v>0</v>
      </c>
      <c r="BF391" s="292">
        <f t="shared" ref="BF391:BF449" si="212">IF($G391="911",$F391,0)</f>
        <v>0</v>
      </c>
      <c r="BG391" s="292">
        <f t="shared" ref="BG391:BG449" si="213">IF($H391="911",$F391,0)</f>
        <v>0</v>
      </c>
    </row>
    <row r="392" spans="1:59" s="289" customFormat="1" ht="15" customHeight="1">
      <c r="A392" s="63">
        <f t="array" ref="A392">IF(C392&lt;&gt;0,SUM(($C$11:C392&lt;&gt;0)*1),"")</f>
        <v>382</v>
      </c>
      <c r="B392" s="1099">
        <v>42543</v>
      </c>
      <c r="C392" s="290" t="s">
        <v>8</v>
      </c>
      <c r="D392" s="1099">
        <v>42543</v>
      </c>
      <c r="E392" s="344" t="s">
        <v>1008</v>
      </c>
      <c r="F392" s="345">
        <v>7000000</v>
      </c>
      <c r="G392" s="346" t="s">
        <v>24</v>
      </c>
      <c r="H392" s="346" t="s">
        <v>31</v>
      </c>
      <c r="I392" s="63">
        <f t="shared" si="175"/>
        <v>382</v>
      </c>
      <c r="J392" s="292">
        <f t="shared" si="176"/>
        <v>0</v>
      </c>
      <c r="K392" s="292">
        <f t="shared" si="177"/>
        <v>0</v>
      </c>
      <c r="L392" s="292">
        <f t="shared" si="178"/>
        <v>0</v>
      </c>
      <c r="M392" s="292">
        <f t="shared" si="179"/>
        <v>7000000</v>
      </c>
      <c r="N392" s="292">
        <f t="shared" ref="N392:N449" si="214">IF($G392="1122",$F392,0)</f>
        <v>0</v>
      </c>
      <c r="O392" s="292">
        <f t="shared" ref="O392:O449" si="215">IF($H392="1122",$F392,0)</f>
        <v>0</v>
      </c>
      <c r="P392" s="292">
        <f t="shared" si="180"/>
        <v>0</v>
      </c>
      <c r="Q392" s="292">
        <f t="shared" si="181"/>
        <v>0</v>
      </c>
      <c r="R392" s="292">
        <f t="shared" si="169"/>
        <v>0</v>
      </c>
      <c r="S392" s="292">
        <f t="shared" si="170"/>
        <v>0</v>
      </c>
      <c r="T392" s="292">
        <f t="shared" si="182"/>
        <v>0</v>
      </c>
      <c r="U392" s="292">
        <f t="shared" si="183"/>
        <v>0</v>
      </c>
      <c r="V392" s="292">
        <f t="shared" si="171"/>
        <v>0</v>
      </c>
      <c r="W392" s="292">
        <f t="shared" si="172"/>
        <v>0</v>
      </c>
      <c r="X392" s="292">
        <f t="shared" si="173"/>
        <v>0</v>
      </c>
      <c r="Y392" s="292">
        <f t="shared" si="174"/>
        <v>0</v>
      </c>
      <c r="Z392" s="292">
        <f t="shared" ref="Z392:Z449" si="216">IF($G392="2412",$F392,0)</f>
        <v>0</v>
      </c>
      <c r="AA392" s="292">
        <f t="shared" ref="AA392:AA449" si="217">IF($H392="2412",$F392,0)</f>
        <v>0</v>
      </c>
      <c r="AB392" s="292">
        <f t="shared" si="184"/>
        <v>0</v>
      </c>
      <c r="AC392" s="292">
        <f t="shared" si="185"/>
        <v>0</v>
      </c>
      <c r="AD392" s="292">
        <f t="shared" si="186"/>
        <v>0</v>
      </c>
      <c r="AE392" s="292">
        <f t="shared" si="187"/>
        <v>0</v>
      </c>
      <c r="AF392" s="292">
        <f t="shared" si="188"/>
        <v>0</v>
      </c>
      <c r="AG392" s="292">
        <f t="shared" si="189"/>
        <v>0</v>
      </c>
      <c r="AH392" s="292">
        <f t="shared" si="190"/>
        <v>7000000</v>
      </c>
      <c r="AI392" s="292">
        <f t="shared" si="191"/>
        <v>0</v>
      </c>
      <c r="AJ392" s="292">
        <f t="shared" si="192"/>
        <v>0</v>
      </c>
      <c r="AK392" s="292">
        <f t="shared" si="193"/>
        <v>0</v>
      </c>
      <c r="AL392" s="292">
        <f t="shared" ref="AL392:AL449" si="218">IF($G392="3412",$F392,0)</f>
        <v>0</v>
      </c>
      <c r="AM392" s="292">
        <f t="shared" ref="AM392:AM449" si="219">IF($H392="3412",$F392,0)</f>
        <v>0</v>
      </c>
      <c r="AN392" s="292">
        <f t="shared" si="194"/>
        <v>0</v>
      </c>
      <c r="AO392" s="292">
        <f t="shared" si="195"/>
        <v>0</v>
      </c>
      <c r="AP392" s="292">
        <f t="shared" si="196"/>
        <v>0</v>
      </c>
      <c r="AQ392" s="292">
        <f t="shared" si="197"/>
        <v>0</v>
      </c>
      <c r="AR392" s="292">
        <f t="shared" si="198"/>
        <v>0</v>
      </c>
      <c r="AS392" s="292">
        <f t="shared" si="199"/>
        <v>0</v>
      </c>
      <c r="AT392" s="292">
        <f t="shared" si="200"/>
        <v>0</v>
      </c>
      <c r="AU392" s="292">
        <f t="shared" si="201"/>
        <v>0</v>
      </c>
      <c r="AV392" s="292">
        <f t="shared" si="202"/>
        <v>0</v>
      </c>
      <c r="AW392" s="292">
        <f t="shared" si="203"/>
        <v>0</v>
      </c>
      <c r="AX392" s="292">
        <f t="shared" si="204"/>
        <v>0</v>
      </c>
      <c r="AY392" s="292">
        <f t="shared" si="205"/>
        <v>0</v>
      </c>
      <c r="AZ392" s="292">
        <f t="shared" si="206"/>
        <v>0</v>
      </c>
      <c r="BA392" s="292">
        <f t="shared" si="207"/>
        <v>0</v>
      </c>
      <c r="BB392" s="292">
        <f t="shared" si="208"/>
        <v>0</v>
      </c>
      <c r="BC392" s="292">
        <f t="shared" si="209"/>
        <v>0</v>
      </c>
      <c r="BD392" s="292">
        <f t="shared" si="210"/>
        <v>0</v>
      </c>
      <c r="BE392" s="292">
        <f t="shared" si="211"/>
        <v>0</v>
      </c>
      <c r="BF392" s="292">
        <f t="shared" si="212"/>
        <v>0</v>
      </c>
      <c r="BG392" s="292">
        <f t="shared" si="213"/>
        <v>0</v>
      </c>
    </row>
    <row r="393" spans="1:59" s="289" customFormat="1" ht="15" customHeight="1">
      <c r="A393" s="63">
        <f t="array" ref="A393">IF(C393&lt;&gt;0,SUM(($C$11:C393&lt;&gt;0)*1),"")</f>
        <v>383</v>
      </c>
      <c r="B393" s="1099">
        <v>42543</v>
      </c>
      <c r="C393" s="290" t="s">
        <v>8</v>
      </c>
      <c r="D393" s="1099">
        <v>42543</v>
      </c>
      <c r="E393" s="344" t="s">
        <v>790</v>
      </c>
      <c r="F393" s="345">
        <v>20000</v>
      </c>
      <c r="G393" s="346" t="s">
        <v>135</v>
      </c>
      <c r="H393" s="346" t="s">
        <v>31</v>
      </c>
      <c r="I393" s="63">
        <f t="shared" si="175"/>
        <v>383</v>
      </c>
      <c r="J393" s="292">
        <f t="shared" si="176"/>
        <v>0</v>
      </c>
      <c r="K393" s="292">
        <f t="shared" si="177"/>
        <v>0</v>
      </c>
      <c r="L393" s="292">
        <f t="shared" si="178"/>
        <v>0</v>
      </c>
      <c r="M393" s="292">
        <f t="shared" si="179"/>
        <v>20000</v>
      </c>
      <c r="N393" s="292">
        <f t="shared" si="214"/>
        <v>0</v>
      </c>
      <c r="O393" s="292">
        <f t="shared" si="215"/>
        <v>0</v>
      </c>
      <c r="P393" s="292">
        <f t="shared" si="180"/>
        <v>0</v>
      </c>
      <c r="Q393" s="292">
        <f t="shared" si="181"/>
        <v>0</v>
      </c>
      <c r="R393" s="292">
        <f t="shared" si="169"/>
        <v>0</v>
      </c>
      <c r="S393" s="292">
        <f t="shared" si="170"/>
        <v>0</v>
      </c>
      <c r="T393" s="292">
        <f t="shared" si="182"/>
        <v>0</v>
      </c>
      <c r="U393" s="292">
        <f t="shared" si="183"/>
        <v>0</v>
      </c>
      <c r="V393" s="292">
        <f t="shared" si="171"/>
        <v>0</v>
      </c>
      <c r="W393" s="292">
        <f t="shared" si="172"/>
        <v>0</v>
      </c>
      <c r="X393" s="292">
        <f t="shared" si="173"/>
        <v>0</v>
      </c>
      <c r="Y393" s="292">
        <f t="shared" si="174"/>
        <v>0</v>
      </c>
      <c r="Z393" s="292">
        <f t="shared" si="216"/>
        <v>0</v>
      </c>
      <c r="AA393" s="292">
        <f t="shared" si="217"/>
        <v>0</v>
      </c>
      <c r="AB393" s="292">
        <f t="shared" si="184"/>
        <v>0</v>
      </c>
      <c r="AC393" s="292">
        <f t="shared" si="185"/>
        <v>0</v>
      </c>
      <c r="AD393" s="292">
        <f t="shared" si="186"/>
        <v>0</v>
      </c>
      <c r="AE393" s="292">
        <f t="shared" si="187"/>
        <v>0</v>
      </c>
      <c r="AF393" s="292">
        <f t="shared" si="188"/>
        <v>0</v>
      </c>
      <c r="AG393" s="292">
        <f t="shared" si="189"/>
        <v>0</v>
      </c>
      <c r="AH393" s="292">
        <f t="shared" si="190"/>
        <v>0</v>
      </c>
      <c r="AI393" s="292">
        <f t="shared" si="191"/>
        <v>0</v>
      </c>
      <c r="AJ393" s="292">
        <f t="shared" si="192"/>
        <v>0</v>
      </c>
      <c r="AK393" s="292">
        <f t="shared" si="193"/>
        <v>0</v>
      </c>
      <c r="AL393" s="292">
        <f t="shared" si="218"/>
        <v>0</v>
      </c>
      <c r="AM393" s="292">
        <f t="shared" si="219"/>
        <v>0</v>
      </c>
      <c r="AN393" s="292">
        <f t="shared" si="194"/>
        <v>0</v>
      </c>
      <c r="AO393" s="292">
        <f t="shared" si="195"/>
        <v>0</v>
      </c>
      <c r="AP393" s="292">
        <f t="shared" si="196"/>
        <v>0</v>
      </c>
      <c r="AQ393" s="292">
        <f t="shared" si="197"/>
        <v>0</v>
      </c>
      <c r="AR393" s="292">
        <f t="shared" si="198"/>
        <v>0</v>
      </c>
      <c r="AS393" s="292">
        <f t="shared" si="199"/>
        <v>0</v>
      </c>
      <c r="AT393" s="292">
        <f t="shared" si="200"/>
        <v>0</v>
      </c>
      <c r="AU393" s="292">
        <f t="shared" si="201"/>
        <v>0</v>
      </c>
      <c r="AV393" s="292">
        <f t="shared" si="202"/>
        <v>0</v>
      </c>
      <c r="AW393" s="292">
        <f t="shared" si="203"/>
        <v>0</v>
      </c>
      <c r="AX393" s="292">
        <f t="shared" si="204"/>
        <v>20000</v>
      </c>
      <c r="AY393" s="292">
        <f t="shared" si="205"/>
        <v>0</v>
      </c>
      <c r="AZ393" s="292">
        <f t="shared" si="206"/>
        <v>0</v>
      </c>
      <c r="BA393" s="292">
        <f t="shared" si="207"/>
        <v>0</v>
      </c>
      <c r="BB393" s="292">
        <f t="shared" si="208"/>
        <v>0</v>
      </c>
      <c r="BC393" s="292">
        <f t="shared" si="209"/>
        <v>0</v>
      </c>
      <c r="BD393" s="292">
        <f t="shared" si="210"/>
        <v>0</v>
      </c>
      <c r="BE393" s="292">
        <f t="shared" si="211"/>
        <v>0</v>
      </c>
      <c r="BF393" s="292">
        <f t="shared" si="212"/>
        <v>0</v>
      </c>
      <c r="BG393" s="292">
        <f t="shared" si="213"/>
        <v>0</v>
      </c>
    </row>
    <row r="394" spans="1:59" s="289" customFormat="1" ht="15" customHeight="1">
      <c r="A394" s="63">
        <f t="array" ref="A394">IF(C394&lt;&gt;0,SUM(($C$11:C394&lt;&gt;0)*1),"")</f>
        <v>384</v>
      </c>
      <c r="B394" s="1099">
        <v>42543</v>
      </c>
      <c r="C394" s="290" t="s">
        <v>8</v>
      </c>
      <c r="D394" s="1099">
        <v>42543</v>
      </c>
      <c r="E394" s="344" t="s">
        <v>791</v>
      </c>
      <c r="F394" s="345">
        <v>2000</v>
      </c>
      <c r="G394" s="346" t="s">
        <v>10</v>
      </c>
      <c r="H394" s="346" t="s">
        <v>31</v>
      </c>
      <c r="I394" s="63">
        <f t="shared" si="175"/>
        <v>384</v>
      </c>
      <c r="J394" s="292">
        <f t="shared" si="176"/>
        <v>0</v>
      </c>
      <c r="K394" s="292">
        <f t="shared" si="177"/>
        <v>0</v>
      </c>
      <c r="L394" s="292">
        <f t="shared" si="178"/>
        <v>0</v>
      </c>
      <c r="M394" s="292">
        <f t="shared" si="179"/>
        <v>2000</v>
      </c>
      <c r="N394" s="292">
        <f t="shared" si="214"/>
        <v>0</v>
      </c>
      <c r="O394" s="292">
        <f t="shared" si="215"/>
        <v>0</v>
      </c>
      <c r="P394" s="292">
        <f t="shared" si="180"/>
        <v>2000</v>
      </c>
      <c r="Q394" s="292">
        <f t="shared" si="181"/>
        <v>0</v>
      </c>
      <c r="R394" s="292">
        <f t="shared" si="169"/>
        <v>0</v>
      </c>
      <c r="S394" s="292">
        <f t="shared" si="170"/>
        <v>0</v>
      </c>
      <c r="T394" s="292">
        <f t="shared" si="182"/>
        <v>0</v>
      </c>
      <c r="U394" s="292">
        <f t="shared" si="183"/>
        <v>0</v>
      </c>
      <c r="V394" s="292">
        <f t="shared" si="171"/>
        <v>0</v>
      </c>
      <c r="W394" s="292">
        <f t="shared" si="172"/>
        <v>0</v>
      </c>
      <c r="X394" s="292">
        <f t="shared" si="173"/>
        <v>0</v>
      </c>
      <c r="Y394" s="292">
        <f t="shared" si="174"/>
        <v>0</v>
      </c>
      <c r="Z394" s="292">
        <f t="shared" si="216"/>
        <v>0</v>
      </c>
      <c r="AA394" s="292">
        <f t="shared" si="217"/>
        <v>0</v>
      </c>
      <c r="AB394" s="292">
        <f t="shared" si="184"/>
        <v>0</v>
      </c>
      <c r="AC394" s="292">
        <f t="shared" si="185"/>
        <v>0</v>
      </c>
      <c r="AD394" s="292">
        <f t="shared" si="186"/>
        <v>0</v>
      </c>
      <c r="AE394" s="292">
        <f t="shared" si="187"/>
        <v>0</v>
      </c>
      <c r="AF394" s="292">
        <f t="shared" si="188"/>
        <v>0</v>
      </c>
      <c r="AG394" s="292">
        <f t="shared" si="189"/>
        <v>0</v>
      </c>
      <c r="AH394" s="292">
        <f t="shared" si="190"/>
        <v>0</v>
      </c>
      <c r="AI394" s="292">
        <f t="shared" si="191"/>
        <v>0</v>
      </c>
      <c r="AJ394" s="292">
        <f t="shared" si="192"/>
        <v>0</v>
      </c>
      <c r="AK394" s="292">
        <f t="shared" si="193"/>
        <v>0</v>
      </c>
      <c r="AL394" s="292">
        <f t="shared" si="218"/>
        <v>0</v>
      </c>
      <c r="AM394" s="292">
        <f t="shared" si="219"/>
        <v>0</v>
      </c>
      <c r="AN394" s="292">
        <f t="shared" si="194"/>
        <v>0</v>
      </c>
      <c r="AO394" s="292">
        <f t="shared" si="195"/>
        <v>0</v>
      </c>
      <c r="AP394" s="292">
        <f t="shared" si="196"/>
        <v>0</v>
      </c>
      <c r="AQ394" s="292">
        <f t="shared" si="197"/>
        <v>0</v>
      </c>
      <c r="AR394" s="292">
        <f t="shared" si="198"/>
        <v>0</v>
      </c>
      <c r="AS394" s="292">
        <f t="shared" si="199"/>
        <v>0</v>
      </c>
      <c r="AT394" s="292">
        <f t="shared" si="200"/>
        <v>0</v>
      </c>
      <c r="AU394" s="292">
        <f t="shared" si="201"/>
        <v>0</v>
      </c>
      <c r="AV394" s="292">
        <f t="shared" si="202"/>
        <v>0</v>
      </c>
      <c r="AW394" s="292">
        <f t="shared" si="203"/>
        <v>0</v>
      </c>
      <c r="AX394" s="292">
        <f t="shared" si="204"/>
        <v>0</v>
      </c>
      <c r="AY394" s="292">
        <f t="shared" si="205"/>
        <v>0</v>
      </c>
      <c r="AZ394" s="292">
        <f t="shared" si="206"/>
        <v>0</v>
      </c>
      <c r="BA394" s="292">
        <f t="shared" si="207"/>
        <v>0</v>
      </c>
      <c r="BB394" s="292">
        <f t="shared" si="208"/>
        <v>0</v>
      </c>
      <c r="BC394" s="292">
        <f t="shared" si="209"/>
        <v>0</v>
      </c>
      <c r="BD394" s="292">
        <f t="shared" si="210"/>
        <v>0</v>
      </c>
      <c r="BE394" s="292">
        <f t="shared" si="211"/>
        <v>0</v>
      </c>
      <c r="BF394" s="292">
        <f t="shared" si="212"/>
        <v>0</v>
      </c>
      <c r="BG394" s="292">
        <f t="shared" si="213"/>
        <v>0</v>
      </c>
    </row>
    <row r="395" spans="1:59" s="289" customFormat="1" ht="15" customHeight="1">
      <c r="A395" s="63">
        <f t="array" ref="A395">IF(C395&lt;&gt;0,SUM(($C$11:C395&lt;&gt;0)*1),"")</f>
        <v>385</v>
      </c>
      <c r="B395" s="1099">
        <v>42544</v>
      </c>
      <c r="C395" s="290" t="s">
        <v>836</v>
      </c>
      <c r="D395" s="1099">
        <v>42544</v>
      </c>
      <c r="E395" s="344" t="s">
        <v>967</v>
      </c>
      <c r="F395" s="345">
        <v>1960000000</v>
      </c>
      <c r="G395" s="346" t="s">
        <v>24</v>
      </c>
      <c r="H395" s="346" t="s">
        <v>97</v>
      </c>
      <c r="I395" s="63">
        <f t="shared" si="175"/>
        <v>385</v>
      </c>
      <c r="J395" s="292">
        <f t="shared" si="176"/>
        <v>0</v>
      </c>
      <c r="K395" s="292">
        <f t="shared" si="177"/>
        <v>1960000000</v>
      </c>
      <c r="L395" s="292">
        <f t="shared" si="178"/>
        <v>0</v>
      </c>
      <c r="M395" s="292">
        <f t="shared" si="179"/>
        <v>0</v>
      </c>
      <c r="N395" s="292">
        <f t="shared" si="214"/>
        <v>0</v>
      </c>
      <c r="O395" s="292">
        <f t="shared" si="215"/>
        <v>0</v>
      </c>
      <c r="P395" s="292">
        <f t="shared" si="180"/>
        <v>0</v>
      </c>
      <c r="Q395" s="292">
        <f t="shared" si="181"/>
        <v>0</v>
      </c>
      <c r="R395" s="292">
        <f t="shared" si="169"/>
        <v>0</v>
      </c>
      <c r="S395" s="292">
        <f t="shared" si="170"/>
        <v>0</v>
      </c>
      <c r="T395" s="292">
        <f t="shared" si="182"/>
        <v>0</v>
      </c>
      <c r="U395" s="292">
        <f t="shared" si="183"/>
        <v>0</v>
      </c>
      <c r="V395" s="292">
        <f t="shared" si="171"/>
        <v>0</v>
      </c>
      <c r="W395" s="292">
        <f t="shared" si="172"/>
        <v>0</v>
      </c>
      <c r="X395" s="292">
        <f t="shared" si="173"/>
        <v>0</v>
      </c>
      <c r="Y395" s="292">
        <f t="shared" si="174"/>
        <v>0</v>
      </c>
      <c r="Z395" s="292">
        <f t="shared" si="216"/>
        <v>0</v>
      </c>
      <c r="AA395" s="292">
        <f t="shared" si="217"/>
        <v>0</v>
      </c>
      <c r="AB395" s="292">
        <f t="shared" si="184"/>
        <v>0</v>
      </c>
      <c r="AC395" s="292">
        <f t="shared" si="185"/>
        <v>0</v>
      </c>
      <c r="AD395" s="292">
        <f t="shared" si="186"/>
        <v>0</v>
      </c>
      <c r="AE395" s="292">
        <f t="shared" si="187"/>
        <v>0</v>
      </c>
      <c r="AF395" s="292">
        <f t="shared" si="188"/>
        <v>0</v>
      </c>
      <c r="AG395" s="292">
        <f t="shared" si="189"/>
        <v>0</v>
      </c>
      <c r="AH395" s="292">
        <f t="shared" si="190"/>
        <v>1960000000</v>
      </c>
      <c r="AI395" s="292">
        <f t="shared" si="191"/>
        <v>0</v>
      </c>
      <c r="AJ395" s="292">
        <f t="shared" si="192"/>
        <v>0</v>
      </c>
      <c r="AK395" s="292">
        <f t="shared" si="193"/>
        <v>0</v>
      </c>
      <c r="AL395" s="292">
        <f t="shared" si="218"/>
        <v>0</v>
      </c>
      <c r="AM395" s="292">
        <f t="shared" si="219"/>
        <v>0</v>
      </c>
      <c r="AN395" s="292">
        <f t="shared" si="194"/>
        <v>0</v>
      </c>
      <c r="AO395" s="292">
        <f t="shared" si="195"/>
        <v>0</v>
      </c>
      <c r="AP395" s="292">
        <f t="shared" si="196"/>
        <v>0</v>
      </c>
      <c r="AQ395" s="292">
        <f t="shared" si="197"/>
        <v>0</v>
      </c>
      <c r="AR395" s="292">
        <f t="shared" si="198"/>
        <v>0</v>
      </c>
      <c r="AS395" s="292">
        <f t="shared" si="199"/>
        <v>0</v>
      </c>
      <c r="AT395" s="292">
        <f t="shared" si="200"/>
        <v>0</v>
      </c>
      <c r="AU395" s="292">
        <f t="shared" si="201"/>
        <v>0</v>
      </c>
      <c r="AV395" s="292">
        <f t="shared" si="202"/>
        <v>0</v>
      </c>
      <c r="AW395" s="292">
        <f t="shared" si="203"/>
        <v>0</v>
      </c>
      <c r="AX395" s="292">
        <f t="shared" si="204"/>
        <v>0</v>
      </c>
      <c r="AY395" s="292">
        <f t="shared" si="205"/>
        <v>0</v>
      </c>
      <c r="AZ395" s="292">
        <f t="shared" si="206"/>
        <v>0</v>
      </c>
      <c r="BA395" s="292">
        <f t="shared" si="207"/>
        <v>0</v>
      </c>
      <c r="BB395" s="292">
        <f t="shared" si="208"/>
        <v>0</v>
      </c>
      <c r="BC395" s="292">
        <f t="shared" si="209"/>
        <v>0</v>
      </c>
      <c r="BD395" s="292">
        <f t="shared" si="210"/>
        <v>0</v>
      </c>
      <c r="BE395" s="292">
        <f t="shared" si="211"/>
        <v>0</v>
      </c>
      <c r="BF395" s="292">
        <f t="shared" si="212"/>
        <v>0</v>
      </c>
      <c r="BG395" s="292">
        <f t="shared" si="213"/>
        <v>0</v>
      </c>
    </row>
    <row r="396" spans="1:59" s="289" customFormat="1" ht="15" customHeight="1">
      <c r="A396" s="63">
        <f t="array" ref="A396">IF(C396&lt;&gt;0,SUM(($C$11:C396&lt;&gt;0)*1),"")</f>
        <v>386</v>
      </c>
      <c r="B396" s="1099">
        <v>42544</v>
      </c>
      <c r="C396" s="290" t="s">
        <v>842</v>
      </c>
      <c r="D396" s="1099">
        <v>42544</v>
      </c>
      <c r="E396" s="344" t="s">
        <v>986</v>
      </c>
      <c r="F396" s="345">
        <v>419000</v>
      </c>
      <c r="G396" s="346" t="s">
        <v>135</v>
      </c>
      <c r="H396" s="346" t="s">
        <v>97</v>
      </c>
      <c r="I396" s="63">
        <f t="shared" si="175"/>
        <v>386</v>
      </c>
      <c r="J396" s="292">
        <f t="shared" si="176"/>
        <v>0</v>
      </c>
      <c r="K396" s="292">
        <f t="shared" si="177"/>
        <v>419000</v>
      </c>
      <c r="L396" s="292">
        <f t="shared" si="178"/>
        <v>0</v>
      </c>
      <c r="M396" s="292">
        <f t="shared" si="179"/>
        <v>0</v>
      </c>
      <c r="N396" s="292">
        <f t="shared" si="214"/>
        <v>0</v>
      </c>
      <c r="O396" s="292">
        <f t="shared" si="215"/>
        <v>0</v>
      </c>
      <c r="P396" s="292">
        <f t="shared" si="180"/>
        <v>0</v>
      </c>
      <c r="Q396" s="292">
        <f t="shared" si="181"/>
        <v>0</v>
      </c>
      <c r="R396" s="292">
        <f t="shared" ref="R396:R450" si="220">IF($G396="1332",$F396,0)</f>
        <v>0</v>
      </c>
      <c r="S396" s="292">
        <f t="shared" ref="S396:S450" si="221">IF($H396="1332",$F396,0)</f>
        <v>0</v>
      </c>
      <c r="T396" s="292">
        <f t="shared" si="182"/>
        <v>0</v>
      </c>
      <c r="U396" s="292">
        <f t="shared" si="183"/>
        <v>0</v>
      </c>
      <c r="V396" s="292">
        <f t="shared" ref="V396:V450" si="222">IF($G396="1522",$F396,0)</f>
        <v>0</v>
      </c>
      <c r="W396" s="292">
        <f t="shared" ref="W396:W450" si="223">IF($H396="1522",$F396,0)</f>
        <v>0</v>
      </c>
      <c r="X396" s="292">
        <f t="shared" ref="X396:X450" si="224">IF($G396="154",$F396,0)</f>
        <v>0</v>
      </c>
      <c r="Y396" s="292">
        <f t="shared" ref="Y396:Y450" si="225">IF($H396="154",$F396,0)</f>
        <v>0</v>
      </c>
      <c r="Z396" s="292">
        <f t="shared" si="216"/>
        <v>0</v>
      </c>
      <c r="AA396" s="292">
        <f t="shared" si="217"/>
        <v>0</v>
      </c>
      <c r="AB396" s="292">
        <f t="shared" si="184"/>
        <v>0</v>
      </c>
      <c r="AC396" s="292">
        <f t="shared" si="185"/>
        <v>0</v>
      </c>
      <c r="AD396" s="292">
        <f t="shared" si="186"/>
        <v>0</v>
      </c>
      <c r="AE396" s="292">
        <f t="shared" si="187"/>
        <v>0</v>
      </c>
      <c r="AF396" s="292">
        <f t="shared" si="188"/>
        <v>0</v>
      </c>
      <c r="AG396" s="292">
        <f t="shared" si="189"/>
        <v>0</v>
      </c>
      <c r="AH396" s="292">
        <f t="shared" si="190"/>
        <v>0</v>
      </c>
      <c r="AI396" s="292">
        <f t="shared" si="191"/>
        <v>0</v>
      </c>
      <c r="AJ396" s="292">
        <f t="shared" si="192"/>
        <v>0</v>
      </c>
      <c r="AK396" s="292">
        <f t="shared" si="193"/>
        <v>0</v>
      </c>
      <c r="AL396" s="292">
        <f t="shared" si="218"/>
        <v>0</v>
      </c>
      <c r="AM396" s="292">
        <f t="shared" si="219"/>
        <v>0</v>
      </c>
      <c r="AN396" s="292">
        <f t="shared" si="194"/>
        <v>0</v>
      </c>
      <c r="AO396" s="292">
        <f t="shared" si="195"/>
        <v>0</v>
      </c>
      <c r="AP396" s="292">
        <f t="shared" si="196"/>
        <v>0</v>
      </c>
      <c r="AQ396" s="292">
        <f t="shared" si="197"/>
        <v>0</v>
      </c>
      <c r="AR396" s="292">
        <f t="shared" si="198"/>
        <v>0</v>
      </c>
      <c r="AS396" s="292">
        <f t="shared" si="199"/>
        <v>0</v>
      </c>
      <c r="AT396" s="292">
        <f t="shared" si="200"/>
        <v>0</v>
      </c>
      <c r="AU396" s="292">
        <f t="shared" si="201"/>
        <v>0</v>
      </c>
      <c r="AV396" s="292">
        <f t="shared" si="202"/>
        <v>0</v>
      </c>
      <c r="AW396" s="292">
        <f t="shared" si="203"/>
        <v>0</v>
      </c>
      <c r="AX396" s="292">
        <f t="shared" si="204"/>
        <v>419000</v>
      </c>
      <c r="AY396" s="292">
        <f t="shared" si="205"/>
        <v>0</v>
      </c>
      <c r="AZ396" s="292">
        <f t="shared" si="206"/>
        <v>0</v>
      </c>
      <c r="BA396" s="292">
        <f t="shared" si="207"/>
        <v>0</v>
      </c>
      <c r="BB396" s="292">
        <f t="shared" si="208"/>
        <v>0</v>
      </c>
      <c r="BC396" s="292">
        <f t="shared" si="209"/>
        <v>0</v>
      </c>
      <c r="BD396" s="292">
        <f t="shared" si="210"/>
        <v>0</v>
      </c>
      <c r="BE396" s="292">
        <f t="shared" si="211"/>
        <v>0</v>
      </c>
      <c r="BF396" s="292">
        <f t="shared" si="212"/>
        <v>0</v>
      </c>
      <c r="BG396" s="292">
        <f t="shared" si="213"/>
        <v>0</v>
      </c>
    </row>
    <row r="397" spans="1:59" s="289" customFormat="1" ht="15" customHeight="1">
      <c r="A397" s="63">
        <f t="array" ref="A397">IF(C397&lt;&gt;0,SUM(($C$11:C397&lt;&gt;0)*1),"")</f>
        <v>387</v>
      </c>
      <c r="B397" s="1099">
        <v>42544</v>
      </c>
      <c r="C397" s="290" t="s">
        <v>314</v>
      </c>
      <c r="D397" s="1099">
        <v>42544</v>
      </c>
      <c r="E397" s="344" t="s">
        <v>388</v>
      </c>
      <c r="F397" s="345">
        <v>1960000000</v>
      </c>
      <c r="G397" s="346" t="s">
        <v>97</v>
      </c>
      <c r="H397" s="346" t="s">
        <v>31</v>
      </c>
      <c r="I397" s="63">
        <f t="shared" si="175"/>
        <v>387</v>
      </c>
      <c r="J397" s="292">
        <f t="shared" si="176"/>
        <v>1960000000</v>
      </c>
      <c r="K397" s="292">
        <f t="shared" si="177"/>
        <v>0</v>
      </c>
      <c r="L397" s="292">
        <f t="shared" si="178"/>
        <v>0</v>
      </c>
      <c r="M397" s="292">
        <f t="shared" si="179"/>
        <v>1960000000</v>
      </c>
      <c r="N397" s="292">
        <f t="shared" si="214"/>
        <v>0</v>
      </c>
      <c r="O397" s="292">
        <f t="shared" si="215"/>
        <v>0</v>
      </c>
      <c r="P397" s="292">
        <f t="shared" si="180"/>
        <v>0</v>
      </c>
      <c r="Q397" s="292">
        <f t="shared" si="181"/>
        <v>0</v>
      </c>
      <c r="R397" s="292">
        <f t="shared" si="220"/>
        <v>0</v>
      </c>
      <c r="S397" s="292">
        <f t="shared" si="221"/>
        <v>0</v>
      </c>
      <c r="T397" s="292">
        <f t="shared" si="182"/>
        <v>0</v>
      </c>
      <c r="U397" s="292">
        <f t="shared" si="183"/>
        <v>0</v>
      </c>
      <c r="V397" s="292">
        <f t="shared" si="222"/>
        <v>0</v>
      </c>
      <c r="W397" s="292">
        <f t="shared" si="223"/>
        <v>0</v>
      </c>
      <c r="X397" s="292">
        <f t="shared" si="224"/>
        <v>0</v>
      </c>
      <c r="Y397" s="292">
        <f t="shared" si="225"/>
        <v>0</v>
      </c>
      <c r="Z397" s="292">
        <f t="shared" si="216"/>
        <v>0</v>
      </c>
      <c r="AA397" s="292">
        <f t="shared" si="217"/>
        <v>0</v>
      </c>
      <c r="AB397" s="292">
        <f t="shared" si="184"/>
        <v>0</v>
      </c>
      <c r="AC397" s="292">
        <f t="shared" si="185"/>
        <v>0</v>
      </c>
      <c r="AD397" s="292">
        <f t="shared" si="186"/>
        <v>0</v>
      </c>
      <c r="AE397" s="292">
        <f t="shared" si="187"/>
        <v>0</v>
      </c>
      <c r="AF397" s="292">
        <f t="shared" si="188"/>
        <v>0</v>
      </c>
      <c r="AG397" s="292">
        <f t="shared" si="189"/>
        <v>0</v>
      </c>
      <c r="AH397" s="292">
        <f t="shared" si="190"/>
        <v>0</v>
      </c>
      <c r="AI397" s="292">
        <f t="shared" si="191"/>
        <v>0</v>
      </c>
      <c r="AJ397" s="292">
        <f t="shared" si="192"/>
        <v>0</v>
      </c>
      <c r="AK397" s="292">
        <f t="shared" si="193"/>
        <v>0</v>
      </c>
      <c r="AL397" s="292">
        <f t="shared" si="218"/>
        <v>0</v>
      </c>
      <c r="AM397" s="292">
        <f t="shared" si="219"/>
        <v>0</v>
      </c>
      <c r="AN397" s="292">
        <f t="shared" si="194"/>
        <v>0</v>
      </c>
      <c r="AO397" s="292">
        <f t="shared" si="195"/>
        <v>0</v>
      </c>
      <c r="AP397" s="292">
        <f t="shared" si="196"/>
        <v>0</v>
      </c>
      <c r="AQ397" s="292">
        <f t="shared" si="197"/>
        <v>0</v>
      </c>
      <c r="AR397" s="292">
        <f t="shared" si="198"/>
        <v>0</v>
      </c>
      <c r="AS397" s="292">
        <f t="shared" si="199"/>
        <v>0</v>
      </c>
      <c r="AT397" s="292">
        <f t="shared" si="200"/>
        <v>0</v>
      </c>
      <c r="AU397" s="292">
        <f t="shared" si="201"/>
        <v>0</v>
      </c>
      <c r="AV397" s="292">
        <f t="shared" si="202"/>
        <v>0</v>
      </c>
      <c r="AW397" s="292">
        <f t="shared" si="203"/>
        <v>0</v>
      </c>
      <c r="AX397" s="292">
        <f t="shared" si="204"/>
        <v>0</v>
      </c>
      <c r="AY397" s="292">
        <f t="shared" si="205"/>
        <v>0</v>
      </c>
      <c r="AZ397" s="292">
        <f t="shared" si="206"/>
        <v>0</v>
      </c>
      <c r="BA397" s="292">
        <f t="shared" si="207"/>
        <v>0</v>
      </c>
      <c r="BB397" s="292">
        <f t="shared" si="208"/>
        <v>0</v>
      </c>
      <c r="BC397" s="292">
        <f t="shared" si="209"/>
        <v>0</v>
      </c>
      <c r="BD397" s="292">
        <f t="shared" si="210"/>
        <v>0</v>
      </c>
      <c r="BE397" s="292">
        <f t="shared" si="211"/>
        <v>0</v>
      </c>
      <c r="BF397" s="292">
        <f t="shared" si="212"/>
        <v>0</v>
      </c>
      <c r="BG397" s="292">
        <f t="shared" si="213"/>
        <v>0</v>
      </c>
    </row>
    <row r="398" spans="1:59" s="289" customFormat="1" ht="15" customHeight="1">
      <c r="A398" s="63">
        <f t="array" ref="A398">IF(C398&lt;&gt;0,SUM(($C$11:C398&lt;&gt;0)*1),"")</f>
        <v>388</v>
      </c>
      <c r="B398" s="1099">
        <v>42545</v>
      </c>
      <c r="C398" s="290" t="s">
        <v>843</v>
      </c>
      <c r="D398" s="1099">
        <v>42545</v>
      </c>
      <c r="E398" s="344" t="s">
        <v>987</v>
      </c>
      <c r="F398" s="345">
        <v>1235000</v>
      </c>
      <c r="G398" s="346" t="s">
        <v>135</v>
      </c>
      <c r="H398" s="346" t="s">
        <v>97</v>
      </c>
      <c r="I398" s="63">
        <f t="shared" si="175"/>
        <v>388</v>
      </c>
      <c r="J398" s="292">
        <f t="shared" si="176"/>
        <v>0</v>
      </c>
      <c r="K398" s="292">
        <f t="shared" si="177"/>
        <v>1235000</v>
      </c>
      <c r="L398" s="292">
        <f t="shared" si="178"/>
        <v>0</v>
      </c>
      <c r="M398" s="292">
        <f t="shared" si="179"/>
        <v>0</v>
      </c>
      <c r="N398" s="292">
        <f t="shared" si="214"/>
        <v>0</v>
      </c>
      <c r="O398" s="292">
        <f t="shared" si="215"/>
        <v>0</v>
      </c>
      <c r="P398" s="292">
        <f t="shared" si="180"/>
        <v>0</v>
      </c>
      <c r="Q398" s="292">
        <f t="shared" si="181"/>
        <v>0</v>
      </c>
      <c r="R398" s="292">
        <f t="shared" si="220"/>
        <v>0</v>
      </c>
      <c r="S398" s="292">
        <f t="shared" si="221"/>
        <v>0</v>
      </c>
      <c r="T398" s="292">
        <f t="shared" si="182"/>
        <v>0</v>
      </c>
      <c r="U398" s="292">
        <f t="shared" si="183"/>
        <v>0</v>
      </c>
      <c r="V398" s="292">
        <f t="shared" si="222"/>
        <v>0</v>
      </c>
      <c r="W398" s="292">
        <f t="shared" si="223"/>
        <v>0</v>
      </c>
      <c r="X398" s="292">
        <f t="shared" si="224"/>
        <v>0</v>
      </c>
      <c r="Y398" s="292">
        <f t="shared" si="225"/>
        <v>0</v>
      </c>
      <c r="Z398" s="292">
        <f t="shared" si="216"/>
        <v>0</v>
      </c>
      <c r="AA398" s="292">
        <f t="shared" si="217"/>
        <v>0</v>
      </c>
      <c r="AB398" s="292">
        <f t="shared" si="184"/>
        <v>0</v>
      </c>
      <c r="AC398" s="292">
        <f t="shared" si="185"/>
        <v>0</v>
      </c>
      <c r="AD398" s="292">
        <f t="shared" si="186"/>
        <v>0</v>
      </c>
      <c r="AE398" s="292">
        <f t="shared" si="187"/>
        <v>0</v>
      </c>
      <c r="AF398" s="292">
        <f t="shared" si="188"/>
        <v>0</v>
      </c>
      <c r="AG398" s="292">
        <f t="shared" si="189"/>
        <v>0</v>
      </c>
      <c r="AH398" s="292">
        <f t="shared" si="190"/>
        <v>0</v>
      </c>
      <c r="AI398" s="292">
        <f t="shared" si="191"/>
        <v>0</v>
      </c>
      <c r="AJ398" s="292">
        <f t="shared" si="192"/>
        <v>0</v>
      </c>
      <c r="AK398" s="292">
        <f t="shared" si="193"/>
        <v>0</v>
      </c>
      <c r="AL398" s="292">
        <f t="shared" si="218"/>
        <v>0</v>
      </c>
      <c r="AM398" s="292">
        <f t="shared" si="219"/>
        <v>0</v>
      </c>
      <c r="AN398" s="292">
        <f t="shared" si="194"/>
        <v>0</v>
      </c>
      <c r="AO398" s="292">
        <f t="shared" si="195"/>
        <v>0</v>
      </c>
      <c r="AP398" s="292">
        <f t="shared" si="196"/>
        <v>0</v>
      </c>
      <c r="AQ398" s="292">
        <f t="shared" si="197"/>
        <v>0</v>
      </c>
      <c r="AR398" s="292">
        <f t="shared" si="198"/>
        <v>0</v>
      </c>
      <c r="AS398" s="292">
        <f t="shared" si="199"/>
        <v>0</v>
      </c>
      <c r="AT398" s="292">
        <f t="shared" si="200"/>
        <v>0</v>
      </c>
      <c r="AU398" s="292">
        <f t="shared" si="201"/>
        <v>0</v>
      </c>
      <c r="AV398" s="292">
        <f t="shared" si="202"/>
        <v>0</v>
      </c>
      <c r="AW398" s="292">
        <f t="shared" si="203"/>
        <v>0</v>
      </c>
      <c r="AX398" s="292">
        <f t="shared" si="204"/>
        <v>1235000</v>
      </c>
      <c r="AY398" s="292">
        <f t="shared" si="205"/>
        <v>0</v>
      </c>
      <c r="AZ398" s="292">
        <f t="shared" si="206"/>
        <v>0</v>
      </c>
      <c r="BA398" s="292">
        <f t="shared" si="207"/>
        <v>0</v>
      </c>
      <c r="BB398" s="292">
        <f t="shared" si="208"/>
        <v>0</v>
      </c>
      <c r="BC398" s="292">
        <f t="shared" si="209"/>
        <v>0</v>
      </c>
      <c r="BD398" s="292">
        <f t="shared" si="210"/>
        <v>0</v>
      </c>
      <c r="BE398" s="292">
        <f t="shared" si="211"/>
        <v>0</v>
      </c>
      <c r="BF398" s="292">
        <f t="shared" si="212"/>
        <v>0</v>
      </c>
      <c r="BG398" s="292">
        <f t="shared" si="213"/>
        <v>0</v>
      </c>
    </row>
    <row r="399" spans="1:59" s="289" customFormat="1" ht="15" customHeight="1">
      <c r="A399" s="63">
        <f t="array" ref="A399">IF(C399&lt;&gt;0,SUM(($C$11:C399&lt;&gt;0)*1),"")</f>
        <v>389</v>
      </c>
      <c r="B399" s="1099">
        <v>42545</v>
      </c>
      <c r="C399" s="290" t="s">
        <v>890</v>
      </c>
      <c r="D399" s="1099">
        <v>42545</v>
      </c>
      <c r="E399" s="344" t="s">
        <v>988</v>
      </c>
      <c r="F399" s="345">
        <v>550000</v>
      </c>
      <c r="G399" s="346" t="s">
        <v>135</v>
      </c>
      <c r="H399" s="346" t="s">
        <v>97</v>
      </c>
      <c r="I399" s="63">
        <f t="shared" si="175"/>
        <v>389</v>
      </c>
      <c r="J399" s="292">
        <f t="shared" si="176"/>
        <v>0</v>
      </c>
      <c r="K399" s="292">
        <f t="shared" si="177"/>
        <v>550000</v>
      </c>
      <c r="L399" s="292">
        <f t="shared" si="178"/>
        <v>0</v>
      </c>
      <c r="M399" s="292">
        <f t="shared" si="179"/>
        <v>0</v>
      </c>
      <c r="N399" s="292">
        <f t="shared" si="214"/>
        <v>0</v>
      </c>
      <c r="O399" s="292">
        <f t="shared" si="215"/>
        <v>0</v>
      </c>
      <c r="P399" s="292">
        <f t="shared" si="180"/>
        <v>0</v>
      </c>
      <c r="Q399" s="292">
        <f t="shared" si="181"/>
        <v>0</v>
      </c>
      <c r="R399" s="292">
        <f t="shared" si="220"/>
        <v>0</v>
      </c>
      <c r="S399" s="292">
        <f t="shared" si="221"/>
        <v>0</v>
      </c>
      <c r="T399" s="292">
        <f t="shared" si="182"/>
        <v>0</v>
      </c>
      <c r="U399" s="292">
        <f t="shared" si="183"/>
        <v>0</v>
      </c>
      <c r="V399" s="292">
        <f t="shared" si="222"/>
        <v>0</v>
      </c>
      <c r="W399" s="292">
        <f t="shared" si="223"/>
        <v>0</v>
      </c>
      <c r="X399" s="292">
        <f t="shared" si="224"/>
        <v>0</v>
      </c>
      <c r="Y399" s="292">
        <f t="shared" si="225"/>
        <v>0</v>
      </c>
      <c r="Z399" s="292">
        <f t="shared" si="216"/>
        <v>0</v>
      </c>
      <c r="AA399" s="292">
        <f t="shared" si="217"/>
        <v>0</v>
      </c>
      <c r="AB399" s="292">
        <f t="shared" si="184"/>
        <v>0</v>
      </c>
      <c r="AC399" s="292">
        <f t="shared" si="185"/>
        <v>0</v>
      </c>
      <c r="AD399" s="292">
        <f t="shared" si="186"/>
        <v>0</v>
      </c>
      <c r="AE399" s="292">
        <f t="shared" si="187"/>
        <v>0</v>
      </c>
      <c r="AF399" s="292">
        <f t="shared" si="188"/>
        <v>0</v>
      </c>
      <c r="AG399" s="292">
        <f t="shared" si="189"/>
        <v>0</v>
      </c>
      <c r="AH399" s="292">
        <f t="shared" si="190"/>
        <v>0</v>
      </c>
      <c r="AI399" s="292">
        <f t="shared" si="191"/>
        <v>0</v>
      </c>
      <c r="AJ399" s="292">
        <f t="shared" si="192"/>
        <v>0</v>
      </c>
      <c r="AK399" s="292">
        <f t="shared" si="193"/>
        <v>0</v>
      </c>
      <c r="AL399" s="292">
        <f t="shared" si="218"/>
        <v>0</v>
      </c>
      <c r="AM399" s="292">
        <f t="shared" si="219"/>
        <v>0</v>
      </c>
      <c r="AN399" s="292">
        <f t="shared" si="194"/>
        <v>0</v>
      </c>
      <c r="AO399" s="292">
        <f t="shared" si="195"/>
        <v>0</v>
      </c>
      <c r="AP399" s="292">
        <f t="shared" si="196"/>
        <v>0</v>
      </c>
      <c r="AQ399" s="292">
        <f t="shared" si="197"/>
        <v>0</v>
      </c>
      <c r="AR399" s="292">
        <f t="shared" si="198"/>
        <v>0</v>
      </c>
      <c r="AS399" s="292">
        <f t="shared" si="199"/>
        <v>0</v>
      </c>
      <c r="AT399" s="292">
        <f t="shared" si="200"/>
        <v>0</v>
      </c>
      <c r="AU399" s="292">
        <f t="shared" si="201"/>
        <v>0</v>
      </c>
      <c r="AV399" s="292">
        <f t="shared" si="202"/>
        <v>0</v>
      </c>
      <c r="AW399" s="292">
        <f t="shared" si="203"/>
        <v>0</v>
      </c>
      <c r="AX399" s="292">
        <f t="shared" si="204"/>
        <v>550000</v>
      </c>
      <c r="AY399" s="292">
        <f t="shared" si="205"/>
        <v>0</v>
      </c>
      <c r="AZ399" s="292">
        <f t="shared" si="206"/>
        <v>0</v>
      </c>
      <c r="BA399" s="292">
        <f t="shared" si="207"/>
        <v>0</v>
      </c>
      <c r="BB399" s="292">
        <f t="shared" si="208"/>
        <v>0</v>
      </c>
      <c r="BC399" s="292">
        <f t="shared" si="209"/>
        <v>0</v>
      </c>
      <c r="BD399" s="292">
        <f t="shared" si="210"/>
        <v>0</v>
      </c>
      <c r="BE399" s="292">
        <f t="shared" si="211"/>
        <v>0</v>
      </c>
      <c r="BF399" s="292">
        <f t="shared" si="212"/>
        <v>0</v>
      </c>
      <c r="BG399" s="292">
        <f t="shared" si="213"/>
        <v>0</v>
      </c>
    </row>
    <row r="400" spans="1:59" s="289" customFormat="1" ht="15" customHeight="1">
      <c r="A400" s="63">
        <f t="array" ref="A400">IF(C400&lt;&gt;0,SUM(($C$11:C400&lt;&gt;0)*1),"")</f>
        <v>390</v>
      </c>
      <c r="B400" s="1099">
        <v>42545</v>
      </c>
      <c r="C400" s="290" t="s">
        <v>12</v>
      </c>
      <c r="D400" s="1099">
        <v>42545</v>
      </c>
      <c r="E400" s="344" t="s">
        <v>827</v>
      </c>
      <c r="F400" s="345">
        <v>17669</v>
      </c>
      <c r="G400" s="346" t="s">
        <v>31</v>
      </c>
      <c r="H400" s="346" t="s">
        <v>58</v>
      </c>
      <c r="I400" s="63">
        <f t="shared" si="175"/>
        <v>390</v>
      </c>
      <c r="J400" s="292">
        <f t="shared" si="176"/>
        <v>0</v>
      </c>
      <c r="K400" s="292">
        <f t="shared" si="177"/>
        <v>0</v>
      </c>
      <c r="L400" s="292">
        <f t="shared" si="178"/>
        <v>17669</v>
      </c>
      <c r="M400" s="292">
        <f t="shared" si="179"/>
        <v>0</v>
      </c>
      <c r="N400" s="292">
        <f t="shared" si="214"/>
        <v>0</v>
      </c>
      <c r="O400" s="292">
        <f t="shared" si="215"/>
        <v>0</v>
      </c>
      <c r="P400" s="292">
        <f t="shared" si="180"/>
        <v>0</v>
      </c>
      <c r="Q400" s="292">
        <f t="shared" si="181"/>
        <v>0</v>
      </c>
      <c r="R400" s="292">
        <f t="shared" si="220"/>
        <v>0</v>
      </c>
      <c r="S400" s="292">
        <f t="shared" si="221"/>
        <v>0</v>
      </c>
      <c r="T400" s="292">
        <f t="shared" si="182"/>
        <v>0</v>
      </c>
      <c r="U400" s="292">
        <f t="shared" si="183"/>
        <v>0</v>
      </c>
      <c r="V400" s="292">
        <f t="shared" si="222"/>
        <v>0</v>
      </c>
      <c r="W400" s="292">
        <f t="shared" si="223"/>
        <v>0</v>
      </c>
      <c r="X400" s="292">
        <f t="shared" si="224"/>
        <v>0</v>
      </c>
      <c r="Y400" s="292">
        <f t="shared" si="225"/>
        <v>0</v>
      </c>
      <c r="Z400" s="292">
        <f t="shared" si="216"/>
        <v>0</v>
      </c>
      <c r="AA400" s="292">
        <f t="shared" si="217"/>
        <v>0</v>
      </c>
      <c r="AB400" s="292">
        <f t="shared" si="184"/>
        <v>0</v>
      </c>
      <c r="AC400" s="292">
        <f t="shared" si="185"/>
        <v>0</v>
      </c>
      <c r="AD400" s="292">
        <f t="shared" si="186"/>
        <v>0</v>
      </c>
      <c r="AE400" s="292">
        <f t="shared" si="187"/>
        <v>0</v>
      </c>
      <c r="AF400" s="292">
        <f t="shared" si="188"/>
        <v>0</v>
      </c>
      <c r="AG400" s="292">
        <f t="shared" si="189"/>
        <v>0</v>
      </c>
      <c r="AH400" s="292">
        <f t="shared" si="190"/>
        <v>0</v>
      </c>
      <c r="AI400" s="292">
        <f t="shared" si="191"/>
        <v>0</v>
      </c>
      <c r="AJ400" s="292">
        <f t="shared" si="192"/>
        <v>0</v>
      </c>
      <c r="AK400" s="292">
        <f t="shared" si="193"/>
        <v>0</v>
      </c>
      <c r="AL400" s="292">
        <f t="shared" si="218"/>
        <v>0</v>
      </c>
      <c r="AM400" s="292">
        <f t="shared" si="219"/>
        <v>0</v>
      </c>
      <c r="AN400" s="292">
        <f t="shared" si="194"/>
        <v>0</v>
      </c>
      <c r="AO400" s="292">
        <f t="shared" si="195"/>
        <v>0</v>
      </c>
      <c r="AP400" s="292">
        <f t="shared" si="196"/>
        <v>0</v>
      </c>
      <c r="AQ400" s="292">
        <f t="shared" si="197"/>
        <v>0</v>
      </c>
      <c r="AR400" s="292">
        <f t="shared" si="198"/>
        <v>0</v>
      </c>
      <c r="AS400" s="292">
        <f t="shared" si="199"/>
        <v>0</v>
      </c>
      <c r="AT400" s="292">
        <f t="shared" si="200"/>
        <v>0</v>
      </c>
      <c r="AU400" s="292">
        <f t="shared" si="201"/>
        <v>17669</v>
      </c>
      <c r="AV400" s="292">
        <f t="shared" si="202"/>
        <v>0</v>
      </c>
      <c r="AW400" s="292">
        <f t="shared" si="203"/>
        <v>0</v>
      </c>
      <c r="AX400" s="292">
        <f t="shared" si="204"/>
        <v>0</v>
      </c>
      <c r="AY400" s="292">
        <f t="shared" si="205"/>
        <v>0</v>
      </c>
      <c r="AZ400" s="292">
        <f t="shared" si="206"/>
        <v>0</v>
      </c>
      <c r="BA400" s="292">
        <f t="shared" si="207"/>
        <v>0</v>
      </c>
      <c r="BB400" s="292">
        <f t="shared" si="208"/>
        <v>0</v>
      </c>
      <c r="BC400" s="292">
        <f t="shared" si="209"/>
        <v>0</v>
      </c>
      <c r="BD400" s="292">
        <f t="shared" si="210"/>
        <v>0</v>
      </c>
      <c r="BE400" s="292">
        <f t="shared" si="211"/>
        <v>0</v>
      </c>
      <c r="BF400" s="292">
        <f t="shared" si="212"/>
        <v>0</v>
      </c>
      <c r="BG400" s="292">
        <f t="shared" si="213"/>
        <v>0</v>
      </c>
    </row>
    <row r="401" spans="1:59" s="289" customFormat="1" ht="15" customHeight="1">
      <c r="A401" s="63">
        <f t="array" ref="A401">IF(C401&lt;&gt;0,SUM(($C$11:C401&lt;&gt;0)*1),"")</f>
        <v>391</v>
      </c>
      <c r="B401" s="1099">
        <v>42545</v>
      </c>
      <c r="C401" s="290" t="s">
        <v>795</v>
      </c>
      <c r="D401" s="1099">
        <v>42545</v>
      </c>
      <c r="E401" s="344" t="s">
        <v>1002</v>
      </c>
      <c r="F401" s="345">
        <v>2000000</v>
      </c>
      <c r="G401" s="346" t="s">
        <v>97</v>
      </c>
      <c r="H401" s="346" t="s">
        <v>31</v>
      </c>
      <c r="I401" s="63">
        <f t="shared" si="175"/>
        <v>391</v>
      </c>
      <c r="J401" s="292">
        <f t="shared" si="176"/>
        <v>2000000</v>
      </c>
      <c r="K401" s="292">
        <f t="shared" si="177"/>
        <v>0</v>
      </c>
      <c r="L401" s="292">
        <f t="shared" si="178"/>
        <v>0</v>
      </c>
      <c r="M401" s="292">
        <f t="shared" si="179"/>
        <v>2000000</v>
      </c>
      <c r="N401" s="292">
        <f t="shared" si="214"/>
        <v>0</v>
      </c>
      <c r="O401" s="292">
        <f t="shared" si="215"/>
        <v>0</v>
      </c>
      <c r="P401" s="292">
        <f t="shared" si="180"/>
        <v>0</v>
      </c>
      <c r="Q401" s="292">
        <f t="shared" si="181"/>
        <v>0</v>
      </c>
      <c r="R401" s="292">
        <f t="shared" si="220"/>
        <v>0</v>
      </c>
      <c r="S401" s="292">
        <f t="shared" si="221"/>
        <v>0</v>
      </c>
      <c r="T401" s="292">
        <f t="shared" si="182"/>
        <v>0</v>
      </c>
      <c r="U401" s="292">
        <f t="shared" si="183"/>
        <v>0</v>
      </c>
      <c r="V401" s="292">
        <f t="shared" si="222"/>
        <v>0</v>
      </c>
      <c r="W401" s="292">
        <f t="shared" si="223"/>
        <v>0</v>
      </c>
      <c r="X401" s="292">
        <f t="shared" si="224"/>
        <v>0</v>
      </c>
      <c r="Y401" s="292">
        <f t="shared" si="225"/>
        <v>0</v>
      </c>
      <c r="Z401" s="292">
        <f t="shared" si="216"/>
        <v>0</v>
      </c>
      <c r="AA401" s="292">
        <f t="shared" si="217"/>
        <v>0</v>
      </c>
      <c r="AB401" s="292">
        <f t="shared" si="184"/>
        <v>0</v>
      </c>
      <c r="AC401" s="292">
        <f t="shared" si="185"/>
        <v>0</v>
      </c>
      <c r="AD401" s="292">
        <f t="shared" si="186"/>
        <v>0</v>
      </c>
      <c r="AE401" s="292">
        <f t="shared" si="187"/>
        <v>0</v>
      </c>
      <c r="AF401" s="292">
        <f t="shared" si="188"/>
        <v>0</v>
      </c>
      <c r="AG401" s="292">
        <f t="shared" si="189"/>
        <v>0</v>
      </c>
      <c r="AH401" s="292">
        <f t="shared" si="190"/>
        <v>0</v>
      </c>
      <c r="AI401" s="292">
        <f t="shared" si="191"/>
        <v>0</v>
      </c>
      <c r="AJ401" s="292">
        <f t="shared" si="192"/>
        <v>0</v>
      </c>
      <c r="AK401" s="292">
        <f t="shared" si="193"/>
        <v>0</v>
      </c>
      <c r="AL401" s="292">
        <f t="shared" si="218"/>
        <v>0</v>
      </c>
      <c r="AM401" s="292">
        <f t="shared" si="219"/>
        <v>0</v>
      </c>
      <c r="AN401" s="292">
        <f t="shared" si="194"/>
        <v>0</v>
      </c>
      <c r="AO401" s="292">
        <f t="shared" si="195"/>
        <v>0</v>
      </c>
      <c r="AP401" s="292">
        <f t="shared" si="196"/>
        <v>0</v>
      </c>
      <c r="AQ401" s="292">
        <f t="shared" si="197"/>
        <v>0</v>
      </c>
      <c r="AR401" s="292">
        <f t="shared" si="198"/>
        <v>0</v>
      </c>
      <c r="AS401" s="292">
        <f t="shared" si="199"/>
        <v>0</v>
      </c>
      <c r="AT401" s="292">
        <f t="shared" si="200"/>
        <v>0</v>
      </c>
      <c r="AU401" s="292">
        <f t="shared" si="201"/>
        <v>0</v>
      </c>
      <c r="AV401" s="292">
        <f t="shared" si="202"/>
        <v>0</v>
      </c>
      <c r="AW401" s="292">
        <f t="shared" si="203"/>
        <v>0</v>
      </c>
      <c r="AX401" s="292">
        <f t="shared" si="204"/>
        <v>0</v>
      </c>
      <c r="AY401" s="292">
        <f t="shared" si="205"/>
        <v>0</v>
      </c>
      <c r="AZ401" s="292">
        <f t="shared" si="206"/>
        <v>0</v>
      </c>
      <c r="BA401" s="292">
        <f t="shared" si="207"/>
        <v>0</v>
      </c>
      <c r="BB401" s="292">
        <f t="shared" si="208"/>
        <v>0</v>
      </c>
      <c r="BC401" s="292">
        <f t="shared" si="209"/>
        <v>0</v>
      </c>
      <c r="BD401" s="292">
        <f t="shared" si="210"/>
        <v>0</v>
      </c>
      <c r="BE401" s="292">
        <f t="shared" si="211"/>
        <v>0</v>
      </c>
      <c r="BF401" s="292">
        <f t="shared" si="212"/>
        <v>0</v>
      </c>
      <c r="BG401" s="292">
        <f t="shared" si="213"/>
        <v>0</v>
      </c>
    </row>
    <row r="402" spans="1:59" s="289" customFormat="1" ht="15" customHeight="1">
      <c r="A402" s="63">
        <f t="array" ref="A402">IF(C402&lt;&gt;0,SUM(($C$11:C402&lt;&gt;0)*1),"")</f>
        <v>392</v>
      </c>
      <c r="B402" s="1099">
        <v>42546</v>
      </c>
      <c r="C402" s="290" t="s">
        <v>8</v>
      </c>
      <c r="D402" s="1099">
        <v>42546</v>
      </c>
      <c r="E402" s="344" t="s">
        <v>822</v>
      </c>
      <c r="F402" s="345">
        <v>50000</v>
      </c>
      <c r="G402" s="346" t="s">
        <v>135</v>
      </c>
      <c r="H402" s="346" t="s">
        <v>31</v>
      </c>
      <c r="I402" s="63">
        <f t="shared" ref="I402:I449" si="226">A402</f>
        <v>392</v>
      </c>
      <c r="J402" s="292">
        <f t="shared" si="176"/>
        <v>0</v>
      </c>
      <c r="K402" s="292">
        <f t="shared" si="177"/>
        <v>0</v>
      </c>
      <c r="L402" s="292">
        <f t="shared" si="178"/>
        <v>0</v>
      </c>
      <c r="M402" s="292">
        <f t="shared" si="179"/>
        <v>50000</v>
      </c>
      <c r="N402" s="292">
        <f t="shared" si="214"/>
        <v>0</v>
      </c>
      <c r="O402" s="292">
        <f t="shared" si="215"/>
        <v>0</v>
      </c>
      <c r="P402" s="292">
        <f t="shared" si="180"/>
        <v>0</v>
      </c>
      <c r="Q402" s="292">
        <f t="shared" si="181"/>
        <v>0</v>
      </c>
      <c r="R402" s="292">
        <f t="shared" si="220"/>
        <v>0</v>
      </c>
      <c r="S402" s="292">
        <f t="shared" si="221"/>
        <v>0</v>
      </c>
      <c r="T402" s="292">
        <f t="shared" si="182"/>
        <v>0</v>
      </c>
      <c r="U402" s="292">
        <f t="shared" si="183"/>
        <v>0</v>
      </c>
      <c r="V402" s="292">
        <f t="shared" si="222"/>
        <v>0</v>
      </c>
      <c r="W402" s="292">
        <f t="shared" si="223"/>
        <v>0</v>
      </c>
      <c r="X402" s="292">
        <f t="shared" si="224"/>
        <v>0</v>
      </c>
      <c r="Y402" s="292">
        <f t="shared" si="225"/>
        <v>0</v>
      </c>
      <c r="Z402" s="292">
        <f t="shared" si="216"/>
        <v>0</v>
      </c>
      <c r="AA402" s="292">
        <f t="shared" si="217"/>
        <v>0</v>
      </c>
      <c r="AB402" s="292">
        <f t="shared" si="184"/>
        <v>0</v>
      </c>
      <c r="AC402" s="292">
        <f t="shared" si="185"/>
        <v>0</v>
      </c>
      <c r="AD402" s="292">
        <f t="shared" si="186"/>
        <v>0</v>
      </c>
      <c r="AE402" s="292">
        <f t="shared" si="187"/>
        <v>0</v>
      </c>
      <c r="AF402" s="292">
        <f t="shared" si="188"/>
        <v>0</v>
      </c>
      <c r="AG402" s="292">
        <f t="shared" si="189"/>
        <v>0</v>
      </c>
      <c r="AH402" s="292">
        <f t="shared" si="190"/>
        <v>0</v>
      </c>
      <c r="AI402" s="292">
        <f t="shared" si="191"/>
        <v>0</v>
      </c>
      <c r="AJ402" s="292">
        <f t="shared" si="192"/>
        <v>0</v>
      </c>
      <c r="AK402" s="292">
        <f t="shared" si="193"/>
        <v>0</v>
      </c>
      <c r="AL402" s="292">
        <f t="shared" si="218"/>
        <v>0</v>
      </c>
      <c r="AM402" s="292">
        <f t="shared" si="219"/>
        <v>0</v>
      </c>
      <c r="AN402" s="292">
        <f t="shared" si="194"/>
        <v>0</v>
      </c>
      <c r="AO402" s="292">
        <f t="shared" si="195"/>
        <v>0</v>
      </c>
      <c r="AP402" s="292">
        <f t="shared" si="196"/>
        <v>0</v>
      </c>
      <c r="AQ402" s="292">
        <f t="shared" si="197"/>
        <v>0</v>
      </c>
      <c r="AR402" s="292">
        <f t="shared" si="198"/>
        <v>0</v>
      </c>
      <c r="AS402" s="292">
        <f t="shared" si="199"/>
        <v>0</v>
      </c>
      <c r="AT402" s="292">
        <f t="shared" si="200"/>
        <v>0</v>
      </c>
      <c r="AU402" s="292">
        <f t="shared" si="201"/>
        <v>0</v>
      </c>
      <c r="AV402" s="292">
        <f t="shared" si="202"/>
        <v>0</v>
      </c>
      <c r="AW402" s="292">
        <f t="shared" si="203"/>
        <v>0</v>
      </c>
      <c r="AX402" s="292">
        <f t="shared" si="204"/>
        <v>50000</v>
      </c>
      <c r="AY402" s="292">
        <f t="shared" si="205"/>
        <v>0</v>
      </c>
      <c r="AZ402" s="292">
        <f t="shared" si="206"/>
        <v>0</v>
      </c>
      <c r="BA402" s="292">
        <f t="shared" si="207"/>
        <v>0</v>
      </c>
      <c r="BB402" s="292">
        <f t="shared" si="208"/>
        <v>0</v>
      </c>
      <c r="BC402" s="292">
        <f t="shared" si="209"/>
        <v>0</v>
      </c>
      <c r="BD402" s="292">
        <f t="shared" si="210"/>
        <v>0</v>
      </c>
      <c r="BE402" s="292">
        <f t="shared" si="211"/>
        <v>0</v>
      </c>
      <c r="BF402" s="292">
        <f t="shared" si="212"/>
        <v>0</v>
      </c>
      <c r="BG402" s="292">
        <f t="shared" si="213"/>
        <v>0</v>
      </c>
    </row>
    <row r="403" spans="1:59" s="289" customFormat="1" ht="15" customHeight="1">
      <c r="A403" s="63">
        <f t="array" ref="A403">IF(C403&lt;&gt;0,SUM(($C$11:C403&lt;&gt;0)*1),"")</f>
        <v>393</v>
      </c>
      <c r="B403" s="1099">
        <v>42546</v>
      </c>
      <c r="C403" s="290" t="s">
        <v>8</v>
      </c>
      <c r="D403" s="1099">
        <v>42546</v>
      </c>
      <c r="E403" s="344" t="s">
        <v>824</v>
      </c>
      <c r="F403" s="345">
        <v>5000</v>
      </c>
      <c r="G403" s="346" t="s">
        <v>10</v>
      </c>
      <c r="H403" s="346" t="s">
        <v>31</v>
      </c>
      <c r="I403" s="63">
        <f t="shared" si="226"/>
        <v>393</v>
      </c>
      <c r="J403" s="292">
        <f t="shared" si="176"/>
        <v>0</v>
      </c>
      <c r="K403" s="292">
        <f t="shared" si="177"/>
        <v>0</v>
      </c>
      <c r="L403" s="292">
        <f t="shared" si="178"/>
        <v>0</v>
      </c>
      <c r="M403" s="292">
        <f t="shared" si="179"/>
        <v>5000</v>
      </c>
      <c r="N403" s="292">
        <f t="shared" si="214"/>
        <v>0</v>
      </c>
      <c r="O403" s="292">
        <f t="shared" si="215"/>
        <v>0</v>
      </c>
      <c r="P403" s="292">
        <f t="shared" si="180"/>
        <v>5000</v>
      </c>
      <c r="Q403" s="292">
        <f t="shared" si="181"/>
        <v>0</v>
      </c>
      <c r="R403" s="292">
        <f t="shared" si="220"/>
        <v>0</v>
      </c>
      <c r="S403" s="292">
        <f t="shared" si="221"/>
        <v>0</v>
      </c>
      <c r="T403" s="292">
        <f t="shared" si="182"/>
        <v>0</v>
      </c>
      <c r="U403" s="292">
        <f t="shared" si="183"/>
        <v>0</v>
      </c>
      <c r="V403" s="292">
        <f t="shared" si="222"/>
        <v>0</v>
      </c>
      <c r="W403" s="292">
        <f t="shared" si="223"/>
        <v>0</v>
      </c>
      <c r="X403" s="292">
        <f t="shared" si="224"/>
        <v>0</v>
      </c>
      <c r="Y403" s="292">
        <f t="shared" si="225"/>
        <v>0</v>
      </c>
      <c r="Z403" s="292">
        <f t="shared" si="216"/>
        <v>0</v>
      </c>
      <c r="AA403" s="292">
        <f t="shared" si="217"/>
        <v>0</v>
      </c>
      <c r="AB403" s="292">
        <f t="shared" si="184"/>
        <v>0</v>
      </c>
      <c r="AC403" s="292">
        <f t="shared" si="185"/>
        <v>0</v>
      </c>
      <c r="AD403" s="292">
        <f t="shared" si="186"/>
        <v>0</v>
      </c>
      <c r="AE403" s="292">
        <f t="shared" si="187"/>
        <v>0</v>
      </c>
      <c r="AF403" s="292">
        <f t="shared" si="188"/>
        <v>0</v>
      </c>
      <c r="AG403" s="292">
        <f t="shared" si="189"/>
        <v>0</v>
      </c>
      <c r="AH403" s="292">
        <f t="shared" si="190"/>
        <v>0</v>
      </c>
      <c r="AI403" s="292">
        <f t="shared" si="191"/>
        <v>0</v>
      </c>
      <c r="AJ403" s="292">
        <f t="shared" si="192"/>
        <v>0</v>
      </c>
      <c r="AK403" s="292">
        <f t="shared" si="193"/>
        <v>0</v>
      </c>
      <c r="AL403" s="292">
        <f t="shared" si="218"/>
        <v>0</v>
      </c>
      <c r="AM403" s="292">
        <f t="shared" si="219"/>
        <v>0</v>
      </c>
      <c r="AN403" s="292">
        <f t="shared" si="194"/>
        <v>0</v>
      </c>
      <c r="AO403" s="292">
        <f t="shared" si="195"/>
        <v>0</v>
      </c>
      <c r="AP403" s="292">
        <f t="shared" si="196"/>
        <v>0</v>
      </c>
      <c r="AQ403" s="292">
        <f t="shared" si="197"/>
        <v>0</v>
      </c>
      <c r="AR403" s="292">
        <f t="shared" si="198"/>
        <v>0</v>
      </c>
      <c r="AS403" s="292">
        <f t="shared" si="199"/>
        <v>0</v>
      </c>
      <c r="AT403" s="292">
        <f t="shared" si="200"/>
        <v>0</v>
      </c>
      <c r="AU403" s="292">
        <f t="shared" si="201"/>
        <v>0</v>
      </c>
      <c r="AV403" s="292">
        <f t="shared" si="202"/>
        <v>0</v>
      </c>
      <c r="AW403" s="292">
        <f t="shared" si="203"/>
        <v>0</v>
      </c>
      <c r="AX403" s="292">
        <f t="shared" si="204"/>
        <v>0</v>
      </c>
      <c r="AY403" s="292">
        <f t="shared" si="205"/>
        <v>0</v>
      </c>
      <c r="AZ403" s="292">
        <f t="shared" si="206"/>
        <v>0</v>
      </c>
      <c r="BA403" s="292">
        <f t="shared" si="207"/>
        <v>0</v>
      </c>
      <c r="BB403" s="292">
        <f t="shared" si="208"/>
        <v>0</v>
      </c>
      <c r="BC403" s="292">
        <f t="shared" si="209"/>
        <v>0</v>
      </c>
      <c r="BD403" s="292">
        <f t="shared" si="210"/>
        <v>0</v>
      </c>
      <c r="BE403" s="292">
        <f t="shared" si="211"/>
        <v>0</v>
      </c>
      <c r="BF403" s="292">
        <f t="shared" si="212"/>
        <v>0</v>
      </c>
      <c r="BG403" s="292">
        <f t="shared" si="213"/>
        <v>0</v>
      </c>
    </row>
    <row r="404" spans="1:59" s="289" customFormat="1" ht="15" customHeight="1">
      <c r="A404" s="63">
        <f t="array" ref="A404">IF(C404&lt;&gt;0,SUM(($C$11:C404&lt;&gt;0)*1),"")</f>
        <v>394</v>
      </c>
      <c r="B404" s="1099">
        <v>42546</v>
      </c>
      <c r="C404" s="290" t="s">
        <v>8</v>
      </c>
      <c r="D404" s="1099">
        <v>42546</v>
      </c>
      <c r="E404" s="344" t="s">
        <v>823</v>
      </c>
      <c r="F404" s="345">
        <v>50000</v>
      </c>
      <c r="G404" s="346" t="s">
        <v>135</v>
      </c>
      <c r="H404" s="346" t="s">
        <v>31</v>
      </c>
      <c r="I404" s="63">
        <f t="shared" si="226"/>
        <v>394</v>
      </c>
      <c r="J404" s="292">
        <f t="shared" si="176"/>
        <v>0</v>
      </c>
      <c r="K404" s="292">
        <f t="shared" si="177"/>
        <v>0</v>
      </c>
      <c r="L404" s="292">
        <f t="shared" si="178"/>
        <v>0</v>
      </c>
      <c r="M404" s="292">
        <f t="shared" si="179"/>
        <v>50000</v>
      </c>
      <c r="N404" s="292">
        <f t="shared" si="214"/>
        <v>0</v>
      </c>
      <c r="O404" s="292">
        <f t="shared" si="215"/>
        <v>0</v>
      </c>
      <c r="P404" s="292">
        <f t="shared" si="180"/>
        <v>0</v>
      </c>
      <c r="Q404" s="292">
        <f t="shared" si="181"/>
        <v>0</v>
      </c>
      <c r="R404" s="292">
        <f t="shared" si="220"/>
        <v>0</v>
      </c>
      <c r="S404" s="292">
        <f t="shared" si="221"/>
        <v>0</v>
      </c>
      <c r="T404" s="292">
        <f t="shared" si="182"/>
        <v>0</v>
      </c>
      <c r="U404" s="292">
        <f t="shared" si="183"/>
        <v>0</v>
      </c>
      <c r="V404" s="292">
        <f t="shared" si="222"/>
        <v>0</v>
      </c>
      <c r="W404" s="292">
        <f t="shared" si="223"/>
        <v>0</v>
      </c>
      <c r="X404" s="292">
        <f t="shared" si="224"/>
        <v>0</v>
      </c>
      <c r="Y404" s="292">
        <f t="shared" si="225"/>
        <v>0</v>
      </c>
      <c r="Z404" s="292">
        <f t="shared" si="216"/>
        <v>0</v>
      </c>
      <c r="AA404" s="292">
        <f t="shared" si="217"/>
        <v>0</v>
      </c>
      <c r="AB404" s="292">
        <f t="shared" si="184"/>
        <v>0</v>
      </c>
      <c r="AC404" s="292">
        <f t="shared" si="185"/>
        <v>0</v>
      </c>
      <c r="AD404" s="292">
        <f t="shared" si="186"/>
        <v>0</v>
      </c>
      <c r="AE404" s="292">
        <f t="shared" si="187"/>
        <v>0</v>
      </c>
      <c r="AF404" s="292">
        <f t="shared" si="188"/>
        <v>0</v>
      </c>
      <c r="AG404" s="292">
        <f t="shared" si="189"/>
        <v>0</v>
      </c>
      <c r="AH404" s="292">
        <f t="shared" si="190"/>
        <v>0</v>
      </c>
      <c r="AI404" s="292">
        <f t="shared" si="191"/>
        <v>0</v>
      </c>
      <c r="AJ404" s="292">
        <f t="shared" si="192"/>
        <v>0</v>
      </c>
      <c r="AK404" s="292">
        <f t="shared" si="193"/>
        <v>0</v>
      </c>
      <c r="AL404" s="292">
        <f t="shared" si="218"/>
        <v>0</v>
      </c>
      <c r="AM404" s="292">
        <f t="shared" si="219"/>
        <v>0</v>
      </c>
      <c r="AN404" s="292">
        <f t="shared" si="194"/>
        <v>0</v>
      </c>
      <c r="AO404" s="292">
        <f t="shared" si="195"/>
        <v>0</v>
      </c>
      <c r="AP404" s="292">
        <f t="shared" si="196"/>
        <v>0</v>
      </c>
      <c r="AQ404" s="292">
        <f t="shared" si="197"/>
        <v>0</v>
      </c>
      <c r="AR404" s="292">
        <f t="shared" si="198"/>
        <v>0</v>
      </c>
      <c r="AS404" s="292">
        <f t="shared" si="199"/>
        <v>0</v>
      </c>
      <c r="AT404" s="292">
        <f t="shared" si="200"/>
        <v>0</v>
      </c>
      <c r="AU404" s="292">
        <f t="shared" si="201"/>
        <v>0</v>
      </c>
      <c r="AV404" s="292">
        <f t="shared" si="202"/>
        <v>0</v>
      </c>
      <c r="AW404" s="292">
        <f t="shared" si="203"/>
        <v>0</v>
      </c>
      <c r="AX404" s="292">
        <f t="shared" si="204"/>
        <v>50000</v>
      </c>
      <c r="AY404" s="292">
        <f t="shared" si="205"/>
        <v>0</v>
      </c>
      <c r="AZ404" s="292">
        <f t="shared" si="206"/>
        <v>0</v>
      </c>
      <c r="BA404" s="292">
        <f t="shared" si="207"/>
        <v>0</v>
      </c>
      <c r="BB404" s="292">
        <f t="shared" si="208"/>
        <v>0</v>
      </c>
      <c r="BC404" s="292">
        <f t="shared" si="209"/>
        <v>0</v>
      </c>
      <c r="BD404" s="292">
        <f t="shared" si="210"/>
        <v>0</v>
      </c>
      <c r="BE404" s="292">
        <f t="shared" si="211"/>
        <v>0</v>
      </c>
      <c r="BF404" s="292">
        <f t="shared" si="212"/>
        <v>0</v>
      </c>
      <c r="BG404" s="292">
        <f t="shared" si="213"/>
        <v>0</v>
      </c>
    </row>
    <row r="405" spans="1:59" s="289" customFormat="1" ht="15" customHeight="1">
      <c r="A405" s="63">
        <f t="array" ref="A405">IF(C405&lt;&gt;0,SUM(($C$11:C405&lt;&gt;0)*1),"")</f>
        <v>395</v>
      </c>
      <c r="B405" s="1099">
        <v>42546</v>
      </c>
      <c r="C405" s="290" t="s">
        <v>8</v>
      </c>
      <c r="D405" s="1099">
        <v>42546</v>
      </c>
      <c r="E405" s="344" t="s">
        <v>824</v>
      </c>
      <c r="F405" s="345">
        <v>5000</v>
      </c>
      <c r="G405" s="346" t="s">
        <v>10</v>
      </c>
      <c r="H405" s="346" t="s">
        <v>31</v>
      </c>
      <c r="I405" s="63">
        <f t="shared" si="226"/>
        <v>395</v>
      </c>
      <c r="J405" s="292">
        <f t="shared" si="176"/>
        <v>0</v>
      </c>
      <c r="K405" s="292">
        <f t="shared" si="177"/>
        <v>0</v>
      </c>
      <c r="L405" s="292">
        <f t="shared" si="178"/>
        <v>0</v>
      </c>
      <c r="M405" s="292">
        <f t="shared" si="179"/>
        <v>5000</v>
      </c>
      <c r="N405" s="292">
        <f t="shared" si="214"/>
        <v>0</v>
      </c>
      <c r="O405" s="292">
        <f t="shared" si="215"/>
        <v>0</v>
      </c>
      <c r="P405" s="292">
        <f t="shared" si="180"/>
        <v>5000</v>
      </c>
      <c r="Q405" s="292">
        <f t="shared" si="181"/>
        <v>0</v>
      </c>
      <c r="R405" s="292">
        <f t="shared" si="220"/>
        <v>0</v>
      </c>
      <c r="S405" s="292">
        <f t="shared" si="221"/>
        <v>0</v>
      </c>
      <c r="T405" s="292">
        <f t="shared" si="182"/>
        <v>0</v>
      </c>
      <c r="U405" s="292">
        <f t="shared" si="183"/>
        <v>0</v>
      </c>
      <c r="V405" s="292">
        <f t="shared" si="222"/>
        <v>0</v>
      </c>
      <c r="W405" s="292">
        <f t="shared" si="223"/>
        <v>0</v>
      </c>
      <c r="X405" s="292">
        <f t="shared" si="224"/>
        <v>0</v>
      </c>
      <c r="Y405" s="292">
        <f t="shared" si="225"/>
        <v>0</v>
      </c>
      <c r="Z405" s="292">
        <f t="shared" si="216"/>
        <v>0</v>
      </c>
      <c r="AA405" s="292">
        <f t="shared" si="217"/>
        <v>0</v>
      </c>
      <c r="AB405" s="292">
        <f t="shared" si="184"/>
        <v>0</v>
      </c>
      <c r="AC405" s="292">
        <f t="shared" si="185"/>
        <v>0</v>
      </c>
      <c r="AD405" s="292">
        <f t="shared" si="186"/>
        <v>0</v>
      </c>
      <c r="AE405" s="292">
        <f t="shared" si="187"/>
        <v>0</v>
      </c>
      <c r="AF405" s="292">
        <f t="shared" si="188"/>
        <v>0</v>
      </c>
      <c r="AG405" s="292">
        <f t="shared" si="189"/>
        <v>0</v>
      </c>
      <c r="AH405" s="292">
        <f t="shared" si="190"/>
        <v>0</v>
      </c>
      <c r="AI405" s="292">
        <f t="shared" si="191"/>
        <v>0</v>
      </c>
      <c r="AJ405" s="292">
        <f t="shared" si="192"/>
        <v>0</v>
      </c>
      <c r="AK405" s="292">
        <f t="shared" si="193"/>
        <v>0</v>
      </c>
      <c r="AL405" s="292">
        <f t="shared" si="218"/>
        <v>0</v>
      </c>
      <c r="AM405" s="292">
        <f t="shared" si="219"/>
        <v>0</v>
      </c>
      <c r="AN405" s="292">
        <f t="shared" si="194"/>
        <v>0</v>
      </c>
      <c r="AO405" s="292">
        <f t="shared" si="195"/>
        <v>0</v>
      </c>
      <c r="AP405" s="292">
        <f t="shared" si="196"/>
        <v>0</v>
      </c>
      <c r="AQ405" s="292">
        <f t="shared" si="197"/>
        <v>0</v>
      </c>
      <c r="AR405" s="292">
        <f t="shared" si="198"/>
        <v>0</v>
      </c>
      <c r="AS405" s="292">
        <f t="shared" si="199"/>
        <v>0</v>
      </c>
      <c r="AT405" s="292">
        <f t="shared" si="200"/>
        <v>0</v>
      </c>
      <c r="AU405" s="292">
        <f t="shared" si="201"/>
        <v>0</v>
      </c>
      <c r="AV405" s="292">
        <f t="shared" si="202"/>
        <v>0</v>
      </c>
      <c r="AW405" s="292">
        <f t="shared" si="203"/>
        <v>0</v>
      </c>
      <c r="AX405" s="292">
        <f t="shared" si="204"/>
        <v>0</v>
      </c>
      <c r="AY405" s="292">
        <f t="shared" si="205"/>
        <v>0</v>
      </c>
      <c r="AZ405" s="292">
        <f t="shared" si="206"/>
        <v>0</v>
      </c>
      <c r="BA405" s="292">
        <f t="shared" si="207"/>
        <v>0</v>
      </c>
      <c r="BB405" s="292">
        <f t="shared" si="208"/>
        <v>0</v>
      </c>
      <c r="BC405" s="292">
        <f t="shared" si="209"/>
        <v>0</v>
      </c>
      <c r="BD405" s="292">
        <f t="shared" si="210"/>
        <v>0</v>
      </c>
      <c r="BE405" s="292">
        <f t="shared" si="211"/>
        <v>0</v>
      </c>
      <c r="BF405" s="292">
        <f t="shared" si="212"/>
        <v>0</v>
      </c>
      <c r="BG405" s="292">
        <f t="shared" si="213"/>
        <v>0</v>
      </c>
    </row>
    <row r="406" spans="1:59" s="289" customFormat="1" ht="15" customHeight="1">
      <c r="A406" s="63">
        <f t="array" ref="A406">IF(C406&lt;&gt;0,SUM(($C$11:C406&lt;&gt;0)*1),"")</f>
        <v>396</v>
      </c>
      <c r="B406" s="1099">
        <v>42549</v>
      </c>
      <c r="C406" s="290" t="s">
        <v>891</v>
      </c>
      <c r="D406" s="1099">
        <v>42549</v>
      </c>
      <c r="E406" s="344" t="s">
        <v>1000</v>
      </c>
      <c r="F406" s="345">
        <v>31000000</v>
      </c>
      <c r="G406" s="346" t="s">
        <v>24</v>
      </c>
      <c r="H406" s="346" t="s">
        <v>97</v>
      </c>
      <c r="I406" s="63">
        <f t="shared" si="226"/>
        <v>396</v>
      </c>
      <c r="J406" s="292">
        <f t="shared" si="176"/>
        <v>0</v>
      </c>
      <c r="K406" s="292">
        <f t="shared" si="177"/>
        <v>31000000</v>
      </c>
      <c r="L406" s="292">
        <f t="shared" si="178"/>
        <v>0</v>
      </c>
      <c r="M406" s="292">
        <f t="shared" si="179"/>
        <v>0</v>
      </c>
      <c r="N406" s="292">
        <f t="shared" si="214"/>
        <v>0</v>
      </c>
      <c r="O406" s="292">
        <f t="shared" si="215"/>
        <v>0</v>
      </c>
      <c r="P406" s="292">
        <f t="shared" si="180"/>
        <v>0</v>
      </c>
      <c r="Q406" s="292">
        <f t="shared" si="181"/>
        <v>0</v>
      </c>
      <c r="R406" s="292">
        <f t="shared" si="220"/>
        <v>0</v>
      </c>
      <c r="S406" s="292">
        <f t="shared" si="221"/>
        <v>0</v>
      </c>
      <c r="T406" s="292">
        <f t="shared" si="182"/>
        <v>0</v>
      </c>
      <c r="U406" s="292">
        <f t="shared" si="183"/>
        <v>0</v>
      </c>
      <c r="V406" s="292">
        <f t="shared" si="222"/>
        <v>0</v>
      </c>
      <c r="W406" s="292">
        <f t="shared" si="223"/>
        <v>0</v>
      </c>
      <c r="X406" s="292">
        <f t="shared" si="224"/>
        <v>0</v>
      </c>
      <c r="Y406" s="292">
        <f t="shared" si="225"/>
        <v>0</v>
      </c>
      <c r="Z406" s="292">
        <f t="shared" si="216"/>
        <v>0</v>
      </c>
      <c r="AA406" s="292">
        <f t="shared" si="217"/>
        <v>0</v>
      </c>
      <c r="AB406" s="292">
        <f t="shared" si="184"/>
        <v>0</v>
      </c>
      <c r="AC406" s="292">
        <f t="shared" si="185"/>
        <v>0</v>
      </c>
      <c r="AD406" s="292">
        <f t="shared" si="186"/>
        <v>0</v>
      </c>
      <c r="AE406" s="292">
        <f t="shared" si="187"/>
        <v>0</v>
      </c>
      <c r="AF406" s="292">
        <f t="shared" si="188"/>
        <v>0</v>
      </c>
      <c r="AG406" s="292">
        <f t="shared" si="189"/>
        <v>0</v>
      </c>
      <c r="AH406" s="292">
        <f t="shared" si="190"/>
        <v>31000000</v>
      </c>
      <c r="AI406" s="292">
        <f t="shared" si="191"/>
        <v>0</v>
      </c>
      <c r="AJ406" s="292">
        <f t="shared" si="192"/>
        <v>0</v>
      </c>
      <c r="AK406" s="292">
        <f t="shared" si="193"/>
        <v>0</v>
      </c>
      <c r="AL406" s="292">
        <f t="shared" si="218"/>
        <v>0</v>
      </c>
      <c r="AM406" s="292">
        <f t="shared" si="219"/>
        <v>0</v>
      </c>
      <c r="AN406" s="292">
        <f t="shared" si="194"/>
        <v>0</v>
      </c>
      <c r="AO406" s="292">
        <f t="shared" si="195"/>
        <v>0</v>
      </c>
      <c r="AP406" s="292">
        <f t="shared" si="196"/>
        <v>0</v>
      </c>
      <c r="AQ406" s="292">
        <f t="shared" si="197"/>
        <v>0</v>
      </c>
      <c r="AR406" s="292">
        <f t="shared" si="198"/>
        <v>0</v>
      </c>
      <c r="AS406" s="292">
        <f t="shared" si="199"/>
        <v>0</v>
      </c>
      <c r="AT406" s="292">
        <f t="shared" si="200"/>
        <v>0</v>
      </c>
      <c r="AU406" s="292">
        <f t="shared" si="201"/>
        <v>0</v>
      </c>
      <c r="AV406" s="292">
        <f t="shared" si="202"/>
        <v>0</v>
      </c>
      <c r="AW406" s="292">
        <f t="shared" si="203"/>
        <v>0</v>
      </c>
      <c r="AX406" s="292">
        <f t="shared" si="204"/>
        <v>0</v>
      </c>
      <c r="AY406" s="292">
        <f t="shared" si="205"/>
        <v>0</v>
      </c>
      <c r="AZ406" s="292">
        <f t="shared" si="206"/>
        <v>0</v>
      </c>
      <c r="BA406" s="292">
        <f t="shared" si="207"/>
        <v>0</v>
      </c>
      <c r="BB406" s="292">
        <f t="shared" si="208"/>
        <v>0</v>
      </c>
      <c r="BC406" s="292">
        <f t="shared" si="209"/>
        <v>0</v>
      </c>
      <c r="BD406" s="292">
        <f t="shared" si="210"/>
        <v>0</v>
      </c>
      <c r="BE406" s="292">
        <f t="shared" si="211"/>
        <v>0</v>
      </c>
      <c r="BF406" s="292">
        <f t="shared" si="212"/>
        <v>0</v>
      </c>
      <c r="BG406" s="292">
        <f t="shared" si="213"/>
        <v>0</v>
      </c>
    </row>
    <row r="407" spans="1:59" s="289" customFormat="1" ht="15" customHeight="1">
      <c r="A407" s="63">
        <f t="array" ref="A407">IF(C407&lt;&gt;0,SUM(($C$11:C407&lt;&gt;0)*1),"")</f>
        <v>397</v>
      </c>
      <c r="B407" s="1099">
        <v>42549</v>
      </c>
      <c r="C407" s="290" t="s">
        <v>12</v>
      </c>
      <c r="D407" s="1099">
        <v>42549</v>
      </c>
      <c r="E407" s="344" t="s">
        <v>788</v>
      </c>
      <c r="F407" s="345">
        <v>31000000</v>
      </c>
      <c r="G407" s="346" t="s">
        <v>31</v>
      </c>
      <c r="H407" s="346" t="s">
        <v>24</v>
      </c>
      <c r="I407" s="63">
        <f t="shared" si="226"/>
        <v>397</v>
      </c>
      <c r="J407" s="292">
        <f t="shared" si="176"/>
        <v>0</v>
      </c>
      <c r="K407" s="292">
        <f t="shared" si="177"/>
        <v>0</v>
      </c>
      <c r="L407" s="292">
        <f t="shared" si="178"/>
        <v>31000000</v>
      </c>
      <c r="M407" s="292">
        <f t="shared" si="179"/>
        <v>0</v>
      </c>
      <c r="N407" s="292">
        <f t="shared" si="214"/>
        <v>0</v>
      </c>
      <c r="O407" s="292">
        <f t="shared" si="215"/>
        <v>0</v>
      </c>
      <c r="P407" s="292">
        <f t="shared" si="180"/>
        <v>0</v>
      </c>
      <c r="Q407" s="292">
        <f t="shared" si="181"/>
        <v>0</v>
      </c>
      <c r="R407" s="292">
        <f t="shared" si="220"/>
        <v>0</v>
      </c>
      <c r="S407" s="292">
        <f t="shared" si="221"/>
        <v>0</v>
      </c>
      <c r="T407" s="292">
        <f t="shared" si="182"/>
        <v>0</v>
      </c>
      <c r="U407" s="292">
        <f t="shared" si="183"/>
        <v>0</v>
      </c>
      <c r="V407" s="292">
        <f t="shared" si="222"/>
        <v>0</v>
      </c>
      <c r="W407" s="292">
        <f t="shared" si="223"/>
        <v>0</v>
      </c>
      <c r="X407" s="292">
        <f t="shared" si="224"/>
        <v>0</v>
      </c>
      <c r="Y407" s="292">
        <f t="shared" si="225"/>
        <v>0</v>
      </c>
      <c r="Z407" s="292">
        <f t="shared" si="216"/>
        <v>0</v>
      </c>
      <c r="AA407" s="292">
        <f t="shared" si="217"/>
        <v>0</v>
      </c>
      <c r="AB407" s="292">
        <f t="shared" si="184"/>
        <v>0</v>
      </c>
      <c r="AC407" s="292">
        <f t="shared" si="185"/>
        <v>0</v>
      </c>
      <c r="AD407" s="292">
        <f t="shared" si="186"/>
        <v>0</v>
      </c>
      <c r="AE407" s="292">
        <f t="shared" si="187"/>
        <v>0</v>
      </c>
      <c r="AF407" s="292">
        <f t="shared" si="188"/>
        <v>0</v>
      </c>
      <c r="AG407" s="292">
        <f t="shared" si="189"/>
        <v>0</v>
      </c>
      <c r="AH407" s="292">
        <f t="shared" si="190"/>
        <v>0</v>
      </c>
      <c r="AI407" s="292">
        <f t="shared" si="191"/>
        <v>31000000</v>
      </c>
      <c r="AJ407" s="292">
        <f t="shared" si="192"/>
        <v>0</v>
      </c>
      <c r="AK407" s="292">
        <f t="shared" si="193"/>
        <v>0</v>
      </c>
      <c r="AL407" s="292">
        <f t="shared" si="218"/>
        <v>0</v>
      </c>
      <c r="AM407" s="292">
        <f t="shared" si="219"/>
        <v>0</v>
      </c>
      <c r="AN407" s="292">
        <f t="shared" si="194"/>
        <v>0</v>
      </c>
      <c r="AO407" s="292">
        <f t="shared" si="195"/>
        <v>0</v>
      </c>
      <c r="AP407" s="292">
        <f t="shared" si="196"/>
        <v>0</v>
      </c>
      <c r="AQ407" s="292">
        <f t="shared" si="197"/>
        <v>0</v>
      </c>
      <c r="AR407" s="292">
        <f t="shared" si="198"/>
        <v>0</v>
      </c>
      <c r="AS407" s="292">
        <f t="shared" si="199"/>
        <v>0</v>
      </c>
      <c r="AT407" s="292">
        <f t="shared" si="200"/>
        <v>0</v>
      </c>
      <c r="AU407" s="292">
        <f t="shared" si="201"/>
        <v>0</v>
      </c>
      <c r="AV407" s="292">
        <f t="shared" si="202"/>
        <v>0</v>
      </c>
      <c r="AW407" s="292">
        <f t="shared" si="203"/>
        <v>0</v>
      </c>
      <c r="AX407" s="292">
        <f t="shared" si="204"/>
        <v>0</v>
      </c>
      <c r="AY407" s="292">
        <f t="shared" si="205"/>
        <v>0</v>
      </c>
      <c r="AZ407" s="292">
        <f t="shared" si="206"/>
        <v>0</v>
      </c>
      <c r="BA407" s="292">
        <f t="shared" si="207"/>
        <v>0</v>
      </c>
      <c r="BB407" s="292">
        <f t="shared" si="208"/>
        <v>0</v>
      </c>
      <c r="BC407" s="292">
        <f t="shared" si="209"/>
        <v>0</v>
      </c>
      <c r="BD407" s="292">
        <f t="shared" si="210"/>
        <v>0</v>
      </c>
      <c r="BE407" s="292">
        <f t="shared" si="211"/>
        <v>0</v>
      </c>
      <c r="BF407" s="292">
        <f t="shared" si="212"/>
        <v>0</v>
      </c>
      <c r="BG407" s="292">
        <f t="shared" si="213"/>
        <v>0</v>
      </c>
    </row>
    <row r="408" spans="1:59" s="289" customFormat="1" ht="15" customHeight="1">
      <c r="A408" s="63">
        <f t="array" ref="A408">IF(C408&lt;&gt;0,SUM(($C$11:C408&lt;&gt;0)*1),"")</f>
        <v>398</v>
      </c>
      <c r="B408" s="1099">
        <v>42549</v>
      </c>
      <c r="C408" s="290" t="s">
        <v>8</v>
      </c>
      <c r="D408" s="1099">
        <v>42549</v>
      </c>
      <c r="E408" s="344" t="s">
        <v>1003</v>
      </c>
      <c r="F408" s="345">
        <v>30360000</v>
      </c>
      <c r="G408" s="346" t="s">
        <v>9</v>
      </c>
      <c r="H408" s="346" t="s">
        <v>31</v>
      </c>
      <c r="I408" s="63">
        <f t="shared" si="226"/>
        <v>398</v>
      </c>
      <c r="J408" s="292">
        <f t="shared" si="176"/>
        <v>0</v>
      </c>
      <c r="K408" s="292">
        <f t="shared" si="177"/>
        <v>0</v>
      </c>
      <c r="L408" s="292">
        <f t="shared" si="178"/>
        <v>0</v>
      </c>
      <c r="M408" s="292">
        <f t="shared" si="179"/>
        <v>30360000</v>
      </c>
      <c r="N408" s="292">
        <f t="shared" si="214"/>
        <v>0</v>
      </c>
      <c r="O408" s="292">
        <f t="shared" si="215"/>
        <v>0</v>
      </c>
      <c r="P408" s="292">
        <f t="shared" si="180"/>
        <v>0</v>
      </c>
      <c r="Q408" s="292">
        <f t="shared" si="181"/>
        <v>0</v>
      </c>
      <c r="R408" s="292">
        <f t="shared" si="220"/>
        <v>0</v>
      </c>
      <c r="S408" s="292">
        <f t="shared" si="221"/>
        <v>0</v>
      </c>
      <c r="T408" s="292">
        <f t="shared" si="182"/>
        <v>0</v>
      </c>
      <c r="U408" s="292">
        <f t="shared" si="183"/>
        <v>0</v>
      </c>
      <c r="V408" s="292">
        <f t="shared" si="222"/>
        <v>0</v>
      </c>
      <c r="W408" s="292">
        <f t="shared" si="223"/>
        <v>0</v>
      </c>
      <c r="X408" s="292">
        <f t="shared" si="224"/>
        <v>0</v>
      </c>
      <c r="Y408" s="292">
        <f t="shared" si="225"/>
        <v>0</v>
      </c>
      <c r="Z408" s="292">
        <f t="shared" si="216"/>
        <v>0</v>
      </c>
      <c r="AA408" s="292">
        <f t="shared" si="217"/>
        <v>0</v>
      </c>
      <c r="AB408" s="292">
        <f t="shared" si="184"/>
        <v>30360000</v>
      </c>
      <c r="AC408" s="292">
        <f t="shared" si="185"/>
        <v>0</v>
      </c>
      <c r="AD408" s="292">
        <f t="shared" si="186"/>
        <v>0</v>
      </c>
      <c r="AE408" s="292">
        <f t="shared" si="187"/>
        <v>0</v>
      </c>
      <c r="AF408" s="292">
        <f t="shared" si="188"/>
        <v>0</v>
      </c>
      <c r="AG408" s="292">
        <f t="shared" si="189"/>
        <v>0</v>
      </c>
      <c r="AH408" s="292">
        <f t="shared" si="190"/>
        <v>0</v>
      </c>
      <c r="AI408" s="292">
        <f t="shared" si="191"/>
        <v>0</v>
      </c>
      <c r="AJ408" s="292">
        <f t="shared" si="192"/>
        <v>0</v>
      </c>
      <c r="AK408" s="292">
        <f t="shared" si="193"/>
        <v>0</v>
      </c>
      <c r="AL408" s="292">
        <f t="shared" si="218"/>
        <v>0</v>
      </c>
      <c r="AM408" s="292">
        <f t="shared" si="219"/>
        <v>0</v>
      </c>
      <c r="AN408" s="292">
        <f t="shared" si="194"/>
        <v>0</v>
      </c>
      <c r="AO408" s="292">
        <f t="shared" si="195"/>
        <v>0</v>
      </c>
      <c r="AP408" s="292">
        <f t="shared" si="196"/>
        <v>0</v>
      </c>
      <c r="AQ408" s="292">
        <f t="shared" si="197"/>
        <v>0</v>
      </c>
      <c r="AR408" s="292">
        <f t="shared" si="198"/>
        <v>0</v>
      </c>
      <c r="AS408" s="292">
        <f t="shared" si="199"/>
        <v>0</v>
      </c>
      <c r="AT408" s="292">
        <f t="shared" si="200"/>
        <v>0</v>
      </c>
      <c r="AU408" s="292">
        <f t="shared" si="201"/>
        <v>0</v>
      </c>
      <c r="AV408" s="292">
        <f t="shared" si="202"/>
        <v>0</v>
      </c>
      <c r="AW408" s="292">
        <f t="shared" si="203"/>
        <v>0</v>
      </c>
      <c r="AX408" s="292">
        <f t="shared" si="204"/>
        <v>0</v>
      </c>
      <c r="AY408" s="292">
        <f t="shared" si="205"/>
        <v>0</v>
      </c>
      <c r="AZ408" s="292">
        <f t="shared" si="206"/>
        <v>0</v>
      </c>
      <c r="BA408" s="292">
        <f t="shared" si="207"/>
        <v>0</v>
      </c>
      <c r="BB408" s="292">
        <f t="shared" si="208"/>
        <v>0</v>
      </c>
      <c r="BC408" s="292">
        <f t="shared" si="209"/>
        <v>0</v>
      </c>
      <c r="BD408" s="292">
        <f t="shared" si="210"/>
        <v>0</v>
      </c>
      <c r="BE408" s="292">
        <f t="shared" si="211"/>
        <v>0</v>
      </c>
      <c r="BF408" s="292">
        <f t="shared" si="212"/>
        <v>0</v>
      </c>
      <c r="BG408" s="292">
        <f t="shared" si="213"/>
        <v>0</v>
      </c>
    </row>
    <row r="409" spans="1:59" s="289" customFormat="1" ht="15" customHeight="1">
      <c r="A409" s="63">
        <f t="array" ref="A409">IF(C409&lt;&gt;0,SUM(($C$11:C409&lt;&gt;0)*1),"")</f>
        <v>399</v>
      </c>
      <c r="B409" s="1099">
        <v>42549</v>
      </c>
      <c r="C409" s="290" t="s">
        <v>8</v>
      </c>
      <c r="D409" s="1099">
        <v>42549</v>
      </c>
      <c r="E409" s="344" t="s">
        <v>22</v>
      </c>
      <c r="F409" s="345">
        <v>25000</v>
      </c>
      <c r="G409" s="346" t="s">
        <v>135</v>
      </c>
      <c r="H409" s="346" t="s">
        <v>31</v>
      </c>
      <c r="I409" s="63">
        <f t="shared" si="226"/>
        <v>399</v>
      </c>
      <c r="J409" s="292">
        <f t="shared" si="176"/>
        <v>0</v>
      </c>
      <c r="K409" s="292">
        <f t="shared" si="177"/>
        <v>0</v>
      </c>
      <c r="L409" s="292">
        <f t="shared" si="178"/>
        <v>0</v>
      </c>
      <c r="M409" s="292">
        <f t="shared" si="179"/>
        <v>25000</v>
      </c>
      <c r="N409" s="292">
        <f t="shared" si="214"/>
        <v>0</v>
      </c>
      <c r="O409" s="292">
        <f t="shared" si="215"/>
        <v>0</v>
      </c>
      <c r="P409" s="292">
        <f t="shared" si="180"/>
        <v>0</v>
      </c>
      <c r="Q409" s="292">
        <f t="shared" si="181"/>
        <v>0</v>
      </c>
      <c r="R409" s="292">
        <f t="shared" si="220"/>
        <v>0</v>
      </c>
      <c r="S409" s="292">
        <f t="shared" si="221"/>
        <v>0</v>
      </c>
      <c r="T409" s="292">
        <f t="shared" si="182"/>
        <v>0</v>
      </c>
      <c r="U409" s="292">
        <f t="shared" si="183"/>
        <v>0</v>
      </c>
      <c r="V409" s="292">
        <f t="shared" si="222"/>
        <v>0</v>
      </c>
      <c r="W409" s="292">
        <f t="shared" si="223"/>
        <v>0</v>
      </c>
      <c r="X409" s="292">
        <f t="shared" si="224"/>
        <v>0</v>
      </c>
      <c r="Y409" s="292">
        <f t="shared" si="225"/>
        <v>0</v>
      </c>
      <c r="Z409" s="292">
        <f t="shared" si="216"/>
        <v>0</v>
      </c>
      <c r="AA409" s="292">
        <f t="shared" si="217"/>
        <v>0</v>
      </c>
      <c r="AB409" s="292">
        <f t="shared" si="184"/>
        <v>0</v>
      </c>
      <c r="AC409" s="292">
        <f t="shared" si="185"/>
        <v>0</v>
      </c>
      <c r="AD409" s="292">
        <f t="shared" si="186"/>
        <v>0</v>
      </c>
      <c r="AE409" s="292">
        <f t="shared" si="187"/>
        <v>0</v>
      </c>
      <c r="AF409" s="292">
        <f t="shared" si="188"/>
        <v>0</v>
      </c>
      <c r="AG409" s="292">
        <f t="shared" si="189"/>
        <v>0</v>
      </c>
      <c r="AH409" s="292">
        <f t="shared" si="190"/>
        <v>0</v>
      </c>
      <c r="AI409" s="292">
        <f t="shared" si="191"/>
        <v>0</v>
      </c>
      <c r="AJ409" s="292">
        <f t="shared" si="192"/>
        <v>0</v>
      </c>
      <c r="AK409" s="292">
        <f t="shared" si="193"/>
        <v>0</v>
      </c>
      <c r="AL409" s="292">
        <f t="shared" si="218"/>
        <v>0</v>
      </c>
      <c r="AM409" s="292">
        <f t="shared" si="219"/>
        <v>0</v>
      </c>
      <c r="AN409" s="292">
        <f t="shared" si="194"/>
        <v>0</v>
      </c>
      <c r="AO409" s="292">
        <f t="shared" si="195"/>
        <v>0</v>
      </c>
      <c r="AP409" s="292">
        <f t="shared" si="196"/>
        <v>0</v>
      </c>
      <c r="AQ409" s="292">
        <f t="shared" si="197"/>
        <v>0</v>
      </c>
      <c r="AR409" s="292">
        <f t="shared" si="198"/>
        <v>0</v>
      </c>
      <c r="AS409" s="292">
        <f t="shared" si="199"/>
        <v>0</v>
      </c>
      <c r="AT409" s="292">
        <f t="shared" si="200"/>
        <v>0</v>
      </c>
      <c r="AU409" s="292">
        <f t="shared" si="201"/>
        <v>0</v>
      </c>
      <c r="AV409" s="292">
        <f t="shared" si="202"/>
        <v>0</v>
      </c>
      <c r="AW409" s="292">
        <f t="shared" si="203"/>
        <v>0</v>
      </c>
      <c r="AX409" s="292">
        <f t="shared" si="204"/>
        <v>25000</v>
      </c>
      <c r="AY409" s="292">
        <f t="shared" si="205"/>
        <v>0</v>
      </c>
      <c r="AZ409" s="292">
        <f t="shared" si="206"/>
        <v>0</v>
      </c>
      <c r="BA409" s="292">
        <f t="shared" si="207"/>
        <v>0</v>
      </c>
      <c r="BB409" s="292">
        <f t="shared" si="208"/>
        <v>0</v>
      </c>
      <c r="BC409" s="292">
        <f t="shared" si="209"/>
        <v>0</v>
      </c>
      <c r="BD409" s="292">
        <f t="shared" si="210"/>
        <v>0</v>
      </c>
      <c r="BE409" s="292">
        <f t="shared" si="211"/>
        <v>0</v>
      </c>
      <c r="BF409" s="292">
        <f t="shared" si="212"/>
        <v>0</v>
      </c>
      <c r="BG409" s="292">
        <f t="shared" si="213"/>
        <v>0</v>
      </c>
    </row>
    <row r="410" spans="1:59" s="289" customFormat="1" ht="15" customHeight="1">
      <c r="A410" s="63">
        <f t="array" ref="A410">IF(C410&lt;&gt;0,SUM(($C$11:C410&lt;&gt;0)*1),"")</f>
        <v>400</v>
      </c>
      <c r="B410" s="1099">
        <v>42549</v>
      </c>
      <c r="C410" s="290" t="s">
        <v>8</v>
      </c>
      <c r="D410" s="1099">
        <v>42549</v>
      </c>
      <c r="E410" s="344" t="s">
        <v>23</v>
      </c>
      <c r="F410" s="345">
        <v>2500</v>
      </c>
      <c r="G410" s="346" t="s">
        <v>10</v>
      </c>
      <c r="H410" s="346" t="s">
        <v>31</v>
      </c>
      <c r="I410" s="63">
        <f t="shared" si="226"/>
        <v>400</v>
      </c>
      <c r="J410" s="292">
        <f t="shared" si="176"/>
        <v>0</v>
      </c>
      <c r="K410" s="292">
        <f t="shared" si="177"/>
        <v>0</v>
      </c>
      <c r="L410" s="292">
        <f t="shared" si="178"/>
        <v>0</v>
      </c>
      <c r="M410" s="292">
        <f t="shared" si="179"/>
        <v>2500</v>
      </c>
      <c r="N410" s="292">
        <f t="shared" si="214"/>
        <v>0</v>
      </c>
      <c r="O410" s="292">
        <f t="shared" si="215"/>
        <v>0</v>
      </c>
      <c r="P410" s="292">
        <f t="shared" si="180"/>
        <v>2500</v>
      </c>
      <c r="Q410" s="292">
        <f t="shared" si="181"/>
        <v>0</v>
      </c>
      <c r="R410" s="292">
        <f t="shared" si="220"/>
        <v>0</v>
      </c>
      <c r="S410" s="292">
        <f t="shared" si="221"/>
        <v>0</v>
      </c>
      <c r="T410" s="292">
        <f t="shared" si="182"/>
        <v>0</v>
      </c>
      <c r="U410" s="292">
        <f t="shared" si="183"/>
        <v>0</v>
      </c>
      <c r="V410" s="292">
        <f t="shared" si="222"/>
        <v>0</v>
      </c>
      <c r="W410" s="292">
        <f t="shared" si="223"/>
        <v>0</v>
      </c>
      <c r="X410" s="292">
        <f t="shared" si="224"/>
        <v>0</v>
      </c>
      <c r="Y410" s="292">
        <f t="shared" si="225"/>
        <v>0</v>
      </c>
      <c r="Z410" s="292">
        <f t="shared" si="216"/>
        <v>0</v>
      </c>
      <c r="AA410" s="292">
        <f t="shared" si="217"/>
        <v>0</v>
      </c>
      <c r="AB410" s="292">
        <f t="shared" si="184"/>
        <v>0</v>
      </c>
      <c r="AC410" s="292">
        <f t="shared" si="185"/>
        <v>0</v>
      </c>
      <c r="AD410" s="292">
        <f t="shared" si="186"/>
        <v>0</v>
      </c>
      <c r="AE410" s="292">
        <f t="shared" si="187"/>
        <v>0</v>
      </c>
      <c r="AF410" s="292">
        <f t="shared" si="188"/>
        <v>0</v>
      </c>
      <c r="AG410" s="292">
        <f t="shared" si="189"/>
        <v>0</v>
      </c>
      <c r="AH410" s="292">
        <f t="shared" si="190"/>
        <v>0</v>
      </c>
      <c r="AI410" s="292">
        <f t="shared" si="191"/>
        <v>0</v>
      </c>
      <c r="AJ410" s="292">
        <f t="shared" si="192"/>
        <v>0</v>
      </c>
      <c r="AK410" s="292">
        <f t="shared" si="193"/>
        <v>0</v>
      </c>
      <c r="AL410" s="292">
        <f t="shared" si="218"/>
        <v>0</v>
      </c>
      <c r="AM410" s="292">
        <f t="shared" si="219"/>
        <v>0</v>
      </c>
      <c r="AN410" s="292">
        <f t="shared" si="194"/>
        <v>0</v>
      </c>
      <c r="AO410" s="292">
        <f t="shared" si="195"/>
        <v>0</v>
      </c>
      <c r="AP410" s="292">
        <f t="shared" si="196"/>
        <v>0</v>
      </c>
      <c r="AQ410" s="292">
        <f t="shared" si="197"/>
        <v>0</v>
      </c>
      <c r="AR410" s="292">
        <f t="shared" si="198"/>
        <v>0</v>
      </c>
      <c r="AS410" s="292">
        <f t="shared" si="199"/>
        <v>0</v>
      </c>
      <c r="AT410" s="292">
        <f t="shared" si="200"/>
        <v>0</v>
      </c>
      <c r="AU410" s="292">
        <f t="shared" si="201"/>
        <v>0</v>
      </c>
      <c r="AV410" s="292">
        <f t="shared" si="202"/>
        <v>0</v>
      </c>
      <c r="AW410" s="292">
        <f t="shared" si="203"/>
        <v>0</v>
      </c>
      <c r="AX410" s="292">
        <f t="shared" si="204"/>
        <v>0</v>
      </c>
      <c r="AY410" s="292">
        <f t="shared" si="205"/>
        <v>0</v>
      </c>
      <c r="AZ410" s="292">
        <f t="shared" si="206"/>
        <v>0</v>
      </c>
      <c r="BA410" s="292">
        <f t="shared" si="207"/>
        <v>0</v>
      </c>
      <c r="BB410" s="292">
        <f t="shared" si="208"/>
        <v>0</v>
      </c>
      <c r="BC410" s="292">
        <f t="shared" si="209"/>
        <v>0</v>
      </c>
      <c r="BD410" s="292">
        <f t="shared" si="210"/>
        <v>0</v>
      </c>
      <c r="BE410" s="292">
        <f t="shared" si="211"/>
        <v>0</v>
      </c>
      <c r="BF410" s="292">
        <f t="shared" si="212"/>
        <v>0</v>
      </c>
      <c r="BG410" s="292">
        <f t="shared" si="213"/>
        <v>0</v>
      </c>
    </row>
    <row r="411" spans="1:59" s="289" customFormat="1" ht="15" customHeight="1">
      <c r="A411" s="63">
        <f t="array" ref="A411">IF(C411&lt;&gt;0,SUM(($C$11:C411&lt;&gt;0)*1),"")</f>
        <v>401</v>
      </c>
      <c r="B411" s="1099">
        <v>42551</v>
      </c>
      <c r="C411" s="290" t="s">
        <v>985</v>
      </c>
      <c r="D411" s="1099">
        <v>42551</v>
      </c>
      <c r="E411" s="344" t="s">
        <v>854</v>
      </c>
      <c r="F411" s="345">
        <v>1927273</v>
      </c>
      <c r="G411" s="346" t="s">
        <v>135</v>
      </c>
      <c r="H411" s="346" t="s">
        <v>97</v>
      </c>
      <c r="I411" s="63">
        <f t="shared" si="226"/>
        <v>401</v>
      </c>
      <c r="J411" s="292">
        <f t="shared" si="176"/>
        <v>0</v>
      </c>
      <c r="K411" s="292">
        <f t="shared" si="177"/>
        <v>1927273</v>
      </c>
      <c r="L411" s="292">
        <f t="shared" si="178"/>
        <v>0</v>
      </c>
      <c r="M411" s="292">
        <f t="shared" si="179"/>
        <v>0</v>
      </c>
      <c r="N411" s="292">
        <f t="shared" si="214"/>
        <v>0</v>
      </c>
      <c r="O411" s="292">
        <f t="shared" si="215"/>
        <v>0</v>
      </c>
      <c r="P411" s="292">
        <f t="shared" si="180"/>
        <v>0</v>
      </c>
      <c r="Q411" s="292">
        <f t="shared" si="181"/>
        <v>0</v>
      </c>
      <c r="R411" s="292">
        <f t="shared" si="220"/>
        <v>0</v>
      </c>
      <c r="S411" s="292">
        <f t="shared" si="221"/>
        <v>0</v>
      </c>
      <c r="T411" s="292">
        <f t="shared" si="182"/>
        <v>0</v>
      </c>
      <c r="U411" s="292">
        <f t="shared" si="183"/>
        <v>0</v>
      </c>
      <c r="V411" s="292">
        <f t="shared" si="222"/>
        <v>0</v>
      </c>
      <c r="W411" s="292">
        <f t="shared" si="223"/>
        <v>0</v>
      </c>
      <c r="X411" s="292">
        <f t="shared" si="224"/>
        <v>0</v>
      </c>
      <c r="Y411" s="292">
        <f t="shared" si="225"/>
        <v>0</v>
      </c>
      <c r="Z411" s="292">
        <f t="shared" si="216"/>
        <v>0</v>
      </c>
      <c r="AA411" s="292">
        <f t="shared" si="217"/>
        <v>0</v>
      </c>
      <c r="AB411" s="292">
        <f t="shared" si="184"/>
        <v>0</v>
      </c>
      <c r="AC411" s="292">
        <f t="shared" si="185"/>
        <v>0</v>
      </c>
      <c r="AD411" s="292">
        <f t="shared" si="186"/>
        <v>0</v>
      </c>
      <c r="AE411" s="292">
        <f t="shared" si="187"/>
        <v>0</v>
      </c>
      <c r="AF411" s="292">
        <f t="shared" si="188"/>
        <v>0</v>
      </c>
      <c r="AG411" s="292">
        <f t="shared" si="189"/>
        <v>0</v>
      </c>
      <c r="AH411" s="292">
        <f t="shared" si="190"/>
        <v>0</v>
      </c>
      <c r="AI411" s="292">
        <f t="shared" si="191"/>
        <v>0</v>
      </c>
      <c r="AJ411" s="292">
        <f t="shared" si="192"/>
        <v>0</v>
      </c>
      <c r="AK411" s="292">
        <f t="shared" si="193"/>
        <v>0</v>
      </c>
      <c r="AL411" s="292">
        <f t="shared" si="218"/>
        <v>0</v>
      </c>
      <c r="AM411" s="292">
        <f t="shared" si="219"/>
        <v>0</v>
      </c>
      <c r="AN411" s="292">
        <f t="shared" si="194"/>
        <v>0</v>
      </c>
      <c r="AO411" s="292">
        <f t="shared" si="195"/>
        <v>0</v>
      </c>
      <c r="AP411" s="292">
        <f t="shared" si="196"/>
        <v>0</v>
      </c>
      <c r="AQ411" s="292">
        <f t="shared" si="197"/>
        <v>0</v>
      </c>
      <c r="AR411" s="292">
        <f t="shared" si="198"/>
        <v>0</v>
      </c>
      <c r="AS411" s="292">
        <f t="shared" si="199"/>
        <v>0</v>
      </c>
      <c r="AT411" s="292">
        <f t="shared" si="200"/>
        <v>0</v>
      </c>
      <c r="AU411" s="292">
        <f t="shared" si="201"/>
        <v>0</v>
      </c>
      <c r="AV411" s="292">
        <f t="shared" si="202"/>
        <v>0</v>
      </c>
      <c r="AW411" s="292">
        <f t="shared" si="203"/>
        <v>0</v>
      </c>
      <c r="AX411" s="292">
        <f t="shared" si="204"/>
        <v>1927273</v>
      </c>
      <c r="AY411" s="292">
        <f t="shared" si="205"/>
        <v>0</v>
      </c>
      <c r="AZ411" s="292">
        <f t="shared" si="206"/>
        <v>0</v>
      </c>
      <c r="BA411" s="292">
        <f t="shared" si="207"/>
        <v>0</v>
      </c>
      <c r="BB411" s="292">
        <f t="shared" si="208"/>
        <v>0</v>
      </c>
      <c r="BC411" s="292">
        <f t="shared" si="209"/>
        <v>0</v>
      </c>
      <c r="BD411" s="292">
        <f t="shared" si="210"/>
        <v>0</v>
      </c>
      <c r="BE411" s="292">
        <f t="shared" si="211"/>
        <v>0</v>
      </c>
      <c r="BF411" s="292">
        <f t="shared" si="212"/>
        <v>0</v>
      </c>
      <c r="BG411" s="292">
        <f t="shared" si="213"/>
        <v>0</v>
      </c>
    </row>
    <row r="412" spans="1:59" s="289" customFormat="1" ht="15" customHeight="1">
      <c r="A412" s="63">
        <f t="array" ref="A412">IF(C412&lt;&gt;0,SUM(($C$11:C412&lt;&gt;0)*1),"")</f>
        <v>402</v>
      </c>
      <c r="B412" s="1099">
        <v>42551</v>
      </c>
      <c r="C412" s="290" t="s">
        <v>985</v>
      </c>
      <c r="D412" s="1099">
        <v>42551</v>
      </c>
      <c r="E412" s="344" t="s">
        <v>855</v>
      </c>
      <c r="F412" s="345">
        <v>192727</v>
      </c>
      <c r="G412" s="346" t="s">
        <v>10</v>
      </c>
      <c r="H412" s="346" t="s">
        <v>97</v>
      </c>
      <c r="I412" s="63">
        <f t="shared" si="226"/>
        <v>402</v>
      </c>
      <c r="J412" s="292">
        <f t="shared" si="176"/>
        <v>0</v>
      </c>
      <c r="K412" s="292">
        <f t="shared" si="177"/>
        <v>192727</v>
      </c>
      <c r="L412" s="292">
        <f t="shared" si="178"/>
        <v>0</v>
      </c>
      <c r="M412" s="292">
        <f t="shared" si="179"/>
        <v>0</v>
      </c>
      <c r="N412" s="292">
        <f t="shared" si="214"/>
        <v>0</v>
      </c>
      <c r="O412" s="292">
        <f t="shared" si="215"/>
        <v>0</v>
      </c>
      <c r="P412" s="292">
        <f t="shared" si="180"/>
        <v>192727</v>
      </c>
      <c r="Q412" s="292">
        <f t="shared" si="181"/>
        <v>0</v>
      </c>
      <c r="R412" s="292">
        <f t="shared" si="220"/>
        <v>0</v>
      </c>
      <c r="S412" s="292">
        <f t="shared" si="221"/>
        <v>0</v>
      </c>
      <c r="T412" s="292">
        <f t="shared" si="182"/>
        <v>0</v>
      </c>
      <c r="U412" s="292">
        <f t="shared" si="183"/>
        <v>0</v>
      </c>
      <c r="V412" s="292">
        <f t="shared" si="222"/>
        <v>0</v>
      </c>
      <c r="W412" s="292">
        <f t="shared" si="223"/>
        <v>0</v>
      </c>
      <c r="X412" s="292">
        <f t="shared" si="224"/>
        <v>0</v>
      </c>
      <c r="Y412" s="292">
        <f t="shared" si="225"/>
        <v>0</v>
      </c>
      <c r="Z412" s="292">
        <f t="shared" si="216"/>
        <v>0</v>
      </c>
      <c r="AA412" s="292">
        <f t="shared" si="217"/>
        <v>0</v>
      </c>
      <c r="AB412" s="292">
        <f t="shared" si="184"/>
        <v>0</v>
      </c>
      <c r="AC412" s="292">
        <f t="shared" si="185"/>
        <v>0</v>
      </c>
      <c r="AD412" s="292">
        <f t="shared" si="186"/>
        <v>0</v>
      </c>
      <c r="AE412" s="292">
        <f t="shared" si="187"/>
        <v>0</v>
      </c>
      <c r="AF412" s="292">
        <f t="shared" si="188"/>
        <v>0</v>
      </c>
      <c r="AG412" s="292">
        <f t="shared" si="189"/>
        <v>0</v>
      </c>
      <c r="AH412" s="292">
        <f t="shared" si="190"/>
        <v>0</v>
      </c>
      <c r="AI412" s="292">
        <f t="shared" si="191"/>
        <v>0</v>
      </c>
      <c r="AJ412" s="292">
        <f t="shared" si="192"/>
        <v>0</v>
      </c>
      <c r="AK412" s="292">
        <f t="shared" si="193"/>
        <v>0</v>
      </c>
      <c r="AL412" s="292">
        <f t="shared" si="218"/>
        <v>0</v>
      </c>
      <c r="AM412" s="292">
        <f t="shared" si="219"/>
        <v>0</v>
      </c>
      <c r="AN412" s="292">
        <f t="shared" si="194"/>
        <v>0</v>
      </c>
      <c r="AO412" s="292">
        <f t="shared" si="195"/>
        <v>0</v>
      </c>
      <c r="AP412" s="292">
        <f t="shared" si="196"/>
        <v>0</v>
      </c>
      <c r="AQ412" s="292">
        <f t="shared" si="197"/>
        <v>0</v>
      </c>
      <c r="AR412" s="292">
        <f t="shared" si="198"/>
        <v>0</v>
      </c>
      <c r="AS412" s="292">
        <f t="shared" si="199"/>
        <v>0</v>
      </c>
      <c r="AT412" s="292">
        <f t="shared" si="200"/>
        <v>0</v>
      </c>
      <c r="AU412" s="292">
        <f t="shared" si="201"/>
        <v>0</v>
      </c>
      <c r="AV412" s="292">
        <f t="shared" si="202"/>
        <v>0</v>
      </c>
      <c r="AW412" s="292">
        <f t="shared" si="203"/>
        <v>0</v>
      </c>
      <c r="AX412" s="292">
        <f t="shared" si="204"/>
        <v>0</v>
      </c>
      <c r="AY412" s="292">
        <f t="shared" si="205"/>
        <v>0</v>
      </c>
      <c r="AZ412" s="292">
        <f t="shared" si="206"/>
        <v>0</v>
      </c>
      <c r="BA412" s="292">
        <f t="shared" si="207"/>
        <v>0</v>
      </c>
      <c r="BB412" s="292">
        <f t="shared" si="208"/>
        <v>0</v>
      </c>
      <c r="BC412" s="292">
        <f t="shared" si="209"/>
        <v>0</v>
      </c>
      <c r="BD412" s="292">
        <f t="shared" si="210"/>
        <v>0</v>
      </c>
      <c r="BE412" s="292">
        <f t="shared" si="211"/>
        <v>0</v>
      </c>
      <c r="BF412" s="292">
        <f t="shared" si="212"/>
        <v>0</v>
      </c>
      <c r="BG412" s="292">
        <f t="shared" si="213"/>
        <v>0</v>
      </c>
    </row>
    <row r="413" spans="1:59" s="289" customFormat="1" ht="15" customHeight="1">
      <c r="A413" s="63">
        <f t="array" ref="A413">IF(C413&lt;&gt;0,SUM(($C$11:C413&lt;&gt;0)*1),"")</f>
        <v>403</v>
      </c>
      <c r="B413" s="1099">
        <v>42551</v>
      </c>
      <c r="C413" s="290" t="s">
        <v>1009</v>
      </c>
      <c r="D413" s="1099">
        <v>42551</v>
      </c>
      <c r="E413" s="344" t="s">
        <v>1001</v>
      </c>
      <c r="F413" s="345">
        <v>55000000</v>
      </c>
      <c r="G413" s="346" t="s">
        <v>31</v>
      </c>
      <c r="H413" s="346" t="s">
        <v>97</v>
      </c>
      <c r="I413" s="63">
        <f t="shared" si="226"/>
        <v>403</v>
      </c>
      <c r="J413" s="292">
        <f t="shared" si="176"/>
        <v>0</v>
      </c>
      <c r="K413" s="292">
        <f t="shared" si="177"/>
        <v>55000000</v>
      </c>
      <c r="L413" s="292">
        <f t="shared" si="178"/>
        <v>55000000</v>
      </c>
      <c r="M413" s="292">
        <f t="shared" si="179"/>
        <v>0</v>
      </c>
      <c r="N413" s="292">
        <f t="shared" si="214"/>
        <v>0</v>
      </c>
      <c r="O413" s="292">
        <f t="shared" si="215"/>
        <v>0</v>
      </c>
      <c r="P413" s="292">
        <f t="shared" si="180"/>
        <v>0</v>
      </c>
      <c r="Q413" s="292">
        <f t="shared" si="181"/>
        <v>0</v>
      </c>
      <c r="R413" s="292">
        <f t="shared" si="220"/>
        <v>0</v>
      </c>
      <c r="S413" s="292">
        <f t="shared" si="221"/>
        <v>0</v>
      </c>
      <c r="T413" s="292">
        <f t="shared" si="182"/>
        <v>0</v>
      </c>
      <c r="U413" s="292">
        <f t="shared" si="183"/>
        <v>0</v>
      </c>
      <c r="V413" s="292">
        <f t="shared" si="222"/>
        <v>0</v>
      </c>
      <c r="W413" s="292">
        <f t="shared" si="223"/>
        <v>0</v>
      </c>
      <c r="X413" s="292">
        <f t="shared" si="224"/>
        <v>0</v>
      </c>
      <c r="Y413" s="292">
        <f t="shared" si="225"/>
        <v>0</v>
      </c>
      <c r="Z413" s="292">
        <f t="shared" si="216"/>
        <v>0</v>
      </c>
      <c r="AA413" s="292">
        <f t="shared" si="217"/>
        <v>0</v>
      </c>
      <c r="AB413" s="292">
        <f t="shared" si="184"/>
        <v>0</v>
      </c>
      <c r="AC413" s="292">
        <f t="shared" si="185"/>
        <v>0</v>
      </c>
      <c r="AD413" s="292">
        <f t="shared" si="186"/>
        <v>0</v>
      </c>
      <c r="AE413" s="292">
        <f t="shared" si="187"/>
        <v>0</v>
      </c>
      <c r="AF413" s="292">
        <f t="shared" si="188"/>
        <v>0</v>
      </c>
      <c r="AG413" s="292">
        <f t="shared" si="189"/>
        <v>0</v>
      </c>
      <c r="AH413" s="292">
        <f t="shared" si="190"/>
        <v>0</v>
      </c>
      <c r="AI413" s="292">
        <f t="shared" si="191"/>
        <v>0</v>
      </c>
      <c r="AJ413" s="292">
        <f t="shared" si="192"/>
        <v>0</v>
      </c>
      <c r="AK413" s="292">
        <f t="shared" si="193"/>
        <v>0</v>
      </c>
      <c r="AL413" s="292">
        <f t="shared" si="218"/>
        <v>0</v>
      </c>
      <c r="AM413" s="292">
        <f t="shared" si="219"/>
        <v>0</v>
      </c>
      <c r="AN413" s="292">
        <f t="shared" si="194"/>
        <v>0</v>
      </c>
      <c r="AO413" s="292">
        <f t="shared" si="195"/>
        <v>0</v>
      </c>
      <c r="AP413" s="292">
        <f t="shared" si="196"/>
        <v>0</v>
      </c>
      <c r="AQ413" s="292">
        <f t="shared" si="197"/>
        <v>0</v>
      </c>
      <c r="AR413" s="292">
        <f t="shared" si="198"/>
        <v>0</v>
      </c>
      <c r="AS413" s="292">
        <f t="shared" si="199"/>
        <v>0</v>
      </c>
      <c r="AT413" s="292">
        <f t="shared" si="200"/>
        <v>0</v>
      </c>
      <c r="AU413" s="292">
        <f t="shared" si="201"/>
        <v>0</v>
      </c>
      <c r="AV413" s="292">
        <f t="shared" si="202"/>
        <v>0</v>
      </c>
      <c r="AW413" s="292">
        <f t="shared" si="203"/>
        <v>0</v>
      </c>
      <c r="AX413" s="292">
        <f t="shared" si="204"/>
        <v>0</v>
      </c>
      <c r="AY413" s="292">
        <f t="shared" si="205"/>
        <v>0</v>
      </c>
      <c r="AZ413" s="292">
        <f t="shared" si="206"/>
        <v>0</v>
      </c>
      <c r="BA413" s="292">
        <f t="shared" si="207"/>
        <v>0</v>
      </c>
      <c r="BB413" s="292">
        <f t="shared" si="208"/>
        <v>0</v>
      </c>
      <c r="BC413" s="292">
        <f t="shared" si="209"/>
        <v>0</v>
      </c>
      <c r="BD413" s="292">
        <f t="shared" si="210"/>
        <v>0</v>
      </c>
      <c r="BE413" s="292">
        <f t="shared" si="211"/>
        <v>0</v>
      </c>
      <c r="BF413" s="292">
        <f t="shared" si="212"/>
        <v>0</v>
      </c>
      <c r="BG413" s="292">
        <f t="shared" si="213"/>
        <v>0</v>
      </c>
    </row>
    <row r="414" spans="1:59" s="289" customFormat="1" ht="15" customHeight="1">
      <c r="A414" s="63">
        <f t="array" ref="A414">IF(C414&lt;&gt;0,SUM(($C$11:C414&lt;&gt;0)*1),"")</f>
        <v>404</v>
      </c>
      <c r="B414" s="1099">
        <v>42551</v>
      </c>
      <c r="C414" s="290" t="s">
        <v>989</v>
      </c>
      <c r="D414" s="1099">
        <v>42551</v>
      </c>
      <c r="E414" s="344" t="s">
        <v>1019</v>
      </c>
      <c r="F414" s="345">
        <v>223236835</v>
      </c>
      <c r="G414" s="346" t="s">
        <v>1020</v>
      </c>
      <c r="H414" s="346" t="s">
        <v>97</v>
      </c>
      <c r="I414" s="63">
        <f t="shared" si="226"/>
        <v>404</v>
      </c>
      <c r="J414" s="292">
        <f t="shared" si="176"/>
        <v>0</v>
      </c>
      <c r="K414" s="292">
        <f t="shared" si="177"/>
        <v>223236835</v>
      </c>
      <c r="L414" s="292">
        <f t="shared" si="178"/>
        <v>0</v>
      </c>
      <c r="M414" s="292">
        <f t="shared" si="179"/>
        <v>0</v>
      </c>
      <c r="N414" s="292">
        <f t="shared" si="214"/>
        <v>0</v>
      </c>
      <c r="O414" s="292">
        <f t="shared" si="215"/>
        <v>0</v>
      </c>
      <c r="P414" s="292">
        <f t="shared" si="180"/>
        <v>0</v>
      </c>
      <c r="Q414" s="292">
        <f t="shared" si="181"/>
        <v>0</v>
      </c>
      <c r="R414" s="292">
        <f t="shared" si="220"/>
        <v>0</v>
      </c>
      <c r="S414" s="292">
        <f t="shared" si="221"/>
        <v>0</v>
      </c>
      <c r="T414" s="292">
        <f t="shared" si="182"/>
        <v>0</v>
      </c>
      <c r="U414" s="292">
        <f t="shared" si="183"/>
        <v>0</v>
      </c>
      <c r="V414" s="292">
        <f t="shared" si="222"/>
        <v>0</v>
      </c>
      <c r="W414" s="292">
        <f t="shared" si="223"/>
        <v>0</v>
      </c>
      <c r="X414" s="292">
        <f t="shared" si="224"/>
        <v>0</v>
      </c>
      <c r="Y414" s="292">
        <f t="shared" si="225"/>
        <v>0</v>
      </c>
      <c r="Z414" s="292">
        <f t="shared" si="216"/>
        <v>0</v>
      </c>
      <c r="AA414" s="292">
        <f t="shared" si="217"/>
        <v>0</v>
      </c>
      <c r="AB414" s="292">
        <f t="shared" si="184"/>
        <v>0</v>
      </c>
      <c r="AC414" s="292">
        <f t="shared" si="185"/>
        <v>0</v>
      </c>
      <c r="AD414" s="292">
        <f t="shared" si="186"/>
        <v>0</v>
      </c>
      <c r="AE414" s="292">
        <f t="shared" si="187"/>
        <v>0</v>
      </c>
      <c r="AF414" s="292">
        <f t="shared" si="188"/>
        <v>0</v>
      </c>
      <c r="AG414" s="292">
        <f t="shared" si="189"/>
        <v>0</v>
      </c>
      <c r="AH414" s="292">
        <f t="shared" si="190"/>
        <v>0</v>
      </c>
      <c r="AI414" s="292">
        <f t="shared" si="191"/>
        <v>0</v>
      </c>
      <c r="AJ414" s="292">
        <f t="shared" si="192"/>
        <v>0</v>
      </c>
      <c r="AK414" s="292">
        <f t="shared" si="193"/>
        <v>0</v>
      </c>
      <c r="AL414" s="292">
        <f t="shared" si="218"/>
        <v>0</v>
      </c>
      <c r="AM414" s="292">
        <f t="shared" si="219"/>
        <v>0</v>
      </c>
      <c r="AN414" s="292">
        <f t="shared" si="194"/>
        <v>0</v>
      </c>
      <c r="AO414" s="292">
        <f t="shared" si="195"/>
        <v>0</v>
      </c>
      <c r="AP414" s="292">
        <f t="shared" si="196"/>
        <v>0</v>
      </c>
      <c r="AQ414" s="292">
        <f t="shared" si="197"/>
        <v>0</v>
      </c>
      <c r="AR414" s="292">
        <f t="shared" si="198"/>
        <v>0</v>
      </c>
      <c r="AS414" s="292">
        <f t="shared" si="199"/>
        <v>0</v>
      </c>
      <c r="AT414" s="292">
        <f t="shared" si="200"/>
        <v>0</v>
      </c>
      <c r="AU414" s="292">
        <f t="shared" si="201"/>
        <v>0</v>
      </c>
      <c r="AV414" s="292">
        <f t="shared" si="202"/>
        <v>0</v>
      </c>
      <c r="AW414" s="292">
        <f t="shared" si="203"/>
        <v>0</v>
      </c>
      <c r="AX414" s="292">
        <f t="shared" si="204"/>
        <v>0</v>
      </c>
      <c r="AY414" s="292">
        <f t="shared" si="205"/>
        <v>0</v>
      </c>
      <c r="AZ414" s="292">
        <f t="shared" si="206"/>
        <v>0</v>
      </c>
      <c r="BA414" s="292">
        <f t="shared" si="207"/>
        <v>0</v>
      </c>
      <c r="BB414" s="292">
        <f t="shared" si="208"/>
        <v>0</v>
      </c>
      <c r="BC414" s="292">
        <f t="shared" si="209"/>
        <v>0</v>
      </c>
      <c r="BD414" s="292">
        <f t="shared" si="210"/>
        <v>0</v>
      </c>
      <c r="BE414" s="292">
        <f t="shared" si="211"/>
        <v>0</v>
      </c>
      <c r="BF414" s="292">
        <f t="shared" si="212"/>
        <v>0</v>
      </c>
      <c r="BG414" s="292">
        <f t="shared" si="213"/>
        <v>0</v>
      </c>
    </row>
    <row r="415" spans="1:59" s="289" customFormat="1" ht="15" customHeight="1">
      <c r="A415" s="63">
        <f t="array" ref="A415">IF(C415&lt;&gt;0,SUM(($C$11:C415&lt;&gt;0)*1),"")</f>
        <v>405</v>
      </c>
      <c r="B415" s="1099">
        <v>42551</v>
      </c>
      <c r="C415" s="290" t="s">
        <v>8</v>
      </c>
      <c r="D415" s="1099">
        <v>42551</v>
      </c>
      <c r="E415" s="344" t="s">
        <v>1004</v>
      </c>
      <c r="F415" s="345">
        <v>54254970</v>
      </c>
      <c r="G415" s="346" t="s">
        <v>9</v>
      </c>
      <c r="H415" s="346" t="s">
        <v>31</v>
      </c>
      <c r="I415" s="63">
        <f t="shared" si="226"/>
        <v>405</v>
      </c>
      <c r="J415" s="292">
        <f t="shared" si="176"/>
        <v>0</v>
      </c>
      <c r="K415" s="292">
        <f t="shared" si="177"/>
        <v>0</v>
      </c>
      <c r="L415" s="292">
        <f t="shared" si="178"/>
        <v>0</v>
      </c>
      <c r="M415" s="292">
        <f t="shared" si="179"/>
        <v>54254970</v>
      </c>
      <c r="N415" s="292">
        <f t="shared" si="214"/>
        <v>0</v>
      </c>
      <c r="O415" s="292">
        <f t="shared" si="215"/>
        <v>0</v>
      </c>
      <c r="P415" s="292">
        <f t="shared" si="180"/>
        <v>0</v>
      </c>
      <c r="Q415" s="292">
        <f t="shared" si="181"/>
        <v>0</v>
      </c>
      <c r="R415" s="292">
        <f t="shared" si="220"/>
        <v>0</v>
      </c>
      <c r="S415" s="292">
        <f t="shared" si="221"/>
        <v>0</v>
      </c>
      <c r="T415" s="292">
        <f t="shared" si="182"/>
        <v>0</v>
      </c>
      <c r="U415" s="292">
        <f t="shared" si="183"/>
        <v>0</v>
      </c>
      <c r="V415" s="292">
        <f t="shared" si="222"/>
        <v>0</v>
      </c>
      <c r="W415" s="292">
        <f t="shared" si="223"/>
        <v>0</v>
      </c>
      <c r="X415" s="292">
        <f t="shared" si="224"/>
        <v>0</v>
      </c>
      <c r="Y415" s="292">
        <f t="shared" si="225"/>
        <v>0</v>
      </c>
      <c r="Z415" s="292">
        <f t="shared" si="216"/>
        <v>0</v>
      </c>
      <c r="AA415" s="292">
        <f t="shared" si="217"/>
        <v>0</v>
      </c>
      <c r="AB415" s="292">
        <f t="shared" si="184"/>
        <v>54254970</v>
      </c>
      <c r="AC415" s="292">
        <f t="shared" si="185"/>
        <v>0</v>
      </c>
      <c r="AD415" s="292">
        <f t="shared" si="186"/>
        <v>0</v>
      </c>
      <c r="AE415" s="292">
        <f t="shared" si="187"/>
        <v>0</v>
      </c>
      <c r="AF415" s="292">
        <f t="shared" si="188"/>
        <v>0</v>
      </c>
      <c r="AG415" s="292">
        <f t="shared" si="189"/>
        <v>0</v>
      </c>
      <c r="AH415" s="292">
        <f t="shared" si="190"/>
        <v>0</v>
      </c>
      <c r="AI415" s="292">
        <f t="shared" si="191"/>
        <v>0</v>
      </c>
      <c r="AJ415" s="292">
        <f t="shared" si="192"/>
        <v>0</v>
      </c>
      <c r="AK415" s="292">
        <f t="shared" si="193"/>
        <v>0</v>
      </c>
      <c r="AL415" s="292">
        <f t="shared" si="218"/>
        <v>0</v>
      </c>
      <c r="AM415" s="292">
        <f t="shared" si="219"/>
        <v>0</v>
      </c>
      <c r="AN415" s="292">
        <f t="shared" si="194"/>
        <v>0</v>
      </c>
      <c r="AO415" s="292">
        <f t="shared" si="195"/>
        <v>0</v>
      </c>
      <c r="AP415" s="292">
        <f t="shared" si="196"/>
        <v>0</v>
      </c>
      <c r="AQ415" s="292">
        <f t="shared" si="197"/>
        <v>0</v>
      </c>
      <c r="AR415" s="292">
        <f t="shared" si="198"/>
        <v>0</v>
      </c>
      <c r="AS415" s="292">
        <f t="shared" si="199"/>
        <v>0</v>
      </c>
      <c r="AT415" s="292">
        <f t="shared" si="200"/>
        <v>0</v>
      </c>
      <c r="AU415" s="292">
        <f t="shared" si="201"/>
        <v>0</v>
      </c>
      <c r="AV415" s="292">
        <f t="shared" si="202"/>
        <v>0</v>
      </c>
      <c r="AW415" s="292">
        <f t="shared" si="203"/>
        <v>0</v>
      </c>
      <c r="AX415" s="292">
        <f t="shared" si="204"/>
        <v>0</v>
      </c>
      <c r="AY415" s="292">
        <f t="shared" si="205"/>
        <v>0</v>
      </c>
      <c r="AZ415" s="292">
        <f t="shared" si="206"/>
        <v>0</v>
      </c>
      <c r="BA415" s="292">
        <f t="shared" si="207"/>
        <v>0</v>
      </c>
      <c r="BB415" s="292">
        <f t="shared" si="208"/>
        <v>0</v>
      </c>
      <c r="BC415" s="292">
        <f t="shared" si="209"/>
        <v>0</v>
      </c>
      <c r="BD415" s="292">
        <f t="shared" si="210"/>
        <v>0</v>
      </c>
      <c r="BE415" s="292">
        <f t="shared" si="211"/>
        <v>0</v>
      </c>
      <c r="BF415" s="292">
        <f t="shared" si="212"/>
        <v>0</v>
      </c>
      <c r="BG415" s="292">
        <f t="shared" si="213"/>
        <v>0</v>
      </c>
    </row>
    <row r="416" spans="1:59" s="289" customFormat="1" ht="15" customHeight="1">
      <c r="A416" s="63">
        <f t="array" ref="A416">IF(C416&lt;&gt;0,SUM(($C$11:C416&lt;&gt;0)*1),"")</f>
        <v>406</v>
      </c>
      <c r="B416" s="1099">
        <v>42551</v>
      </c>
      <c r="C416" s="290" t="s">
        <v>8</v>
      </c>
      <c r="D416" s="1099">
        <v>42551</v>
      </c>
      <c r="E416" s="344" t="s">
        <v>22</v>
      </c>
      <c r="F416" s="345">
        <v>47127</v>
      </c>
      <c r="G416" s="346" t="s">
        <v>135</v>
      </c>
      <c r="H416" s="346" t="s">
        <v>31</v>
      </c>
      <c r="I416" s="63">
        <f t="shared" si="226"/>
        <v>406</v>
      </c>
      <c r="J416" s="292">
        <f t="shared" si="176"/>
        <v>0</v>
      </c>
      <c r="K416" s="292">
        <f t="shared" si="177"/>
        <v>0</v>
      </c>
      <c r="L416" s="292">
        <f t="shared" si="178"/>
        <v>0</v>
      </c>
      <c r="M416" s="292">
        <f t="shared" si="179"/>
        <v>47127</v>
      </c>
      <c r="N416" s="292">
        <f t="shared" si="214"/>
        <v>0</v>
      </c>
      <c r="O416" s="292">
        <f t="shared" si="215"/>
        <v>0</v>
      </c>
      <c r="P416" s="292">
        <f t="shared" si="180"/>
        <v>0</v>
      </c>
      <c r="Q416" s="292">
        <f t="shared" si="181"/>
        <v>0</v>
      </c>
      <c r="R416" s="292">
        <f t="shared" si="220"/>
        <v>0</v>
      </c>
      <c r="S416" s="292">
        <f t="shared" si="221"/>
        <v>0</v>
      </c>
      <c r="T416" s="292">
        <f t="shared" si="182"/>
        <v>0</v>
      </c>
      <c r="U416" s="292">
        <f t="shared" si="183"/>
        <v>0</v>
      </c>
      <c r="V416" s="292">
        <f t="shared" si="222"/>
        <v>0</v>
      </c>
      <c r="W416" s="292">
        <f t="shared" si="223"/>
        <v>0</v>
      </c>
      <c r="X416" s="292">
        <f t="shared" si="224"/>
        <v>0</v>
      </c>
      <c r="Y416" s="292">
        <f t="shared" si="225"/>
        <v>0</v>
      </c>
      <c r="Z416" s="292">
        <f t="shared" si="216"/>
        <v>0</v>
      </c>
      <c r="AA416" s="292">
        <f t="shared" si="217"/>
        <v>0</v>
      </c>
      <c r="AB416" s="292">
        <f t="shared" si="184"/>
        <v>0</v>
      </c>
      <c r="AC416" s="292">
        <f t="shared" si="185"/>
        <v>0</v>
      </c>
      <c r="AD416" s="292">
        <f t="shared" si="186"/>
        <v>0</v>
      </c>
      <c r="AE416" s="292">
        <f t="shared" si="187"/>
        <v>0</v>
      </c>
      <c r="AF416" s="292">
        <f t="shared" si="188"/>
        <v>0</v>
      </c>
      <c r="AG416" s="292">
        <f t="shared" si="189"/>
        <v>0</v>
      </c>
      <c r="AH416" s="292">
        <f t="shared" si="190"/>
        <v>0</v>
      </c>
      <c r="AI416" s="292">
        <f t="shared" si="191"/>
        <v>0</v>
      </c>
      <c r="AJ416" s="292">
        <f t="shared" si="192"/>
        <v>0</v>
      </c>
      <c r="AK416" s="292">
        <f t="shared" si="193"/>
        <v>0</v>
      </c>
      <c r="AL416" s="292">
        <f t="shared" si="218"/>
        <v>0</v>
      </c>
      <c r="AM416" s="292">
        <f t="shared" si="219"/>
        <v>0</v>
      </c>
      <c r="AN416" s="292">
        <f t="shared" si="194"/>
        <v>0</v>
      </c>
      <c r="AO416" s="292">
        <f t="shared" si="195"/>
        <v>0</v>
      </c>
      <c r="AP416" s="292">
        <f t="shared" si="196"/>
        <v>0</v>
      </c>
      <c r="AQ416" s="292">
        <f t="shared" si="197"/>
        <v>0</v>
      </c>
      <c r="AR416" s="292">
        <f t="shared" si="198"/>
        <v>0</v>
      </c>
      <c r="AS416" s="292">
        <f t="shared" si="199"/>
        <v>0</v>
      </c>
      <c r="AT416" s="292">
        <f t="shared" si="200"/>
        <v>0</v>
      </c>
      <c r="AU416" s="292">
        <f t="shared" si="201"/>
        <v>0</v>
      </c>
      <c r="AV416" s="292">
        <f t="shared" si="202"/>
        <v>0</v>
      </c>
      <c r="AW416" s="292">
        <f t="shared" si="203"/>
        <v>0</v>
      </c>
      <c r="AX416" s="292">
        <f t="shared" si="204"/>
        <v>47127</v>
      </c>
      <c r="AY416" s="292">
        <f t="shared" si="205"/>
        <v>0</v>
      </c>
      <c r="AZ416" s="292">
        <f t="shared" si="206"/>
        <v>0</v>
      </c>
      <c r="BA416" s="292">
        <f t="shared" si="207"/>
        <v>0</v>
      </c>
      <c r="BB416" s="292">
        <f t="shared" si="208"/>
        <v>0</v>
      </c>
      <c r="BC416" s="292">
        <f t="shared" si="209"/>
        <v>0</v>
      </c>
      <c r="BD416" s="292">
        <f t="shared" si="210"/>
        <v>0</v>
      </c>
      <c r="BE416" s="292">
        <f t="shared" si="211"/>
        <v>0</v>
      </c>
      <c r="BF416" s="292">
        <f t="shared" si="212"/>
        <v>0</v>
      </c>
      <c r="BG416" s="292">
        <f t="shared" si="213"/>
        <v>0</v>
      </c>
    </row>
    <row r="417" spans="1:59" s="289" customFormat="1" ht="15" customHeight="1">
      <c r="A417" s="63">
        <f t="array" ref="A417">IF(C417&lt;&gt;0,SUM(($C$11:C417&lt;&gt;0)*1),"")</f>
        <v>407</v>
      </c>
      <c r="B417" s="1099">
        <v>42551</v>
      </c>
      <c r="C417" s="290" t="s">
        <v>8</v>
      </c>
      <c r="D417" s="1099">
        <v>42551</v>
      </c>
      <c r="E417" s="344" t="s">
        <v>23</v>
      </c>
      <c r="F417" s="345">
        <v>4713</v>
      </c>
      <c r="G417" s="346" t="s">
        <v>10</v>
      </c>
      <c r="H417" s="346" t="s">
        <v>31</v>
      </c>
      <c r="I417" s="63">
        <f t="shared" si="226"/>
        <v>407</v>
      </c>
      <c r="J417" s="292">
        <f t="shared" si="176"/>
        <v>0</v>
      </c>
      <c r="K417" s="292">
        <f t="shared" si="177"/>
        <v>0</v>
      </c>
      <c r="L417" s="292">
        <f t="shared" si="178"/>
        <v>0</v>
      </c>
      <c r="M417" s="292">
        <f t="shared" si="179"/>
        <v>4713</v>
      </c>
      <c r="N417" s="292">
        <f t="shared" si="214"/>
        <v>0</v>
      </c>
      <c r="O417" s="292">
        <f t="shared" si="215"/>
        <v>0</v>
      </c>
      <c r="P417" s="292">
        <f t="shared" si="180"/>
        <v>4713</v>
      </c>
      <c r="Q417" s="292">
        <f t="shared" si="181"/>
        <v>0</v>
      </c>
      <c r="R417" s="292">
        <f t="shared" si="220"/>
        <v>0</v>
      </c>
      <c r="S417" s="292">
        <f t="shared" si="221"/>
        <v>0</v>
      </c>
      <c r="T417" s="292">
        <f t="shared" si="182"/>
        <v>0</v>
      </c>
      <c r="U417" s="292">
        <f t="shared" si="183"/>
        <v>0</v>
      </c>
      <c r="V417" s="292">
        <f t="shared" si="222"/>
        <v>0</v>
      </c>
      <c r="W417" s="292">
        <f t="shared" si="223"/>
        <v>0</v>
      </c>
      <c r="X417" s="292">
        <f t="shared" si="224"/>
        <v>0</v>
      </c>
      <c r="Y417" s="292">
        <f t="shared" si="225"/>
        <v>0</v>
      </c>
      <c r="Z417" s="292">
        <f t="shared" si="216"/>
        <v>0</v>
      </c>
      <c r="AA417" s="292">
        <f t="shared" si="217"/>
        <v>0</v>
      </c>
      <c r="AB417" s="292">
        <f t="shared" si="184"/>
        <v>0</v>
      </c>
      <c r="AC417" s="292">
        <f t="shared" si="185"/>
        <v>0</v>
      </c>
      <c r="AD417" s="292">
        <f t="shared" si="186"/>
        <v>0</v>
      </c>
      <c r="AE417" s="292">
        <f t="shared" si="187"/>
        <v>0</v>
      </c>
      <c r="AF417" s="292">
        <f t="shared" si="188"/>
        <v>0</v>
      </c>
      <c r="AG417" s="292">
        <f t="shared" si="189"/>
        <v>0</v>
      </c>
      <c r="AH417" s="292">
        <f t="shared" si="190"/>
        <v>0</v>
      </c>
      <c r="AI417" s="292">
        <f t="shared" si="191"/>
        <v>0</v>
      </c>
      <c r="AJ417" s="292">
        <f t="shared" si="192"/>
        <v>0</v>
      </c>
      <c r="AK417" s="292">
        <f t="shared" si="193"/>
        <v>0</v>
      </c>
      <c r="AL417" s="292">
        <f t="shared" si="218"/>
        <v>0</v>
      </c>
      <c r="AM417" s="292">
        <f t="shared" si="219"/>
        <v>0</v>
      </c>
      <c r="AN417" s="292">
        <f t="shared" si="194"/>
        <v>0</v>
      </c>
      <c r="AO417" s="292">
        <f t="shared" si="195"/>
        <v>0</v>
      </c>
      <c r="AP417" s="292">
        <f t="shared" si="196"/>
        <v>0</v>
      </c>
      <c r="AQ417" s="292">
        <f t="shared" si="197"/>
        <v>0</v>
      </c>
      <c r="AR417" s="292">
        <f t="shared" si="198"/>
        <v>0</v>
      </c>
      <c r="AS417" s="292">
        <f t="shared" si="199"/>
        <v>0</v>
      </c>
      <c r="AT417" s="292">
        <f t="shared" si="200"/>
        <v>0</v>
      </c>
      <c r="AU417" s="292">
        <f t="shared" si="201"/>
        <v>0</v>
      </c>
      <c r="AV417" s="292">
        <f t="shared" si="202"/>
        <v>0</v>
      </c>
      <c r="AW417" s="292">
        <f t="shared" si="203"/>
        <v>0</v>
      </c>
      <c r="AX417" s="292">
        <f t="shared" si="204"/>
        <v>0</v>
      </c>
      <c r="AY417" s="292">
        <f t="shared" si="205"/>
        <v>0</v>
      </c>
      <c r="AZ417" s="292">
        <f t="shared" si="206"/>
        <v>0</v>
      </c>
      <c r="BA417" s="292">
        <f t="shared" si="207"/>
        <v>0</v>
      </c>
      <c r="BB417" s="292">
        <f t="shared" si="208"/>
        <v>0</v>
      </c>
      <c r="BC417" s="292">
        <f t="shared" si="209"/>
        <v>0</v>
      </c>
      <c r="BD417" s="292">
        <f t="shared" si="210"/>
        <v>0</v>
      </c>
      <c r="BE417" s="292">
        <f t="shared" si="211"/>
        <v>0</v>
      </c>
      <c r="BF417" s="292">
        <f t="shared" si="212"/>
        <v>0</v>
      </c>
      <c r="BG417" s="292">
        <f t="shared" si="213"/>
        <v>0</v>
      </c>
    </row>
    <row r="418" spans="1:59" s="289" customFormat="1" ht="15" customHeight="1">
      <c r="A418" s="63">
        <f t="array" ref="A418">IF(C418&lt;&gt;0,SUM(($C$11:C418&lt;&gt;0)*1),"")</f>
        <v>408</v>
      </c>
      <c r="B418" s="1099">
        <v>42551</v>
      </c>
      <c r="C418" s="290" t="s">
        <v>1021</v>
      </c>
      <c r="D418" s="1099">
        <v>42515</v>
      </c>
      <c r="E418" s="344" t="s">
        <v>308</v>
      </c>
      <c r="F418" s="345">
        <v>7403520</v>
      </c>
      <c r="G418" s="346" t="s">
        <v>135</v>
      </c>
      <c r="H418" s="346" t="s">
        <v>9</v>
      </c>
      <c r="I418" s="63">
        <f t="shared" si="226"/>
        <v>408</v>
      </c>
      <c r="J418" s="292">
        <f t="shared" si="176"/>
        <v>0</v>
      </c>
      <c r="K418" s="292">
        <f t="shared" si="177"/>
        <v>0</v>
      </c>
      <c r="L418" s="292">
        <f t="shared" si="178"/>
        <v>0</v>
      </c>
      <c r="M418" s="292">
        <f t="shared" si="179"/>
        <v>0</v>
      </c>
      <c r="N418" s="292">
        <f t="shared" si="214"/>
        <v>0</v>
      </c>
      <c r="O418" s="292">
        <f t="shared" si="215"/>
        <v>0</v>
      </c>
      <c r="P418" s="292">
        <f t="shared" si="180"/>
        <v>0</v>
      </c>
      <c r="Q418" s="292">
        <f t="shared" si="181"/>
        <v>0</v>
      </c>
      <c r="R418" s="292">
        <f t="shared" si="220"/>
        <v>0</v>
      </c>
      <c r="S418" s="292">
        <f t="shared" si="221"/>
        <v>0</v>
      </c>
      <c r="T418" s="292">
        <f t="shared" si="182"/>
        <v>0</v>
      </c>
      <c r="U418" s="292">
        <f t="shared" si="183"/>
        <v>0</v>
      </c>
      <c r="V418" s="292">
        <f t="shared" si="222"/>
        <v>0</v>
      </c>
      <c r="W418" s="292">
        <f t="shared" si="223"/>
        <v>0</v>
      </c>
      <c r="X418" s="292">
        <f t="shared" si="224"/>
        <v>0</v>
      </c>
      <c r="Y418" s="292">
        <f t="shared" si="225"/>
        <v>0</v>
      </c>
      <c r="Z418" s="292">
        <f t="shared" si="216"/>
        <v>0</v>
      </c>
      <c r="AA418" s="292">
        <f t="shared" si="217"/>
        <v>0</v>
      </c>
      <c r="AB418" s="292">
        <f t="shared" si="184"/>
        <v>0</v>
      </c>
      <c r="AC418" s="292">
        <f t="shared" si="185"/>
        <v>7403520</v>
      </c>
      <c r="AD418" s="292">
        <f t="shared" si="186"/>
        <v>0</v>
      </c>
      <c r="AE418" s="292">
        <f t="shared" si="187"/>
        <v>0</v>
      </c>
      <c r="AF418" s="292">
        <f t="shared" si="188"/>
        <v>0</v>
      </c>
      <c r="AG418" s="292">
        <f t="shared" si="189"/>
        <v>0</v>
      </c>
      <c r="AH418" s="292">
        <f t="shared" si="190"/>
        <v>0</v>
      </c>
      <c r="AI418" s="292">
        <f t="shared" si="191"/>
        <v>0</v>
      </c>
      <c r="AJ418" s="292">
        <f t="shared" si="192"/>
        <v>0</v>
      </c>
      <c r="AK418" s="292">
        <f t="shared" si="193"/>
        <v>0</v>
      </c>
      <c r="AL418" s="292">
        <f t="shared" si="218"/>
        <v>0</v>
      </c>
      <c r="AM418" s="292">
        <f t="shared" si="219"/>
        <v>0</v>
      </c>
      <c r="AN418" s="292">
        <f t="shared" si="194"/>
        <v>0</v>
      </c>
      <c r="AO418" s="292">
        <f t="shared" si="195"/>
        <v>0</v>
      </c>
      <c r="AP418" s="292">
        <f t="shared" si="196"/>
        <v>0</v>
      </c>
      <c r="AQ418" s="292">
        <f t="shared" si="197"/>
        <v>0</v>
      </c>
      <c r="AR418" s="292">
        <f t="shared" si="198"/>
        <v>0</v>
      </c>
      <c r="AS418" s="292">
        <f t="shared" si="199"/>
        <v>0</v>
      </c>
      <c r="AT418" s="292">
        <f t="shared" si="200"/>
        <v>0</v>
      </c>
      <c r="AU418" s="292">
        <f t="shared" si="201"/>
        <v>0</v>
      </c>
      <c r="AV418" s="292">
        <f t="shared" si="202"/>
        <v>0</v>
      </c>
      <c r="AW418" s="292">
        <f t="shared" si="203"/>
        <v>0</v>
      </c>
      <c r="AX418" s="292">
        <f t="shared" si="204"/>
        <v>7403520</v>
      </c>
      <c r="AY418" s="292">
        <f t="shared" si="205"/>
        <v>0</v>
      </c>
      <c r="AZ418" s="292">
        <f t="shared" si="206"/>
        <v>0</v>
      </c>
      <c r="BA418" s="292">
        <f t="shared" si="207"/>
        <v>0</v>
      </c>
      <c r="BB418" s="292">
        <f t="shared" si="208"/>
        <v>0</v>
      </c>
      <c r="BC418" s="292">
        <f t="shared" si="209"/>
        <v>0</v>
      </c>
      <c r="BD418" s="292">
        <f t="shared" si="210"/>
        <v>0</v>
      </c>
      <c r="BE418" s="292">
        <f t="shared" si="211"/>
        <v>0</v>
      </c>
      <c r="BF418" s="292">
        <f t="shared" si="212"/>
        <v>0</v>
      </c>
      <c r="BG418" s="292">
        <f t="shared" si="213"/>
        <v>0</v>
      </c>
    </row>
    <row r="419" spans="1:59" s="289" customFormat="1" ht="15" customHeight="1">
      <c r="A419" s="63">
        <f t="array" ref="A419">IF(C419&lt;&gt;0,SUM(($C$11:C419&lt;&gt;0)*1),"")</f>
        <v>409</v>
      </c>
      <c r="B419" s="1099">
        <v>42551</v>
      </c>
      <c r="C419" s="290" t="s">
        <v>1021</v>
      </c>
      <c r="D419" s="1099">
        <v>42515</v>
      </c>
      <c r="E419" s="344" t="s">
        <v>310</v>
      </c>
      <c r="F419" s="345">
        <v>740352</v>
      </c>
      <c r="G419" s="346" t="s">
        <v>10</v>
      </c>
      <c r="H419" s="346" t="s">
        <v>9</v>
      </c>
      <c r="I419" s="63">
        <f t="shared" si="226"/>
        <v>409</v>
      </c>
      <c r="J419" s="292">
        <f t="shared" si="176"/>
        <v>0</v>
      </c>
      <c r="K419" s="292">
        <f t="shared" si="177"/>
        <v>0</v>
      </c>
      <c r="L419" s="292">
        <f t="shared" si="178"/>
        <v>0</v>
      </c>
      <c r="M419" s="292">
        <f t="shared" si="179"/>
        <v>0</v>
      </c>
      <c r="N419" s="292">
        <f t="shared" si="214"/>
        <v>0</v>
      </c>
      <c r="O419" s="292">
        <f t="shared" si="215"/>
        <v>0</v>
      </c>
      <c r="P419" s="292">
        <f t="shared" si="180"/>
        <v>740352</v>
      </c>
      <c r="Q419" s="292">
        <f t="shared" si="181"/>
        <v>0</v>
      </c>
      <c r="R419" s="292">
        <f t="shared" si="220"/>
        <v>0</v>
      </c>
      <c r="S419" s="292">
        <f t="shared" si="221"/>
        <v>0</v>
      </c>
      <c r="T419" s="292">
        <f t="shared" si="182"/>
        <v>0</v>
      </c>
      <c r="U419" s="292">
        <f t="shared" si="183"/>
        <v>0</v>
      </c>
      <c r="V419" s="292">
        <f t="shared" si="222"/>
        <v>0</v>
      </c>
      <c r="W419" s="292">
        <f t="shared" si="223"/>
        <v>0</v>
      </c>
      <c r="X419" s="292">
        <f t="shared" si="224"/>
        <v>0</v>
      </c>
      <c r="Y419" s="292">
        <f t="shared" si="225"/>
        <v>0</v>
      </c>
      <c r="Z419" s="292">
        <f t="shared" si="216"/>
        <v>0</v>
      </c>
      <c r="AA419" s="292">
        <f t="shared" si="217"/>
        <v>0</v>
      </c>
      <c r="AB419" s="292">
        <f t="shared" si="184"/>
        <v>0</v>
      </c>
      <c r="AC419" s="292">
        <f t="shared" si="185"/>
        <v>740352</v>
      </c>
      <c r="AD419" s="292">
        <f t="shared" si="186"/>
        <v>0</v>
      </c>
      <c r="AE419" s="292">
        <f t="shared" si="187"/>
        <v>0</v>
      </c>
      <c r="AF419" s="292">
        <f t="shared" si="188"/>
        <v>0</v>
      </c>
      <c r="AG419" s="292">
        <f t="shared" si="189"/>
        <v>0</v>
      </c>
      <c r="AH419" s="292">
        <f t="shared" si="190"/>
        <v>0</v>
      </c>
      <c r="AI419" s="292">
        <f t="shared" si="191"/>
        <v>0</v>
      </c>
      <c r="AJ419" s="292">
        <f t="shared" si="192"/>
        <v>0</v>
      </c>
      <c r="AK419" s="292">
        <f t="shared" si="193"/>
        <v>0</v>
      </c>
      <c r="AL419" s="292">
        <f t="shared" si="218"/>
        <v>0</v>
      </c>
      <c r="AM419" s="292">
        <f t="shared" si="219"/>
        <v>0</v>
      </c>
      <c r="AN419" s="292">
        <f t="shared" si="194"/>
        <v>0</v>
      </c>
      <c r="AO419" s="292">
        <f t="shared" si="195"/>
        <v>0</v>
      </c>
      <c r="AP419" s="292">
        <f t="shared" si="196"/>
        <v>0</v>
      </c>
      <c r="AQ419" s="292">
        <f t="shared" si="197"/>
        <v>0</v>
      </c>
      <c r="AR419" s="292">
        <f t="shared" si="198"/>
        <v>0</v>
      </c>
      <c r="AS419" s="292">
        <f t="shared" si="199"/>
        <v>0</v>
      </c>
      <c r="AT419" s="292">
        <f t="shared" si="200"/>
        <v>0</v>
      </c>
      <c r="AU419" s="292">
        <f t="shared" si="201"/>
        <v>0</v>
      </c>
      <c r="AV419" s="292">
        <f t="shared" si="202"/>
        <v>0</v>
      </c>
      <c r="AW419" s="292">
        <f t="shared" si="203"/>
        <v>0</v>
      </c>
      <c r="AX419" s="292">
        <f t="shared" si="204"/>
        <v>0</v>
      </c>
      <c r="AY419" s="292">
        <f t="shared" si="205"/>
        <v>0</v>
      </c>
      <c r="AZ419" s="292">
        <f t="shared" si="206"/>
        <v>0</v>
      </c>
      <c r="BA419" s="292">
        <f t="shared" si="207"/>
        <v>0</v>
      </c>
      <c r="BB419" s="292">
        <f t="shared" si="208"/>
        <v>0</v>
      </c>
      <c r="BC419" s="292">
        <f t="shared" si="209"/>
        <v>0</v>
      </c>
      <c r="BD419" s="292">
        <f t="shared" si="210"/>
        <v>0</v>
      </c>
      <c r="BE419" s="292">
        <f t="shared" si="211"/>
        <v>0</v>
      </c>
      <c r="BF419" s="292">
        <f t="shared" si="212"/>
        <v>0</v>
      </c>
      <c r="BG419" s="292">
        <f t="shared" si="213"/>
        <v>0</v>
      </c>
    </row>
    <row r="420" spans="1:59" s="289" customFormat="1" ht="15" customHeight="1">
      <c r="A420" s="63">
        <f t="array" ref="A420">IF(C420&lt;&gt;0,SUM(($C$11:C420&lt;&gt;0)*1),"")</f>
        <v>410</v>
      </c>
      <c r="B420" s="1099">
        <v>42551</v>
      </c>
      <c r="C420" s="290" t="s">
        <v>1021</v>
      </c>
      <c r="D420" s="1099">
        <v>42528</v>
      </c>
      <c r="E420" s="344" t="s">
        <v>931</v>
      </c>
      <c r="F420" s="345">
        <v>2172148100</v>
      </c>
      <c r="G420" s="346" t="s">
        <v>242</v>
      </c>
      <c r="H420" s="346" t="s">
        <v>9</v>
      </c>
      <c r="I420" s="63">
        <f t="shared" si="226"/>
        <v>410</v>
      </c>
      <c r="J420" s="292">
        <f t="shared" si="176"/>
        <v>0</v>
      </c>
      <c r="K420" s="292">
        <f t="shared" si="177"/>
        <v>0</v>
      </c>
      <c r="L420" s="292">
        <f t="shared" si="178"/>
        <v>0</v>
      </c>
      <c r="M420" s="292">
        <f t="shared" si="179"/>
        <v>0</v>
      </c>
      <c r="N420" s="292">
        <f t="shared" si="214"/>
        <v>0</v>
      </c>
      <c r="O420" s="292">
        <f t="shared" si="215"/>
        <v>0</v>
      </c>
      <c r="P420" s="292">
        <f t="shared" si="180"/>
        <v>0</v>
      </c>
      <c r="Q420" s="292">
        <f t="shared" si="181"/>
        <v>0</v>
      </c>
      <c r="R420" s="292">
        <f t="shared" si="220"/>
        <v>0</v>
      </c>
      <c r="S420" s="292">
        <f t="shared" si="221"/>
        <v>0</v>
      </c>
      <c r="T420" s="292">
        <f t="shared" si="182"/>
        <v>0</v>
      </c>
      <c r="U420" s="292">
        <f t="shared" si="183"/>
        <v>0</v>
      </c>
      <c r="V420" s="292">
        <f t="shared" si="222"/>
        <v>0</v>
      </c>
      <c r="W420" s="292">
        <f t="shared" si="223"/>
        <v>0</v>
      </c>
      <c r="X420" s="292">
        <f t="shared" si="224"/>
        <v>0</v>
      </c>
      <c r="Y420" s="292">
        <f t="shared" si="225"/>
        <v>0</v>
      </c>
      <c r="Z420" s="292">
        <f t="shared" si="216"/>
        <v>2172148100</v>
      </c>
      <c r="AA420" s="292">
        <f t="shared" si="217"/>
        <v>0</v>
      </c>
      <c r="AB420" s="292">
        <f t="shared" si="184"/>
        <v>0</v>
      </c>
      <c r="AC420" s="292">
        <f t="shared" si="185"/>
        <v>2172148100</v>
      </c>
      <c r="AD420" s="292">
        <f t="shared" si="186"/>
        <v>0</v>
      </c>
      <c r="AE420" s="292">
        <f t="shared" si="187"/>
        <v>0</v>
      </c>
      <c r="AF420" s="292">
        <f t="shared" si="188"/>
        <v>0</v>
      </c>
      <c r="AG420" s="292">
        <f t="shared" si="189"/>
        <v>0</v>
      </c>
      <c r="AH420" s="292">
        <f t="shared" si="190"/>
        <v>0</v>
      </c>
      <c r="AI420" s="292">
        <f t="shared" si="191"/>
        <v>0</v>
      </c>
      <c r="AJ420" s="292">
        <f t="shared" si="192"/>
        <v>0</v>
      </c>
      <c r="AK420" s="292">
        <f t="shared" si="193"/>
        <v>0</v>
      </c>
      <c r="AL420" s="292">
        <f t="shared" si="218"/>
        <v>0</v>
      </c>
      <c r="AM420" s="292">
        <f t="shared" si="219"/>
        <v>0</v>
      </c>
      <c r="AN420" s="292">
        <f t="shared" si="194"/>
        <v>0</v>
      </c>
      <c r="AO420" s="292">
        <f t="shared" si="195"/>
        <v>0</v>
      </c>
      <c r="AP420" s="292">
        <f t="shared" si="196"/>
        <v>0</v>
      </c>
      <c r="AQ420" s="292">
        <f t="shared" si="197"/>
        <v>0</v>
      </c>
      <c r="AR420" s="292">
        <f t="shared" si="198"/>
        <v>0</v>
      </c>
      <c r="AS420" s="292">
        <f t="shared" si="199"/>
        <v>0</v>
      </c>
      <c r="AT420" s="292">
        <f t="shared" si="200"/>
        <v>0</v>
      </c>
      <c r="AU420" s="292">
        <f t="shared" si="201"/>
        <v>0</v>
      </c>
      <c r="AV420" s="292">
        <f t="shared" si="202"/>
        <v>0</v>
      </c>
      <c r="AW420" s="292">
        <f t="shared" si="203"/>
        <v>0</v>
      </c>
      <c r="AX420" s="292">
        <f t="shared" si="204"/>
        <v>0</v>
      </c>
      <c r="AY420" s="292">
        <f t="shared" si="205"/>
        <v>0</v>
      </c>
      <c r="AZ420" s="292">
        <f t="shared" si="206"/>
        <v>0</v>
      </c>
      <c r="BA420" s="292">
        <f t="shared" si="207"/>
        <v>0</v>
      </c>
      <c r="BB420" s="292">
        <f t="shared" si="208"/>
        <v>0</v>
      </c>
      <c r="BC420" s="292">
        <f t="shared" si="209"/>
        <v>0</v>
      </c>
      <c r="BD420" s="292">
        <f t="shared" si="210"/>
        <v>0</v>
      </c>
      <c r="BE420" s="292">
        <f t="shared" si="211"/>
        <v>0</v>
      </c>
      <c r="BF420" s="292">
        <f t="shared" si="212"/>
        <v>0</v>
      </c>
      <c r="BG420" s="292">
        <f t="shared" si="213"/>
        <v>0</v>
      </c>
    </row>
    <row r="421" spans="1:59" s="289" customFormat="1" ht="15" customHeight="1">
      <c r="A421" s="63">
        <f t="array" ref="A421">IF(C421&lt;&gt;0,SUM(($C$11:C421&lt;&gt;0)*1),"")</f>
        <v>411</v>
      </c>
      <c r="B421" s="1099">
        <v>42551</v>
      </c>
      <c r="C421" s="290" t="s">
        <v>1021</v>
      </c>
      <c r="D421" s="1099">
        <v>42528</v>
      </c>
      <c r="E421" s="344" t="s">
        <v>932</v>
      </c>
      <c r="F421" s="345">
        <v>217214810</v>
      </c>
      <c r="G421" s="346" t="s">
        <v>981</v>
      </c>
      <c r="H421" s="346" t="s">
        <v>9</v>
      </c>
      <c r="I421" s="63">
        <f t="shared" si="226"/>
        <v>411</v>
      </c>
      <c r="J421" s="292">
        <f t="shared" si="176"/>
        <v>0</v>
      </c>
      <c r="K421" s="292">
        <f t="shared" si="177"/>
        <v>0</v>
      </c>
      <c r="L421" s="292">
        <f t="shared" si="178"/>
        <v>0</v>
      </c>
      <c r="M421" s="292">
        <f t="shared" si="179"/>
        <v>0</v>
      </c>
      <c r="N421" s="292">
        <f t="shared" si="214"/>
        <v>0</v>
      </c>
      <c r="O421" s="292">
        <f t="shared" si="215"/>
        <v>0</v>
      </c>
      <c r="P421" s="292">
        <f t="shared" si="180"/>
        <v>0</v>
      </c>
      <c r="Q421" s="292">
        <f t="shared" si="181"/>
        <v>0</v>
      </c>
      <c r="R421" s="292">
        <f t="shared" si="220"/>
        <v>217214810</v>
      </c>
      <c r="S421" s="292">
        <f t="shared" si="221"/>
        <v>0</v>
      </c>
      <c r="T421" s="292">
        <f t="shared" si="182"/>
        <v>0</v>
      </c>
      <c r="U421" s="292">
        <f t="shared" si="183"/>
        <v>0</v>
      </c>
      <c r="V421" s="292">
        <f t="shared" si="222"/>
        <v>0</v>
      </c>
      <c r="W421" s="292">
        <f t="shared" si="223"/>
        <v>0</v>
      </c>
      <c r="X421" s="292">
        <f t="shared" si="224"/>
        <v>0</v>
      </c>
      <c r="Y421" s="292">
        <f t="shared" si="225"/>
        <v>0</v>
      </c>
      <c r="Z421" s="292">
        <f t="shared" si="216"/>
        <v>0</v>
      </c>
      <c r="AA421" s="292">
        <f t="shared" si="217"/>
        <v>0</v>
      </c>
      <c r="AB421" s="292">
        <f t="shared" si="184"/>
        <v>0</v>
      </c>
      <c r="AC421" s="292">
        <f t="shared" si="185"/>
        <v>217214810</v>
      </c>
      <c r="AD421" s="292">
        <f t="shared" si="186"/>
        <v>0</v>
      </c>
      <c r="AE421" s="292">
        <f t="shared" si="187"/>
        <v>0</v>
      </c>
      <c r="AF421" s="292">
        <f t="shared" si="188"/>
        <v>0</v>
      </c>
      <c r="AG421" s="292">
        <f t="shared" si="189"/>
        <v>0</v>
      </c>
      <c r="AH421" s="292">
        <f t="shared" si="190"/>
        <v>0</v>
      </c>
      <c r="AI421" s="292">
        <f t="shared" si="191"/>
        <v>0</v>
      </c>
      <c r="AJ421" s="292">
        <f t="shared" si="192"/>
        <v>0</v>
      </c>
      <c r="AK421" s="292">
        <f t="shared" si="193"/>
        <v>0</v>
      </c>
      <c r="AL421" s="292">
        <f t="shared" si="218"/>
        <v>0</v>
      </c>
      <c r="AM421" s="292">
        <f t="shared" si="219"/>
        <v>0</v>
      </c>
      <c r="AN421" s="292">
        <f t="shared" si="194"/>
        <v>0</v>
      </c>
      <c r="AO421" s="292">
        <f t="shared" si="195"/>
        <v>0</v>
      </c>
      <c r="AP421" s="292">
        <f t="shared" si="196"/>
        <v>0</v>
      </c>
      <c r="AQ421" s="292">
        <f t="shared" si="197"/>
        <v>0</v>
      </c>
      <c r="AR421" s="292">
        <f t="shared" si="198"/>
        <v>0</v>
      </c>
      <c r="AS421" s="292">
        <f t="shared" si="199"/>
        <v>0</v>
      </c>
      <c r="AT421" s="292">
        <f t="shared" si="200"/>
        <v>0</v>
      </c>
      <c r="AU421" s="292">
        <f t="shared" si="201"/>
        <v>0</v>
      </c>
      <c r="AV421" s="292">
        <f t="shared" si="202"/>
        <v>0</v>
      </c>
      <c r="AW421" s="292">
        <f t="shared" si="203"/>
        <v>0</v>
      </c>
      <c r="AX421" s="292">
        <f t="shared" si="204"/>
        <v>0</v>
      </c>
      <c r="AY421" s="292">
        <f t="shared" si="205"/>
        <v>0</v>
      </c>
      <c r="AZ421" s="292">
        <f t="shared" si="206"/>
        <v>0</v>
      </c>
      <c r="BA421" s="292">
        <f t="shared" si="207"/>
        <v>0</v>
      </c>
      <c r="BB421" s="292">
        <f t="shared" si="208"/>
        <v>0</v>
      </c>
      <c r="BC421" s="292">
        <f t="shared" si="209"/>
        <v>0</v>
      </c>
      <c r="BD421" s="292">
        <f t="shared" si="210"/>
        <v>0</v>
      </c>
      <c r="BE421" s="292">
        <f t="shared" si="211"/>
        <v>0</v>
      </c>
      <c r="BF421" s="292">
        <f t="shared" si="212"/>
        <v>0</v>
      </c>
      <c r="BG421" s="292">
        <f t="shared" si="213"/>
        <v>0</v>
      </c>
    </row>
    <row r="422" spans="1:59" s="289" customFormat="1" ht="15" customHeight="1">
      <c r="A422" s="63">
        <f t="array" ref="A422">IF(C422&lt;&gt;0,SUM(($C$11:C422&lt;&gt;0)*1),"")</f>
        <v>412</v>
      </c>
      <c r="B422" s="1099">
        <v>42551</v>
      </c>
      <c r="C422" s="290" t="s">
        <v>1021</v>
      </c>
      <c r="D422" s="1099">
        <v>42531</v>
      </c>
      <c r="E422" s="344" t="s">
        <v>945</v>
      </c>
      <c r="F422" s="345">
        <v>1515073526</v>
      </c>
      <c r="G422" s="346" t="s">
        <v>242</v>
      </c>
      <c r="H422" s="346" t="s">
        <v>9</v>
      </c>
      <c r="I422" s="63">
        <f t="shared" si="226"/>
        <v>412</v>
      </c>
      <c r="J422" s="292">
        <f t="shared" si="176"/>
        <v>0</v>
      </c>
      <c r="K422" s="292">
        <f t="shared" si="177"/>
        <v>0</v>
      </c>
      <c r="L422" s="292">
        <f t="shared" si="178"/>
        <v>0</v>
      </c>
      <c r="M422" s="292">
        <f t="shared" si="179"/>
        <v>0</v>
      </c>
      <c r="N422" s="292">
        <f t="shared" si="214"/>
        <v>0</v>
      </c>
      <c r="O422" s="292">
        <f t="shared" si="215"/>
        <v>0</v>
      </c>
      <c r="P422" s="292">
        <f t="shared" si="180"/>
        <v>0</v>
      </c>
      <c r="Q422" s="292">
        <f t="shared" si="181"/>
        <v>0</v>
      </c>
      <c r="R422" s="292">
        <f t="shared" si="220"/>
        <v>0</v>
      </c>
      <c r="S422" s="292">
        <f t="shared" si="221"/>
        <v>0</v>
      </c>
      <c r="T422" s="292">
        <f t="shared" si="182"/>
        <v>0</v>
      </c>
      <c r="U422" s="292">
        <f t="shared" si="183"/>
        <v>0</v>
      </c>
      <c r="V422" s="292">
        <f t="shared" si="222"/>
        <v>0</v>
      </c>
      <c r="W422" s="292">
        <f t="shared" si="223"/>
        <v>0</v>
      </c>
      <c r="X422" s="292">
        <f t="shared" si="224"/>
        <v>0</v>
      </c>
      <c r="Y422" s="292">
        <f t="shared" si="225"/>
        <v>0</v>
      </c>
      <c r="Z422" s="292">
        <f t="shared" si="216"/>
        <v>1515073526</v>
      </c>
      <c r="AA422" s="292">
        <f t="shared" si="217"/>
        <v>0</v>
      </c>
      <c r="AB422" s="292">
        <f t="shared" si="184"/>
        <v>0</v>
      </c>
      <c r="AC422" s="292">
        <f t="shared" si="185"/>
        <v>1515073526</v>
      </c>
      <c r="AD422" s="292">
        <f t="shared" si="186"/>
        <v>0</v>
      </c>
      <c r="AE422" s="292">
        <f t="shared" si="187"/>
        <v>0</v>
      </c>
      <c r="AF422" s="292">
        <f t="shared" si="188"/>
        <v>0</v>
      </c>
      <c r="AG422" s="292">
        <f t="shared" si="189"/>
        <v>0</v>
      </c>
      <c r="AH422" s="292">
        <f t="shared" si="190"/>
        <v>0</v>
      </c>
      <c r="AI422" s="292">
        <f t="shared" si="191"/>
        <v>0</v>
      </c>
      <c r="AJ422" s="292">
        <f t="shared" si="192"/>
        <v>0</v>
      </c>
      <c r="AK422" s="292">
        <f t="shared" si="193"/>
        <v>0</v>
      </c>
      <c r="AL422" s="292">
        <f t="shared" si="218"/>
        <v>0</v>
      </c>
      <c r="AM422" s="292">
        <f t="shared" si="219"/>
        <v>0</v>
      </c>
      <c r="AN422" s="292">
        <f t="shared" si="194"/>
        <v>0</v>
      </c>
      <c r="AO422" s="292">
        <f t="shared" si="195"/>
        <v>0</v>
      </c>
      <c r="AP422" s="292">
        <f t="shared" si="196"/>
        <v>0</v>
      </c>
      <c r="AQ422" s="292">
        <f t="shared" si="197"/>
        <v>0</v>
      </c>
      <c r="AR422" s="292">
        <f t="shared" si="198"/>
        <v>0</v>
      </c>
      <c r="AS422" s="292">
        <f t="shared" si="199"/>
        <v>0</v>
      </c>
      <c r="AT422" s="292">
        <f t="shared" si="200"/>
        <v>0</v>
      </c>
      <c r="AU422" s="292">
        <f t="shared" si="201"/>
        <v>0</v>
      </c>
      <c r="AV422" s="292">
        <f t="shared" si="202"/>
        <v>0</v>
      </c>
      <c r="AW422" s="292">
        <f t="shared" si="203"/>
        <v>0</v>
      </c>
      <c r="AX422" s="292">
        <f t="shared" si="204"/>
        <v>0</v>
      </c>
      <c r="AY422" s="292">
        <f t="shared" si="205"/>
        <v>0</v>
      </c>
      <c r="AZ422" s="292">
        <f t="shared" si="206"/>
        <v>0</v>
      </c>
      <c r="BA422" s="292">
        <f t="shared" si="207"/>
        <v>0</v>
      </c>
      <c r="BB422" s="292">
        <f t="shared" si="208"/>
        <v>0</v>
      </c>
      <c r="BC422" s="292">
        <f t="shared" si="209"/>
        <v>0</v>
      </c>
      <c r="BD422" s="292">
        <f t="shared" si="210"/>
        <v>0</v>
      </c>
      <c r="BE422" s="292">
        <f t="shared" si="211"/>
        <v>0</v>
      </c>
      <c r="BF422" s="292">
        <f t="shared" si="212"/>
        <v>0</v>
      </c>
      <c r="BG422" s="292">
        <f t="shared" si="213"/>
        <v>0</v>
      </c>
    </row>
    <row r="423" spans="1:59" s="289" customFormat="1" ht="15" customHeight="1">
      <c r="A423" s="63">
        <f t="array" ref="A423">IF(C423&lt;&gt;0,SUM(($C$11:C423&lt;&gt;0)*1),"")</f>
        <v>413</v>
      </c>
      <c r="B423" s="1099">
        <v>42551</v>
      </c>
      <c r="C423" s="290" t="s">
        <v>1021</v>
      </c>
      <c r="D423" s="1099">
        <v>42531</v>
      </c>
      <c r="E423" s="344" t="s">
        <v>946</v>
      </c>
      <c r="F423" s="345">
        <v>151507353</v>
      </c>
      <c r="G423" s="346" t="s">
        <v>981</v>
      </c>
      <c r="H423" s="346" t="s">
        <v>9</v>
      </c>
      <c r="I423" s="63">
        <f t="shared" si="226"/>
        <v>413</v>
      </c>
      <c r="J423" s="292">
        <f t="shared" si="176"/>
        <v>0</v>
      </c>
      <c r="K423" s="292">
        <f t="shared" si="177"/>
        <v>0</v>
      </c>
      <c r="L423" s="292">
        <f t="shared" si="178"/>
        <v>0</v>
      </c>
      <c r="M423" s="292">
        <f t="shared" si="179"/>
        <v>0</v>
      </c>
      <c r="N423" s="292">
        <f t="shared" si="214"/>
        <v>0</v>
      </c>
      <c r="O423" s="292">
        <f t="shared" si="215"/>
        <v>0</v>
      </c>
      <c r="P423" s="292">
        <f t="shared" si="180"/>
        <v>0</v>
      </c>
      <c r="Q423" s="292">
        <f t="shared" si="181"/>
        <v>0</v>
      </c>
      <c r="R423" s="292">
        <f t="shared" si="220"/>
        <v>151507353</v>
      </c>
      <c r="S423" s="292">
        <f t="shared" si="221"/>
        <v>0</v>
      </c>
      <c r="T423" s="292">
        <f t="shared" si="182"/>
        <v>0</v>
      </c>
      <c r="U423" s="292">
        <f t="shared" si="183"/>
        <v>0</v>
      </c>
      <c r="V423" s="292">
        <f t="shared" si="222"/>
        <v>0</v>
      </c>
      <c r="W423" s="292">
        <f t="shared" si="223"/>
        <v>0</v>
      </c>
      <c r="X423" s="292">
        <f t="shared" si="224"/>
        <v>0</v>
      </c>
      <c r="Y423" s="292">
        <f t="shared" si="225"/>
        <v>0</v>
      </c>
      <c r="Z423" s="292">
        <f t="shared" si="216"/>
        <v>0</v>
      </c>
      <c r="AA423" s="292">
        <f t="shared" si="217"/>
        <v>0</v>
      </c>
      <c r="AB423" s="292">
        <f t="shared" si="184"/>
        <v>0</v>
      </c>
      <c r="AC423" s="292">
        <f t="shared" si="185"/>
        <v>151507353</v>
      </c>
      <c r="AD423" s="292">
        <f t="shared" si="186"/>
        <v>0</v>
      </c>
      <c r="AE423" s="292">
        <f t="shared" si="187"/>
        <v>0</v>
      </c>
      <c r="AF423" s="292">
        <f t="shared" si="188"/>
        <v>0</v>
      </c>
      <c r="AG423" s="292">
        <f t="shared" si="189"/>
        <v>0</v>
      </c>
      <c r="AH423" s="292">
        <f t="shared" si="190"/>
        <v>0</v>
      </c>
      <c r="AI423" s="292">
        <f t="shared" si="191"/>
        <v>0</v>
      </c>
      <c r="AJ423" s="292">
        <f t="shared" si="192"/>
        <v>0</v>
      </c>
      <c r="AK423" s="292">
        <f t="shared" si="193"/>
        <v>0</v>
      </c>
      <c r="AL423" s="292">
        <f t="shared" si="218"/>
        <v>0</v>
      </c>
      <c r="AM423" s="292">
        <f t="shared" si="219"/>
        <v>0</v>
      </c>
      <c r="AN423" s="292">
        <f t="shared" si="194"/>
        <v>0</v>
      </c>
      <c r="AO423" s="292">
        <f t="shared" si="195"/>
        <v>0</v>
      </c>
      <c r="AP423" s="292">
        <f t="shared" si="196"/>
        <v>0</v>
      </c>
      <c r="AQ423" s="292">
        <f t="shared" si="197"/>
        <v>0</v>
      </c>
      <c r="AR423" s="292">
        <f t="shared" si="198"/>
        <v>0</v>
      </c>
      <c r="AS423" s="292">
        <f t="shared" si="199"/>
        <v>0</v>
      </c>
      <c r="AT423" s="292">
        <f t="shared" si="200"/>
        <v>0</v>
      </c>
      <c r="AU423" s="292">
        <f t="shared" si="201"/>
        <v>0</v>
      </c>
      <c r="AV423" s="292">
        <f t="shared" si="202"/>
        <v>0</v>
      </c>
      <c r="AW423" s="292">
        <f t="shared" si="203"/>
        <v>0</v>
      </c>
      <c r="AX423" s="292">
        <f t="shared" si="204"/>
        <v>0</v>
      </c>
      <c r="AY423" s="292">
        <f t="shared" si="205"/>
        <v>0</v>
      </c>
      <c r="AZ423" s="292">
        <f t="shared" si="206"/>
        <v>0</v>
      </c>
      <c r="BA423" s="292">
        <f t="shared" si="207"/>
        <v>0</v>
      </c>
      <c r="BB423" s="292">
        <f t="shared" si="208"/>
        <v>0</v>
      </c>
      <c r="BC423" s="292">
        <f t="shared" si="209"/>
        <v>0</v>
      </c>
      <c r="BD423" s="292">
        <f t="shared" si="210"/>
        <v>0</v>
      </c>
      <c r="BE423" s="292">
        <f t="shared" si="211"/>
        <v>0</v>
      </c>
      <c r="BF423" s="292">
        <f t="shared" si="212"/>
        <v>0</v>
      </c>
      <c r="BG423" s="292">
        <f t="shared" si="213"/>
        <v>0</v>
      </c>
    </row>
    <row r="424" spans="1:59" s="289" customFormat="1" ht="15" customHeight="1">
      <c r="A424" s="63">
        <f t="array" ref="A424">IF(C424&lt;&gt;0,SUM(($C$11:C424&lt;&gt;0)*1),"")</f>
        <v>414</v>
      </c>
      <c r="B424" s="1099">
        <v>42551</v>
      </c>
      <c r="C424" s="290" t="s">
        <v>1021</v>
      </c>
      <c r="D424" s="1099">
        <v>42532</v>
      </c>
      <c r="E424" s="344" t="s">
        <v>994</v>
      </c>
      <c r="F424" s="345">
        <v>25978200</v>
      </c>
      <c r="G424" s="346" t="s">
        <v>135</v>
      </c>
      <c r="H424" s="346" t="s">
        <v>9</v>
      </c>
      <c r="I424" s="63">
        <f t="shared" si="226"/>
        <v>414</v>
      </c>
      <c r="J424" s="292">
        <f t="shared" si="176"/>
        <v>0</v>
      </c>
      <c r="K424" s="292">
        <f t="shared" si="177"/>
        <v>0</v>
      </c>
      <c r="L424" s="292">
        <f t="shared" si="178"/>
        <v>0</v>
      </c>
      <c r="M424" s="292">
        <f t="shared" si="179"/>
        <v>0</v>
      </c>
      <c r="N424" s="292">
        <f t="shared" si="214"/>
        <v>0</v>
      </c>
      <c r="O424" s="292">
        <f t="shared" si="215"/>
        <v>0</v>
      </c>
      <c r="P424" s="292">
        <f t="shared" si="180"/>
        <v>0</v>
      </c>
      <c r="Q424" s="292">
        <f t="shared" si="181"/>
        <v>0</v>
      </c>
      <c r="R424" s="292">
        <f t="shared" si="220"/>
        <v>0</v>
      </c>
      <c r="S424" s="292">
        <f t="shared" si="221"/>
        <v>0</v>
      </c>
      <c r="T424" s="292">
        <f t="shared" si="182"/>
        <v>0</v>
      </c>
      <c r="U424" s="292">
        <f t="shared" si="183"/>
        <v>0</v>
      </c>
      <c r="V424" s="292">
        <f t="shared" si="222"/>
        <v>0</v>
      </c>
      <c r="W424" s="292">
        <f t="shared" si="223"/>
        <v>0</v>
      </c>
      <c r="X424" s="292">
        <f t="shared" si="224"/>
        <v>0</v>
      </c>
      <c r="Y424" s="292">
        <f t="shared" si="225"/>
        <v>0</v>
      </c>
      <c r="Z424" s="292">
        <f t="shared" si="216"/>
        <v>0</v>
      </c>
      <c r="AA424" s="292">
        <f t="shared" si="217"/>
        <v>0</v>
      </c>
      <c r="AB424" s="292">
        <f t="shared" si="184"/>
        <v>0</v>
      </c>
      <c r="AC424" s="292">
        <f t="shared" si="185"/>
        <v>25978200</v>
      </c>
      <c r="AD424" s="292">
        <f t="shared" si="186"/>
        <v>0</v>
      </c>
      <c r="AE424" s="292">
        <f t="shared" si="187"/>
        <v>0</v>
      </c>
      <c r="AF424" s="292">
        <f t="shared" si="188"/>
        <v>0</v>
      </c>
      <c r="AG424" s="292">
        <f t="shared" si="189"/>
        <v>0</v>
      </c>
      <c r="AH424" s="292">
        <f t="shared" si="190"/>
        <v>0</v>
      </c>
      <c r="AI424" s="292">
        <f t="shared" si="191"/>
        <v>0</v>
      </c>
      <c r="AJ424" s="292">
        <f t="shared" si="192"/>
        <v>0</v>
      </c>
      <c r="AK424" s="292">
        <f t="shared" si="193"/>
        <v>0</v>
      </c>
      <c r="AL424" s="292">
        <f t="shared" si="218"/>
        <v>0</v>
      </c>
      <c r="AM424" s="292">
        <f t="shared" si="219"/>
        <v>0</v>
      </c>
      <c r="AN424" s="292">
        <f t="shared" si="194"/>
        <v>0</v>
      </c>
      <c r="AO424" s="292">
        <f t="shared" si="195"/>
        <v>0</v>
      </c>
      <c r="AP424" s="292">
        <f t="shared" si="196"/>
        <v>0</v>
      </c>
      <c r="AQ424" s="292">
        <f t="shared" si="197"/>
        <v>0</v>
      </c>
      <c r="AR424" s="292">
        <f t="shared" si="198"/>
        <v>0</v>
      </c>
      <c r="AS424" s="292">
        <f t="shared" si="199"/>
        <v>0</v>
      </c>
      <c r="AT424" s="292">
        <f t="shared" si="200"/>
        <v>0</v>
      </c>
      <c r="AU424" s="292">
        <f t="shared" si="201"/>
        <v>0</v>
      </c>
      <c r="AV424" s="292">
        <f t="shared" si="202"/>
        <v>0</v>
      </c>
      <c r="AW424" s="292">
        <f t="shared" si="203"/>
        <v>0</v>
      </c>
      <c r="AX424" s="292">
        <f t="shared" si="204"/>
        <v>25978200</v>
      </c>
      <c r="AY424" s="292">
        <f t="shared" si="205"/>
        <v>0</v>
      </c>
      <c r="AZ424" s="292">
        <f t="shared" si="206"/>
        <v>0</v>
      </c>
      <c r="BA424" s="292">
        <f t="shared" si="207"/>
        <v>0</v>
      </c>
      <c r="BB424" s="292">
        <f t="shared" si="208"/>
        <v>0</v>
      </c>
      <c r="BC424" s="292">
        <f t="shared" si="209"/>
        <v>0</v>
      </c>
      <c r="BD424" s="292">
        <f t="shared" si="210"/>
        <v>0</v>
      </c>
      <c r="BE424" s="292">
        <f t="shared" si="211"/>
        <v>0</v>
      </c>
      <c r="BF424" s="292">
        <f t="shared" si="212"/>
        <v>0</v>
      </c>
      <c r="BG424" s="292">
        <f t="shared" si="213"/>
        <v>0</v>
      </c>
    </row>
    <row r="425" spans="1:59" s="289" customFormat="1" ht="15" customHeight="1">
      <c r="A425" s="63">
        <f t="array" ref="A425">IF(C425&lt;&gt;0,SUM(($C$11:C425&lt;&gt;0)*1),"")</f>
        <v>415</v>
      </c>
      <c r="B425" s="1099">
        <v>42551</v>
      </c>
      <c r="C425" s="290" t="s">
        <v>1021</v>
      </c>
      <c r="D425" s="1099">
        <v>42532</v>
      </c>
      <c r="E425" s="344" t="s">
        <v>995</v>
      </c>
      <c r="F425" s="345">
        <v>2597820</v>
      </c>
      <c r="G425" s="346" t="s">
        <v>10</v>
      </c>
      <c r="H425" s="346" t="s">
        <v>9</v>
      </c>
      <c r="I425" s="63">
        <f t="shared" si="226"/>
        <v>415</v>
      </c>
      <c r="J425" s="292">
        <f t="shared" si="176"/>
        <v>0</v>
      </c>
      <c r="K425" s="292">
        <f t="shared" si="177"/>
        <v>0</v>
      </c>
      <c r="L425" s="292">
        <f t="shared" si="178"/>
        <v>0</v>
      </c>
      <c r="M425" s="292">
        <f t="shared" si="179"/>
        <v>0</v>
      </c>
      <c r="N425" s="292">
        <f t="shared" si="214"/>
        <v>0</v>
      </c>
      <c r="O425" s="292">
        <f t="shared" si="215"/>
        <v>0</v>
      </c>
      <c r="P425" s="292">
        <f t="shared" si="180"/>
        <v>2597820</v>
      </c>
      <c r="Q425" s="292">
        <f t="shared" si="181"/>
        <v>0</v>
      </c>
      <c r="R425" s="292">
        <f t="shared" si="220"/>
        <v>0</v>
      </c>
      <c r="S425" s="292">
        <f t="shared" si="221"/>
        <v>0</v>
      </c>
      <c r="T425" s="292">
        <f t="shared" si="182"/>
        <v>0</v>
      </c>
      <c r="U425" s="292">
        <f t="shared" si="183"/>
        <v>0</v>
      </c>
      <c r="V425" s="292">
        <f t="shared" si="222"/>
        <v>0</v>
      </c>
      <c r="W425" s="292">
        <f t="shared" si="223"/>
        <v>0</v>
      </c>
      <c r="X425" s="292">
        <f t="shared" si="224"/>
        <v>0</v>
      </c>
      <c r="Y425" s="292">
        <f t="shared" si="225"/>
        <v>0</v>
      </c>
      <c r="Z425" s="292">
        <f t="shared" si="216"/>
        <v>0</v>
      </c>
      <c r="AA425" s="292">
        <f t="shared" si="217"/>
        <v>0</v>
      </c>
      <c r="AB425" s="292">
        <f t="shared" si="184"/>
        <v>0</v>
      </c>
      <c r="AC425" s="292">
        <f t="shared" si="185"/>
        <v>2597820</v>
      </c>
      <c r="AD425" s="292">
        <f t="shared" si="186"/>
        <v>0</v>
      </c>
      <c r="AE425" s="292">
        <f t="shared" si="187"/>
        <v>0</v>
      </c>
      <c r="AF425" s="292">
        <f t="shared" si="188"/>
        <v>0</v>
      </c>
      <c r="AG425" s="292">
        <f t="shared" si="189"/>
        <v>0</v>
      </c>
      <c r="AH425" s="292">
        <f t="shared" si="190"/>
        <v>0</v>
      </c>
      <c r="AI425" s="292">
        <f t="shared" si="191"/>
        <v>0</v>
      </c>
      <c r="AJ425" s="292">
        <f t="shared" si="192"/>
        <v>0</v>
      </c>
      <c r="AK425" s="292">
        <f t="shared" si="193"/>
        <v>0</v>
      </c>
      <c r="AL425" s="292">
        <f t="shared" si="218"/>
        <v>0</v>
      </c>
      <c r="AM425" s="292">
        <f t="shared" si="219"/>
        <v>0</v>
      </c>
      <c r="AN425" s="292">
        <f t="shared" si="194"/>
        <v>0</v>
      </c>
      <c r="AO425" s="292">
        <f t="shared" si="195"/>
        <v>0</v>
      </c>
      <c r="AP425" s="292">
        <f t="shared" si="196"/>
        <v>0</v>
      </c>
      <c r="AQ425" s="292">
        <f t="shared" si="197"/>
        <v>0</v>
      </c>
      <c r="AR425" s="292">
        <f t="shared" si="198"/>
        <v>0</v>
      </c>
      <c r="AS425" s="292">
        <f t="shared" si="199"/>
        <v>0</v>
      </c>
      <c r="AT425" s="292">
        <f t="shared" si="200"/>
        <v>0</v>
      </c>
      <c r="AU425" s="292">
        <f t="shared" si="201"/>
        <v>0</v>
      </c>
      <c r="AV425" s="292">
        <f t="shared" si="202"/>
        <v>0</v>
      </c>
      <c r="AW425" s="292">
        <f t="shared" si="203"/>
        <v>0</v>
      </c>
      <c r="AX425" s="292">
        <f t="shared" si="204"/>
        <v>0</v>
      </c>
      <c r="AY425" s="292">
        <f t="shared" si="205"/>
        <v>0</v>
      </c>
      <c r="AZ425" s="292">
        <f t="shared" si="206"/>
        <v>0</v>
      </c>
      <c r="BA425" s="292">
        <f t="shared" si="207"/>
        <v>0</v>
      </c>
      <c r="BB425" s="292">
        <f t="shared" si="208"/>
        <v>0</v>
      </c>
      <c r="BC425" s="292">
        <f t="shared" si="209"/>
        <v>0</v>
      </c>
      <c r="BD425" s="292">
        <f t="shared" si="210"/>
        <v>0</v>
      </c>
      <c r="BE425" s="292">
        <f t="shared" si="211"/>
        <v>0</v>
      </c>
      <c r="BF425" s="292">
        <f t="shared" si="212"/>
        <v>0</v>
      </c>
      <c r="BG425" s="292">
        <f t="shared" si="213"/>
        <v>0</v>
      </c>
    </row>
    <row r="426" spans="1:59" s="289" customFormat="1" ht="15" customHeight="1">
      <c r="A426" s="63">
        <f t="array" ref="A426">IF(C426&lt;&gt;0,SUM(($C$11:C426&lt;&gt;0)*1),"")</f>
        <v>416</v>
      </c>
      <c r="B426" s="1099">
        <v>42551</v>
      </c>
      <c r="C426" s="290" t="s">
        <v>1021</v>
      </c>
      <c r="D426" s="1099">
        <v>42538</v>
      </c>
      <c r="E426" s="344" t="s">
        <v>962</v>
      </c>
      <c r="F426" s="345">
        <v>19800000</v>
      </c>
      <c r="G426" s="346" t="s">
        <v>441</v>
      </c>
      <c r="H426" s="346" t="s">
        <v>58</v>
      </c>
      <c r="I426" s="63">
        <f t="shared" si="226"/>
        <v>416</v>
      </c>
      <c r="J426" s="292">
        <f t="shared" si="176"/>
        <v>0</v>
      </c>
      <c r="K426" s="292">
        <f t="shared" si="177"/>
        <v>0</v>
      </c>
      <c r="L426" s="292">
        <f t="shared" si="178"/>
        <v>0</v>
      </c>
      <c r="M426" s="292">
        <f t="shared" si="179"/>
        <v>0</v>
      </c>
      <c r="N426" s="292">
        <f t="shared" si="214"/>
        <v>0</v>
      </c>
      <c r="O426" s="292">
        <f t="shared" si="215"/>
        <v>0</v>
      </c>
      <c r="P426" s="292">
        <f t="shared" si="180"/>
        <v>0</v>
      </c>
      <c r="Q426" s="292">
        <f t="shared" si="181"/>
        <v>0</v>
      </c>
      <c r="R426" s="292">
        <f t="shared" si="220"/>
        <v>0</v>
      </c>
      <c r="S426" s="292">
        <f t="shared" si="221"/>
        <v>0</v>
      </c>
      <c r="T426" s="292">
        <f t="shared" si="182"/>
        <v>0</v>
      </c>
      <c r="U426" s="292">
        <f t="shared" si="183"/>
        <v>0</v>
      </c>
      <c r="V426" s="292">
        <f t="shared" si="222"/>
        <v>0</v>
      </c>
      <c r="W426" s="292">
        <f t="shared" si="223"/>
        <v>0</v>
      </c>
      <c r="X426" s="292">
        <f t="shared" si="224"/>
        <v>0</v>
      </c>
      <c r="Y426" s="292">
        <f t="shared" si="225"/>
        <v>0</v>
      </c>
      <c r="Z426" s="292">
        <f t="shared" si="216"/>
        <v>0</v>
      </c>
      <c r="AA426" s="292">
        <f t="shared" si="217"/>
        <v>0</v>
      </c>
      <c r="AB426" s="292">
        <f t="shared" si="184"/>
        <v>0</v>
      </c>
      <c r="AC426" s="292">
        <f t="shared" si="185"/>
        <v>0</v>
      </c>
      <c r="AD426" s="292">
        <f t="shared" si="186"/>
        <v>0</v>
      </c>
      <c r="AE426" s="292">
        <f t="shared" si="187"/>
        <v>0</v>
      </c>
      <c r="AF426" s="292">
        <f t="shared" si="188"/>
        <v>0</v>
      </c>
      <c r="AG426" s="292">
        <f t="shared" si="189"/>
        <v>0</v>
      </c>
      <c r="AH426" s="292">
        <f t="shared" si="190"/>
        <v>0</v>
      </c>
      <c r="AI426" s="292">
        <f t="shared" si="191"/>
        <v>0</v>
      </c>
      <c r="AJ426" s="292">
        <f t="shared" si="192"/>
        <v>0</v>
      </c>
      <c r="AK426" s="292">
        <f t="shared" si="193"/>
        <v>0</v>
      </c>
      <c r="AL426" s="292">
        <f t="shared" si="218"/>
        <v>19800000</v>
      </c>
      <c r="AM426" s="292">
        <f t="shared" si="219"/>
        <v>0</v>
      </c>
      <c r="AN426" s="292">
        <f t="shared" si="194"/>
        <v>0</v>
      </c>
      <c r="AO426" s="292">
        <f t="shared" si="195"/>
        <v>0</v>
      </c>
      <c r="AP426" s="292">
        <f t="shared" si="196"/>
        <v>0</v>
      </c>
      <c r="AQ426" s="292">
        <f t="shared" si="197"/>
        <v>0</v>
      </c>
      <c r="AR426" s="292">
        <f t="shared" si="198"/>
        <v>0</v>
      </c>
      <c r="AS426" s="292">
        <f t="shared" si="199"/>
        <v>0</v>
      </c>
      <c r="AT426" s="292">
        <f t="shared" si="200"/>
        <v>0</v>
      </c>
      <c r="AU426" s="292">
        <f t="shared" si="201"/>
        <v>19800000</v>
      </c>
      <c r="AV426" s="292">
        <f t="shared" si="202"/>
        <v>0</v>
      </c>
      <c r="AW426" s="292">
        <f t="shared" si="203"/>
        <v>0</v>
      </c>
      <c r="AX426" s="292">
        <f t="shared" si="204"/>
        <v>0</v>
      </c>
      <c r="AY426" s="292">
        <f t="shared" si="205"/>
        <v>0</v>
      </c>
      <c r="AZ426" s="292">
        <f t="shared" si="206"/>
        <v>0</v>
      </c>
      <c r="BA426" s="292">
        <f t="shared" si="207"/>
        <v>0</v>
      </c>
      <c r="BB426" s="292">
        <f t="shared" si="208"/>
        <v>0</v>
      </c>
      <c r="BC426" s="292">
        <f t="shared" si="209"/>
        <v>0</v>
      </c>
      <c r="BD426" s="292">
        <f t="shared" si="210"/>
        <v>0</v>
      </c>
      <c r="BE426" s="292">
        <f t="shared" si="211"/>
        <v>0</v>
      </c>
      <c r="BF426" s="292">
        <f t="shared" si="212"/>
        <v>0</v>
      </c>
      <c r="BG426" s="292">
        <f t="shared" si="213"/>
        <v>0</v>
      </c>
    </row>
    <row r="427" spans="1:59" s="289" customFormat="1" ht="15" customHeight="1">
      <c r="A427" s="63">
        <f t="array" ref="A427">IF(C427&lt;&gt;0,SUM(($C$11:C427&lt;&gt;0)*1),"")</f>
        <v>417</v>
      </c>
      <c r="B427" s="1099">
        <v>42551</v>
      </c>
      <c r="C427" s="290" t="s">
        <v>1021</v>
      </c>
      <c r="D427" s="1099">
        <v>42545</v>
      </c>
      <c r="E427" s="344" t="s">
        <v>917</v>
      </c>
      <c r="F427" s="345">
        <v>10681818</v>
      </c>
      <c r="G427" s="346" t="s">
        <v>135</v>
      </c>
      <c r="H427" s="346" t="s">
        <v>9</v>
      </c>
      <c r="I427" s="63">
        <f t="shared" si="226"/>
        <v>417</v>
      </c>
      <c r="J427" s="292">
        <f t="shared" si="176"/>
        <v>0</v>
      </c>
      <c r="K427" s="292">
        <f t="shared" si="177"/>
        <v>0</v>
      </c>
      <c r="L427" s="292">
        <f t="shared" si="178"/>
        <v>0</v>
      </c>
      <c r="M427" s="292">
        <f t="shared" si="179"/>
        <v>0</v>
      </c>
      <c r="N427" s="292">
        <f t="shared" si="214"/>
        <v>0</v>
      </c>
      <c r="O427" s="292">
        <f t="shared" si="215"/>
        <v>0</v>
      </c>
      <c r="P427" s="292">
        <f t="shared" si="180"/>
        <v>0</v>
      </c>
      <c r="Q427" s="292">
        <f t="shared" si="181"/>
        <v>0</v>
      </c>
      <c r="R427" s="292">
        <f t="shared" si="220"/>
        <v>0</v>
      </c>
      <c r="S427" s="292">
        <f t="shared" si="221"/>
        <v>0</v>
      </c>
      <c r="T427" s="292">
        <f t="shared" si="182"/>
        <v>0</v>
      </c>
      <c r="U427" s="292">
        <f t="shared" si="183"/>
        <v>0</v>
      </c>
      <c r="V427" s="292">
        <f t="shared" si="222"/>
        <v>0</v>
      </c>
      <c r="W427" s="292">
        <f t="shared" si="223"/>
        <v>0</v>
      </c>
      <c r="X427" s="292">
        <f t="shared" si="224"/>
        <v>0</v>
      </c>
      <c r="Y427" s="292">
        <f t="shared" si="225"/>
        <v>0</v>
      </c>
      <c r="Z427" s="292">
        <f t="shared" si="216"/>
        <v>0</v>
      </c>
      <c r="AA427" s="292">
        <f t="shared" si="217"/>
        <v>0</v>
      </c>
      <c r="AB427" s="292">
        <f t="shared" si="184"/>
        <v>0</v>
      </c>
      <c r="AC427" s="292">
        <f t="shared" si="185"/>
        <v>10681818</v>
      </c>
      <c r="AD427" s="292">
        <f t="shared" si="186"/>
        <v>0</v>
      </c>
      <c r="AE427" s="292">
        <f t="shared" si="187"/>
        <v>0</v>
      </c>
      <c r="AF427" s="292">
        <f t="shared" si="188"/>
        <v>0</v>
      </c>
      <c r="AG427" s="292">
        <f t="shared" si="189"/>
        <v>0</v>
      </c>
      <c r="AH427" s="292">
        <f t="shared" si="190"/>
        <v>0</v>
      </c>
      <c r="AI427" s="292">
        <f t="shared" si="191"/>
        <v>0</v>
      </c>
      <c r="AJ427" s="292">
        <f t="shared" si="192"/>
        <v>0</v>
      </c>
      <c r="AK427" s="292">
        <f t="shared" si="193"/>
        <v>0</v>
      </c>
      <c r="AL427" s="292">
        <f t="shared" si="218"/>
        <v>0</v>
      </c>
      <c r="AM427" s="292">
        <f t="shared" si="219"/>
        <v>0</v>
      </c>
      <c r="AN427" s="292">
        <f t="shared" si="194"/>
        <v>0</v>
      </c>
      <c r="AO427" s="292">
        <f t="shared" si="195"/>
        <v>0</v>
      </c>
      <c r="AP427" s="292">
        <f t="shared" si="196"/>
        <v>0</v>
      </c>
      <c r="AQ427" s="292">
        <f t="shared" si="197"/>
        <v>0</v>
      </c>
      <c r="AR427" s="292">
        <f t="shared" si="198"/>
        <v>0</v>
      </c>
      <c r="AS427" s="292">
        <f t="shared" si="199"/>
        <v>0</v>
      </c>
      <c r="AT427" s="292">
        <f t="shared" si="200"/>
        <v>0</v>
      </c>
      <c r="AU427" s="292">
        <f t="shared" si="201"/>
        <v>0</v>
      </c>
      <c r="AV427" s="292">
        <f t="shared" si="202"/>
        <v>0</v>
      </c>
      <c r="AW427" s="292">
        <f t="shared" si="203"/>
        <v>0</v>
      </c>
      <c r="AX427" s="292">
        <f t="shared" si="204"/>
        <v>10681818</v>
      </c>
      <c r="AY427" s="292">
        <f t="shared" si="205"/>
        <v>0</v>
      </c>
      <c r="AZ427" s="292">
        <f t="shared" si="206"/>
        <v>0</v>
      </c>
      <c r="BA427" s="292">
        <f t="shared" si="207"/>
        <v>0</v>
      </c>
      <c r="BB427" s="292">
        <f t="shared" si="208"/>
        <v>0</v>
      </c>
      <c r="BC427" s="292">
        <f t="shared" si="209"/>
        <v>0</v>
      </c>
      <c r="BD427" s="292">
        <f t="shared" si="210"/>
        <v>0</v>
      </c>
      <c r="BE427" s="292">
        <f t="shared" si="211"/>
        <v>0</v>
      </c>
      <c r="BF427" s="292">
        <f t="shared" si="212"/>
        <v>0</v>
      </c>
      <c r="BG427" s="292">
        <f t="shared" si="213"/>
        <v>0</v>
      </c>
    </row>
    <row r="428" spans="1:59" s="289" customFormat="1" ht="15" customHeight="1">
      <c r="A428" s="63">
        <f t="array" ref="A428">IF(C428&lt;&gt;0,SUM(($C$11:C428&lt;&gt;0)*1),"")</f>
        <v>418</v>
      </c>
      <c r="B428" s="1099">
        <v>42551</v>
      </c>
      <c r="C428" s="290" t="s">
        <v>1021</v>
      </c>
      <c r="D428" s="1099">
        <v>42545</v>
      </c>
      <c r="E428" s="344" t="s">
        <v>918</v>
      </c>
      <c r="F428" s="345">
        <v>1068182</v>
      </c>
      <c r="G428" s="346" t="s">
        <v>10</v>
      </c>
      <c r="H428" s="346" t="s">
        <v>9</v>
      </c>
      <c r="I428" s="63">
        <f t="shared" si="226"/>
        <v>418</v>
      </c>
      <c r="J428" s="292">
        <f t="shared" si="176"/>
        <v>0</v>
      </c>
      <c r="K428" s="292">
        <f t="shared" si="177"/>
        <v>0</v>
      </c>
      <c r="L428" s="292">
        <f t="shared" si="178"/>
        <v>0</v>
      </c>
      <c r="M428" s="292">
        <f t="shared" si="179"/>
        <v>0</v>
      </c>
      <c r="N428" s="292">
        <f t="shared" si="214"/>
        <v>0</v>
      </c>
      <c r="O428" s="292">
        <f t="shared" si="215"/>
        <v>0</v>
      </c>
      <c r="P428" s="292">
        <f t="shared" si="180"/>
        <v>1068182</v>
      </c>
      <c r="Q428" s="292">
        <f t="shared" si="181"/>
        <v>0</v>
      </c>
      <c r="R428" s="292">
        <f t="shared" si="220"/>
        <v>0</v>
      </c>
      <c r="S428" s="292">
        <f t="shared" si="221"/>
        <v>0</v>
      </c>
      <c r="T428" s="292">
        <f t="shared" si="182"/>
        <v>0</v>
      </c>
      <c r="U428" s="292">
        <f t="shared" si="183"/>
        <v>0</v>
      </c>
      <c r="V428" s="292">
        <f t="shared" si="222"/>
        <v>0</v>
      </c>
      <c r="W428" s="292">
        <f t="shared" si="223"/>
        <v>0</v>
      </c>
      <c r="X428" s="292">
        <f t="shared" si="224"/>
        <v>0</v>
      </c>
      <c r="Y428" s="292">
        <f t="shared" si="225"/>
        <v>0</v>
      </c>
      <c r="Z428" s="292">
        <f t="shared" si="216"/>
        <v>0</v>
      </c>
      <c r="AA428" s="292">
        <f t="shared" si="217"/>
        <v>0</v>
      </c>
      <c r="AB428" s="292">
        <f t="shared" si="184"/>
        <v>0</v>
      </c>
      <c r="AC428" s="292">
        <f t="shared" si="185"/>
        <v>1068182</v>
      </c>
      <c r="AD428" s="292">
        <f t="shared" si="186"/>
        <v>0</v>
      </c>
      <c r="AE428" s="292">
        <f t="shared" si="187"/>
        <v>0</v>
      </c>
      <c r="AF428" s="292">
        <f t="shared" si="188"/>
        <v>0</v>
      </c>
      <c r="AG428" s="292">
        <f t="shared" si="189"/>
        <v>0</v>
      </c>
      <c r="AH428" s="292">
        <f t="shared" si="190"/>
        <v>0</v>
      </c>
      <c r="AI428" s="292">
        <f t="shared" si="191"/>
        <v>0</v>
      </c>
      <c r="AJ428" s="292">
        <f t="shared" si="192"/>
        <v>0</v>
      </c>
      <c r="AK428" s="292">
        <f t="shared" si="193"/>
        <v>0</v>
      </c>
      <c r="AL428" s="292">
        <f t="shared" si="218"/>
        <v>0</v>
      </c>
      <c r="AM428" s="292">
        <f t="shared" si="219"/>
        <v>0</v>
      </c>
      <c r="AN428" s="292">
        <f t="shared" si="194"/>
        <v>0</v>
      </c>
      <c r="AO428" s="292">
        <f t="shared" si="195"/>
        <v>0</v>
      </c>
      <c r="AP428" s="292">
        <f t="shared" si="196"/>
        <v>0</v>
      </c>
      <c r="AQ428" s="292">
        <f t="shared" si="197"/>
        <v>0</v>
      </c>
      <c r="AR428" s="292">
        <f t="shared" si="198"/>
        <v>0</v>
      </c>
      <c r="AS428" s="292">
        <f t="shared" si="199"/>
        <v>0</v>
      </c>
      <c r="AT428" s="292">
        <f t="shared" si="200"/>
        <v>0</v>
      </c>
      <c r="AU428" s="292">
        <f t="shared" si="201"/>
        <v>0</v>
      </c>
      <c r="AV428" s="292">
        <f t="shared" si="202"/>
        <v>0</v>
      </c>
      <c r="AW428" s="292">
        <f t="shared" si="203"/>
        <v>0</v>
      </c>
      <c r="AX428" s="292">
        <f t="shared" si="204"/>
        <v>0</v>
      </c>
      <c r="AY428" s="292">
        <f t="shared" si="205"/>
        <v>0</v>
      </c>
      <c r="AZ428" s="292">
        <f t="shared" si="206"/>
        <v>0</v>
      </c>
      <c r="BA428" s="292">
        <f t="shared" si="207"/>
        <v>0</v>
      </c>
      <c r="BB428" s="292">
        <f t="shared" si="208"/>
        <v>0</v>
      </c>
      <c r="BC428" s="292">
        <f t="shared" si="209"/>
        <v>0</v>
      </c>
      <c r="BD428" s="292">
        <f t="shared" si="210"/>
        <v>0</v>
      </c>
      <c r="BE428" s="292">
        <f t="shared" si="211"/>
        <v>0</v>
      </c>
      <c r="BF428" s="292">
        <f t="shared" si="212"/>
        <v>0</v>
      </c>
      <c r="BG428" s="292">
        <f t="shared" si="213"/>
        <v>0</v>
      </c>
    </row>
    <row r="429" spans="1:59" s="289" customFormat="1" ht="15" customHeight="1">
      <c r="A429" s="63">
        <f t="array" ref="A429">IF(C429&lt;&gt;0,SUM(($C$11:C429&lt;&gt;0)*1),"")</f>
        <v>419</v>
      </c>
      <c r="B429" s="1099">
        <v>42551</v>
      </c>
      <c r="C429" s="290" t="s">
        <v>1021</v>
      </c>
      <c r="D429" s="1099">
        <v>42546</v>
      </c>
      <c r="E429" s="344" t="s">
        <v>996</v>
      </c>
      <c r="F429" s="345">
        <v>23344500</v>
      </c>
      <c r="G429" s="346" t="s">
        <v>135</v>
      </c>
      <c r="H429" s="346" t="s">
        <v>9</v>
      </c>
      <c r="I429" s="63">
        <f t="shared" si="226"/>
        <v>419</v>
      </c>
      <c r="J429" s="292">
        <f t="shared" si="176"/>
        <v>0</v>
      </c>
      <c r="K429" s="292">
        <f t="shared" si="177"/>
        <v>0</v>
      </c>
      <c r="L429" s="292">
        <f t="shared" si="178"/>
        <v>0</v>
      </c>
      <c r="M429" s="292">
        <f t="shared" si="179"/>
        <v>0</v>
      </c>
      <c r="N429" s="292">
        <f t="shared" si="214"/>
        <v>0</v>
      </c>
      <c r="O429" s="292">
        <f t="shared" si="215"/>
        <v>0</v>
      </c>
      <c r="P429" s="292">
        <f t="shared" si="180"/>
        <v>0</v>
      </c>
      <c r="Q429" s="292">
        <f t="shared" si="181"/>
        <v>0</v>
      </c>
      <c r="R429" s="292">
        <f t="shared" si="220"/>
        <v>0</v>
      </c>
      <c r="S429" s="292">
        <f t="shared" si="221"/>
        <v>0</v>
      </c>
      <c r="T429" s="292">
        <f t="shared" si="182"/>
        <v>0</v>
      </c>
      <c r="U429" s="292">
        <f t="shared" si="183"/>
        <v>0</v>
      </c>
      <c r="V429" s="292">
        <f t="shared" si="222"/>
        <v>0</v>
      </c>
      <c r="W429" s="292">
        <f t="shared" si="223"/>
        <v>0</v>
      </c>
      <c r="X429" s="292">
        <f t="shared" si="224"/>
        <v>0</v>
      </c>
      <c r="Y429" s="292">
        <f t="shared" si="225"/>
        <v>0</v>
      </c>
      <c r="Z429" s="292">
        <f t="shared" si="216"/>
        <v>0</v>
      </c>
      <c r="AA429" s="292">
        <f t="shared" si="217"/>
        <v>0</v>
      </c>
      <c r="AB429" s="292">
        <f t="shared" si="184"/>
        <v>0</v>
      </c>
      <c r="AC429" s="292">
        <f t="shared" si="185"/>
        <v>23344500</v>
      </c>
      <c r="AD429" s="292">
        <f t="shared" si="186"/>
        <v>0</v>
      </c>
      <c r="AE429" s="292">
        <f t="shared" si="187"/>
        <v>0</v>
      </c>
      <c r="AF429" s="292">
        <f t="shared" si="188"/>
        <v>0</v>
      </c>
      <c r="AG429" s="292">
        <f t="shared" si="189"/>
        <v>0</v>
      </c>
      <c r="AH429" s="292">
        <f t="shared" si="190"/>
        <v>0</v>
      </c>
      <c r="AI429" s="292">
        <f t="shared" si="191"/>
        <v>0</v>
      </c>
      <c r="AJ429" s="292">
        <f t="shared" si="192"/>
        <v>0</v>
      </c>
      <c r="AK429" s="292">
        <f t="shared" si="193"/>
        <v>0</v>
      </c>
      <c r="AL429" s="292">
        <f t="shared" si="218"/>
        <v>0</v>
      </c>
      <c r="AM429" s="292">
        <f t="shared" si="219"/>
        <v>0</v>
      </c>
      <c r="AN429" s="292">
        <f t="shared" si="194"/>
        <v>0</v>
      </c>
      <c r="AO429" s="292">
        <f t="shared" si="195"/>
        <v>0</v>
      </c>
      <c r="AP429" s="292">
        <f t="shared" si="196"/>
        <v>0</v>
      </c>
      <c r="AQ429" s="292">
        <f t="shared" si="197"/>
        <v>0</v>
      </c>
      <c r="AR429" s="292">
        <f t="shared" si="198"/>
        <v>0</v>
      </c>
      <c r="AS429" s="292">
        <f t="shared" si="199"/>
        <v>0</v>
      </c>
      <c r="AT429" s="292">
        <f t="shared" si="200"/>
        <v>0</v>
      </c>
      <c r="AU429" s="292">
        <f t="shared" si="201"/>
        <v>0</v>
      </c>
      <c r="AV429" s="292">
        <f t="shared" si="202"/>
        <v>0</v>
      </c>
      <c r="AW429" s="292">
        <f t="shared" si="203"/>
        <v>0</v>
      </c>
      <c r="AX429" s="292">
        <f t="shared" si="204"/>
        <v>23344500</v>
      </c>
      <c r="AY429" s="292">
        <f t="shared" si="205"/>
        <v>0</v>
      </c>
      <c r="AZ429" s="292">
        <f t="shared" si="206"/>
        <v>0</v>
      </c>
      <c r="BA429" s="292">
        <f t="shared" si="207"/>
        <v>0</v>
      </c>
      <c r="BB429" s="292">
        <f t="shared" si="208"/>
        <v>0</v>
      </c>
      <c r="BC429" s="292">
        <f t="shared" si="209"/>
        <v>0</v>
      </c>
      <c r="BD429" s="292">
        <f t="shared" si="210"/>
        <v>0</v>
      </c>
      <c r="BE429" s="292">
        <f t="shared" si="211"/>
        <v>0</v>
      </c>
      <c r="BF429" s="292">
        <f t="shared" si="212"/>
        <v>0</v>
      </c>
      <c r="BG429" s="292">
        <f t="shared" si="213"/>
        <v>0</v>
      </c>
    </row>
    <row r="430" spans="1:59" s="289" customFormat="1" ht="15" customHeight="1">
      <c r="A430" s="63">
        <f t="array" ref="A430">IF(C430&lt;&gt;0,SUM(($C$11:C430&lt;&gt;0)*1),"")</f>
        <v>420</v>
      </c>
      <c r="B430" s="1099">
        <v>42551</v>
      </c>
      <c r="C430" s="290" t="s">
        <v>1021</v>
      </c>
      <c r="D430" s="1099">
        <v>42546</v>
      </c>
      <c r="E430" s="344" t="s">
        <v>997</v>
      </c>
      <c r="F430" s="345">
        <v>2334450</v>
      </c>
      <c r="G430" s="346" t="s">
        <v>10</v>
      </c>
      <c r="H430" s="346" t="s">
        <v>9</v>
      </c>
      <c r="I430" s="63">
        <f t="shared" si="226"/>
        <v>420</v>
      </c>
      <c r="J430" s="292">
        <f t="shared" si="176"/>
        <v>0</v>
      </c>
      <c r="K430" s="292">
        <f t="shared" si="177"/>
        <v>0</v>
      </c>
      <c r="L430" s="292">
        <f t="shared" si="178"/>
        <v>0</v>
      </c>
      <c r="M430" s="292">
        <f t="shared" si="179"/>
        <v>0</v>
      </c>
      <c r="N430" s="292">
        <f t="shared" si="214"/>
        <v>0</v>
      </c>
      <c r="O430" s="292">
        <f t="shared" si="215"/>
        <v>0</v>
      </c>
      <c r="P430" s="292">
        <f t="shared" si="180"/>
        <v>2334450</v>
      </c>
      <c r="Q430" s="292">
        <f t="shared" si="181"/>
        <v>0</v>
      </c>
      <c r="R430" s="292">
        <f t="shared" si="220"/>
        <v>0</v>
      </c>
      <c r="S430" s="292">
        <f t="shared" si="221"/>
        <v>0</v>
      </c>
      <c r="T430" s="292">
        <f t="shared" si="182"/>
        <v>0</v>
      </c>
      <c r="U430" s="292">
        <f t="shared" si="183"/>
        <v>0</v>
      </c>
      <c r="V430" s="292">
        <f t="shared" si="222"/>
        <v>0</v>
      </c>
      <c r="W430" s="292">
        <f t="shared" si="223"/>
        <v>0</v>
      </c>
      <c r="X430" s="292">
        <f t="shared" si="224"/>
        <v>0</v>
      </c>
      <c r="Y430" s="292">
        <f t="shared" si="225"/>
        <v>0</v>
      </c>
      <c r="Z430" s="292">
        <f t="shared" si="216"/>
        <v>0</v>
      </c>
      <c r="AA430" s="292">
        <f t="shared" si="217"/>
        <v>0</v>
      </c>
      <c r="AB430" s="292">
        <f t="shared" si="184"/>
        <v>0</v>
      </c>
      <c r="AC430" s="292">
        <f t="shared" si="185"/>
        <v>2334450</v>
      </c>
      <c r="AD430" s="292">
        <f t="shared" si="186"/>
        <v>0</v>
      </c>
      <c r="AE430" s="292">
        <f t="shared" si="187"/>
        <v>0</v>
      </c>
      <c r="AF430" s="292">
        <f t="shared" si="188"/>
        <v>0</v>
      </c>
      <c r="AG430" s="292">
        <f t="shared" si="189"/>
        <v>0</v>
      </c>
      <c r="AH430" s="292">
        <f t="shared" si="190"/>
        <v>0</v>
      </c>
      <c r="AI430" s="292">
        <f t="shared" si="191"/>
        <v>0</v>
      </c>
      <c r="AJ430" s="292">
        <f t="shared" si="192"/>
        <v>0</v>
      </c>
      <c r="AK430" s="292">
        <f t="shared" si="193"/>
        <v>0</v>
      </c>
      <c r="AL430" s="292">
        <f t="shared" si="218"/>
        <v>0</v>
      </c>
      <c r="AM430" s="292">
        <f t="shared" si="219"/>
        <v>0</v>
      </c>
      <c r="AN430" s="292">
        <f t="shared" si="194"/>
        <v>0</v>
      </c>
      <c r="AO430" s="292">
        <f t="shared" si="195"/>
        <v>0</v>
      </c>
      <c r="AP430" s="292">
        <f t="shared" si="196"/>
        <v>0</v>
      </c>
      <c r="AQ430" s="292">
        <f t="shared" si="197"/>
        <v>0</v>
      </c>
      <c r="AR430" s="292">
        <f t="shared" si="198"/>
        <v>0</v>
      </c>
      <c r="AS430" s="292">
        <f t="shared" si="199"/>
        <v>0</v>
      </c>
      <c r="AT430" s="292">
        <f t="shared" si="200"/>
        <v>0</v>
      </c>
      <c r="AU430" s="292">
        <f t="shared" si="201"/>
        <v>0</v>
      </c>
      <c r="AV430" s="292">
        <f t="shared" si="202"/>
        <v>0</v>
      </c>
      <c r="AW430" s="292">
        <f t="shared" si="203"/>
        <v>0</v>
      </c>
      <c r="AX430" s="292">
        <f t="shared" si="204"/>
        <v>0</v>
      </c>
      <c r="AY430" s="292">
        <f t="shared" si="205"/>
        <v>0</v>
      </c>
      <c r="AZ430" s="292">
        <f t="shared" si="206"/>
        <v>0</v>
      </c>
      <c r="BA430" s="292">
        <f t="shared" si="207"/>
        <v>0</v>
      </c>
      <c r="BB430" s="292">
        <f t="shared" si="208"/>
        <v>0</v>
      </c>
      <c r="BC430" s="292">
        <f t="shared" si="209"/>
        <v>0</v>
      </c>
      <c r="BD430" s="292">
        <f t="shared" si="210"/>
        <v>0</v>
      </c>
      <c r="BE430" s="292">
        <f t="shared" si="211"/>
        <v>0</v>
      </c>
      <c r="BF430" s="292">
        <f t="shared" si="212"/>
        <v>0</v>
      </c>
      <c r="BG430" s="292">
        <f t="shared" si="213"/>
        <v>0</v>
      </c>
    </row>
    <row r="431" spans="1:59" s="289" customFormat="1" ht="15" customHeight="1">
      <c r="A431" s="63">
        <f t="array" ref="A431">IF(C431&lt;&gt;0,SUM(($C$11:C431&lt;&gt;0)*1),"")</f>
        <v>421</v>
      </c>
      <c r="B431" s="1099">
        <v>42551</v>
      </c>
      <c r="C431" s="290" t="s">
        <v>1021</v>
      </c>
      <c r="D431" s="1099">
        <v>42551</v>
      </c>
      <c r="E431" s="344" t="s">
        <v>873</v>
      </c>
      <c r="F431" s="345">
        <v>1219554047</v>
      </c>
      <c r="G431" s="346" t="s">
        <v>106</v>
      </c>
      <c r="H431" s="346" t="s">
        <v>981</v>
      </c>
      <c r="I431" s="63">
        <f t="shared" si="226"/>
        <v>421</v>
      </c>
      <c r="J431" s="292">
        <f t="shared" si="176"/>
        <v>0</v>
      </c>
      <c r="K431" s="292">
        <f t="shared" si="177"/>
        <v>0</v>
      </c>
      <c r="L431" s="292">
        <f t="shared" si="178"/>
        <v>0</v>
      </c>
      <c r="M431" s="292">
        <f t="shared" si="179"/>
        <v>0</v>
      </c>
      <c r="N431" s="292">
        <f t="shared" si="214"/>
        <v>0</v>
      </c>
      <c r="O431" s="292">
        <f t="shared" si="215"/>
        <v>0</v>
      </c>
      <c r="P431" s="292">
        <f t="shared" si="180"/>
        <v>0</v>
      </c>
      <c r="Q431" s="292">
        <f t="shared" si="181"/>
        <v>0</v>
      </c>
      <c r="R431" s="292">
        <f t="shared" si="220"/>
        <v>0</v>
      </c>
      <c r="S431" s="292">
        <f t="shared" si="221"/>
        <v>1219554047</v>
      </c>
      <c r="T431" s="292">
        <f t="shared" si="182"/>
        <v>1219554047</v>
      </c>
      <c r="U431" s="292">
        <f t="shared" si="183"/>
        <v>0</v>
      </c>
      <c r="V431" s="292">
        <f t="shared" si="222"/>
        <v>0</v>
      </c>
      <c r="W431" s="292">
        <f t="shared" si="223"/>
        <v>0</v>
      </c>
      <c r="X431" s="292">
        <f t="shared" si="224"/>
        <v>0</v>
      </c>
      <c r="Y431" s="292">
        <f t="shared" si="225"/>
        <v>0</v>
      </c>
      <c r="Z431" s="292">
        <f t="shared" si="216"/>
        <v>0</v>
      </c>
      <c r="AA431" s="292">
        <f t="shared" si="217"/>
        <v>0</v>
      </c>
      <c r="AB431" s="292">
        <f t="shared" si="184"/>
        <v>0</v>
      </c>
      <c r="AC431" s="292">
        <f t="shared" si="185"/>
        <v>0</v>
      </c>
      <c r="AD431" s="292">
        <f t="shared" si="186"/>
        <v>0</v>
      </c>
      <c r="AE431" s="292">
        <f t="shared" si="187"/>
        <v>0</v>
      </c>
      <c r="AF431" s="292">
        <f t="shared" si="188"/>
        <v>0</v>
      </c>
      <c r="AG431" s="292">
        <f t="shared" si="189"/>
        <v>0</v>
      </c>
      <c r="AH431" s="292">
        <f t="shared" si="190"/>
        <v>0</v>
      </c>
      <c r="AI431" s="292">
        <f t="shared" si="191"/>
        <v>0</v>
      </c>
      <c r="AJ431" s="292">
        <f t="shared" si="192"/>
        <v>0</v>
      </c>
      <c r="AK431" s="292">
        <f t="shared" si="193"/>
        <v>0</v>
      </c>
      <c r="AL431" s="292">
        <f t="shared" si="218"/>
        <v>0</v>
      </c>
      <c r="AM431" s="292">
        <f t="shared" si="219"/>
        <v>0</v>
      </c>
      <c r="AN431" s="292">
        <f t="shared" si="194"/>
        <v>0</v>
      </c>
      <c r="AO431" s="292">
        <f t="shared" si="195"/>
        <v>0</v>
      </c>
      <c r="AP431" s="292">
        <f t="shared" si="196"/>
        <v>0</v>
      </c>
      <c r="AQ431" s="292">
        <f t="shared" si="197"/>
        <v>0</v>
      </c>
      <c r="AR431" s="292">
        <f t="shared" si="198"/>
        <v>0</v>
      </c>
      <c r="AS431" s="292">
        <f t="shared" si="199"/>
        <v>0</v>
      </c>
      <c r="AT431" s="292">
        <f t="shared" si="200"/>
        <v>0</v>
      </c>
      <c r="AU431" s="292">
        <f t="shared" si="201"/>
        <v>0</v>
      </c>
      <c r="AV431" s="292">
        <f t="shared" si="202"/>
        <v>0</v>
      </c>
      <c r="AW431" s="292">
        <f t="shared" si="203"/>
        <v>0</v>
      </c>
      <c r="AX431" s="292">
        <f t="shared" si="204"/>
        <v>0</v>
      </c>
      <c r="AY431" s="292">
        <f t="shared" si="205"/>
        <v>0</v>
      </c>
      <c r="AZ431" s="292">
        <f t="shared" si="206"/>
        <v>0</v>
      </c>
      <c r="BA431" s="292">
        <f t="shared" si="207"/>
        <v>0</v>
      </c>
      <c r="BB431" s="292">
        <f t="shared" si="208"/>
        <v>0</v>
      </c>
      <c r="BC431" s="292">
        <f t="shared" si="209"/>
        <v>0</v>
      </c>
      <c r="BD431" s="292">
        <f t="shared" si="210"/>
        <v>0</v>
      </c>
      <c r="BE431" s="292">
        <f t="shared" si="211"/>
        <v>0</v>
      </c>
      <c r="BF431" s="292">
        <f t="shared" si="212"/>
        <v>0</v>
      </c>
      <c r="BG431" s="292">
        <f t="shared" si="213"/>
        <v>0</v>
      </c>
    </row>
    <row r="432" spans="1:59" s="289" customFormat="1" ht="15" customHeight="1">
      <c r="A432" s="63">
        <f t="array" ref="A432">IF(C432&lt;&gt;0,SUM(($C$11:C432&lt;&gt;0)*1),"")</f>
        <v>422</v>
      </c>
      <c r="B432" s="1099">
        <v>42551</v>
      </c>
      <c r="C432" s="290" t="s">
        <v>1021</v>
      </c>
      <c r="D432" s="1099">
        <v>42551</v>
      </c>
      <c r="E432" s="344" t="s">
        <v>1022</v>
      </c>
      <c r="F432" s="345">
        <v>4290000</v>
      </c>
      <c r="G432" s="346" t="s">
        <v>135</v>
      </c>
      <c r="H432" s="346" t="s">
        <v>1020</v>
      </c>
      <c r="I432" s="63">
        <f t="shared" si="226"/>
        <v>422</v>
      </c>
      <c r="J432" s="292">
        <f t="shared" si="176"/>
        <v>0</v>
      </c>
      <c r="K432" s="292">
        <f t="shared" si="177"/>
        <v>0</v>
      </c>
      <c r="L432" s="292">
        <f t="shared" si="178"/>
        <v>0</v>
      </c>
      <c r="M432" s="292">
        <f t="shared" si="179"/>
        <v>0</v>
      </c>
      <c r="N432" s="292">
        <f t="shared" si="214"/>
        <v>0</v>
      </c>
      <c r="O432" s="292">
        <f t="shared" si="215"/>
        <v>0</v>
      </c>
      <c r="P432" s="292">
        <f t="shared" si="180"/>
        <v>0</v>
      </c>
      <c r="Q432" s="292">
        <f t="shared" si="181"/>
        <v>0</v>
      </c>
      <c r="R432" s="292">
        <f t="shared" si="220"/>
        <v>0</v>
      </c>
      <c r="S432" s="292">
        <f t="shared" si="221"/>
        <v>0</v>
      </c>
      <c r="T432" s="292">
        <f t="shared" si="182"/>
        <v>0</v>
      </c>
      <c r="U432" s="292">
        <f t="shared" si="183"/>
        <v>0</v>
      </c>
      <c r="V432" s="292">
        <f t="shared" si="222"/>
        <v>0</v>
      </c>
      <c r="W432" s="292">
        <f t="shared" si="223"/>
        <v>0</v>
      </c>
      <c r="X432" s="292">
        <f t="shared" si="224"/>
        <v>0</v>
      </c>
      <c r="Y432" s="292">
        <f t="shared" si="225"/>
        <v>0</v>
      </c>
      <c r="Z432" s="292">
        <f t="shared" si="216"/>
        <v>0</v>
      </c>
      <c r="AA432" s="292">
        <f t="shared" si="217"/>
        <v>0</v>
      </c>
      <c r="AB432" s="292">
        <f t="shared" si="184"/>
        <v>0</v>
      </c>
      <c r="AC432" s="292">
        <f t="shared" si="185"/>
        <v>0</v>
      </c>
      <c r="AD432" s="292">
        <f t="shared" si="186"/>
        <v>0</v>
      </c>
      <c r="AE432" s="292">
        <f t="shared" si="187"/>
        <v>0</v>
      </c>
      <c r="AF432" s="292">
        <f t="shared" si="188"/>
        <v>0</v>
      </c>
      <c r="AG432" s="292">
        <f t="shared" si="189"/>
        <v>0</v>
      </c>
      <c r="AH432" s="292">
        <f t="shared" si="190"/>
        <v>0</v>
      </c>
      <c r="AI432" s="292">
        <f t="shared" si="191"/>
        <v>0</v>
      </c>
      <c r="AJ432" s="292">
        <f t="shared" si="192"/>
        <v>0</v>
      </c>
      <c r="AK432" s="292">
        <f t="shared" si="193"/>
        <v>0</v>
      </c>
      <c r="AL432" s="292">
        <f t="shared" si="218"/>
        <v>0</v>
      </c>
      <c r="AM432" s="292">
        <f t="shared" si="219"/>
        <v>0</v>
      </c>
      <c r="AN432" s="292">
        <f t="shared" si="194"/>
        <v>0</v>
      </c>
      <c r="AO432" s="292">
        <f t="shared" si="195"/>
        <v>0</v>
      </c>
      <c r="AP432" s="292">
        <f t="shared" si="196"/>
        <v>0</v>
      </c>
      <c r="AQ432" s="292">
        <f t="shared" si="197"/>
        <v>0</v>
      </c>
      <c r="AR432" s="292">
        <f t="shared" si="198"/>
        <v>0</v>
      </c>
      <c r="AS432" s="292">
        <f t="shared" si="199"/>
        <v>0</v>
      </c>
      <c r="AT432" s="292">
        <f t="shared" si="200"/>
        <v>0</v>
      </c>
      <c r="AU432" s="292">
        <f t="shared" si="201"/>
        <v>0</v>
      </c>
      <c r="AV432" s="292">
        <f t="shared" si="202"/>
        <v>0</v>
      </c>
      <c r="AW432" s="292">
        <f t="shared" si="203"/>
        <v>0</v>
      </c>
      <c r="AX432" s="292">
        <f t="shared" si="204"/>
        <v>4290000</v>
      </c>
      <c r="AY432" s="292">
        <f t="shared" si="205"/>
        <v>0</v>
      </c>
      <c r="AZ432" s="292">
        <f t="shared" si="206"/>
        <v>0</v>
      </c>
      <c r="BA432" s="292">
        <f t="shared" si="207"/>
        <v>0</v>
      </c>
      <c r="BB432" s="292">
        <f t="shared" si="208"/>
        <v>0</v>
      </c>
      <c r="BC432" s="292">
        <f t="shared" si="209"/>
        <v>0</v>
      </c>
      <c r="BD432" s="292">
        <f t="shared" si="210"/>
        <v>0</v>
      </c>
      <c r="BE432" s="292">
        <f t="shared" si="211"/>
        <v>0</v>
      </c>
      <c r="BF432" s="292">
        <f t="shared" si="212"/>
        <v>0</v>
      </c>
      <c r="BG432" s="292">
        <f t="shared" si="213"/>
        <v>0</v>
      </c>
    </row>
    <row r="433" spans="1:59" s="289" customFormat="1" ht="15" customHeight="1">
      <c r="A433" s="63">
        <f t="array" ref="A433">IF(C433&lt;&gt;0,SUM(($C$11:C433&lt;&gt;0)*1),"")</f>
        <v>423</v>
      </c>
      <c r="B433" s="1099">
        <v>42551</v>
      </c>
      <c r="C433" s="290" t="s">
        <v>1021</v>
      </c>
      <c r="D433" s="1099">
        <v>42551</v>
      </c>
      <c r="E433" s="344" t="s">
        <v>1023</v>
      </c>
      <c r="F433" s="345">
        <v>37233040</v>
      </c>
      <c r="G433" s="346" t="s">
        <v>135</v>
      </c>
      <c r="H433" s="346" t="s">
        <v>1020</v>
      </c>
      <c r="I433" s="63">
        <f t="shared" si="226"/>
        <v>423</v>
      </c>
      <c r="J433" s="292">
        <f t="shared" si="176"/>
        <v>0</v>
      </c>
      <c r="K433" s="292">
        <f t="shared" si="177"/>
        <v>0</v>
      </c>
      <c r="L433" s="292">
        <f t="shared" si="178"/>
        <v>0</v>
      </c>
      <c r="M433" s="292">
        <f t="shared" si="179"/>
        <v>0</v>
      </c>
      <c r="N433" s="292">
        <f t="shared" si="214"/>
        <v>0</v>
      </c>
      <c r="O433" s="292">
        <f t="shared" si="215"/>
        <v>0</v>
      </c>
      <c r="P433" s="292">
        <f t="shared" si="180"/>
        <v>0</v>
      </c>
      <c r="Q433" s="292">
        <f t="shared" si="181"/>
        <v>0</v>
      </c>
      <c r="R433" s="292">
        <f t="shared" si="220"/>
        <v>0</v>
      </c>
      <c r="S433" s="292">
        <f t="shared" si="221"/>
        <v>0</v>
      </c>
      <c r="T433" s="292">
        <f t="shared" si="182"/>
        <v>0</v>
      </c>
      <c r="U433" s="292">
        <f t="shared" si="183"/>
        <v>0</v>
      </c>
      <c r="V433" s="292">
        <f t="shared" si="222"/>
        <v>0</v>
      </c>
      <c r="W433" s="292">
        <f t="shared" si="223"/>
        <v>0</v>
      </c>
      <c r="X433" s="292">
        <f t="shared" si="224"/>
        <v>0</v>
      </c>
      <c r="Y433" s="292">
        <f t="shared" si="225"/>
        <v>0</v>
      </c>
      <c r="Z433" s="292">
        <f t="shared" si="216"/>
        <v>0</v>
      </c>
      <c r="AA433" s="292">
        <f t="shared" si="217"/>
        <v>0</v>
      </c>
      <c r="AB433" s="292">
        <f t="shared" si="184"/>
        <v>0</v>
      </c>
      <c r="AC433" s="292">
        <f t="shared" si="185"/>
        <v>0</v>
      </c>
      <c r="AD433" s="292">
        <f t="shared" si="186"/>
        <v>0</v>
      </c>
      <c r="AE433" s="292">
        <f t="shared" si="187"/>
        <v>0</v>
      </c>
      <c r="AF433" s="292">
        <f t="shared" si="188"/>
        <v>0</v>
      </c>
      <c r="AG433" s="292">
        <f t="shared" si="189"/>
        <v>0</v>
      </c>
      <c r="AH433" s="292">
        <f t="shared" si="190"/>
        <v>0</v>
      </c>
      <c r="AI433" s="292">
        <f t="shared" si="191"/>
        <v>0</v>
      </c>
      <c r="AJ433" s="292">
        <f t="shared" si="192"/>
        <v>0</v>
      </c>
      <c r="AK433" s="292">
        <f t="shared" si="193"/>
        <v>0</v>
      </c>
      <c r="AL433" s="292">
        <f t="shared" si="218"/>
        <v>0</v>
      </c>
      <c r="AM433" s="292">
        <f t="shared" si="219"/>
        <v>0</v>
      </c>
      <c r="AN433" s="292">
        <f t="shared" si="194"/>
        <v>0</v>
      </c>
      <c r="AO433" s="292">
        <f t="shared" si="195"/>
        <v>0</v>
      </c>
      <c r="AP433" s="292">
        <f t="shared" si="196"/>
        <v>0</v>
      </c>
      <c r="AQ433" s="292">
        <f t="shared" si="197"/>
        <v>0</v>
      </c>
      <c r="AR433" s="292">
        <f t="shared" si="198"/>
        <v>0</v>
      </c>
      <c r="AS433" s="292">
        <f t="shared" si="199"/>
        <v>0</v>
      </c>
      <c r="AT433" s="292">
        <f t="shared" si="200"/>
        <v>0</v>
      </c>
      <c r="AU433" s="292">
        <f t="shared" si="201"/>
        <v>0</v>
      </c>
      <c r="AV433" s="292">
        <f t="shared" si="202"/>
        <v>0</v>
      </c>
      <c r="AW433" s="292">
        <f t="shared" si="203"/>
        <v>0</v>
      </c>
      <c r="AX433" s="292">
        <f t="shared" si="204"/>
        <v>37233040</v>
      </c>
      <c r="AY433" s="292">
        <f t="shared" si="205"/>
        <v>0</v>
      </c>
      <c r="AZ433" s="292">
        <f t="shared" si="206"/>
        <v>0</v>
      </c>
      <c r="BA433" s="292">
        <f t="shared" si="207"/>
        <v>0</v>
      </c>
      <c r="BB433" s="292">
        <f t="shared" si="208"/>
        <v>0</v>
      </c>
      <c r="BC433" s="292">
        <f t="shared" si="209"/>
        <v>0</v>
      </c>
      <c r="BD433" s="292">
        <f t="shared" si="210"/>
        <v>0</v>
      </c>
      <c r="BE433" s="292">
        <f t="shared" si="211"/>
        <v>0</v>
      </c>
      <c r="BF433" s="292">
        <f t="shared" si="212"/>
        <v>0</v>
      </c>
      <c r="BG433" s="292">
        <f t="shared" si="213"/>
        <v>0</v>
      </c>
    </row>
    <row r="434" spans="1:59" s="289" customFormat="1" ht="15" customHeight="1">
      <c r="A434" s="63">
        <f t="array" ref="A434">IF(C434&lt;&gt;0,SUM(($C$11:C434&lt;&gt;0)*1),"")</f>
        <v>424</v>
      </c>
      <c r="B434" s="1099">
        <v>42551</v>
      </c>
      <c r="C434" s="290" t="s">
        <v>1021</v>
      </c>
      <c r="D434" s="1099">
        <v>42551</v>
      </c>
      <c r="E434" s="344" t="s">
        <v>1024</v>
      </c>
      <c r="F434" s="345">
        <v>23400000</v>
      </c>
      <c r="G434" s="346" t="s">
        <v>468</v>
      </c>
      <c r="H434" s="346" t="s">
        <v>1020</v>
      </c>
      <c r="I434" s="63">
        <f t="shared" si="226"/>
        <v>424</v>
      </c>
      <c r="J434" s="292">
        <f t="shared" si="176"/>
        <v>0</v>
      </c>
      <c r="K434" s="292">
        <f t="shared" si="177"/>
        <v>0</v>
      </c>
      <c r="L434" s="292">
        <f t="shared" si="178"/>
        <v>0</v>
      </c>
      <c r="M434" s="292">
        <f t="shared" si="179"/>
        <v>0</v>
      </c>
      <c r="N434" s="292">
        <f t="shared" si="214"/>
        <v>0</v>
      </c>
      <c r="O434" s="292">
        <f t="shared" si="215"/>
        <v>0</v>
      </c>
      <c r="P434" s="292">
        <f t="shared" si="180"/>
        <v>0</v>
      </c>
      <c r="Q434" s="292">
        <f t="shared" si="181"/>
        <v>0</v>
      </c>
      <c r="R434" s="292">
        <f t="shared" si="220"/>
        <v>0</v>
      </c>
      <c r="S434" s="292">
        <f t="shared" si="221"/>
        <v>0</v>
      </c>
      <c r="T434" s="292">
        <f t="shared" si="182"/>
        <v>0</v>
      </c>
      <c r="U434" s="292">
        <f t="shared" si="183"/>
        <v>0</v>
      </c>
      <c r="V434" s="292">
        <f t="shared" si="222"/>
        <v>0</v>
      </c>
      <c r="W434" s="292">
        <f t="shared" si="223"/>
        <v>0</v>
      </c>
      <c r="X434" s="292">
        <f t="shared" si="224"/>
        <v>23400000</v>
      </c>
      <c r="Y434" s="292">
        <f t="shared" si="225"/>
        <v>0</v>
      </c>
      <c r="Z434" s="292">
        <f t="shared" si="216"/>
        <v>0</v>
      </c>
      <c r="AA434" s="292">
        <f t="shared" si="217"/>
        <v>0</v>
      </c>
      <c r="AB434" s="292">
        <f t="shared" si="184"/>
        <v>0</v>
      </c>
      <c r="AC434" s="292">
        <f t="shared" si="185"/>
        <v>0</v>
      </c>
      <c r="AD434" s="292">
        <f t="shared" si="186"/>
        <v>0</v>
      </c>
      <c r="AE434" s="292">
        <f t="shared" si="187"/>
        <v>0</v>
      </c>
      <c r="AF434" s="292">
        <f t="shared" si="188"/>
        <v>0</v>
      </c>
      <c r="AG434" s="292">
        <f t="shared" si="189"/>
        <v>0</v>
      </c>
      <c r="AH434" s="292">
        <f t="shared" si="190"/>
        <v>0</v>
      </c>
      <c r="AI434" s="292">
        <f t="shared" si="191"/>
        <v>0</v>
      </c>
      <c r="AJ434" s="292">
        <f t="shared" si="192"/>
        <v>0</v>
      </c>
      <c r="AK434" s="292">
        <f t="shared" si="193"/>
        <v>0</v>
      </c>
      <c r="AL434" s="292">
        <f t="shared" si="218"/>
        <v>0</v>
      </c>
      <c r="AM434" s="292">
        <f t="shared" si="219"/>
        <v>0</v>
      </c>
      <c r="AN434" s="292">
        <f t="shared" si="194"/>
        <v>0</v>
      </c>
      <c r="AO434" s="292">
        <f t="shared" si="195"/>
        <v>0</v>
      </c>
      <c r="AP434" s="292">
        <f t="shared" si="196"/>
        <v>0</v>
      </c>
      <c r="AQ434" s="292">
        <f t="shared" si="197"/>
        <v>0</v>
      </c>
      <c r="AR434" s="292">
        <f t="shared" si="198"/>
        <v>0</v>
      </c>
      <c r="AS434" s="292">
        <f t="shared" si="199"/>
        <v>0</v>
      </c>
      <c r="AT434" s="292">
        <f t="shared" si="200"/>
        <v>0</v>
      </c>
      <c r="AU434" s="292">
        <f t="shared" si="201"/>
        <v>0</v>
      </c>
      <c r="AV434" s="292">
        <f t="shared" si="202"/>
        <v>0</v>
      </c>
      <c r="AW434" s="292">
        <f t="shared" si="203"/>
        <v>0</v>
      </c>
      <c r="AX434" s="292">
        <f t="shared" si="204"/>
        <v>0</v>
      </c>
      <c r="AY434" s="292">
        <f t="shared" si="205"/>
        <v>0</v>
      </c>
      <c r="AZ434" s="292">
        <f t="shared" si="206"/>
        <v>0</v>
      </c>
      <c r="BA434" s="292">
        <f t="shared" si="207"/>
        <v>0</v>
      </c>
      <c r="BB434" s="292">
        <f t="shared" si="208"/>
        <v>0</v>
      </c>
      <c r="BC434" s="292">
        <f t="shared" si="209"/>
        <v>0</v>
      </c>
      <c r="BD434" s="292">
        <f t="shared" si="210"/>
        <v>0</v>
      </c>
      <c r="BE434" s="292">
        <f t="shared" si="211"/>
        <v>0</v>
      </c>
      <c r="BF434" s="292">
        <f t="shared" si="212"/>
        <v>0</v>
      </c>
      <c r="BG434" s="292">
        <f t="shared" si="213"/>
        <v>0</v>
      </c>
    </row>
    <row r="435" spans="1:59" s="289" customFormat="1" ht="15" customHeight="1">
      <c r="A435" s="63">
        <f t="array" ref="A435">IF(C435&lt;&gt;0,SUM(($C$11:C435&lt;&gt;0)*1),"")</f>
        <v>425</v>
      </c>
      <c r="B435" s="1099">
        <v>42551</v>
      </c>
      <c r="C435" s="290" t="s">
        <v>1021</v>
      </c>
      <c r="D435" s="1099">
        <v>42551</v>
      </c>
      <c r="E435" s="344" t="s">
        <v>1025</v>
      </c>
      <c r="F435" s="345">
        <v>180273600</v>
      </c>
      <c r="G435" s="346" t="s">
        <v>468</v>
      </c>
      <c r="H435" s="346" t="s">
        <v>1020</v>
      </c>
      <c r="I435" s="63">
        <f t="shared" si="226"/>
        <v>425</v>
      </c>
      <c r="J435" s="292">
        <f t="shared" si="176"/>
        <v>0</v>
      </c>
      <c r="K435" s="292">
        <f t="shared" si="177"/>
        <v>0</v>
      </c>
      <c r="L435" s="292">
        <f t="shared" si="178"/>
        <v>0</v>
      </c>
      <c r="M435" s="292">
        <f t="shared" si="179"/>
        <v>0</v>
      </c>
      <c r="N435" s="292">
        <f t="shared" si="214"/>
        <v>0</v>
      </c>
      <c r="O435" s="292">
        <f t="shared" si="215"/>
        <v>0</v>
      </c>
      <c r="P435" s="292">
        <f t="shared" si="180"/>
        <v>0</v>
      </c>
      <c r="Q435" s="292">
        <f t="shared" si="181"/>
        <v>0</v>
      </c>
      <c r="R435" s="292">
        <f t="shared" si="220"/>
        <v>0</v>
      </c>
      <c r="S435" s="292">
        <f t="shared" si="221"/>
        <v>0</v>
      </c>
      <c r="T435" s="292">
        <f t="shared" si="182"/>
        <v>0</v>
      </c>
      <c r="U435" s="292">
        <f t="shared" si="183"/>
        <v>0</v>
      </c>
      <c r="V435" s="292">
        <f t="shared" si="222"/>
        <v>0</v>
      </c>
      <c r="W435" s="292">
        <f t="shared" si="223"/>
        <v>0</v>
      </c>
      <c r="X435" s="292">
        <f t="shared" si="224"/>
        <v>180273600</v>
      </c>
      <c r="Y435" s="292">
        <f t="shared" si="225"/>
        <v>0</v>
      </c>
      <c r="Z435" s="292">
        <f t="shared" si="216"/>
        <v>0</v>
      </c>
      <c r="AA435" s="292">
        <f t="shared" si="217"/>
        <v>0</v>
      </c>
      <c r="AB435" s="292">
        <f t="shared" si="184"/>
        <v>0</v>
      </c>
      <c r="AC435" s="292">
        <f t="shared" si="185"/>
        <v>0</v>
      </c>
      <c r="AD435" s="292">
        <f t="shared" si="186"/>
        <v>0</v>
      </c>
      <c r="AE435" s="292">
        <f t="shared" si="187"/>
        <v>0</v>
      </c>
      <c r="AF435" s="292">
        <f t="shared" si="188"/>
        <v>0</v>
      </c>
      <c r="AG435" s="292">
        <f t="shared" si="189"/>
        <v>0</v>
      </c>
      <c r="AH435" s="292">
        <f t="shared" si="190"/>
        <v>0</v>
      </c>
      <c r="AI435" s="292">
        <f t="shared" si="191"/>
        <v>0</v>
      </c>
      <c r="AJ435" s="292">
        <f t="shared" si="192"/>
        <v>0</v>
      </c>
      <c r="AK435" s="292">
        <f t="shared" si="193"/>
        <v>0</v>
      </c>
      <c r="AL435" s="292">
        <f t="shared" si="218"/>
        <v>0</v>
      </c>
      <c r="AM435" s="292">
        <f t="shared" si="219"/>
        <v>0</v>
      </c>
      <c r="AN435" s="292">
        <f t="shared" si="194"/>
        <v>0</v>
      </c>
      <c r="AO435" s="292">
        <f t="shared" si="195"/>
        <v>0</v>
      </c>
      <c r="AP435" s="292">
        <f t="shared" si="196"/>
        <v>0</v>
      </c>
      <c r="AQ435" s="292">
        <f t="shared" si="197"/>
        <v>0</v>
      </c>
      <c r="AR435" s="292">
        <f t="shared" si="198"/>
        <v>0</v>
      </c>
      <c r="AS435" s="292">
        <f t="shared" si="199"/>
        <v>0</v>
      </c>
      <c r="AT435" s="292">
        <f t="shared" si="200"/>
        <v>0</v>
      </c>
      <c r="AU435" s="292">
        <f t="shared" si="201"/>
        <v>0</v>
      </c>
      <c r="AV435" s="292">
        <f t="shared" si="202"/>
        <v>0</v>
      </c>
      <c r="AW435" s="292">
        <f t="shared" si="203"/>
        <v>0</v>
      </c>
      <c r="AX435" s="292">
        <f t="shared" si="204"/>
        <v>0</v>
      </c>
      <c r="AY435" s="292">
        <f t="shared" si="205"/>
        <v>0</v>
      </c>
      <c r="AZ435" s="292">
        <f t="shared" si="206"/>
        <v>0</v>
      </c>
      <c r="BA435" s="292">
        <f t="shared" si="207"/>
        <v>0</v>
      </c>
      <c r="BB435" s="292">
        <f t="shared" si="208"/>
        <v>0</v>
      </c>
      <c r="BC435" s="292">
        <f t="shared" si="209"/>
        <v>0</v>
      </c>
      <c r="BD435" s="292">
        <f t="shared" si="210"/>
        <v>0</v>
      </c>
      <c r="BE435" s="292">
        <f t="shared" si="211"/>
        <v>0</v>
      </c>
      <c r="BF435" s="292">
        <f t="shared" si="212"/>
        <v>0</v>
      </c>
      <c r="BG435" s="292">
        <f t="shared" si="213"/>
        <v>0</v>
      </c>
    </row>
    <row r="436" spans="1:59" s="289" customFormat="1" ht="15" customHeight="1">
      <c r="A436" s="63">
        <f t="array" ref="A436">IF(C436&lt;&gt;0,SUM(($C$11:C436&lt;&gt;0)*1),"")</f>
        <v>426</v>
      </c>
      <c r="B436" s="1099">
        <v>42551</v>
      </c>
      <c r="C436" s="290" t="s">
        <v>1021</v>
      </c>
      <c r="D436" s="1099">
        <v>42551</v>
      </c>
      <c r="E436" s="344" t="s">
        <v>1026</v>
      </c>
      <c r="F436" s="345">
        <v>16731280</v>
      </c>
      <c r="G436" s="346" t="s">
        <v>1020</v>
      </c>
      <c r="H436" s="346" t="s">
        <v>1027</v>
      </c>
      <c r="I436" s="63">
        <f t="shared" si="226"/>
        <v>426</v>
      </c>
      <c r="J436" s="292">
        <f t="shared" si="176"/>
        <v>0</v>
      </c>
      <c r="K436" s="292">
        <f t="shared" si="177"/>
        <v>0</v>
      </c>
      <c r="L436" s="292">
        <f t="shared" si="178"/>
        <v>0</v>
      </c>
      <c r="M436" s="292">
        <f t="shared" si="179"/>
        <v>0</v>
      </c>
      <c r="N436" s="292">
        <f t="shared" si="214"/>
        <v>0</v>
      </c>
      <c r="O436" s="292">
        <f t="shared" si="215"/>
        <v>0</v>
      </c>
      <c r="P436" s="292">
        <f t="shared" si="180"/>
        <v>0</v>
      </c>
      <c r="Q436" s="292">
        <f t="shared" si="181"/>
        <v>0</v>
      </c>
      <c r="R436" s="292">
        <f t="shared" si="220"/>
        <v>0</v>
      </c>
      <c r="S436" s="292">
        <f t="shared" si="221"/>
        <v>0</v>
      </c>
      <c r="T436" s="292">
        <f t="shared" si="182"/>
        <v>0</v>
      </c>
      <c r="U436" s="292">
        <f t="shared" si="183"/>
        <v>0</v>
      </c>
      <c r="V436" s="292">
        <f t="shared" si="222"/>
        <v>0</v>
      </c>
      <c r="W436" s="292">
        <f t="shared" si="223"/>
        <v>0</v>
      </c>
      <c r="X436" s="292">
        <f t="shared" si="224"/>
        <v>0</v>
      </c>
      <c r="Y436" s="292">
        <f t="shared" si="225"/>
        <v>0</v>
      </c>
      <c r="Z436" s="292">
        <f t="shared" si="216"/>
        <v>0</v>
      </c>
      <c r="AA436" s="292">
        <f t="shared" si="217"/>
        <v>0</v>
      </c>
      <c r="AB436" s="292">
        <f t="shared" si="184"/>
        <v>0</v>
      </c>
      <c r="AC436" s="292">
        <f t="shared" si="185"/>
        <v>0</v>
      </c>
      <c r="AD436" s="292">
        <f t="shared" si="186"/>
        <v>0</v>
      </c>
      <c r="AE436" s="292">
        <f t="shared" si="187"/>
        <v>0</v>
      </c>
      <c r="AF436" s="292">
        <f t="shared" si="188"/>
        <v>0</v>
      </c>
      <c r="AG436" s="292">
        <f t="shared" si="189"/>
        <v>0</v>
      </c>
      <c r="AH436" s="292">
        <f t="shared" si="190"/>
        <v>0</v>
      </c>
      <c r="AI436" s="292">
        <f t="shared" si="191"/>
        <v>0</v>
      </c>
      <c r="AJ436" s="292">
        <f t="shared" si="192"/>
        <v>0</v>
      </c>
      <c r="AK436" s="292">
        <f t="shared" si="193"/>
        <v>0</v>
      </c>
      <c r="AL436" s="292">
        <f t="shared" si="218"/>
        <v>0</v>
      </c>
      <c r="AM436" s="292">
        <f t="shared" si="219"/>
        <v>0</v>
      </c>
      <c r="AN436" s="292">
        <f t="shared" si="194"/>
        <v>0</v>
      </c>
      <c r="AO436" s="292">
        <f t="shared" si="195"/>
        <v>0</v>
      </c>
      <c r="AP436" s="292">
        <f t="shared" si="196"/>
        <v>0</v>
      </c>
      <c r="AQ436" s="292">
        <f t="shared" si="197"/>
        <v>0</v>
      </c>
      <c r="AR436" s="292">
        <f t="shared" si="198"/>
        <v>0</v>
      </c>
      <c r="AS436" s="292">
        <f t="shared" si="199"/>
        <v>0</v>
      </c>
      <c r="AT436" s="292">
        <f t="shared" si="200"/>
        <v>0</v>
      </c>
      <c r="AU436" s="292">
        <f t="shared" si="201"/>
        <v>0</v>
      </c>
      <c r="AV436" s="292">
        <f t="shared" si="202"/>
        <v>0</v>
      </c>
      <c r="AW436" s="292">
        <f t="shared" si="203"/>
        <v>0</v>
      </c>
      <c r="AX436" s="292">
        <f t="shared" si="204"/>
        <v>0</v>
      </c>
      <c r="AY436" s="292">
        <f t="shared" si="205"/>
        <v>0</v>
      </c>
      <c r="AZ436" s="292">
        <f t="shared" si="206"/>
        <v>0</v>
      </c>
      <c r="BA436" s="292">
        <f t="shared" si="207"/>
        <v>0</v>
      </c>
      <c r="BB436" s="292">
        <f t="shared" si="208"/>
        <v>0</v>
      </c>
      <c r="BC436" s="292">
        <f t="shared" si="209"/>
        <v>0</v>
      </c>
      <c r="BD436" s="292">
        <f t="shared" si="210"/>
        <v>0</v>
      </c>
      <c r="BE436" s="292">
        <f t="shared" si="211"/>
        <v>0</v>
      </c>
      <c r="BF436" s="292">
        <f t="shared" si="212"/>
        <v>0</v>
      </c>
      <c r="BG436" s="292">
        <f t="shared" si="213"/>
        <v>0</v>
      </c>
    </row>
    <row r="437" spans="1:59" s="289" customFormat="1" ht="15" customHeight="1">
      <c r="A437" s="63">
        <f t="array" ref="A437">IF(C437&lt;&gt;0,SUM(($C$11:C437&lt;&gt;0)*1),"")</f>
        <v>427</v>
      </c>
      <c r="B437" s="1099">
        <v>42551</v>
      </c>
      <c r="C437" s="290" t="s">
        <v>1021</v>
      </c>
      <c r="D437" s="1099">
        <v>42551</v>
      </c>
      <c r="E437" s="344" t="s">
        <v>1028</v>
      </c>
      <c r="F437" s="345">
        <v>3137115</v>
      </c>
      <c r="G437" s="346" t="s">
        <v>1020</v>
      </c>
      <c r="H437" s="346" t="s">
        <v>1029</v>
      </c>
      <c r="I437" s="63">
        <f t="shared" si="226"/>
        <v>427</v>
      </c>
      <c r="J437" s="292">
        <f t="shared" si="176"/>
        <v>0</v>
      </c>
      <c r="K437" s="292">
        <f t="shared" si="177"/>
        <v>0</v>
      </c>
      <c r="L437" s="292">
        <f t="shared" si="178"/>
        <v>0</v>
      </c>
      <c r="M437" s="292">
        <f t="shared" si="179"/>
        <v>0</v>
      </c>
      <c r="N437" s="292">
        <f t="shared" si="214"/>
        <v>0</v>
      </c>
      <c r="O437" s="292">
        <f t="shared" si="215"/>
        <v>0</v>
      </c>
      <c r="P437" s="292">
        <f t="shared" si="180"/>
        <v>0</v>
      </c>
      <c r="Q437" s="292">
        <f t="shared" si="181"/>
        <v>0</v>
      </c>
      <c r="R437" s="292">
        <f t="shared" si="220"/>
        <v>0</v>
      </c>
      <c r="S437" s="292">
        <f t="shared" si="221"/>
        <v>0</v>
      </c>
      <c r="T437" s="292">
        <f t="shared" si="182"/>
        <v>0</v>
      </c>
      <c r="U437" s="292">
        <f t="shared" si="183"/>
        <v>0</v>
      </c>
      <c r="V437" s="292">
        <f t="shared" si="222"/>
        <v>0</v>
      </c>
      <c r="W437" s="292">
        <f t="shared" si="223"/>
        <v>0</v>
      </c>
      <c r="X437" s="292">
        <f t="shared" si="224"/>
        <v>0</v>
      </c>
      <c r="Y437" s="292">
        <f t="shared" si="225"/>
        <v>0</v>
      </c>
      <c r="Z437" s="292">
        <f t="shared" si="216"/>
        <v>0</v>
      </c>
      <c r="AA437" s="292">
        <f t="shared" si="217"/>
        <v>0</v>
      </c>
      <c r="AB437" s="292">
        <f t="shared" si="184"/>
        <v>0</v>
      </c>
      <c r="AC437" s="292">
        <f t="shared" si="185"/>
        <v>0</v>
      </c>
      <c r="AD437" s="292">
        <f t="shared" si="186"/>
        <v>0</v>
      </c>
      <c r="AE437" s="292">
        <f t="shared" si="187"/>
        <v>0</v>
      </c>
      <c r="AF437" s="292">
        <f t="shared" si="188"/>
        <v>0</v>
      </c>
      <c r="AG437" s="292">
        <f t="shared" si="189"/>
        <v>0</v>
      </c>
      <c r="AH437" s="292">
        <f t="shared" si="190"/>
        <v>0</v>
      </c>
      <c r="AI437" s="292">
        <f t="shared" si="191"/>
        <v>0</v>
      </c>
      <c r="AJ437" s="292">
        <f t="shared" si="192"/>
        <v>0</v>
      </c>
      <c r="AK437" s="292">
        <f t="shared" si="193"/>
        <v>0</v>
      </c>
      <c r="AL437" s="292">
        <f t="shared" si="218"/>
        <v>0</v>
      </c>
      <c r="AM437" s="292">
        <f t="shared" si="219"/>
        <v>0</v>
      </c>
      <c r="AN437" s="292">
        <f t="shared" si="194"/>
        <v>0</v>
      </c>
      <c r="AO437" s="292">
        <f t="shared" si="195"/>
        <v>0</v>
      </c>
      <c r="AP437" s="292">
        <f t="shared" si="196"/>
        <v>0</v>
      </c>
      <c r="AQ437" s="292">
        <f t="shared" si="197"/>
        <v>0</v>
      </c>
      <c r="AR437" s="292">
        <f t="shared" si="198"/>
        <v>0</v>
      </c>
      <c r="AS437" s="292">
        <f t="shared" si="199"/>
        <v>0</v>
      </c>
      <c r="AT437" s="292">
        <f t="shared" si="200"/>
        <v>0</v>
      </c>
      <c r="AU437" s="292">
        <f t="shared" si="201"/>
        <v>0</v>
      </c>
      <c r="AV437" s="292">
        <f t="shared" si="202"/>
        <v>0</v>
      </c>
      <c r="AW437" s="292">
        <f t="shared" si="203"/>
        <v>0</v>
      </c>
      <c r="AX437" s="292">
        <f t="shared" si="204"/>
        <v>0</v>
      </c>
      <c r="AY437" s="292">
        <f t="shared" si="205"/>
        <v>0</v>
      </c>
      <c r="AZ437" s="292">
        <f t="shared" si="206"/>
        <v>0</v>
      </c>
      <c r="BA437" s="292">
        <f t="shared" si="207"/>
        <v>0</v>
      </c>
      <c r="BB437" s="292">
        <f t="shared" si="208"/>
        <v>0</v>
      </c>
      <c r="BC437" s="292">
        <f t="shared" si="209"/>
        <v>0</v>
      </c>
      <c r="BD437" s="292">
        <f t="shared" si="210"/>
        <v>0</v>
      </c>
      <c r="BE437" s="292">
        <f t="shared" si="211"/>
        <v>0</v>
      </c>
      <c r="BF437" s="292">
        <f t="shared" si="212"/>
        <v>0</v>
      </c>
      <c r="BG437" s="292">
        <f t="shared" si="213"/>
        <v>0</v>
      </c>
    </row>
    <row r="438" spans="1:59" s="289" customFormat="1" ht="15" customHeight="1">
      <c r="A438" s="63">
        <f t="array" ref="A438">IF(C438&lt;&gt;0,SUM(($C$11:C438&lt;&gt;0)*1),"")</f>
        <v>428</v>
      </c>
      <c r="B438" s="1099">
        <v>42551</v>
      </c>
      <c r="C438" s="290" t="s">
        <v>1021</v>
      </c>
      <c r="D438" s="1099">
        <v>42551</v>
      </c>
      <c r="E438" s="344" t="s">
        <v>1030</v>
      </c>
      <c r="F438" s="345">
        <v>2091410</v>
      </c>
      <c r="G438" s="346" t="s">
        <v>1020</v>
      </c>
      <c r="H438" s="346" t="s">
        <v>1031</v>
      </c>
      <c r="I438" s="63">
        <f t="shared" si="226"/>
        <v>428</v>
      </c>
      <c r="J438" s="292">
        <f t="shared" si="176"/>
        <v>0</v>
      </c>
      <c r="K438" s="292">
        <f t="shared" si="177"/>
        <v>0</v>
      </c>
      <c r="L438" s="292">
        <f t="shared" si="178"/>
        <v>0</v>
      </c>
      <c r="M438" s="292">
        <f t="shared" si="179"/>
        <v>0</v>
      </c>
      <c r="N438" s="292">
        <f t="shared" si="214"/>
        <v>0</v>
      </c>
      <c r="O438" s="292">
        <f t="shared" si="215"/>
        <v>0</v>
      </c>
      <c r="P438" s="292">
        <f t="shared" si="180"/>
        <v>0</v>
      </c>
      <c r="Q438" s="292">
        <f t="shared" si="181"/>
        <v>0</v>
      </c>
      <c r="R438" s="292">
        <f t="shared" si="220"/>
        <v>0</v>
      </c>
      <c r="S438" s="292">
        <f t="shared" si="221"/>
        <v>0</v>
      </c>
      <c r="T438" s="292">
        <f t="shared" si="182"/>
        <v>0</v>
      </c>
      <c r="U438" s="292">
        <f t="shared" si="183"/>
        <v>0</v>
      </c>
      <c r="V438" s="292">
        <f t="shared" si="222"/>
        <v>0</v>
      </c>
      <c r="W438" s="292">
        <f t="shared" si="223"/>
        <v>0</v>
      </c>
      <c r="X438" s="292">
        <f t="shared" si="224"/>
        <v>0</v>
      </c>
      <c r="Y438" s="292">
        <f t="shared" si="225"/>
        <v>0</v>
      </c>
      <c r="Z438" s="292">
        <f t="shared" si="216"/>
        <v>0</v>
      </c>
      <c r="AA438" s="292">
        <f t="shared" si="217"/>
        <v>0</v>
      </c>
      <c r="AB438" s="292">
        <f t="shared" si="184"/>
        <v>0</v>
      </c>
      <c r="AC438" s="292">
        <f t="shared" si="185"/>
        <v>0</v>
      </c>
      <c r="AD438" s="292">
        <f t="shared" si="186"/>
        <v>0</v>
      </c>
      <c r="AE438" s="292">
        <f t="shared" si="187"/>
        <v>0</v>
      </c>
      <c r="AF438" s="292">
        <f t="shared" si="188"/>
        <v>0</v>
      </c>
      <c r="AG438" s="292">
        <f t="shared" si="189"/>
        <v>0</v>
      </c>
      <c r="AH438" s="292">
        <f t="shared" si="190"/>
        <v>0</v>
      </c>
      <c r="AI438" s="292">
        <f t="shared" si="191"/>
        <v>0</v>
      </c>
      <c r="AJ438" s="292">
        <f t="shared" si="192"/>
        <v>0</v>
      </c>
      <c r="AK438" s="292">
        <f t="shared" si="193"/>
        <v>0</v>
      </c>
      <c r="AL438" s="292">
        <f t="shared" si="218"/>
        <v>0</v>
      </c>
      <c r="AM438" s="292">
        <f t="shared" si="219"/>
        <v>0</v>
      </c>
      <c r="AN438" s="292">
        <f t="shared" si="194"/>
        <v>0</v>
      </c>
      <c r="AO438" s="292">
        <f t="shared" si="195"/>
        <v>0</v>
      </c>
      <c r="AP438" s="292">
        <f t="shared" si="196"/>
        <v>0</v>
      </c>
      <c r="AQ438" s="292">
        <f t="shared" si="197"/>
        <v>0</v>
      </c>
      <c r="AR438" s="292">
        <f t="shared" si="198"/>
        <v>0</v>
      </c>
      <c r="AS438" s="292">
        <f t="shared" si="199"/>
        <v>0</v>
      </c>
      <c r="AT438" s="292">
        <f t="shared" si="200"/>
        <v>0</v>
      </c>
      <c r="AU438" s="292">
        <f t="shared" si="201"/>
        <v>0</v>
      </c>
      <c r="AV438" s="292">
        <f t="shared" si="202"/>
        <v>0</v>
      </c>
      <c r="AW438" s="292">
        <f t="shared" si="203"/>
        <v>0</v>
      </c>
      <c r="AX438" s="292">
        <f t="shared" si="204"/>
        <v>0</v>
      </c>
      <c r="AY438" s="292">
        <f t="shared" si="205"/>
        <v>0</v>
      </c>
      <c r="AZ438" s="292">
        <f t="shared" si="206"/>
        <v>0</v>
      </c>
      <c r="BA438" s="292">
        <f t="shared" si="207"/>
        <v>0</v>
      </c>
      <c r="BB438" s="292">
        <f t="shared" si="208"/>
        <v>0</v>
      </c>
      <c r="BC438" s="292">
        <f t="shared" si="209"/>
        <v>0</v>
      </c>
      <c r="BD438" s="292">
        <f t="shared" si="210"/>
        <v>0</v>
      </c>
      <c r="BE438" s="292">
        <f t="shared" si="211"/>
        <v>0</v>
      </c>
      <c r="BF438" s="292">
        <f t="shared" si="212"/>
        <v>0</v>
      </c>
      <c r="BG438" s="292">
        <f t="shared" si="213"/>
        <v>0</v>
      </c>
    </row>
    <row r="439" spans="1:59" s="289" customFormat="1" ht="15" customHeight="1">
      <c r="A439" s="63">
        <f t="array" ref="A439">IF(C439&lt;&gt;0,SUM(($C$11:C439&lt;&gt;0)*1),"")</f>
        <v>429</v>
      </c>
      <c r="B439" s="1099">
        <v>42551</v>
      </c>
      <c r="C439" s="290" t="s">
        <v>1021</v>
      </c>
      <c r="D439" s="1099">
        <v>42551</v>
      </c>
      <c r="E439" s="344" t="s">
        <v>1032</v>
      </c>
      <c r="F439" s="345">
        <v>31201200</v>
      </c>
      <c r="G439" s="346" t="s">
        <v>468</v>
      </c>
      <c r="H439" s="346" t="s">
        <v>1027</v>
      </c>
      <c r="I439" s="63">
        <f t="shared" si="226"/>
        <v>429</v>
      </c>
      <c r="J439" s="292">
        <f t="shared" si="176"/>
        <v>0</v>
      </c>
      <c r="K439" s="292">
        <f t="shared" si="177"/>
        <v>0</v>
      </c>
      <c r="L439" s="292">
        <f t="shared" si="178"/>
        <v>0</v>
      </c>
      <c r="M439" s="292">
        <f t="shared" si="179"/>
        <v>0</v>
      </c>
      <c r="N439" s="292">
        <f t="shared" si="214"/>
        <v>0</v>
      </c>
      <c r="O439" s="292">
        <f t="shared" si="215"/>
        <v>0</v>
      </c>
      <c r="P439" s="292">
        <f t="shared" si="180"/>
        <v>0</v>
      </c>
      <c r="Q439" s="292">
        <f t="shared" si="181"/>
        <v>0</v>
      </c>
      <c r="R439" s="292">
        <f t="shared" si="220"/>
        <v>0</v>
      </c>
      <c r="S439" s="292">
        <f t="shared" si="221"/>
        <v>0</v>
      </c>
      <c r="T439" s="292">
        <f t="shared" si="182"/>
        <v>0</v>
      </c>
      <c r="U439" s="292">
        <f t="shared" si="183"/>
        <v>0</v>
      </c>
      <c r="V439" s="292">
        <f t="shared" si="222"/>
        <v>0</v>
      </c>
      <c r="W439" s="292">
        <f t="shared" si="223"/>
        <v>0</v>
      </c>
      <c r="X439" s="292">
        <f t="shared" si="224"/>
        <v>31201200</v>
      </c>
      <c r="Y439" s="292">
        <f t="shared" si="225"/>
        <v>0</v>
      </c>
      <c r="Z439" s="292">
        <f t="shared" si="216"/>
        <v>0</v>
      </c>
      <c r="AA439" s="292">
        <f t="shared" si="217"/>
        <v>0</v>
      </c>
      <c r="AB439" s="292">
        <f t="shared" si="184"/>
        <v>0</v>
      </c>
      <c r="AC439" s="292">
        <f t="shared" si="185"/>
        <v>0</v>
      </c>
      <c r="AD439" s="292">
        <f t="shared" si="186"/>
        <v>0</v>
      </c>
      <c r="AE439" s="292">
        <f t="shared" si="187"/>
        <v>0</v>
      </c>
      <c r="AF439" s="292">
        <f t="shared" si="188"/>
        <v>0</v>
      </c>
      <c r="AG439" s="292">
        <f t="shared" si="189"/>
        <v>0</v>
      </c>
      <c r="AH439" s="292">
        <f t="shared" si="190"/>
        <v>0</v>
      </c>
      <c r="AI439" s="292">
        <f t="shared" si="191"/>
        <v>0</v>
      </c>
      <c r="AJ439" s="292">
        <f t="shared" si="192"/>
        <v>0</v>
      </c>
      <c r="AK439" s="292">
        <f t="shared" si="193"/>
        <v>0</v>
      </c>
      <c r="AL439" s="292">
        <f t="shared" si="218"/>
        <v>0</v>
      </c>
      <c r="AM439" s="292">
        <f t="shared" si="219"/>
        <v>0</v>
      </c>
      <c r="AN439" s="292">
        <f t="shared" si="194"/>
        <v>0</v>
      </c>
      <c r="AO439" s="292">
        <f t="shared" si="195"/>
        <v>0</v>
      </c>
      <c r="AP439" s="292">
        <f t="shared" si="196"/>
        <v>0</v>
      </c>
      <c r="AQ439" s="292">
        <f t="shared" si="197"/>
        <v>0</v>
      </c>
      <c r="AR439" s="292">
        <f t="shared" si="198"/>
        <v>0</v>
      </c>
      <c r="AS439" s="292">
        <f t="shared" si="199"/>
        <v>0</v>
      </c>
      <c r="AT439" s="292">
        <f t="shared" si="200"/>
        <v>0</v>
      </c>
      <c r="AU439" s="292">
        <f t="shared" si="201"/>
        <v>0</v>
      </c>
      <c r="AV439" s="292">
        <f t="shared" si="202"/>
        <v>0</v>
      </c>
      <c r="AW439" s="292">
        <f t="shared" si="203"/>
        <v>0</v>
      </c>
      <c r="AX439" s="292">
        <f t="shared" si="204"/>
        <v>0</v>
      </c>
      <c r="AY439" s="292">
        <f t="shared" si="205"/>
        <v>0</v>
      </c>
      <c r="AZ439" s="292">
        <f t="shared" si="206"/>
        <v>0</v>
      </c>
      <c r="BA439" s="292">
        <f t="shared" si="207"/>
        <v>0</v>
      </c>
      <c r="BB439" s="292">
        <f t="shared" si="208"/>
        <v>0</v>
      </c>
      <c r="BC439" s="292">
        <f t="shared" si="209"/>
        <v>0</v>
      </c>
      <c r="BD439" s="292">
        <f t="shared" si="210"/>
        <v>0</v>
      </c>
      <c r="BE439" s="292">
        <f t="shared" si="211"/>
        <v>0</v>
      </c>
      <c r="BF439" s="292">
        <f t="shared" si="212"/>
        <v>0</v>
      </c>
      <c r="BG439" s="292">
        <f t="shared" si="213"/>
        <v>0</v>
      </c>
    </row>
    <row r="440" spans="1:59" s="289" customFormat="1" ht="15" customHeight="1">
      <c r="A440" s="63">
        <f t="array" ref="A440">IF(C440&lt;&gt;0,SUM(($C$11:C440&lt;&gt;0)*1),"")</f>
        <v>430</v>
      </c>
      <c r="B440" s="1099">
        <v>42551</v>
      </c>
      <c r="C440" s="290" t="s">
        <v>1021</v>
      </c>
      <c r="D440" s="1099">
        <v>42551</v>
      </c>
      <c r="E440" s="344" t="s">
        <v>1033</v>
      </c>
      <c r="F440" s="345">
        <v>5200200</v>
      </c>
      <c r="G440" s="346" t="s">
        <v>468</v>
      </c>
      <c r="H440" s="346" t="s">
        <v>1029</v>
      </c>
      <c r="I440" s="63">
        <f t="shared" si="226"/>
        <v>430</v>
      </c>
      <c r="J440" s="292">
        <f t="shared" si="176"/>
        <v>0</v>
      </c>
      <c r="K440" s="292">
        <f t="shared" si="177"/>
        <v>0</v>
      </c>
      <c r="L440" s="292">
        <f t="shared" si="178"/>
        <v>0</v>
      </c>
      <c r="M440" s="292">
        <f t="shared" si="179"/>
        <v>0</v>
      </c>
      <c r="N440" s="292">
        <f t="shared" si="214"/>
        <v>0</v>
      </c>
      <c r="O440" s="292">
        <f t="shared" si="215"/>
        <v>0</v>
      </c>
      <c r="P440" s="292">
        <f t="shared" si="180"/>
        <v>0</v>
      </c>
      <c r="Q440" s="292">
        <f t="shared" si="181"/>
        <v>0</v>
      </c>
      <c r="R440" s="292">
        <f t="shared" si="220"/>
        <v>0</v>
      </c>
      <c r="S440" s="292">
        <f t="shared" si="221"/>
        <v>0</v>
      </c>
      <c r="T440" s="292">
        <f t="shared" si="182"/>
        <v>0</v>
      </c>
      <c r="U440" s="292">
        <f t="shared" si="183"/>
        <v>0</v>
      </c>
      <c r="V440" s="292">
        <f t="shared" si="222"/>
        <v>0</v>
      </c>
      <c r="W440" s="292">
        <f t="shared" si="223"/>
        <v>0</v>
      </c>
      <c r="X440" s="292">
        <f t="shared" si="224"/>
        <v>5200200</v>
      </c>
      <c r="Y440" s="292">
        <f t="shared" si="225"/>
        <v>0</v>
      </c>
      <c r="Z440" s="292">
        <f t="shared" si="216"/>
        <v>0</v>
      </c>
      <c r="AA440" s="292">
        <f t="shared" si="217"/>
        <v>0</v>
      </c>
      <c r="AB440" s="292">
        <f t="shared" si="184"/>
        <v>0</v>
      </c>
      <c r="AC440" s="292">
        <f t="shared" si="185"/>
        <v>0</v>
      </c>
      <c r="AD440" s="292">
        <f t="shared" si="186"/>
        <v>0</v>
      </c>
      <c r="AE440" s="292">
        <f t="shared" si="187"/>
        <v>0</v>
      </c>
      <c r="AF440" s="292">
        <f t="shared" si="188"/>
        <v>0</v>
      </c>
      <c r="AG440" s="292">
        <f t="shared" si="189"/>
        <v>0</v>
      </c>
      <c r="AH440" s="292">
        <f t="shared" si="190"/>
        <v>0</v>
      </c>
      <c r="AI440" s="292">
        <f t="shared" si="191"/>
        <v>0</v>
      </c>
      <c r="AJ440" s="292">
        <f t="shared" si="192"/>
        <v>0</v>
      </c>
      <c r="AK440" s="292">
        <f t="shared" si="193"/>
        <v>0</v>
      </c>
      <c r="AL440" s="292">
        <f t="shared" si="218"/>
        <v>0</v>
      </c>
      <c r="AM440" s="292">
        <f t="shared" si="219"/>
        <v>0</v>
      </c>
      <c r="AN440" s="292">
        <f t="shared" si="194"/>
        <v>0</v>
      </c>
      <c r="AO440" s="292">
        <f t="shared" si="195"/>
        <v>0</v>
      </c>
      <c r="AP440" s="292">
        <f t="shared" si="196"/>
        <v>0</v>
      </c>
      <c r="AQ440" s="292">
        <f t="shared" si="197"/>
        <v>0</v>
      </c>
      <c r="AR440" s="292">
        <f t="shared" si="198"/>
        <v>0</v>
      </c>
      <c r="AS440" s="292">
        <f t="shared" si="199"/>
        <v>0</v>
      </c>
      <c r="AT440" s="292">
        <f t="shared" si="200"/>
        <v>0</v>
      </c>
      <c r="AU440" s="292">
        <f t="shared" si="201"/>
        <v>0</v>
      </c>
      <c r="AV440" s="292">
        <f t="shared" si="202"/>
        <v>0</v>
      </c>
      <c r="AW440" s="292">
        <f t="shared" si="203"/>
        <v>0</v>
      </c>
      <c r="AX440" s="292">
        <f t="shared" si="204"/>
        <v>0</v>
      </c>
      <c r="AY440" s="292">
        <f t="shared" si="205"/>
        <v>0</v>
      </c>
      <c r="AZ440" s="292">
        <f t="shared" si="206"/>
        <v>0</v>
      </c>
      <c r="BA440" s="292">
        <f t="shared" si="207"/>
        <v>0</v>
      </c>
      <c r="BB440" s="292">
        <f t="shared" si="208"/>
        <v>0</v>
      </c>
      <c r="BC440" s="292">
        <f t="shared" si="209"/>
        <v>0</v>
      </c>
      <c r="BD440" s="292">
        <f t="shared" si="210"/>
        <v>0</v>
      </c>
      <c r="BE440" s="292">
        <f t="shared" si="211"/>
        <v>0</v>
      </c>
      <c r="BF440" s="292">
        <f t="shared" si="212"/>
        <v>0</v>
      </c>
      <c r="BG440" s="292">
        <f t="shared" si="213"/>
        <v>0</v>
      </c>
    </row>
    <row r="441" spans="1:59" s="289" customFormat="1" ht="15" customHeight="1">
      <c r="A441" s="63">
        <f t="array" ref="A441">IF(C441&lt;&gt;0,SUM(($C$11:C441&lt;&gt;0)*1),"")</f>
        <v>431</v>
      </c>
      <c r="B441" s="1099">
        <v>42551</v>
      </c>
      <c r="C441" s="290" t="s">
        <v>1021</v>
      </c>
      <c r="D441" s="1099">
        <v>42551</v>
      </c>
      <c r="E441" s="344" t="s">
        <v>1030</v>
      </c>
      <c r="F441" s="345">
        <v>1733400</v>
      </c>
      <c r="G441" s="346" t="s">
        <v>468</v>
      </c>
      <c r="H441" s="346" t="s">
        <v>1031</v>
      </c>
      <c r="I441" s="63">
        <f t="shared" si="226"/>
        <v>431</v>
      </c>
      <c r="J441" s="292">
        <f t="shared" si="176"/>
        <v>0</v>
      </c>
      <c r="K441" s="292">
        <f t="shared" si="177"/>
        <v>0</v>
      </c>
      <c r="L441" s="292">
        <f t="shared" si="178"/>
        <v>0</v>
      </c>
      <c r="M441" s="292">
        <f t="shared" si="179"/>
        <v>0</v>
      </c>
      <c r="N441" s="292">
        <f t="shared" si="214"/>
        <v>0</v>
      </c>
      <c r="O441" s="292">
        <f t="shared" si="215"/>
        <v>0</v>
      </c>
      <c r="P441" s="292">
        <f t="shared" si="180"/>
        <v>0</v>
      </c>
      <c r="Q441" s="292">
        <f t="shared" si="181"/>
        <v>0</v>
      </c>
      <c r="R441" s="292">
        <f t="shared" si="220"/>
        <v>0</v>
      </c>
      <c r="S441" s="292">
        <f t="shared" si="221"/>
        <v>0</v>
      </c>
      <c r="T441" s="292">
        <f t="shared" si="182"/>
        <v>0</v>
      </c>
      <c r="U441" s="292">
        <f t="shared" si="183"/>
        <v>0</v>
      </c>
      <c r="V441" s="292">
        <f t="shared" si="222"/>
        <v>0</v>
      </c>
      <c r="W441" s="292">
        <f t="shared" si="223"/>
        <v>0</v>
      </c>
      <c r="X441" s="292">
        <f t="shared" si="224"/>
        <v>1733400</v>
      </c>
      <c r="Y441" s="292">
        <f t="shared" si="225"/>
        <v>0</v>
      </c>
      <c r="Z441" s="292">
        <f t="shared" si="216"/>
        <v>0</v>
      </c>
      <c r="AA441" s="292">
        <f t="shared" si="217"/>
        <v>0</v>
      </c>
      <c r="AB441" s="292">
        <f t="shared" si="184"/>
        <v>0</v>
      </c>
      <c r="AC441" s="292">
        <f t="shared" si="185"/>
        <v>0</v>
      </c>
      <c r="AD441" s="292">
        <f t="shared" si="186"/>
        <v>0</v>
      </c>
      <c r="AE441" s="292">
        <f t="shared" si="187"/>
        <v>0</v>
      </c>
      <c r="AF441" s="292">
        <f t="shared" si="188"/>
        <v>0</v>
      </c>
      <c r="AG441" s="292">
        <f t="shared" si="189"/>
        <v>0</v>
      </c>
      <c r="AH441" s="292">
        <f t="shared" si="190"/>
        <v>0</v>
      </c>
      <c r="AI441" s="292">
        <f t="shared" si="191"/>
        <v>0</v>
      </c>
      <c r="AJ441" s="292">
        <f t="shared" si="192"/>
        <v>0</v>
      </c>
      <c r="AK441" s="292">
        <f t="shared" si="193"/>
        <v>0</v>
      </c>
      <c r="AL441" s="292">
        <f t="shared" si="218"/>
        <v>0</v>
      </c>
      <c r="AM441" s="292">
        <f t="shared" si="219"/>
        <v>0</v>
      </c>
      <c r="AN441" s="292">
        <f t="shared" si="194"/>
        <v>0</v>
      </c>
      <c r="AO441" s="292">
        <f t="shared" si="195"/>
        <v>0</v>
      </c>
      <c r="AP441" s="292">
        <f t="shared" si="196"/>
        <v>0</v>
      </c>
      <c r="AQ441" s="292">
        <f t="shared" si="197"/>
        <v>0</v>
      </c>
      <c r="AR441" s="292">
        <f t="shared" si="198"/>
        <v>0</v>
      </c>
      <c r="AS441" s="292">
        <f t="shared" si="199"/>
        <v>0</v>
      </c>
      <c r="AT441" s="292">
        <f t="shared" si="200"/>
        <v>0</v>
      </c>
      <c r="AU441" s="292">
        <f t="shared" si="201"/>
        <v>0</v>
      </c>
      <c r="AV441" s="292">
        <f t="shared" si="202"/>
        <v>0</v>
      </c>
      <c r="AW441" s="292">
        <f t="shared" si="203"/>
        <v>0</v>
      </c>
      <c r="AX441" s="292">
        <f t="shared" si="204"/>
        <v>0</v>
      </c>
      <c r="AY441" s="292">
        <f t="shared" si="205"/>
        <v>0</v>
      </c>
      <c r="AZ441" s="292">
        <f t="shared" si="206"/>
        <v>0</v>
      </c>
      <c r="BA441" s="292">
        <f t="shared" si="207"/>
        <v>0</v>
      </c>
      <c r="BB441" s="292">
        <f t="shared" si="208"/>
        <v>0</v>
      </c>
      <c r="BC441" s="292">
        <f t="shared" si="209"/>
        <v>0</v>
      </c>
      <c r="BD441" s="292">
        <f t="shared" si="210"/>
        <v>0</v>
      </c>
      <c r="BE441" s="292">
        <f t="shared" si="211"/>
        <v>0</v>
      </c>
      <c r="BF441" s="292">
        <f t="shared" si="212"/>
        <v>0</v>
      </c>
      <c r="BG441" s="292">
        <f t="shared" si="213"/>
        <v>0</v>
      </c>
    </row>
    <row r="442" spans="1:59" s="289" customFormat="1" ht="15" customHeight="1">
      <c r="A442" s="63">
        <f t="array" ref="A442">IF(C442&lt;&gt;0,SUM(($C$11:C442&lt;&gt;0)*1),"")</f>
        <v>432</v>
      </c>
      <c r="B442" s="1099">
        <v>42551</v>
      </c>
      <c r="C442" s="290" t="s">
        <v>1021</v>
      </c>
      <c r="D442" s="1099">
        <v>42551</v>
      </c>
      <c r="E442" s="344" t="s">
        <v>1032</v>
      </c>
      <c r="F442" s="345">
        <v>6444180</v>
      </c>
      <c r="G442" s="346" t="s">
        <v>135</v>
      </c>
      <c r="H442" s="346" t="s">
        <v>1027</v>
      </c>
      <c r="I442" s="63">
        <f t="shared" si="226"/>
        <v>432</v>
      </c>
      <c r="J442" s="292">
        <f t="shared" si="176"/>
        <v>0</v>
      </c>
      <c r="K442" s="292">
        <f t="shared" si="177"/>
        <v>0</v>
      </c>
      <c r="L442" s="292">
        <f t="shared" si="178"/>
        <v>0</v>
      </c>
      <c r="M442" s="292">
        <f t="shared" si="179"/>
        <v>0</v>
      </c>
      <c r="N442" s="292">
        <f t="shared" si="214"/>
        <v>0</v>
      </c>
      <c r="O442" s="292">
        <f t="shared" si="215"/>
        <v>0</v>
      </c>
      <c r="P442" s="292">
        <f t="shared" si="180"/>
        <v>0</v>
      </c>
      <c r="Q442" s="292">
        <f t="shared" si="181"/>
        <v>0</v>
      </c>
      <c r="R442" s="292">
        <f t="shared" si="220"/>
        <v>0</v>
      </c>
      <c r="S442" s="292">
        <f t="shared" si="221"/>
        <v>0</v>
      </c>
      <c r="T442" s="292">
        <f t="shared" si="182"/>
        <v>0</v>
      </c>
      <c r="U442" s="292">
        <f t="shared" si="183"/>
        <v>0</v>
      </c>
      <c r="V442" s="292">
        <f t="shared" si="222"/>
        <v>0</v>
      </c>
      <c r="W442" s="292">
        <f t="shared" si="223"/>
        <v>0</v>
      </c>
      <c r="X442" s="292">
        <f t="shared" si="224"/>
        <v>0</v>
      </c>
      <c r="Y442" s="292">
        <f t="shared" si="225"/>
        <v>0</v>
      </c>
      <c r="Z442" s="292">
        <f t="shared" si="216"/>
        <v>0</v>
      </c>
      <c r="AA442" s="292">
        <f t="shared" si="217"/>
        <v>0</v>
      </c>
      <c r="AB442" s="292">
        <f t="shared" si="184"/>
        <v>0</v>
      </c>
      <c r="AC442" s="292">
        <f t="shared" si="185"/>
        <v>0</v>
      </c>
      <c r="AD442" s="292">
        <f t="shared" si="186"/>
        <v>0</v>
      </c>
      <c r="AE442" s="292">
        <f t="shared" si="187"/>
        <v>0</v>
      </c>
      <c r="AF442" s="292">
        <f t="shared" si="188"/>
        <v>0</v>
      </c>
      <c r="AG442" s="292">
        <f t="shared" si="189"/>
        <v>0</v>
      </c>
      <c r="AH442" s="292">
        <f t="shared" si="190"/>
        <v>0</v>
      </c>
      <c r="AI442" s="292">
        <f t="shared" si="191"/>
        <v>0</v>
      </c>
      <c r="AJ442" s="292">
        <f t="shared" si="192"/>
        <v>0</v>
      </c>
      <c r="AK442" s="292">
        <f t="shared" si="193"/>
        <v>0</v>
      </c>
      <c r="AL442" s="292">
        <f t="shared" si="218"/>
        <v>0</v>
      </c>
      <c r="AM442" s="292">
        <f t="shared" si="219"/>
        <v>0</v>
      </c>
      <c r="AN442" s="292">
        <f t="shared" si="194"/>
        <v>0</v>
      </c>
      <c r="AO442" s="292">
        <f t="shared" si="195"/>
        <v>0</v>
      </c>
      <c r="AP442" s="292">
        <f t="shared" si="196"/>
        <v>0</v>
      </c>
      <c r="AQ442" s="292">
        <f t="shared" si="197"/>
        <v>0</v>
      </c>
      <c r="AR442" s="292">
        <f t="shared" si="198"/>
        <v>0</v>
      </c>
      <c r="AS442" s="292">
        <f t="shared" si="199"/>
        <v>0</v>
      </c>
      <c r="AT442" s="292">
        <f t="shared" si="200"/>
        <v>0</v>
      </c>
      <c r="AU442" s="292">
        <f t="shared" si="201"/>
        <v>0</v>
      </c>
      <c r="AV442" s="292">
        <f t="shared" si="202"/>
        <v>0</v>
      </c>
      <c r="AW442" s="292">
        <f t="shared" si="203"/>
        <v>0</v>
      </c>
      <c r="AX442" s="292">
        <f t="shared" si="204"/>
        <v>6444180</v>
      </c>
      <c r="AY442" s="292">
        <f t="shared" si="205"/>
        <v>0</v>
      </c>
      <c r="AZ442" s="292">
        <f t="shared" si="206"/>
        <v>0</v>
      </c>
      <c r="BA442" s="292">
        <f t="shared" si="207"/>
        <v>0</v>
      </c>
      <c r="BB442" s="292">
        <f t="shared" si="208"/>
        <v>0</v>
      </c>
      <c r="BC442" s="292">
        <f t="shared" si="209"/>
        <v>0</v>
      </c>
      <c r="BD442" s="292">
        <f t="shared" si="210"/>
        <v>0</v>
      </c>
      <c r="BE442" s="292">
        <f t="shared" si="211"/>
        <v>0</v>
      </c>
      <c r="BF442" s="292">
        <f t="shared" si="212"/>
        <v>0</v>
      </c>
      <c r="BG442" s="292">
        <f t="shared" si="213"/>
        <v>0</v>
      </c>
    </row>
    <row r="443" spans="1:59" s="289" customFormat="1" ht="15" customHeight="1">
      <c r="A443" s="63">
        <f t="array" ref="A443">IF(C443&lt;&gt;0,SUM(($C$11:C443&lt;&gt;0)*1),"")</f>
        <v>433</v>
      </c>
      <c r="B443" s="1099">
        <v>42551</v>
      </c>
      <c r="C443" s="290" t="s">
        <v>1021</v>
      </c>
      <c r="D443" s="1099">
        <v>42551</v>
      </c>
      <c r="E443" s="344" t="s">
        <v>1033</v>
      </c>
      <c r="F443" s="345">
        <v>1074030</v>
      </c>
      <c r="G443" s="346" t="s">
        <v>135</v>
      </c>
      <c r="H443" s="346" t="s">
        <v>1029</v>
      </c>
      <c r="I443" s="63">
        <f t="shared" si="226"/>
        <v>433</v>
      </c>
      <c r="J443" s="292">
        <f t="shared" si="176"/>
        <v>0</v>
      </c>
      <c r="K443" s="292">
        <f t="shared" si="177"/>
        <v>0</v>
      </c>
      <c r="L443" s="292">
        <f t="shared" si="178"/>
        <v>0</v>
      </c>
      <c r="M443" s="292">
        <f t="shared" si="179"/>
        <v>0</v>
      </c>
      <c r="N443" s="292">
        <f t="shared" si="214"/>
        <v>0</v>
      </c>
      <c r="O443" s="292">
        <f t="shared" si="215"/>
        <v>0</v>
      </c>
      <c r="P443" s="292">
        <f t="shared" si="180"/>
        <v>0</v>
      </c>
      <c r="Q443" s="292">
        <f t="shared" si="181"/>
        <v>0</v>
      </c>
      <c r="R443" s="292">
        <f t="shared" si="220"/>
        <v>0</v>
      </c>
      <c r="S443" s="292">
        <f t="shared" si="221"/>
        <v>0</v>
      </c>
      <c r="T443" s="292">
        <f t="shared" si="182"/>
        <v>0</v>
      </c>
      <c r="U443" s="292">
        <f t="shared" si="183"/>
        <v>0</v>
      </c>
      <c r="V443" s="292">
        <f t="shared" si="222"/>
        <v>0</v>
      </c>
      <c r="W443" s="292">
        <f t="shared" si="223"/>
        <v>0</v>
      </c>
      <c r="X443" s="292">
        <f t="shared" si="224"/>
        <v>0</v>
      </c>
      <c r="Y443" s="292">
        <f t="shared" si="225"/>
        <v>0</v>
      </c>
      <c r="Z443" s="292">
        <f t="shared" si="216"/>
        <v>0</v>
      </c>
      <c r="AA443" s="292">
        <f t="shared" si="217"/>
        <v>0</v>
      </c>
      <c r="AB443" s="292">
        <f t="shared" si="184"/>
        <v>0</v>
      </c>
      <c r="AC443" s="292">
        <f t="shared" si="185"/>
        <v>0</v>
      </c>
      <c r="AD443" s="292">
        <f t="shared" si="186"/>
        <v>0</v>
      </c>
      <c r="AE443" s="292">
        <f t="shared" si="187"/>
        <v>0</v>
      </c>
      <c r="AF443" s="292">
        <f t="shared" si="188"/>
        <v>0</v>
      </c>
      <c r="AG443" s="292">
        <f t="shared" si="189"/>
        <v>0</v>
      </c>
      <c r="AH443" s="292">
        <f t="shared" si="190"/>
        <v>0</v>
      </c>
      <c r="AI443" s="292">
        <f t="shared" si="191"/>
        <v>0</v>
      </c>
      <c r="AJ443" s="292">
        <f t="shared" si="192"/>
        <v>0</v>
      </c>
      <c r="AK443" s="292">
        <f t="shared" si="193"/>
        <v>0</v>
      </c>
      <c r="AL443" s="292">
        <f t="shared" si="218"/>
        <v>0</v>
      </c>
      <c r="AM443" s="292">
        <f t="shared" si="219"/>
        <v>0</v>
      </c>
      <c r="AN443" s="292">
        <f t="shared" si="194"/>
        <v>0</v>
      </c>
      <c r="AO443" s="292">
        <f t="shared" si="195"/>
        <v>0</v>
      </c>
      <c r="AP443" s="292">
        <f t="shared" si="196"/>
        <v>0</v>
      </c>
      <c r="AQ443" s="292">
        <f t="shared" si="197"/>
        <v>0</v>
      </c>
      <c r="AR443" s="292">
        <f t="shared" si="198"/>
        <v>0</v>
      </c>
      <c r="AS443" s="292">
        <f t="shared" si="199"/>
        <v>0</v>
      </c>
      <c r="AT443" s="292">
        <f t="shared" si="200"/>
        <v>0</v>
      </c>
      <c r="AU443" s="292">
        <f t="shared" si="201"/>
        <v>0</v>
      </c>
      <c r="AV443" s="292">
        <f t="shared" si="202"/>
        <v>0</v>
      </c>
      <c r="AW443" s="292">
        <f t="shared" si="203"/>
        <v>0</v>
      </c>
      <c r="AX443" s="292">
        <f t="shared" si="204"/>
        <v>1074030</v>
      </c>
      <c r="AY443" s="292">
        <f t="shared" si="205"/>
        <v>0</v>
      </c>
      <c r="AZ443" s="292">
        <f t="shared" si="206"/>
        <v>0</v>
      </c>
      <c r="BA443" s="292">
        <f t="shared" si="207"/>
        <v>0</v>
      </c>
      <c r="BB443" s="292">
        <f t="shared" si="208"/>
        <v>0</v>
      </c>
      <c r="BC443" s="292">
        <f t="shared" si="209"/>
        <v>0</v>
      </c>
      <c r="BD443" s="292">
        <f t="shared" si="210"/>
        <v>0</v>
      </c>
      <c r="BE443" s="292">
        <f t="shared" si="211"/>
        <v>0</v>
      </c>
      <c r="BF443" s="292">
        <f t="shared" si="212"/>
        <v>0</v>
      </c>
      <c r="BG443" s="292">
        <f t="shared" si="213"/>
        <v>0</v>
      </c>
    </row>
    <row r="444" spans="1:59" s="289" customFormat="1" ht="15" customHeight="1">
      <c r="A444" s="63">
        <f t="array" ref="A444">IF(C444&lt;&gt;0,SUM(($C$11:C444&lt;&gt;0)*1),"")</f>
        <v>434</v>
      </c>
      <c r="B444" s="1099">
        <v>42551</v>
      </c>
      <c r="C444" s="290" t="s">
        <v>1021</v>
      </c>
      <c r="D444" s="1099">
        <v>42551</v>
      </c>
      <c r="E444" s="344" t="s">
        <v>1030</v>
      </c>
      <c r="F444" s="345">
        <v>358010</v>
      </c>
      <c r="G444" s="346" t="s">
        <v>135</v>
      </c>
      <c r="H444" s="346" t="s">
        <v>1031</v>
      </c>
      <c r="I444" s="63">
        <f t="shared" si="226"/>
        <v>434</v>
      </c>
      <c r="J444" s="292">
        <f t="shared" si="176"/>
        <v>0</v>
      </c>
      <c r="K444" s="292">
        <f t="shared" si="177"/>
        <v>0</v>
      </c>
      <c r="L444" s="292">
        <f t="shared" si="178"/>
        <v>0</v>
      </c>
      <c r="M444" s="292">
        <f t="shared" si="179"/>
        <v>0</v>
      </c>
      <c r="N444" s="292">
        <f t="shared" si="214"/>
        <v>0</v>
      </c>
      <c r="O444" s="292">
        <f t="shared" si="215"/>
        <v>0</v>
      </c>
      <c r="P444" s="292">
        <f t="shared" si="180"/>
        <v>0</v>
      </c>
      <c r="Q444" s="292">
        <f t="shared" si="181"/>
        <v>0</v>
      </c>
      <c r="R444" s="292">
        <f t="shared" si="220"/>
        <v>0</v>
      </c>
      <c r="S444" s="292">
        <f t="shared" si="221"/>
        <v>0</v>
      </c>
      <c r="T444" s="292">
        <f t="shared" si="182"/>
        <v>0</v>
      </c>
      <c r="U444" s="292">
        <f t="shared" si="183"/>
        <v>0</v>
      </c>
      <c r="V444" s="292">
        <f t="shared" si="222"/>
        <v>0</v>
      </c>
      <c r="W444" s="292">
        <f t="shared" si="223"/>
        <v>0</v>
      </c>
      <c r="X444" s="292">
        <f t="shared" si="224"/>
        <v>0</v>
      </c>
      <c r="Y444" s="292">
        <f t="shared" si="225"/>
        <v>0</v>
      </c>
      <c r="Z444" s="292">
        <f t="shared" si="216"/>
        <v>0</v>
      </c>
      <c r="AA444" s="292">
        <f t="shared" si="217"/>
        <v>0</v>
      </c>
      <c r="AB444" s="292">
        <f t="shared" si="184"/>
        <v>0</v>
      </c>
      <c r="AC444" s="292">
        <f t="shared" si="185"/>
        <v>0</v>
      </c>
      <c r="AD444" s="292">
        <f t="shared" si="186"/>
        <v>0</v>
      </c>
      <c r="AE444" s="292">
        <f t="shared" si="187"/>
        <v>0</v>
      </c>
      <c r="AF444" s="292">
        <f t="shared" si="188"/>
        <v>0</v>
      </c>
      <c r="AG444" s="292">
        <f t="shared" si="189"/>
        <v>0</v>
      </c>
      <c r="AH444" s="292">
        <f t="shared" si="190"/>
        <v>0</v>
      </c>
      <c r="AI444" s="292">
        <f t="shared" si="191"/>
        <v>0</v>
      </c>
      <c r="AJ444" s="292">
        <f t="shared" si="192"/>
        <v>0</v>
      </c>
      <c r="AK444" s="292">
        <f t="shared" si="193"/>
        <v>0</v>
      </c>
      <c r="AL444" s="292">
        <f t="shared" si="218"/>
        <v>0</v>
      </c>
      <c r="AM444" s="292">
        <f t="shared" si="219"/>
        <v>0</v>
      </c>
      <c r="AN444" s="292">
        <f t="shared" si="194"/>
        <v>0</v>
      </c>
      <c r="AO444" s="292">
        <f t="shared" si="195"/>
        <v>0</v>
      </c>
      <c r="AP444" s="292">
        <f t="shared" si="196"/>
        <v>0</v>
      </c>
      <c r="AQ444" s="292">
        <f t="shared" si="197"/>
        <v>0</v>
      </c>
      <c r="AR444" s="292">
        <f t="shared" si="198"/>
        <v>0</v>
      </c>
      <c r="AS444" s="292">
        <f t="shared" si="199"/>
        <v>0</v>
      </c>
      <c r="AT444" s="292">
        <f t="shared" si="200"/>
        <v>0</v>
      </c>
      <c r="AU444" s="292">
        <f t="shared" si="201"/>
        <v>0</v>
      </c>
      <c r="AV444" s="292">
        <f t="shared" si="202"/>
        <v>0</v>
      </c>
      <c r="AW444" s="292">
        <f t="shared" si="203"/>
        <v>0</v>
      </c>
      <c r="AX444" s="292">
        <f t="shared" si="204"/>
        <v>358010</v>
      </c>
      <c r="AY444" s="292">
        <f t="shared" si="205"/>
        <v>0</v>
      </c>
      <c r="AZ444" s="292">
        <f t="shared" si="206"/>
        <v>0</v>
      </c>
      <c r="BA444" s="292">
        <f t="shared" si="207"/>
        <v>0</v>
      </c>
      <c r="BB444" s="292">
        <f t="shared" si="208"/>
        <v>0</v>
      </c>
      <c r="BC444" s="292">
        <f t="shared" si="209"/>
        <v>0</v>
      </c>
      <c r="BD444" s="292">
        <f t="shared" si="210"/>
        <v>0</v>
      </c>
      <c r="BE444" s="292">
        <f t="shared" si="211"/>
        <v>0</v>
      </c>
      <c r="BF444" s="292">
        <f t="shared" si="212"/>
        <v>0</v>
      </c>
      <c r="BG444" s="292">
        <f t="shared" si="213"/>
        <v>0</v>
      </c>
    </row>
    <row r="445" spans="1:59" s="289" customFormat="1" ht="15" customHeight="1">
      <c r="A445" s="63">
        <f t="array" ref="A445">IF(C445&lt;&gt;0,SUM(($C$11:C445&lt;&gt;0)*1),"")</f>
        <v>435</v>
      </c>
      <c r="B445" s="1099">
        <v>42551</v>
      </c>
      <c r="C445" s="290" t="s">
        <v>149</v>
      </c>
      <c r="D445" s="1099">
        <v>42551</v>
      </c>
      <c r="E445" s="344" t="s">
        <v>152</v>
      </c>
      <c r="F445" s="345">
        <v>313859452</v>
      </c>
      <c r="G445" s="346" t="s">
        <v>128</v>
      </c>
      <c r="H445" s="346" t="s">
        <v>143</v>
      </c>
      <c r="I445" s="63">
        <f t="shared" si="226"/>
        <v>435</v>
      </c>
      <c r="J445" s="292">
        <f t="shared" si="176"/>
        <v>0</v>
      </c>
      <c r="K445" s="292">
        <f t="shared" si="177"/>
        <v>0</v>
      </c>
      <c r="L445" s="292">
        <f t="shared" si="178"/>
        <v>0</v>
      </c>
      <c r="M445" s="292">
        <f t="shared" si="179"/>
        <v>0</v>
      </c>
      <c r="N445" s="292">
        <f t="shared" si="214"/>
        <v>0</v>
      </c>
      <c r="O445" s="292">
        <f t="shared" si="215"/>
        <v>0</v>
      </c>
      <c r="P445" s="292">
        <f t="shared" si="180"/>
        <v>0</v>
      </c>
      <c r="Q445" s="292">
        <f t="shared" si="181"/>
        <v>0</v>
      </c>
      <c r="R445" s="292">
        <f t="shared" si="220"/>
        <v>0</v>
      </c>
      <c r="S445" s="292">
        <f t="shared" si="221"/>
        <v>0</v>
      </c>
      <c r="T445" s="292">
        <f t="shared" si="182"/>
        <v>0</v>
      </c>
      <c r="U445" s="292">
        <f t="shared" si="183"/>
        <v>0</v>
      </c>
      <c r="V445" s="292">
        <f t="shared" si="222"/>
        <v>0</v>
      </c>
      <c r="W445" s="292">
        <f t="shared" si="223"/>
        <v>0</v>
      </c>
      <c r="X445" s="292">
        <f t="shared" si="224"/>
        <v>0</v>
      </c>
      <c r="Y445" s="292">
        <f t="shared" si="225"/>
        <v>0</v>
      </c>
      <c r="Z445" s="292">
        <f t="shared" si="216"/>
        <v>0</v>
      </c>
      <c r="AA445" s="292">
        <f t="shared" si="217"/>
        <v>0</v>
      </c>
      <c r="AB445" s="292">
        <f t="shared" si="184"/>
        <v>0</v>
      </c>
      <c r="AC445" s="292">
        <f t="shared" si="185"/>
        <v>0</v>
      </c>
      <c r="AD445" s="292">
        <f t="shared" si="186"/>
        <v>0</v>
      </c>
      <c r="AE445" s="292">
        <f t="shared" si="187"/>
        <v>0</v>
      </c>
      <c r="AF445" s="292">
        <f t="shared" si="188"/>
        <v>0</v>
      </c>
      <c r="AG445" s="292">
        <f t="shared" si="189"/>
        <v>0</v>
      </c>
      <c r="AH445" s="292">
        <f t="shared" si="190"/>
        <v>0</v>
      </c>
      <c r="AI445" s="292">
        <f t="shared" si="191"/>
        <v>0</v>
      </c>
      <c r="AJ445" s="292">
        <f t="shared" si="192"/>
        <v>0</v>
      </c>
      <c r="AK445" s="292">
        <f t="shared" si="193"/>
        <v>0</v>
      </c>
      <c r="AL445" s="292">
        <f t="shared" si="218"/>
        <v>0</v>
      </c>
      <c r="AM445" s="292">
        <f t="shared" si="219"/>
        <v>0</v>
      </c>
      <c r="AN445" s="292">
        <f t="shared" si="194"/>
        <v>0</v>
      </c>
      <c r="AO445" s="292">
        <f t="shared" si="195"/>
        <v>0</v>
      </c>
      <c r="AP445" s="292">
        <f t="shared" si="196"/>
        <v>0</v>
      </c>
      <c r="AQ445" s="292">
        <f t="shared" si="197"/>
        <v>0</v>
      </c>
      <c r="AR445" s="292">
        <f t="shared" si="198"/>
        <v>313859452</v>
      </c>
      <c r="AS445" s="292">
        <f t="shared" si="199"/>
        <v>0</v>
      </c>
      <c r="AT445" s="292">
        <f t="shared" si="200"/>
        <v>0</v>
      </c>
      <c r="AU445" s="292">
        <f t="shared" si="201"/>
        <v>0</v>
      </c>
      <c r="AV445" s="292">
        <f t="shared" si="202"/>
        <v>0</v>
      </c>
      <c r="AW445" s="292">
        <f t="shared" si="203"/>
        <v>0</v>
      </c>
      <c r="AX445" s="292">
        <f t="shared" si="204"/>
        <v>0</v>
      </c>
      <c r="AY445" s="292">
        <f t="shared" si="205"/>
        <v>0</v>
      </c>
      <c r="AZ445" s="292">
        <f t="shared" si="206"/>
        <v>0</v>
      </c>
      <c r="BA445" s="292">
        <f t="shared" si="207"/>
        <v>0</v>
      </c>
      <c r="BB445" s="292">
        <f t="shared" si="208"/>
        <v>0</v>
      </c>
      <c r="BC445" s="292">
        <f t="shared" si="209"/>
        <v>0</v>
      </c>
      <c r="BD445" s="292">
        <f t="shared" si="210"/>
        <v>0</v>
      </c>
      <c r="BE445" s="292">
        <f t="shared" si="211"/>
        <v>0</v>
      </c>
      <c r="BF445" s="292">
        <f t="shared" si="212"/>
        <v>0</v>
      </c>
      <c r="BG445" s="292">
        <f t="shared" si="213"/>
        <v>313859452</v>
      </c>
    </row>
    <row r="446" spans="1:59" s="289" customFormat="1" ht="15" customHeight="1">
      <c r="A446" s="63">
        <f t="array" ref="A446">IF(C446&lt;&gt;0,SUM(($C$11:C446&lt;&gt;0)*1),"")</f>
        <v>436</v>
      </c>
      <c r="B446" s="1099">
        <v>42551</v>
      </c>
      <c r="C446" s="290" t="s">
        <v>149</v>
      </c>
      <c r="D446" s="1099">
        <v>42551</v>
      </c>
      <c r="E446" s="344" t="s">
        <v>151</v>
      </c>
      <c r="F446" s="345">
        <v>333677121</v>
      </c>
      <c r="G446" s="346" t="s">
        <v>143</v>
      </c>
      <c r="H446" s="346" t="s">
        <v>135</v>
      </c>
      <c r="I446" s="63">
        <f t="shared" si="226"/>
        <v>436</v>
      </c>
      <c r="J446" s="292">
        <f t="shared" si="176"/>
        <v>0</v>
      </c>
      <c r="K446" s="292">
        <f t="shared" si="177"/>
        <v>0</v>
      </c>
      <c r="L446" s="292">
        <f t="shared" si="178"/>
        <v>0</v>
      </c>
      <c r="M446" s="292">
        <f t="shared" si="179"/>
        <v>0</v>
      </c>
      <c r="N446" s="292">
        <f t="shared" si="214"/>
        <v>0</v>
      </c>
      <c r="O446" s="292">
        <f t="shared" si="215"/>
        <v>0</v>
      </c>
      <c r="P446" s="292">
        <f t="shared" si="180"/>
        <v>0</v>
      </c>
      <c r="Q446" s="292">
        <f t="shared" si="181"/>
        <v>0</v>
      </c>
      <c r="R446" s="292">
        <f t="shared" si="220"/>
        <v>0</v>
      </c>
      <c r="S446" s="292">
        <f t="shared" si="221"/>
        <v>0</v>
      </c>
      <c r="T446" s="292">
        <f t="shared" si="182"/>
        <v>0</v>
      </c>
      <c r="U446" s="292">
        <f t="shared" si="183"/>
        <v>0</v>
      </c>
      <c r="V446" s="292">
        <f t="shared" si="222"/>
        <v>0</v>
      </c>
      <c r="W446" s="292">
        <f t="shared" si="223"/>
        <v>0</v>
      </c>
      <c r="X446" s="292">
        <f t="shared" si="224"/>
        <v>0</v>
      </c>
      <c r="Y446" s="292">
        <f t="shared" si="225"/>
        <v>0</v>
      </c>
      <c r="Z446" s="292">
        <f t="shared" si="216"/>
        <v>0</v>
      </c>
      <c r="AA446" s="292">
        <f t="shared" si="217"/>
        <v>0</v>
      </c>
      <c r="AB446" s="292">
        <f t="shared" si="184"/>
        <v>0</v>
      </c>
      <c r="AC446" s="292">
        <f t="shared" si="185"/>
        <v>0</v>
      </c>
      <c r="AD446" s="292">
        <f t="shared" si="186"/>
        <v>0</v>
      </c>
      <c r="AE446" s="292">
        <f t="shared" si="187"/>
        <v>0</v>
      </c>
      <c r="AF446" s="292">
        <f t="shared" si="188"/>
        <v>0</v>
      </c>
      <c r="AG446" s="292">
        <f t="shared" si="189"/>
        <v>0</v>
      </c>
      <c r="AH446" s="292">
        <f t="shared" si="190"/>
        <v>0</v>
      </c>
      <c r="AI446" s="292">
        <f t="shared" si="191"/>
        <v>0</v>
      </c>
      <c r="AJ446" s="292">
        <f t="shared" si="192"/>
        <v>0</v>
      </c>
      <c r="AK446" s="292">
        <f t="shared" si="193"/>
        <v>0</v>
      </c>
      <c r="AL446" s="292">
        <f t="shared" si="218"/>
        <v>0</v>
      </c>
      <c r="AM446" s="292">
        <f t="shared" si="219"/>
        <v>0</v>
      </c>
      <c r="AN446" s="292">
        <f t="shared" si="194"/>
        <v>0</v>
      </c>
      <c r="AO446" s="292">
        <f t="shared" si="195"/>
        <v>0</v>
      </c>
      <c r="AP446" s="292">
        <f t="shared" si="196"/>
        <v>0</v>
      </c>
      <c r="AQ446" s="292">
        <f t="shared" si="197"/>
        <v>0</v>
      </c>
      <c r="AR446" s="292">
        <f t="shared" si="198"/>
        <v>0</v>
      </c>
      <c r="AS446" s="292">
        <f t="shared" si="199"/>
        <v>0</v>
      </c>
      <c r="AT446" s="292">
        <f t="shared" si="200"/>
        <v>0</v>
      </c>
      <c r="AU446" s="292">
        <f t="shared" si="201"/>
        <v>0</v>
      </c>
      <c r="AV446" s="292">
        <f t="shared" si="202"/>
        <v>0</v>
      </c>
      <c r="AW446" s="292">
        <f t="shared" si="203"/>
        <v>0</v>
      </c>
      <c r="AX446" s="292">
        <f t="shared" si="204"/>
        <v>0</v>
      </c>
      <c r="AY446" s="292">
        <f t="shared" si="205"/>
        <v>333677121</v>
      </c>
      <c r="AZ446" s="292">
        <f t="shared" si="206"/>
        <v>0</v>
      </c>
      <c r="BA446" s="292">
        <f t="shared" si="207"/>
        <v>0</v>
      </c>
      <c r="BB446" s="292">
        <f t="shared" si="208"/>
        <v>0</v>
      </c>
      <c r="BC446" s="292">
        <f t="shared" si="209"/>
        <v>0</v>
      </c>
      <c r="BD446" s="292">
        <f t="shared" si="210"/>
        <v>0</v>
      </c>
      <c r="BE446" s="292">
        <f t="shared" si="211"/>
        <v>0</v>
      </c>
      <c r="BF446" s="292">
        <f t="shared" si="212"/>
        <v>333677121</v>
      </c>
      <c r="BG446" s="292">
        <f t="shared" si="213"/>
        <v>0</v>
      </c>
    </row>
    <row r="447" spans="1:59" s="289" customFormat="1" ht="15" customHeight="1">
      <c r="A447" s="63">
        <f t="array" ref="A447">IF(C447&lt;&gt;0,SUM(($C$11:C447&lt;&gt;0)*1),"")</f>
        <v>437</v>
      </c>
      <c r="B447" s="1099">
        <v>42551</v>
      </c>
      <c r="C447" s="290" t="s">
        <v>149</v>
      </c>
      <c r="D447" s="1099">
        <v>42551</v>
      </c>
      <c r="E447" s="344" t="s">
        <v>153</v>
      </c>
      <c r="F447" s="345">
        <v>19817669</v>
      </c>
      <c r="G447" s="346" t="s">
        <v>58</v>
      </c>
      <c r="H447" s="346" t="s">
        <v>143</v>
      </c>
      <c r="I447" s="63">
        <f t="shared" si="226"/>
        <v>437</v>
      </c>
      <c r="J447" s="292">
        <f t="shared" si="176"/>
        <v>0</v>
      </c>
      <c r="K447" s="292">
        <f t="shared" si="177"/>
        <v>0</v>
      </c>
      <c r="L447" s="292">
        <f t="shared" si="178"/>
        <v>0</v>
      </c>
      <c r="M447" s="292">
        <f t="shared" si="179"/>
        <v>0</v>
      </c>
      <c r="N447" s="292">
        <f t="shared" si="214"/>
        <v>0</v>
      </c>
      <c r="O447" s="292">
        <f t="shared" si="215"/>
        <v>0</v>
      </c>
      <c r="P447" s="292">
        <f t="shared" si="180"/>
        <v>0</v>
      </c>
      <c r="Q447" s="292">
        <f t="shared" si="181"/>
        <v>0</v>
      </c>
      <c r="R447" s="292">
        <f t="shared" si="220"/>
        <v>0</v>
      </c>
      <c r="S447" s="292">
        <f t="shared" si="221"/>
        <v>0</v>
      </c>
      <c r="T447" s="292">
        <f t="shared" si="182"/>
        <v>0</v>
      </c>
      <c r="U447" s="292">
        <f t="shared" si="183"/>
        <v>0</v>
      </c>
      <c r="V447" s="292">
        <f t="shared" si="222"/>
        <v>0</v>
      </c>
      <c r="W447" s="292">
        <f t="shared" si="223"/>
        <v>0</v>
      </c>
      <c r="X447" s="292">
        <f t="shared" si="224"/>
        <v>0</v>
      </c>
      <c r="Y447" s="292">
        <f t="shared" si="225"/>
        <v>0</v>
      </c>
      <c r="Z447" s="292">
        <f t="shared" si="216"/>
        <v>0</v>
      </c>
      <c r="AA447" s="292">
        <f t="shared" si="217"/>
        <v>0</v>
      </c>
      <c r="AB447" s="292">
        <f t="shared" si="184"/>
        <v>0</v>
      </c>
      <c r="AC447" s="292">
        <f t="shared" si="185"/>
        <v>0</v>
      </c>
      <c r="AD447" s="292">
        <f t="shared" si="186"/>
        <v>0</v>
      </c>
      <c r="AE447" s="292">
        <f t="shared" si="187"/>
        <v>0</v>
      </c>
      <c r="AF447" s="292">
        <f t="shared" si="188"/>
        <v>0</v>
      </c>
      <c r="AG447" s="292">
        <f t="shared" si="189"/>
        <v>0</v>
      </c>
      <c r="AH447" s="292">
        <f t="shared" si="190"/>
        <v>0</v>
      </c>
      <c r="AI447" s="292">
        <f t="shared" si="191"/>
        <v>0</v>
      </c>
      <c r="AJ447" s="292">
        <f t="shared" si="192"/>
        <v>0</v>
      </c>
      <c r="AK447" s="292">
        <f t="shared" si="193"/>
        <v>0</v>
      </c>
      <c r="AL447" s="292">
        <f t="shared" si="218"/>
        <v>0</v>
      </c>
      <c r="AM447" s="292">
        <f t="shared" si="219"/>
        <v>0</v>
      </c>
      <c r="AN447" s="292">
        <f t="shared" si="194"/>
        <v>0</v>
      </c>
      <c r="AO447" s="292">
        <f t="shared" si="195"/>
        <v>0</v>
      </c>
      <c r="AP447" s="292">
        <f t="shared" si="196"/>
        <v>0</v>
      </c>
      <c r="AQ447" s="292">
        <f t="shared" si="197"/>
        <v>0</v>
      </c>
      <c r="AR447" s="292">
        <f t="shared" si="198"/>
        <v>0</v>
      </c>
      <c r="AS447" s="292">
        <f t="shared" si="199"/>
        <v>0</v>
      </c>
      <c r="AT447" s="292">
        <f t="shared" si="200"/>
        <v>19817669</v>
      </c>
      <c r="AU447" s="292">
        <f t="shared" si="201"/>
        <v>0</v>
      </c>
      <c r="AV447" s="292">
        <f t="shared" si="202"/>
        <v>0</v>
      </c>
      <c r="AW447" s="292">
        <f t="shared" si="203"/>
        <v>0</v>
      </c>
      <c r="AX447" s="292">
        <f t="shared" si="204"/>
        <v>0</v>
      </c>
      <c r="AY447" s="292">
        <f t="shared" si="205"/>
        <v>0</v>
      </c>
      <c r="AZ447" s="292">
        <f t="shared" si="206"/>
        <v>0</v>
      </c>
      <c r="BA447" s="292">
        <f t="shared" si="207"/>
        <v>0</v>
      </c>
      <c r="BB447" s="292">
        <f t="shared" si="208"/>
        <v>0</v>
      </c>
      <c r="BC447" s="292">
        <f t="shared" si="209"/>
        <v>0</v>
      </c>
      <c r="BD447" s="292">
        <f t="shared" si="210"/>
        <v>0</v>
      </c>
      <c r="BE447" s="292">
        <f t="shared" si="211"/>
        <v>0</v>
      </c>
      <c r="BF447" s="292">
        <f t="shared" si="212"/>
        <v>0</v>
      </c>
      <c r="BG447" s="292">
        <f t="shared" si="213"/>
        <v>19817669</v>
      </c>
    </row>
    <row r="448" spans="1:59" s="289" customFormat="1" ht="15" customHeight="1">
      <c r="A448" s="63">
        <f t="array" ref="A448">IF(C448&lt;&gt;0,SUM(($C$11:C448&lt;&gt;0)*1),"")</f>
        <v>438</v>
      </c>
      <c r="B448" s="1099">
        <v>42551</v>
      </c>
      <c r="C448" s="290" t="s">
        <v>149</v>
      </c>
      <c r="D448" s="1099">
        <v>42551</v>
      </c>
      <c r="E448" s="344" t="s">
        <v>150</v>
      </c>
      <c r="F448" s="345">
        <v>506749697</v>
      </c>
      <c r="G448" s="346" t="s">
        <v>242</v>
      </c>
      <c r="H448" s="346" t="s">
        <v>133</v>
      </c>
      <c r="I448" s="63">
        <f t="shared" si="226"/>
        <v>438</v>
      </c>
      <c r="J448" s="292">
        <f t="shared" si="176"/>
        <v>0</v>
      </c>
      <c r="K448" s="292">
        <f t="shared" si="177"/>
        <v>0</v>
      </c>
      <c r="L448" s="292">
        <f t="shared" si="178"/>
        <v>0</v>
      </c>
      <c r="M448" s="292">
        <f t="shared" si="179"/>
        <v>0</v>
      </c>
      <c r="N448" s="292">
        <f t="shared" si="214"/>
        <v>0</v>
      </c>
      <c r="O448" s="292">
        <f t="shared" si="215"/>
        <v>0</v>
      </c>
      <c r="P448" s="292">
        <f t="shared" si="180"/>
        <v>0</v>
      </c>
      <c r="Q448" s="292">
        <f t="shared" si="181"/>
        <v>0</v>
      </c>
      <c r="R448" s="292">
        <f t="shared" si="220"/>
        <v>0</v>
      </c>
      <c r="S448" s="292">
        <f t="shared" si="221"/>
        <v>0</v>
      </c>
      <c r="T448" s="292">
        <f t="shared" si="182"/>
        <v>0</v>
      </c>
      <c r="U448" s="292">
        <f t="shared" si="183"/>
        <v>0</v>
      </c>
      <c r="V448" s="292">
        <f t="shared" si="222"/>
        <v>0</v>
      </c>
      <c r="W448" s="292">
        <f t="shared" si="223"/>
        <v>0</v>
      </c>
      <c r="X448" s="292">
        <f t="shared" si="224"/>
        <v>0</v>
      </c>
      <c r="Y448" s="292">
        <f t="shared" si="225"/>
        <v>0</v>
      </c>
      <c r="Z448" s="292">
        <f t="shared" si="216"/>
        <v>506749697</v>
      </c>
      <c r="AA448" s="292">
        <f t="shared" si="217"/>
        <v>0</v>
      </c>
      <c r="AB448" s="292">
        <f t="shared" si="184"/>
        <v>0</v>
      </c>
      <c r="AC448" s="292">
        <f t="shared" si="185"/>
        <v>0</v>
      </c>
      <c r="AD448" s="292">
        <f t="shared" si="186"/>
        <v>0</v>
      </c>
      <c r="AE448" s="292">
        <f t="shared" si="187"/>
        <v>0</v>
      </c>
      <c r="AF448" s="292">
        <f t="shared" si="188"/>
        <v>0</v>
      </c>
      <c r="AG448" s="292">
        <f t="shared" si="189"/>
        <v>0</v>
      </c>
      <c r="AH448" s="292">
        <f t="shared" si="190"/>
        <v>0</v>
      </c>
      <c r="AI448" s="292">
        <f t="shared" si="191"/>
        <v>0</v>
      </c>
      <c r="AJ448" s="292">
        <f t="shared" si="192"/>
        <v>0</v>
      </c>
      <c r="AK448" s="292">
        <f t="shared" si="193"/>
        <v>0</v>
      </c>
      <c r="AL448" s="292">
        <f t="shared" si="218"/>
        <v>0</v>
      </c>
      <c r="AM448" s="292">
        <f t="shared" si="219"/>
        <v>0</v>
      </c>
      <c r="AN448" s="292">
        <f t="shared" si="194"/>
        <v>0</v>
      </c>
      <c r="AO448" s="292">
        <f t="shared" si="195"/>
        <v>0</v>
      </c>
      <c r="AP448" s="292">
        <f t="shared" si="196"/>
        <v>0</v>
      </c>
      <c r="AQ448" s="292">
        <f t="shared" si="197"/>
        <v>0</v>
      </c>
      <c r="AR448" s="292">
        <f t="shared" si="198"/>
        <v>0</v>
      </c>
      <c r="AS448" s="292">
        <f t="shared" si="199"/>
        <v>0</v>
      </c>
      <c r="AT448" s="292">
        <f t="shared" si="200"/>
        <v>0</v>
      </c>
      <c r="AU448" s="292">
        <f t="shared" si="201"/>
        <v>0</v>
      </c>
      <c r="AV448" s="292">
        <f t="shared" si="202"/>
        <v>0</v>
      </c>
      <c r="AW448" s="292">
        <f t="shared" si="203"/>
        <v>506749697</v>
      </c>
      <c r="AX448" s="292">
        <f t="shared" si="204"/>
        <v>0</v>
      </c>
      <c r="AY448" s="292">
        <f t="shared" si="205"/>
        <v>0</v>
      </c>
      <c r="AZ448" s="292">
        <f t="shared" si="206"/>
        <v>0</v>
      </c>
      <c r="BA448" s="292">
        <f t="shared" si="207"/>
        <v>0</v>
      </c>
      <c r="BB448" s="292">
        <f t="shared" si="208"/>
        <v>0</v>
      </c>
      <c r="BC448" s="292">
        <f t="shared" si="209"/>
        <v>0</v>
      </c>
      <c r="BD448" s="292">
        <f t="shared" si="210"/>
        <v>0</v>
      </c>
      <c r="BE448" s="292">
        <f t="shared" si="211"/>
        <v>0</v>
      </c>
      <c r="BF448" s="292">
        <f t="shared" si="212"/>
        <v>0</v>
      </c>
      <c r="BG448" s="292">
        <f t="shared" si="213"/>
        <v>0</v>
      </c>
    </row>
    <row r="449" spans="1:60" s="289" customFormat="1" ht="15" customHeight="1">
      <c r="A449" s="63" t="str">
        <f t="array" ref="A449">IF(C449&lt;&gt;0,SUM(($C$11:C449&lt;&gt;0)*1),"")</f>
        <v/>
      </c>
      <c r="B449" s="1099"/>
      <c r="C449" s="290"/>
      <c r="D449" s="1099"/>
      <c r="E449" s="344"/>
      <c r="F449" s="345"/>
      <c r="G449" s="346"/>
      <c r="H449" s="346"/>
      <c r="I449" s="63" t="str">
        <f t="shared" si="226"/>
        <v/>
      </c>
      <c r="J449" s="292">
        <f t="shared" si="176"/>
        <v>0</v>
      </c>
      <c r="K449" s="292">
        <f t="shared" si="177"/>
        <v>0</v>
      </c>
      <c r="L449" s="292">
        <f t="shared" si="178"/>
        <v>0</v>
      </c>
      <c r="M449" s="292">
        <f t="shared" si="179"/>
        <v>0</v>
      </c>
      <c r="N449" s="292">
        <f t="shared" si="214"/>
        <v>0</v>
      </c>
      <c r="O449" s="292">
        <f t="shared" si="215"/>
        <v>0</v>
      </c>
      <c r="P449" s="292">
        <f t="shared" si="180"/>
        <v>0</v>
      </c>
      <c r="Q449" s="292">
        <f t="shared" si="181"/>
        <v>0</v>
      </c>
      <c r="R449" s="292">
        <f t="shared" si="220"/>
        <v>0</v>
      </c>
      <c r="S449" s="292">
        <f t="shared" si="221"/>
        <v>0</v>
      </c>
      <c r="T449" s="292">
        <f t="shared" si="182"/>
        <v>0</v>
      </c>
      <c r="U449" s="292">
        <f t="shared" si="183"/>
        <v>0</v>
      </c>
      <c r="V449" s="292">
        <f t="shared" si="222"/>
        <v>0</v>
      </c>
      <c r="W449" s="292">
        <f t="shared" si="223"/>
        <v>0</v>
      </c>
      <c r="X449" s="292">
        <f t="shared" si="224"/>
        <v>0</v>
      </c>
      <c r="Y449" s="292">
        <f t="shared" si="225"/>
        <v>0</v>
      </c>
      <c r="Z449" s="292">
        <f t="shared" si="216"/>
        <v>0</v>
      </c>
      <c r="AA449" s="292">
        <f t="shared" si="217"/>
        <v>0</v>
      </c>
      <c r="AB449" s="292">
        <f t="shared" si="184"/>
        <v>0</v>
      </c>
      <c r="AC449" s="292">
        <f t="shared" si="185"/>
        <v>0</v>
      </c>
      <c r="AD449" s="292">
        <f t="shared" si="186"/>
        <v>0</v>
      </c>
      <c r="AE449" s="292">
        <f t="shared" si="187"/>
        <v>0</v>
      </c>
      <c r="AF449" s="292">
        <f t="shared" si="188"/>
        <v>0</v>
      </c>
      <c r="AG449" s="292">
        <f t="shared" si="189"/>
        <v>0</v>
      </c>
      <c r="AH449" s="292">
        <f t="shared" si="190"/>
        <v>0</v>
      </c>
      <c r="AI449" s="292">
        <f t="shared" si="191"/>
        <v>0</v>
      </c>
      <c r="AJ449" s="292">
        <f t="shared" si="192"/>
        <v>0</v>
      </c>
      <c r="AK449" s="292">
        <f t="shared" si="193"/>
        <v>0</v>
      </c>
      <c r="AL449" s="292">
        <f t="shared" si="218"/>
        <v>0</v>
      </c>
      <c r="AM449" s="292">
        <f t="shared" si="219"/>
        <v>0</v>
      </c>
      <c r="AN449" s="292">
        <f t="shared" si="194"/>
        <v>0</v>
      </c>
      <c r="AO449" s="292">
        <f t="shared" si="195"/>
        <v>0</v>
      </c>
      <c r="AP449" s="292">
        <f t="shared" si="196"/>
        <v>0</v>
      </c>
      <c r="AQ449" s="292">
        <f t="shared" si="197"/>
        <v>0</v>
      </c>
      <c r="AR449" s="292">
        <f t="shared" si="198"/>
        <v>0</v>
      </c>
      <c r="AS449" s="292">
        <f t="shared" si="199"/>
        <v>0</v>
      </c>
      <c r="AT449" s="292">
        <f t="shared" si="200"/>
        <v>0</v>
      </c>
      <c r="AU449" s="292">
        <f t="shared" si="201"/>
        <v>0</v>
      </c>
      <c r="AV449" s="292">
        <f t="shared" si="202"/>
        <v>0</v>
      </c>
      <c r="AW449" s="292">
        <f t="shared" si="203"/>
        <v>0</v>
      </c>
      <c r="AX449" s="292">
        <f t="shared" si="204"/>
        <v>0</v>
      </c>
      <c r="AY449" s="292">
        <f t="shared" si="205"/>
        <v>0</v>
      </c>
      <c r="AZ449" s="292">
        <f t="shared" si="206"/>
        <v>0</v>
      </c>
      <c r="BA449" s="292">
        <f t="shared" si="207"/>
        <v>0</v>
      </c>
      <c r="BB449" s="292">
        <f t="shared" si="208"/>
        <v>0</v>
      </c>
      <c r="BC449" s="292">
        <f t="shared" si="209"/>
        <v>0</v>
      </c>
      <c r="BD449" s="292">
        <f t="shared" si="210"/>
        <v>0</v>
      </c>
      <c r="BE449" s="292">
        <f t="shared" si="211"/>
        <v>0</v>
      </c>
      <c r="BF449" s="292">
        <f t="shared" si="212"/>
        <v>0</v>
      </c>
      <c r="BG449" s="292">
        <f t="shared" si="213"/>
        <v>0</v>
      </c>
    </row>
    <row r="450" spans="1:60" s="289" customFormat="1" ht="15" customHeight="1">
      <c r="A450" s="63" t="str">
        <f t="array" ref="A450">IF(C450&lt;&gt;0,SUM(($C$11:C450&lt;&gt;0)*1),"")</f>
        <v/>
      </c>
      <c r="B450" s="1100"/>
      <c r="C450" s="296"/>
      <c r="D450" s="1100"/>
      <c r="E450" s="291"/>
      <c r="F450" s="65"/>
      <c r="G450" s="297"/>
      <c r="H450" s="297"/>
      <c r="I450" s="63" t="str">
        <f t="shared" ref="I450" si="227">A450</f>
        <v/>
      </c>
      <c r="J450" s="292">
        <f t="shared" si="1"/>
        <v>0</v>
      </c>
      <c r="K450" s="292">
        <f t="shared" si="2"/>
        <v>0</v>
      </c>
      <c r="L450" s="292">
        <f t="shared" si="3"/>
        <v>0</v>
      </c>
      <c r="M450" s="292">
        <f t="shared" si="4"/>
        <v>0</v>
      </c>
      <c r="N450" s="292">
        <f t="shared" si="39"/>
        <v>0</v>
      </c>
      <c r="O450" s="292">
        <f t="shared" si="40"/>
        <v>0</v>
      </c>
      <c r="P450" s="292">
        <f t="shared" si="5"/>
        <v>0</v>
      </c>
      <c r="Q450" s="292">
        <f t="shared" si="6"/>
        <v>0</v>
      </c>
      <c r="R450" s="292">
        <f t="shared" si="220"/>
        <v>0</v>
      </c>
      <c r="S450" s="292">
        <f t="shared" si="221"/>
        <v>0</v>
      </c>
      <c r="T450" s="292">
        <f t="shared" si="7"/>
        <v>0</v>
      </c>
      <c r="U450" s="292">
        <f t="shared" si="8"/>
        <v>0</v>
      </c>
      <c r="V450" s="292">
        <f t="shared" si="222"/>
        <v>0</v>
      </c>
      <c r="W450" s="292">
        <f t="shared" si="223"/>
        <v>0</v>
      </c>
      <c r="X450" s="292">
        <f t="shared" si="224"/>
        <v>0</v>
      </c>
      <c r="Y450" s="292">
        <f t="shared" si="225"/>
        <v>0</v>
      </c>
      <c r="Z450" s="292">
        <f t="shared" si="47"/>
        <v>0</v>
      </c>
      <c r="AA450" s="292">
        <f t="shared" si="48"/>
        <v>0</v>
      </c>
      <c r="AB450" s="292">
        <f t="shared" si="9"/>
        <v>0</v>
      </c>
      <c r="AC450" s="292">
        <f t="shared" si="10"/>
        <v>0</v>
      </c>
      <c r="AD450" s="292">
        <f t="shared" si="11"/>
        <v>0</v>
      </c>
      <c r="AE450" s="292">
        <f t="shared" si="12"/>
        <v>0</v>
      </c>
      <c r="AF450" s="292">
        <f t="shared" si="13"/>
        <v>0</v>
      </c>
      <c r="AG450" s="292">
        <f t="shared" si="14"/>
        <v>0</v>
      </c>
      <c r="AH450" s="292">
        <f t="shared" si="15"/>
        <v>0</v>
      </c>
      <c r="AI450" s="292">
        <f t="shared" si="16"/>
        <v>0</v>
      </c>
      <c r="AJ450" s="292">
        <f t="shared" si="17"/>
        <v>0</v>
      </c>
      <c r="AK450" s="292">
        <f t="shared" si="18"/>
        <v>0</v>
      </c>
      <c r="AL450" s="292">
        <f t="shared" si="49"/>
        <v>0</v>
      </c>
      <c r="AM450" s="292">
        <f t="shared" si="50"/>
        <v>0</v>
      </c>
      <c r="AN450" s="292">
        <f t="shared" si="19"/>
        <v>0</v>
      </c>
      <c r="AO450" s="292">
        <f t="shared" si="20"/>
        <v>0</v>
      </c>
      <c r="AP450" s="292">
        <f t="shared" si="21"/>
        <v>0</v>
      </c>
      <c r="AQ450" s="292">
        <f t="shared" si="22"/>
        <v>0</v>
      </c>
      <c r="AR450" s="292">
        <f t="shared" si="23"/>
        <v>0</v>
      </c>
      <c r="AS450" s="292">
        <f t="shared" si="24"/>
        <v>0</v>
      </c>
      <c r="AT450" s="292">
        <f t="shared" si="25"/>
        <v>0</v>
      </c>
      <c r="AU450" s="292">
        <f t="shared" si="26"/>
        <v>0</v>
      </c>
      <c r="AV450" s="292">
        <f t="shared" si="27"/>
        <v>0</v>
      </c>
      <c r="AW450" s="292">
        <f t="shared" si="28"/>
        <v>0</v>
      </c>
      <c r="AX450" s="292">
        <f t="shared" si="29"/>
        <v>0</v>
      </c>
      <c r="AY450" s="292">
        <f t="shared" si="30"/>
        <v>0</v>
      </c>
      <c r="AZ450" s="292">
        <f t="shared" si="31"/>
        <v>0</v>
      </c>
      <c r="BA450" s="292">
        <f t="shared" si="32"/>
        <v>0</v>
      </c>
      <c r="BB450" s="292">
        <f t="shared" si="33"/>
        <v>0</v>
      </c>
      <c r="BC450" s="292">
        <f t="shared" si="34"/>
        <v>0</v>
      </c>
      <c r="BD450" s="292">
        <f t="shared" si="35"/>
        <v>0</v>
      </c>
      <c r="BE450" s="292">
        <f t="shared" si="36"/>
        <v>0</v>
      </c>
      <c r="BF450" s="292">
        <f t="shared" si="37"/>
        <v>0</v>
      </c>
      <c r="BG450" s="292">
        <f t="shared" si="38"/>
        <v>0</v>
      </c>
    </row>
    <row r="451" spans="1:60" s="289" customFormat="1" ht="15" customHeight="1">
      <c r="A451" s="63" t="str">
        <f t="array" ref="A451">IF(C451&lt;&gt;0,SUM(($C$11:C451&lt;&gt;0)*1),"")</f>
        <v/>
      </c>
      <c r="B451" s="1100"/>
      <c r="C451" s="298"/>
      <c r="D451" s="1100"/>
      <c r="E451" s="291" t="s">
        <v>260</v>
      </c>
      <c r="F451" s="292"/>
      <c r="G451" s="297"/>
      <c r="H451" s="297"/>
      <c r="I451" s="298"/>
      <c r="J451" s="292">
        <f t="shared" ref="J451:P451" si="228">SUM(J11:J450)</f>
        <v>4472000000</v>
      </c>
      <c r="K451" s="292">
        <f t="shared" si="228"/>
        <v>5332259831</v>
      </c>
      <c r="L451" s="292">
        <f t="shared" si="228"/>
        <v>6620715947</v>
      </c>
      <c r="M451" s="292">
        <f t="shared" si="228"/>
        <v>8313972335</v>
      </c>
      <c r="N451" s="292">
        <f t="shared" si="228"/>
        <v>1962840000</v>
      </c>
      <c r="O451" s="292">
        <f t="shared" si="228"/>
        <v>1962840000</v>
      </c>
      <c r="P451" s="292">
        <f t="shared" si="228"/>
        <v>62811209</v>
      </c>
      <c r="Q451" s="292">
        <f t="shared" ref="Q451:S451" si="229">SUM(Q11:Q450)</f>
        <v>0</v>
      </c>
      <c r="R451" s="292">
        <f t="shared" si="229"/>
        <v>766939453</v>
      </c>
      <c r="S451" s="292">
        <f t="shared" si="229"/>
        <v>1219554047</v>
      </c>
      <c r="T451" s="292">
        <f t="shared" ref="T451:BG451" si="230">SUM(T11:T450)</f>
        <v>1219554047</v>
      </c>
      <c r="U451" s="292">
        <f t="shared" si="230"/>
        <v>0</v>
      </c>
      <c r="V451" s="292">
        <f t="shared" si="230"/>
        <v>37200000</v>
      </c>
      <c r="W451" s="292">
        <f t="shared" si="230"/>
        <v>0</v>
      </c>
      <c r="X451" s="292">
        <f t="shared" si="230"/>
        <v>241808400</v>
      </c>
      <c r="Y451" s="292">
        <f t="shared" si="230"/>
        <v>0</v>
      </c>
      <c r="Z451" s="292">
        <f t="shared" si="230"/>
        <v>8748192551</v>
      </c>
      <c r="AA451" s="292">
        <f t="shared" si="230"/>
        <v>0</v>
      </c>
      <c r="AB451" s="292">
        <f t="shared" si="230"/>
        <v>2854957314</v>
      </c>
      <c r="AC451" s="292">
        <f t="shared" si="230"/>
        <v>8762476509</v>
      </c>
      <c r="AD451" s="292">
        <f t="shared" si="230"/>
        <v>0</v>
      </c>
      <c r="AE451" s="292">
        <f t="shared" si="230"/>
        <v>0</v>
      </c>
      <c r="AF451" s="292">
        <f t="shared" si="230"/>
        <v>1500000</v>
      </c>
      <c r="AG451" s="292">
        <f t="shared" si="230"/>
        <v>1500000</v>
      </c>
      <c r="AH451" s="292">
        <f t="shared" si="230"/>
        <v>2405000000</v>
      </c>
      <c r="AI451" s="292">
        <f t="shared" si="230"/>
        <v>4405000000</v>
      </c>
      <c r="AJ451" s="292">
        <f t="shared" si="230"/>
        <v>0</v>
      </c>
      <c r="AK451" s="292">
        <f t="shared" si="230"/>
        <v>0</v>
      </c>
      <c r="AL451" s="292">
        <f t="shared" si="230"/>
        <v>1982640000</v>
      </c>
      <c r="AM451" s="292">
        <f t="shared" si="230"/>
        <v>1961520000</v>
      </c>
      <c r="AN451" s="292">
        <f t="shared" si="230"/>
        <v>0</v>
      </c>
      <c r="AO451" s="292">
        <f t="shared" si="230"/>
        <v>0</v>
      </c>
      <c r="AP451" s="292">
        <f t="shared" si="230"/>
        <v>359476733</v>
      </c>
      <c r="AQ451" s="292">
        <f t="shared" si="230"/>
        <v>0</v>
      </c>
      <c r="AR451" s="292">
        <f t="shared" si="230"/>
        <v>650934626</v>
      </c>
      <c r="AS451" s="292">
        <f t="shared" si="230"/>
        <v>359476733</v>
      </c>
      <c r="AT451" s="292">
        <f t="shared" si="230"/>
        <v>19995947</v>
      </c>
      <c r="AU451" s="292">
        <f t="shared" si="230"/>
        <v>19995947</v>
      </c>
      <c r="AV451" s="292">
        <f t="shared" si="230"/>
        <v>1005486220</v>
      </c>
      <c r="AW451" s="292">
        <f t="shared" si="230"/>
        <v>1005486220</v>
      </c>
      <c r="AX451" s="292">
        <f t="shared" si="230"/>
        <v>670930573</v>
      </c>
      <c r="AY451" s="292">
        <f t="shared" si="230"/>
        <v>670930573</v>
      </c>
      <c r="AZ451" s="292">
        <f t="shared" si="230"/>
        <v>0</v>
      </c>
      <c r="BA451" s="292">
        <f t="shared" si="230"/>
        <v>0</v>
      </c>
      <c r="BB451" s="292">
        <f t="shared" si="230"/>
        <v>0</v>
      </c>
      <c r="BC451" s="292">
        <f t="shared" si="230"/>
        <v>0</v>
      </c>
      <c r="BD451" s="292">
        <f t="shared" si="230"/>
        <v>0</v>
      </c>
      <c r="BE451" s="292">
        <f t="shared" si="230"/>
        <v>0</v>
      </c>
      <c r="BF451" s="292">
        <f t="shared" si="230"/>
        <v>670930573</v>
      </c>
      <c r="BG451" s="292">
        <f t="shared" si="230"/>
        <v>670930573</v>
      </c>
    </row>
    <row r="452" spans="1:60" s="289" customFormat="1" ht="15" customHeight="1">
      <c r="A452" s="299"/>
      <c r="B452" s="1101"/>
      <c r="C452" s="299"/>
      <c r="D452" s="1101"/>
      <c r="E452" s="300" t="s">
        <v>301</v>
      </c>
      <c r="F452" s="299"/>
      <c r="G452" s="301"/>
      <c r="H452" s="301"/>
      <c r="I452" s="299"/>
      <c r="J452" s="302">
        <f>MAX(J10+J451-K10-K451,0)</f>
        <v>481905579</v>
      </c>
      <c r="K452" s="302">
        <f>MAX(K10+K451-J10-J451,0)</f>
        <v>0</v>
      </c>
      <c r="L452" s="302">
        <f>MAX(L10+L451-M10-M451,0)</f>
        <v>1518304</v>
      </c>
      <c r="M452" s="302">
        <f>MAX(M10+M451-L10-L451,0)</f>
        <v>0</v>
      </c>
      <c r="N452" s="302">
        <f>MAX(N10+N451-O10-O451,0)</f>
        <v>0</v>
      </c>
      <c r="O452" s="302">
        <f>MAX(O10+O451-N10-N451,0)</f>
        <v>0</v>
      </c>
      <c r="P452" s="302">
        <f>MAX(P10+P451-Q10-Q451,0)</f>
        <v>62811209</v>
      </c>
      <c r="Q452" s="302">
        <f>MAX(Q10+Q451-P10-P451,0)</f>
        <v>0</v>
      </c>
      <c r="R452" s="302">
        <f>MAX(R10+R451-S10-S451,0)</f>
        <v>0</v>
      </c>
      <c r="S452" s="302">
        <f>MAX(S10+S451-R10-R451,0)</f>
        <v>0</v>
      </c>
      <c r="T452" s="302">
        <f>MAX(T10+T451-U10-U451,0)</f>
        <v>1219554047</v>
      </c>
      <c r="U452" s="302">
        <f>MAX(U10+U451-T10-T451,0)</f>
        <v>0</v>
      </c>
      <c r="V452" s="302">
        <f>MAX(V10+V451-W10-W451,0)</f>
        <v>37200000</v>
      </c>
      <c r="W452" s="302">
        <f>MAX(W10+W451-V10-V451,0)</f>
        <v>0</v>
      </c>
      <c r="X452" s="302">
        <f>MAX(X10+X451-Y10-Y451,0)</f>
        <v>241808400</v>
      </c>
      <c r="Y452" s="302">
        <f>MAX(Y10+Y451-X10-X451,0)</f>
        <v>0</v>
      </c>
      <c r="Z452" s="302">
        <f>MAX(Z10+Z451-AA10-AA451,0)</f>
        <v>31348179853</v>
      </c>
      <c r="AA452" s="302">
        <f>MAX(AA10+AA451-Z10-Z451,0)</f>
        <v>0</v>
      </c>
      <c r="AB452" s="302">
        <f>MAX(AB10+AB451-AC10-AC451,0)</f>
        <v>0</v>
      </c>
      <c r="AC452" s="302">
        <f>MAX(AC10+AC451-AB10-AB451,0)</f>
        <v>1597487431</v>
      </c>
      <c r="AD452" s="302">
        <f>MAX(AD10+AD451-AE10-AE451,0)</f>
        <v>0</v>
      </c>
      <c r="AE452" s="302">
        <f>MAX(AE10+AE451-AD10-AD451,0)</f>
        <v>0</v>
      </c>
      <c r="AF452" s="302">
        <f>MAX(AF10+AF451-AG10-AG451,0)</f>
        <v>0</v>
      </c>
      <c r="AG452" s="302">
        <f>MAX(AG10+AG451-AF10-AF451,0)</f>
        <v>0</v>
      </c>
      <c r="AH452" s="302">
        <f>MAX(AH10+AH451-AI10-AI451,0)</f>
        <v>0</v>
      </c>
      <c r="AI452" s="302">
        <f>MAX(AI10+AI451-AH10-AH451,0)</f>
        <v>7000000000</v>
      </c>
      <c r="AJ452" s="302">
        <f>MAX(AJ10+AJ451-AK10-AK451,0)</f>
        <v>0</v>
      </c>
      <c r="AK452" s="302">
        <f>MAX(AK10+AK451-AJ10-AJ451,0)</f>
        <v>20000000000</v>
      </c>
      <c r="AL452" s="302">
        <f>MAX(AL10+AL451-AM10-AM451,0)</f>
        <v>0</v>
      </c>
      <c r="AM452" s="302">
        <f>MAX(AM10+AM451-AL10-AL451,0)</f>
        <v>1961520000</v>
      </c>
      <c r="AN452" s="302">
        <f>MAX(AN10+AN451-AO10-AO451,0)</f>
        <v>0</v>
      </c>
      <c r="AO452" s="302">
        <f>MAX(AO10+AO451-AN10-AN451,0)</f>
        <v>4000000000</v>
      </c>
      <c r="AP452" s="302">
        <f>MAX(AP10+AP451-AQ10-AQ451,0)</f>
        <v>583066238</v>
      </c>
      <c r="AQ452" s="302">
        <f>MAX(AQ10+AQ451-AP10-AP451,0)</f>
        <v>0</v>
      </c>
      <c r="AR452" s="302">
        <f>MAX(AR10+AR451-AS10-AS451,0)</f>
        <v>650934626</v>
      </c>
      <c r="AS452" s="302">
        <f>MAX(AS10+AS451-AR10-AR451,0)</f>
        <v>0</v>
      </c>
      <c r="AT452" s="302">
        <f>MAX(AT10+AT451-AU10-AU451,0)</f>
        <v>0</v>
      </c>
      <c r="AU452" s="302">
        <f>MAX(AU10+AU451-AT10-AT451,0)</f>
        <v>0</v>
      </c>
      <c r="AV452" s="302">
        <f>MAX(AV10+AV451-AW10-AW451,0)</f>
        <v>0</v>
      </c>
      <c r="AW452" s="302">
        <f>MAX(AW10+AW451-AV10-AV451,0)</f>
        <v>0</v>
      </c>
      <c r="AX452" s="302">
        <f>MAX(AX10+AX451-AY10-AY451,0)</f>
        <v>0</v>
      </c>
      <c r="AY452" s="302">
        <f>MAX(AY10+AY451-AX10-AX451,0)</f>
        <v>0</v>
      </c>
      <c r="AZ452" s="302">
        <f>MAX(AZ10+AZ451-BA10-BA451,0)</f>
        <v>0</v>
      </c>
      <c r="BA452" s="302">
        <f>MAX(BA10+BA451-AZ10-AZ451,0)</f>
        <v>0</v>
      </c>
      <c r="BB452" s="302">
        <f>MAX(BB10+BB451-BC10-BC451,0)</f>
        <v>0</v>
      </c>
      <c r="BC452" s="302">
        <f>MAX(BC10+BC451-BB10-BB451,0)</f>
        <v>0</v>
      </c>
      <c r="BD452" s="302">
        <f>MAX(BD10+BD451-BE10-BE451,0)</f>
        <v>0</v>
      </c>
      <c r="BE452" s="302">
        <f>MAX(BE10+BE451-BD10-BD451,0)</f>
        <v>0</v>
      </c>
      <c r="BF452" s="302">
        <f>MAX(BF10+BF451-BG10-BG451,0)</f>
        <v>0</v>
      </c>
      <c r="BG452" s="302">
        <f>MAX(BG10+BG451-BF10-BF451,0)</f>
        <v>0</v>
      </c>
    </row>
    <row r="453" spans="1:60" s="289" customFormat="1" ht="15" customHeight="1">
      <c r="A453" s="303"/>
      <c r="B453" s="1102"/>
      <c r="C453" s="304"/>
      <c r="D453" s="1102"/>
      <c r="E453" s="305" t="s">
        <v>302</v>
      </c>
      <c r="F453" s="303"/>
      <c r="G453" s="306"/>
      <c r="H453" s="306"/>
      <c r="I453" s="303"/>
      <c r="J453" s="307">
        <f>J451</f>
        <v>4472000000</v>
      </c>
      <c r="K453" s="307">
        <f>K451</f>
        <v>5332259831</v>
      </c>
      <c r="L453" s="307">
        <f t="shared" ref="L453:BG453" si="231">L451</f>
        <v>6620715947</v>
      </c>
      <c r="M453" s="307">
        <f t="shared" si="231"/>
        <v>8313972335</v>
      </c>
      <c r="N453" s="307">
        <f t="shared" ref="N453:S453" si="232">N451</f>
        <v>1962840000</v>
      </c>
      <c r="O453" s="307">
        <f t="shared" si="232"/>
        <v>1962840000</v>
      </c>
      <c r="P453" s="307">
        <f t="shared" si="232"/>
        <v>62811209</v>
      </c>
      <c r="Q453" s="307">
        <f t="shared" si="232"/>
        <v>0</v>
      </c>
      <c r="R453" s="307">
        <f t="shared" si="232"/>
        <v>766939453</v>
      </c>
      <c r="S453" s="307">
        <f t="shared" si="232"/>
        <v>1219554047</v>
      </c>
      <c r="T453" s="307">
        <f t="shared" si="231"/>
        <v>1219554047</v>
      </c>
      <c r="U453" s="307">
        <f t="shared" si="231"/>
        <v>0</v>
      </c>
      <c r="V453" s="307">
        <f t="shared" ref="V453:W453" si="233">V451</f>
        <v>37200000</v>
      </c>
      <c r="W453" s="307">
        <f t="shared" si="233"/>
        <v>0</v>
      </c>
      <c r="X453" s="307">
        <f t="shared" ref="X453:Y453" si="234">X451</f>
        <v>241808400</v>
      </c>
      <c r="Y453" s="307">
        <f t="shared" si="234"/>
        <v>0</v>
      </c>
      <c r="Z453" s="307">
        <f t="shared" si="231"/>
        <v>8748192551</v>
      </c>
      <c r="AA453" s="307">
        <f t="shared" si="231"/>
        <v>0</v>
      </c>
      <c r="AB453" s="307">
        <f t="shared" si="231"/>
        <v>2854957314</v>
      </c>
      <c r="AC453" s="307">
        <f t="shared" si="231"/>
        <v>8762476509</v>
      </c>
      <c r="AD453" s="307">
        <f t="shared" si="231"/>
        <v>0</v>
      </c>
      <c r="AE453" s="307">
        <f t="shared" si="231"/>
        <v>0</v>
      </c>
      <c r="AF453" s="307">
        <f t="shared" si="231"/>
        <v>1500000</v>
      </c>
      <c r="AG453" s="307">
        <f t="shared" si="231"/>
        <v>1500000</v>
      </c>
      <c r="AH453" s="307">
        <f>AH451</f>
        <v>2405000000</v>
      </c>
      <c r="AI453" s="307">
        <f t="shared" si="231"/>
        <v>4405000000</v>
      </c>
      <c r="AJ453" s="307">
        <f t="shared" si="231"/>
        <v>0</v>
      </c>
      <c r="AK453" s="307">
        <f t="shared" si="231"/>
        <v>0</v>
      </c>
      <c r="AL453" s="307">
        <f>AL451</f>
        <v>1982640000</v>
      </c>
      <c r="AM453" s="307">
        <f>AM451</f>
        <v>1961520000</v>
      </c>
      <c r="AN453" s="307">
        <f t="shared" si="231"/>
        <v>0</v>
      </c>
      <c r="AO453" s="307">
        <f t="shared" si="231"/>
        <v>0</v>
      </c>
      <c r="AP453" s="307">
        <f t="shared" si="231"/>
        <v>359476733</v>
      </c>
      <c r="AQ453" s="307">
        <f t="shared" si="231"/>
        <v>0</v>
      </c>
      <c r="AR453" s="307">
        <f t="shared" si="231"/>
        <v>650934626</v>
      </c>
      <c r="AS453" s="307">
        <f t="shared" si="231"/>
        <v>359476733</v>
      </c>
      <c r="AT453" s="307">
        <f t="shared" si="231"/>
        <v>19995947</v>
      </c>
      <c r="AU453" s="307">
        <f t="shared" si="231"/>
        <v>19995947</v>
      </c>
      <c r="AV453" s="307">
        <f t="shared" si="231"/>
        <v>1005486220</v>
      </c>
      <c r="AW453" s="307">
        <f t="shared" si="231"/>
        <v>1005486220</v>
      </c>
      <c r="AX453" s="307">
        <f t="shared" si="231"/>
        <v>670930573</v>
      </c>
      <c r="AY453" s="307">
        <f t="shared" si="231"/>
        <v>670930573</v>
      </c>
      <c r="AZ453" s="307">
        <f t="shared" si="231"/>
        <v>0</v>
      </c>
      <c r="BA453" s="307">
        <f t="shared" si="231"/>
        <v>0</v>
      </c>
      <c r="BB453" s="307">
        <f t="shared" si="231"/>
        <v>0</v>
      </c>
      <c r="BC453" s="307">
        <f t="shared" si="231"/>
        <v>0</v>
      </c>
      <c r="BD453" s="307">
        <f>BD451</f>
        <v>0</v>
      </c>
      <c r="BE453" s="307">
        <f>BE451</f>
        <v>0</v>
      </c>
      <c r="BF453" s="307">
        <f t="shared" si="231"/>
        <v>670930573</v>
      </c>
      <c r="BG453" s="307">
        <f t="shared" si="231"/>
        <v>670930573</v>
      </c>
    </row>
    <row r="454" spans="1:60" ht="12" customHeight="1">
      <c r="B454" s="1103"/>
      <c r="C454" s="309"/>
      <c r="D454" s="1105"/>
      <c r="E454" s="309"/>
      <c r="F454" s="309"/>
      <c r="G454" s="310"/>
      <c r="H454" s="310"/>
      <c r="I454" s="309"/>
      <c r="J454" s="309"/>
      <c r="K454" s="309"/>
    </row>
    <row r="455" spans="1:60">
      <c r="F455" s="311"/>
      <c r="M455" s="311"/>
      <c r="O455" s="311"/>
      <c r="Q455" s="311"/>
      <c r="S455" s="311"/>
      <c r="T455" s="311"/>
      <c r="U455" s="311"/>
      <c r="V455" s="311"/>
      <c r="W455" s="311"/>
      <c r="X455" s="311"/>
      <c r="Y455" s="311"/>
      <c r="Z455" s="311"/>
      <c r="AA455" s="311"/>
      <c r="AB455" s="311"/>
      <c r="AV455" s="312" t="s">
        <v>1046</v>
      </c>
      <c r="AW455" s="313"/>
      <c r="AX455" s="313"/>
      <c r="AY455" s="314"/>
      <c r="AZ455" s="313"/>
    </row>
    <row r="456" spans="1:60">
      <c r="F456" s="311"/>
      <c r="M456" s="311"/>
      <c r="O456" s="311"/>
      <c r="Q456" s="311"/>
      <c r="S456" s="311"/>
      <c r="T456" s="311"/>
      <c r="U456" s="311"/>
      <c r="V456" s="311"/>
      <c r="W456" s="311"/>
      <c r="X456" s="311"/>
      <c r="Y456" s="311"/>
      <c r="Z456" s="311"/>
      <c r="AA456" s="311"/>
      <c r="AB456" s="311"/>
      <c r="AV456" s="315" t="s">
        <v>1047</v>
      </c>
      <c r="AW456" s="313"/>
      <c r="AX456" s="313"/>
      <c r="AY456" s="314"/>
      <c r="AZ456" s="313"/>
    </row>
    <row r="457" spans="1:60">
      <c r="F457" s="311"/>
      <c r="M457" s="311"/>
      <c r="O457" s="311"/>
      <c r="Q457" s="311"/>
      <c r="S457" s="311"/>
      <c r="T457" s="311"/>
      <c r="U457" s="311"/>
      <c r="V457" s="311"/>
      <c r="W457" s="311"/>
      <c r="X457" s="311"/>
      <c r="Y457" s="311"/>
      <c r="Z457" s="311"/>
      <c r="AA457" s="311"/>
      <c r="AB457" s="311"/>
      <c r="AV457" s="313"/>
      <c r="AW457" s="313"/>
      <c r="AX457" s="313"/>
      <c r="AY457" s="313"/>
      <c r="AZ457" s="314"/>
    </row>
    <row r="458" spans="1:60">
      <c r="F458" s="311"/>
      <c r="AV458" s="313"/>
      <c r="AW458" s="313"/>
      <c r="AX458" s="313"/>
      <c r="BG458" s="313"/>
      <c r="BH458" s="316" t="str">
        <f>"Ngày 30 tháng 06 năm 2016 "</f>
        <v xml:space="preserve">Ngày 30 tháng 06 năm 2016 </v>
      </c>
    </row>
    <row r="459" spans="1:60">
      <c r="F459" s="311"/>
      <c r="M459" s="311"/>
      <c r="O459" s="311"/>
      <c r="Q459" s="311"/>
      <c r="S459" s="311"/>
      <c r="T459" s="311"/>
      <c r="U459" s="311"/>
      <c r="V459" s="311"/>
      <c r="W459" s="311"/>
      <c r="X459" s="311"/>
      <c r="Y459" s="311"/>
      <c r="Z459" s="311"/>
      <c r="AA459" s="311"/>
      <c r="AB459" s="311"/>
      <c r="AV459" s="313"/>
      <c r="AW459" s="317" t="s">
        <v>14</v>
      </c>
      <c r="AX459" s="313"/>
      <c r="AY459" s="318" t="s">
        <v>15</v>
      </c>
      <c r="BH459" s="317" t="s">
        <v>205</v>
      </c>
    </row>
    <row r="460" spans="1:60">
      <c r="F460" s="311"/>
      <c r="M460" s="311"/>
      <c r="O460" s="311"/>
      <c r="Q460" s="311"/>
      <c r="S460" s="311"/>
      <c r="T460" s="311"/>
      <c r="U460" s="311"/>
      <c r="V460" s="311"/>
      <c r="W460" s="311"/>
      <c r="X460" s="311"/>
      <c r="Y460" s="311"/>
      <c r="Z460" s="311"/>
      <c r="AA460" s="311"/>
      <c r="AB460" s="311"/>
      <c r="AV460" s="313"/>
      <c r="AW460" s="319" t="s">
        <v>16</v>
      </c>
      <c r="AX460" s="313"/>
      <c r="AY460" s="320" t="s">
        <v>16</v>
      </c>
      <c r="BH460" s="319" t="s">
        <v>240</v>
      </c>
    </row>
    <row r="461" spans="1:60">
      <c r="F461" s="311"/>
      <c r="M461" s="311"/>
      <c r="O461" s="311"/>
      <c r="Q461" s="311"/>
      <c r="S461" s="311"/>
      <c r="T461" s="311"/>
      <c r="U461" s="311"/>
      <c r="V461" s="311"/>
      <c r="W461" s="311"/>
      <c r="X461" s="311"/>
      <c r="Y461" s="311"/>
      <c r="Z461" s="311"/>
      <c r="AA461" s="311"/>
      <c r="AB461" s="311"/>
      <c r="AR461" s="313"/>
      <c r="AS461" s="313"/>
      <c r="AV461" s="313"/>
      <c r="AW461" s="313"/>
      <c r="AX461" s="313"/>
      <c r="AY461" s="313"/>
      <c r="AZ461" s="314"/>
      <c r="BF461" s="313"/>
    </row>
    <row r="462" spans="1:60">
      <c r="F462" s="311"/>
      <c r="M462" s="311"/>
      <c r="O462" s="311"/>
      <c r="Q462" s="311"/>
      <c r="S462" s="311"/>
      <c r="T462" s="311"/>
      <c r="U462" s="311"/>
      <c r="V462" s="311"/>
      <c r="W462" s="311"/>
      <c r="X462" s="311"/>
      <c r="Y462" s="311"/>
      <c r="Z462" s="311"/>
      <c r="AA462" s="311"/>
      <c r="AB462" s="311"/>
      <c r="BF462" s="313"/>
    </row>
    <row r="463" spans="1:60">
      <c r="F463" s="311"/>
      <c r="M463" s="311"/>
      <c r="O463" s="311"/>
      <c r="Q463" s="311"/>
      <c r="S463" s="311"/>
      <c r="T463" s="311"/>
      <c r="U463" s="311"/>
      <c r="V463" s="311"/>
      <c r="W463" s="311"/>
      <c r="X463" s="311"/>
      <c r="Y463" s="311"/>
      <c r="Z463" s="311"/>
      <c r="AA463" s="311"/>
      <c r="AB463" s="311"/>
    </row>
    <row r="464" spans="1:60">
      <c r="F464" s="311"/>
      <c r="M464" s="311"/>
      <c r="O464" s="311"/>
      <c r="Q464" s="311"/>
      <c r="S464" s="311"/>
      <c r="T464" s="311"/>
      <c r="U464" s="311"/>
      <c r="V464" s="311"/>
      <c r="W464" s="311"/>
      <c r="X464" s="311"/>
      <c r="Y464" s="311"/>
      <c r="Z464" s="311"/>
      <c r="AA464" s="311"/>
      <c r="AB464" s="311"/>
    </row>
    <row r="465" spans="6:28">
      <c r="F465" s="311"/>
    </row>
    <row r="466" spans="6:28">
      <c r="F466" s="311"/>
      <c r="M466" s="311"/>
      <c r="O466" s="311"/>
      <c r="Q466" s="311"/>
      <c r="S466" s="311"/>
      <c r="T466" s="311"/>
      <c r="U466" s="311"/>
      <c r="V466" s="311"/>
      <c r="W466" s="311"/>
      <c r="X466" s="311"/>
      <c r="Y466" s="311"/>
      <c r="Z466" s="311"/>
      <c r="AA466" s="311"/>
      <c r="AB466" s="311"/>
    </row>
    <row r="467" spans="6:28">
      <c r="F467" s="311"/>
      <c r="M467" s="311"/>
      <c r="O467" s="311"/>
      <c r="Q467" s="311"/>
      <c r="S467" s="311"/>
      <c r="T467" s="311"/>
      <c r="U467" s="311"/>
      <c r="V467" s="311"/>
      <c r="W467" s="311"/>
      <c r="X467" s="311"/>
      <c r="Y467" s="311"/>
      <c r="Z467" s="311"/>
      <c r="AA467" s="311"/>
      <c r="AB467" s="311"/>
    </row>
    <row r="468" spans="6:28">
      <c r="F468" s="311"/>
      <c r="M468" s="311"/>
      <c r="O468" s="311"/>
      <c r="Q468" s="311"/>
      <c r="S468" s="311"/>
      <c r="T468" s="311"/>
      <c r="U468" s="311"/>
      <c r="V468" s="311"/>
      <c r="W468" s="311"/>
      <c r="X468" s="311"/>
      <c r="Y468" s="311"/>
      <c r="Z468" s="311"/>
      <c r="AA468" s="311"/>
      <c r="AB468" s="311"/>
    </row>
    <row r="469" spans="6:28">
      <c r="F469" s="311"/>
      <c r="M469" s="311"/>
      <c r="O469" s="311"/>
      <c r="Q469" s="311"/>
      <c r="S469" s="311"/>
      <c r="T469" s="311"/>
      <c r="U469" s="311"/>
      <c r="V469" s="311"/>
      <c r="W469" s="311"/>
      <c r="X469" s="311"/>
      <c r="Y469" s="311"/>
      <c r="Z469" s="311"/>
      <c r="AA469" s="311"/>
      <c r="AB469" s="311"/>
    </row>
    <row r="470" spans="6:28">
      <c r="F470" s="311"/>
      <c r="M470" s="311"/>
      <c r="O470" s="311"/>
      <c r="Q470" s="311"/>
      <c r="S470" s="311"/>
      <c r="T470" s="311"/>
      <c r="U470" s="311"/>
      <c r="V470" s="311"/>
      <c r="W470" s="311"/>
      <c r="X470" s="311"/>
      <c r="Y470" s="311"/>
      <c r="Z470" s="311"/>
      <c r="AA470" s="311"/>
      <c r="AB470" s="311"/>
    </row>
    <row r="471" spans="6:28">
      <c r="F471" s="311"/>
      <c r="M471" s="311"/>
      <c r="O471" s="311"/>
      <c r="Q471" s="311"/>
      <c r="S471" s="311"/>
      <c r="T471" s="311"/>
      <c r="U471" s="311"/>
      <c r="V471" s="311"/>
      <c r="W471" s="311"/>
      <c r="X471" s="311"/>
      <c r="Y471" s="311"/>
      <c r="Z471" s="311"/>
      <c r="AA471" s="311"/>
      <c r="AB471" s="311"/>
    </row>
    <row r="472" spans="6:28">
      <c r="F472" s="311"/>
      <c r="M472" s="311"/>
      <c r="O472" s="311"/>
      <c r="Q472" s="311"/>
      <c r="S472" s="311"/>
      <c r="T472" s="311"/>
      <c r="U472" s="311"/>
      <c r="V472" s="311"/>
      <c r="W472" s="311"/>
      <c r="X472" s="311"/>
      <c r="Y472" s="311"/>
      <c r="Z472" s="311"/>
      <c r="AA472" s="311"/>
      <c r="AB472" s="311"/>
    </row>
    <row r="473" spans="6:28">
      <c r="F473" s="311"/>
      <c r="M473" s="311"/>
      <c r="O473" s="311"/>
      <c r="Q473" s="311"/>
      <c r="S473" s="311"/>
      <c r="T473" s="311"/>
      <c r="U473" s="311"/>
      <c r="V473" s="311"/>
      <c r="W473" s="311"/>
      <c r="X473" s="311"/>
      <c r="Y473" s="311"/>
      <c r="Z473" s="311"/>
      <c r="AA473" s="311"/>
      <c r="AB473" s="311"/>
    </row>
    <row r="474" spans="6:28">
      <c r="F474" s="311"/>
      <c r="M474" s="311"/>
      <c r="O474" s="311"/>
      <c r="Q474" s="311"/>
      <c r="S474" s="311"/>
      <c r="T474" s="311"/>
      <c r="U474" s="311"/>
      <c r="V474" s="311"/>
      <c r="W474" s="311"/>
      <c r="X474" s="311"/>
      <c r="Y474" s="311"/>
      <c r="Z474" s="311"/>
      <c r="AA474" s="311"/>
      <c r="AB474" s="311"/>
    </row>
    <row r="475" spans="6:28">
      <c r="F475" s="311"/>
      <c r="M475" s="311"/>
      <c r="O475" s="311"/>
      <c r="Q475" s="311"/>
      <c r="S475" s="311"/>
      <c r="T475" s="311"/>
      <c r="U475" s="311"/>
      <c r="V475" s="311"/>
      <c r="W475" s="311"/>
      <c r="X475" s="311"/>
      <c r="Y475" s="311"/>
      <c r="Z475" s="311"/>
      <c r="AA475" s="311"/>
      <c r="AB475" s="311"/>
    </row>
    <row r="476" spans="6:28">
      <c r="F476" s="311"/>
      <c r="M476" s="311"/>
      <c r="O476" s="311"/>
      <c r="Q476" s="311"/>
      <c r="S476" s="311"/>
      <c r="T476" s="311"/>
      <c r="U476" s="311"/>
      <c r="V476" s="311"/>
      <c r="W476" s="311"/>
      <c r="X476" s="311"/>
      <c r="Y476" s="311"/>
      <c r="Z476" s="311"/>
      <c r="AA476" s="311"/>
      <c r="AB476" s="311"/>
    </row>
    <row r="477" spans="6:28">
      <c r="F477" s="311"/>
      <c r="M477" s="311"/>
      <c r="O477" s="311"/>
      <c r="Q477" s="311"/>
      <c r="S477" s="311"/>
      <c r="T477" s="311"/>
      <c r="U477" s="311"/>
      <c r="V477" s="311"/>
      <c r="W477" s="311"/>
      <c r="X477" s="311"/>
      <c r="Y477" s="311"/>
      <c r="Z477" s="311"/>
      <c r="AA477" s="311"/>
      <c r="AB477" s="311"/>
    </row>
    <row r="478" spans="6:28">
      <c r="F478" s="311"/>
      <c r="M478" s="311"/>
      <c r="O478" s="311"/>
      <c r="Q478" s="311"/>
      <c r="S478" s="311"/>
      <c r="T478" s="311"/>
      <c r="U478" s="311"/>
      <c r="V478" s="311"/>
      <c r="W478" s="311"/>
      <c r="X478" s="311"/>
      <c r="Y478" s="311"/>
      <c r="Z478" s="311"/>
      <c r="AA478" s="311"/>
      <c r="AB478" s="311"/>
    </row>
    <row r="479" spans="6:28">
      <c r="F479" s="311"/>
      <c r="M479" s="311"/>
      <c r="O479" s="311"/>
      <c r="Q479" s="311"/>
      <c r="S479" s="311"/>
      <c r="T479" s="311"/>
      <c r="U479" s="311"/>
      <c r="V479" s="311"/>
      <c r="W479" s="311"/>
      <c r="X479" s="311"/>
      <c r="Y479" s="311"/>
      <c r="Z479" s="311"/>
      <c r="AA479" s="311"/>
      <c r="AB479" s="311"/>
    </row>
    <row r="480" spans="6:28">
      <c r="F480" s="311"/>
      <c r="M480" s="311"/>
      <c r="O480" s="311"/>
      <c r="Q480" s="311"/>
      <c r="S480" s="311"/>
      <c r="T480" s="311"/>
      <c r="U480" s="311"/>
      <c r="V480" s="311"/>
      <c r="W480" s="311"/>
      <c r="X480" s="311"/>
      <c r="Y480" s="311"/>
      <c r="Z480" s="311"/>
      <c r="AA480" s="311"/>
      <c r="AB480" s="311"/>
    </row>
    <row r="481" spans="6:28">
      <c r="F481" s="311"/>
      <c r="M481" s="311"/>
      <c r="O481" s="311"/>
      <c r="Q481" s="311"/>
      <c r="S481" s="311"/>
      <c r="T481" s="311"/>
      <c r="U481" s="311"/>
      <c r="V481" s="311"/>
      <c r="W481" s="311"/>
      <c r="X481" s="311"/>
      <c r="Y481" s="311"/>
      <c r="Z481" s="311"/>
      <c r="AA481" s="311"/>
      <c r="AB481" s="311"/>
    </row>
    <row r="482" spans="6:28">
      <c r="F482" s="311"/>
      <c r="M482" s="311"/>
      <c r="O482" s="311"/>
      <c r="Q482" s="311"/>
      <c r="S482" s="311"/>
      <c r="T482" s="311"/>
      <c r="U482" s="311"/>
      <c r="V482" s="311"/>
      <c r="W482" s="311"/>
      <c r="X482" s="311"/>
      <c r="Y482" s="311"/>
      <c r="Z482" s="311"/>
      <c r="AA482" s="311"/>
      <c r="AB482" s="311"/>
    </row>
    <row r="483" spans="6:28">
      <c r="F483" s="311"/>
      <c r="M483" s="311"/>
      <c r="O483" s="311"/>
      <c r="Q483" s="311"/>
      <c r="S483" s="311"/>
      <c r="T483" s="311"/>
      <c r="U483" s="311"/>
      <c r="V483" s="311"/>
      <c r="W483" s="311"/>
      <c r="X483" s="311"/>
      <c r="Y483" s="311"/>
      <c r="Z483" s="311"/>
      <c r="AA483" s="311"/>
      <c r="AB483" s="311"/>
    </row>
    <row r="484" spans="6:28">
      <c r="F484" s="311"/>
      <c r="M484" s="311"/>
      <c r="O484" s="311"/>
      <c r="Q484" s="311"/>
      <c r="S484" s="311"/>
      <c r="T484" s="311"/>
      <c r="U484" s="311"/>
      <c r="V484" s="311"/>
      <c r="W484" s="311"/>
      <c r="X484" s="311"/>
      <c r="Y484" s="311"/>
      <c r="Z484" s="311"/>
      <c r="AA484" s="311"/>
      <c r="AB484" s="311"/>
    </row>
    <row r="485" spans="6:28">
      <c r="F485" s="311"/>
      <c r="M485" s="311"/>
      <c r="O485" s="311"/>
      <c r="Q485" s="311"/>
      <c r="S485" s="311"/>
      <c r="T485" s="311"/>
      <c r="U485" s="311"/>
      <c r="V485" s="311"/>
      <c r="W485" s="311"/>
      <c r="X485" s="311"/>
      <c r="Y485" s="311"/>
      <c r="Z485" s="311"/>
      <c r="AA485" s="311"/>
      <c r="AB485" s="311"/>
    </row>
    <row r="486" spans="6:28">
      <c r="F486" s="311"/>
      <c r="M486" s="311"/>
      <c r="O486" s="311"/>
      <c r="Q486" s="311"/>
      <c r="S486" s="311"/>
      <c r="T486" s="311"/>
      <c r="U486" s="311"/>
      <c r="V486" s="311"/>
      <c r="W486" s="311"/>
      <c r="X486" s="311"/>
      <c r="Y486" s="311"/>
      <c r="Z486" s="311"/>
      <c r="AA486" s="311"/>
      <c r="AB486" s="311"/>
    </row>
    <row r="487" spans="6:28">
      <c r="F487" s="311"/>
      <c r="M487" s="311"/>
      <c r="O487" s="311"/>
      <c r="Q487" s="311"/>
      <c r="S487" s="311"/>
      <c r="T487" s="311"/>
      <c r="U487" s="311"/>
      <c r="V487" s="311"/>
      <c r="W487" s="311"/>
      <c r="X487" s="311"/>
      <c r="Y487" s="311"/>
      <c r="Z487" s="311"/>
      <c r="AA487" s="311"/>
      <c r="AB487" s="311"/>
    </row>
    <row r="488" spans="6:28">
      <c r="F488" s="311"/>
      <c r="M488" s="311"/>
      <c r="O488" s="311"/>
      <c r="Q488" s="311"/>
      <c r="S488" s="311"/>
      <c r="T488" s="311"/>
      <c r="U488" s="311"/>
      <c r="V488" s="311"/>
      <c r="W488" s="311"/>
      <c r="X488" s="311"/>
      <c r="Y488" s="311"/>
      <c r="Z488" s="311"/>
      <c r="AA488" s="311"/>
      <c r="AB488" s="311"/>
    </row>
    <row r="489" spans="6:28">
      <c r="F489" s="311"/>
      <c r="M489" s="311"/>
      <c r="O489" s="311"/>
      <c r="Q489" s="311"/>
      <c r="S489" s="311"/>
      <c r="T489" s="311"/>
      <c r="U489" s="311"/>
      <c r="V489" s="311"/>
      <c r="W489" s="311"/>
      <c r="X489" s="311"/>
      <c r="Y489" s="311"/>
      <c r="Z489" s="311"/>
      <c r="AA489" s="311"/>
      <c r="AB489" s="311"/>
    </row>
    <row r="490" spans="6:28">
      <c r="F490" s="311"/>
      <c r="M490" s="311"/>
      <c r="O490" s="311"/>
      <c r="Q490" s="311"/>
      <c r="S490" s="311"/>
      <c r="T490" s="311"/>
      <c r="U490" s="311"/>
      <c r="V490" s="311"/>
      <c r="W490" s="311"/>
      <c r="X490" s="311"/>
      <c r="Y490" s="311"/>
      <c r="Z490" s="311"/>
      <c r="AA490" s="311"/>
      <c r="AB490" s="311"/>
    </row>
    <row r="491" spans="6:28">
      <c r="F491" s="311"/>
      <c r="M491" s="311"/>
      <c r="O491" s="311"/>
      <c r="Q491" s="311"/>
      <c r="S491" s="311"/>
      <c r="T491" s="311"/>
      <c r="U491" s="311"/>
      <c r="V491" s="311"/>
      <c r="W491" s="311"/>
      <c r="X491" s="311"/>
      <c r="Y491" s="311"/>
      <c r="Z491" s="311"/>
      <c r="AA491" s="311"/>
      <c r="AB491" s="311"/>
    </row>
    <row r="492" spans="6:28">
      <c r="F492" s="311"/>
      <c r="M492" s="311"/>
      <c r="O492" s="311"/>
      <c r="Q492" s="311"/>
      <c r="S492" s="311"/>
      <c r="T492" s="311"/>
      <c r="U492" s="311"/>
      <c r="V492" s="311"/>
      <c r="W492" s="311"/>
      <c r="X492" s="311"/>
      <c r="Y492" s="311"/>
      <c r="Z492" s="311"/>
      <c r="AA492" s="311"/>
      <c r="AB492" s="311"/>
    </row>
    <row r="493" spans="6:28">
      <c r="F493" s="311"/>
      <c r="M493" s="311"/>
      <c r="O493" s="311"/>
      <c r="Q493" s="311"/>
      <c r="S493" s="311"/>
      <c r="T493" s="311"/>
      <c r="U493" s="311"/>
      <c r="V493" s="311"/>
      <c r="W493" s="311"/>
      <c r="X493" s="311"/>
      <c r="Y493" s="311"/>
      <c r="Z493" s="311"/>
      <c r="AA493" s="311"/>
      <c r="AB493" s="311"/>
    </row>
    <row r="494" spans="6:28">
      <c r="F494" s="311"/>
      <c r="M494" s="311"/>
      <c r="O494" s="311"/>
      <c r="Q494" s="311"/>
      <c r="S494" s="311"/>
      <c r="T494" s="311"/>
      <c r="U494" s="311"/>
      <c r="V494" s="311"/>
      <c r="W494" s="311"/>
      <c r="X494" s="311"/>
      <c r="Y494" s="311"/>
      <c r="Z494" s="311"/>
      <c r="AA494" s="311"/>
      <c r="AB494" s="311"/>
    </row>
    <row r="495" spans="6:28">
      <c r="F495" s="311"/>
      <c r="M495" s="311"/>
      <c r="O495" s="311"/>
      <c r="Q495" s="311"/>
      <c r="S495" s="311"/>
      <c r="T495" s="311"/>
      <c r="U495" s="311"/>
      <c r="V495" s="311"/>
      <c r="W495" s="311"/>
      <c r="X495" s="311"/>
      <c r="Y495" s="311"/>
      <c r="Z495" s="311"/>
      <c r="AA495" s="311"/>
      <c r="AB495" s="311"/>
    </row>
    <row r="496" spans="6:28">
      <c r="F496" s="311"/>
      <c r="M496" s="311"/>
      <c r="O496" s="311"/>
      <c r="Q496" s="311"/>
      <c r="S496" s="311"/>
      <c r="T496" s="311"/>
      <c r="U496" s="311"/>
      <c r="V496" s="311"/>
      <c r="W496" s="311"/>
      <c r="X496" s="311"/>
      <c r="Y496" s="311"/>
      <c r="Z496" s="311"/>
      <c r="AA496" s="311"/>
      <c r="AB496" s="311"/>
    </row>
    <row r="497" spans="6:28">
      <c r="F497" s="311"/>
      <c r="M497" s="311"/>
      <c r="O497" s="311"/>
      <c r="Q497" s="311"/>
      <c r="S497" s="311"/>
      <c r="T497" s="311"/>
      <c r="U497" s="311"/>
      <c r="V497" s="311"/>
      <c r="W497" s="311"/>
      <c r="X497" s="311"/>
      <c r="Y497" s="311"/>
      <c r="Z497" s="311"/>
      <c r="AA497" s="311"/>
      <c r="AB497" s="311"/>
    </row>
    <row r="498" spans="6:28">
      <c r="F498" s="311"/>
      <c r="M498" s="311"/>
      <c r="O498" s="311"/>
      <c r="Q498" s="311"/>
      <c r="S498" s="311"/>
      <c r="T498" s="311"/>
      <c r="U498" s="311"/>
      <c r="V498" s="311"/>
      <c r="W498" s="311"/>
      <c r="X498" s="311"/>
      <c r="Y498" s="311"/>
      <c r="Z498" s="311"/>
      <c r="AA498" s="311"/>
      <c r="AB498" s="311"/>
    </row>
    <row r="499" spans="6:28">
      <c r="F499" s="311"/>
      <c r="M499" s="311"/>
      <c r="O499" s="311"/>
      <c r="Q499" s="311"/>
      <c r="S499" s="311"/>
      <c r="T499" s="311"/>
      <c r="U499" s="311"/>
      <c r="V499" s="311"/>
      <c r="W499" s="311"/>
      <c r="X499" s="311"/>
      <c r="Y499" s="311"/>
      <c r="Z499" s="311"/>
      <c r="AA499" s="311"/>
      <c r="AB499" s="311"/>
    </row>
    <row r="500" spans="6:28">
      <c r="F500" s="311"/>
      <c r="M500" s="311"/>
      <c r="O500" s="311"/>
      <c r="Q500" s="311"/>
      <c r="S500" s="311"/>
      <c r="T500" s="311"/>
      <c r="U500" s="311"/>
      <c r="V500" s="311"/>
      <c r="W500" s="311"/>
      <c r="X500" s="311"/>
      <c r="Y500" s="311"/>
      <c r="Z500" s="311"/>
      <c r="AA500" s="311"/>
      <c r="AB500" s="311"/>
    </row>
    <row r="501" spans="6:28">
      <c r="F501" s="311"/>
      <c r="M501" s="311"/>
      <c r="O501" s="311"/>
      <c r="Q501" s="311"/>
      <c r="S501" s="311"/>
      <c r="T501" s="311"/>
      <c r="U501" s="311"/>
      <c r="V501" s="311"/>
      <c r="W501" s="311"/>
      <c r="X501" s="311"/>
      <c r="Y501" s="311"/>
      <c r="Z501" s="311"/>
      <c r="AA501" s="311"/>
      <c r="AB501" s="311"/>
    </row>
    <row r="502" spans="6:28">
      <c r="F502" s="311"/>
      <c r="M502" s="311"/>
      <c r="O502" s="311"/>
      <c r="Q502" s="311"/>
      <c r="S502" s="311"/>
      <c r="T502" s="311"/>
      <c r="U502" s="311"/>
      <c r="V502" s="311"/>
      <c r="W502" s="311"/>
      <c r="X502" s="311"/>
      <c r="Y502" s="311"/>
      <c r="Z502" s="311"/>
      <c r="AA502" s="311"/>
      <c r="AB502" s="311"/>
    </row>
    <row r="503" spans="6:28">
      <c r="F503" s="311"/>
      <c r="M503" s="311"/>
      <c r="O503" s="311"/>
      <c r="Q503" s="311"/>
      <c r="S503" s="311"/>
      <c r="T503" s="311"/>
      <c r="U503" s="311"/>
      <c r="V503" s="311"/>
      <c r="W503" s="311"/>
      <c r="X503" s="311"/>
      <c r="Y503" s="311"/>
      <c r="Z503" s="311"/>
      <c r="AA503" s="311"/>
      <c r="AB503" s="311"/>
    </row>
    <row r="504" spans="6:28">
      <c r="F504" s="311"/>
      <c r="M504" s="311"/>
      <c r="O504" s="311"/>
      <c r="Q504" s="311"/>
      <c r="S504" s="311"/>
      <c r="T504" s="311"/>
      <c r="U504" s="311"/>
      <c r="V504" s="311"/>
      <c r="W504" s="311"/>
      <c r="X504" s="311"/>
      <c r="Y504" s="311"/>
      <c r="Z504" s="311"/>
      <c r="AA504" s="311"/>
      <c r="AB504" s="311"/>
    </row>
    <row r="505" spans="6:28">
      <c r="F505" s="311"/>
      <c r="M505" s="311"/>
      <c r="O505" s="311"/>
      <c r="Q505" s="311"/>
      <c r="S505" s="311"/>
      <c r="T505" s="311"/>
      <c r="U505" s="311"/>
      <c r="V505" s="311"/>
      <c r="W505" s="311"/>
      <c r="X505" s="311"/>
      <c r="Y505" s="311"/>
      <c r="Z505" s="311"/>
      <c r="AA505" s="311"/>
      <c r="AB505" s="311"/>
    </row>
    <row r="506" spans="6:28">
      <c r="F506" s="311"/>
      <c r="M506" s="311"/>
      <c r="O506" s="311"/>
      <c r="Q506" s="311"/>
      <c r="S506" s="311"/>
      <c r="T506" s="311"/>
      <c r="U506" s="311"/>
      <c r="V506" s="311"/>
      <c r="W506" s="311"/>
      <c r="X506" s="311"/>
      <c r="Y506" s="311"/>
      <c r="Z506" s="311"/>
      <c r="AA506" s="311"/>
      <c r="AB506" s="311"/>
    </row>
    <row r="507" spans="6:28">
      <c r="F507" s="311"/>
      <c r="M507" s="311"/>
      <c r="O507" s="311"/>
      <c r="Q507" s="311"/>
      <c r="S507" s="311"/>
      <c r="T507" s="311"/>
      <c r="U507" s="311"/>
      <c r="V507" s="311"/>
      <c r="W507" s="311"/>
      <c r="X507" s="311"/>
      <c r="Y507" s="311"/>
      <c r="Z507" s="311"/>
      <c r="AA507" s="311"/>
      <c r="AB507" s="311"/>
    </row>
    <row r="508" spans="6:28">
      <c r="F508" s="311"/>
      <c r="M508" s="311"/>
      <c r="O508" s="311"/>
      <c r="Q508" s="311"/>
      <c r="S508" s="311"/>
      <c r="T508" s="311"/>
      <c r="U508" s="311"/>
      <c r="V508" s="311"/>
      <c r="W508" s="311"/>
      <c r="X508" s="311"/>
      <c r="Y508" s="311"/>
      <c r="Z508" s="311"/>
      <c r="AA508" s="311"/>
      <c r="AB508" s="311"/>
    </row>
    <row r="509" spans="6:28">
      <c r="F509" s="311"/>
      <c r="M509" s="311"/>
      <c r="O509" s="311"/>
      <c r="Q509" s="311"/>
      <c r="S509" s="311"/>
      <c r="T509" s="311"/>
      <c r="U509" s="311"/>
      <c r="V509" s="311"/>
      <c r="W509" s="311"/>
      <c r="X509" s="311"/>
      <c r="Y509" s="311"/>
      <c r="Z509" s="311"/>
      <c r="AA509" s="311"/>
      <c r="AB509" s="311"/>
    </row>
    <row r="510" spans="6:28">
      <c r="M510" s="311"/>
      <c r="O510" s="311"/>
      <c r="Q510" s="311"/>
      <c r="S510" s="311"/>
      <c r="T510" s="311"/>
      <c r="U510" s="311"/>
      <c r="V510" s="311"/>
      <c r="W510" s="311"/>
      <c r="X510" s="311"/>
      <c r="Y510" s="311"/>
      <c r="Z510" s="311"/>
      <c r="AA510" s="311"/>
      <c r="AB510" s="311"/>
    </row>
    <row r="511" spans="6:28">
      <c r="M511" s="311"/>
      <c r="O511" s="311"/>
      <c r="Q511" s="311"/>
      <c r="S511" s="311"/>
      <c r="T511" s="311"/>
      <c r="U511" s="311"/>
      <c r="V511" s="311"/>
      <c r="W511" s="311"/>
      <c r="X511" s="311"/>
      <c r="Y511" s="311"/>
      <c r="Z511" s="311"/>
      <c r="AA511" s="311"/>
      <c r="AB511" s="311"/>
    </row>
  </sheetData>
  <autoFilter ref="A9:BG453">
    <filterColumn colId="21"/>
    <filterColumn colId="22"/>
    <filterColumn colId="23"/>
    <filterColumn colId="24"/>
  </autoFilter>
  <mergeCells count="36">
    <mergeCell ref="B4:T4"/>
    <mergeCell ref="B5:T5"/>
    <mergeCell ref="A7:A8"/>
    <mergeCell ref="B7:B8"/>
    <mergeCell ref="C7:D7"/>
    <mergeCell ref="E7:E8"/>
    <mergeCell ref="F7:F8"/>
    <mergeCell ref="G7:H7"/>
    <mergeCell ref="N7:O7"/>
    <mergeCell ref="G1:K1"/>
    <mergeCell ref="G2:K2"/>
    <mergeCell ref="AN7:AO7"/>
    <mergeCell ref="I7:I8"/>
    <mergeCell ref="J7:K7"/>
    <mergeCell ref="L7:M7"/>
    <mergeCell ref="P7:Q7"/>
    <mergeCell ref="T7:U7"/>
    <mergeCell ref="Z7:AA7"/>
    <mergeCell ref="AB7:AC7"/>
    <mergeCell ref="AD7:AE7"/>
    <mergeCell ref="AF7:AG7"/>
    <mergeCell ref="AH7:AI7"/>
    <mergeCell ref="AJ7:AK7"/>
    <mergeCell ref="AL7:AM7"/>
    <mergeCell ref="R7:S7"/>
    <mergeCell ref="V7:W7"/>
    <mergeCell ref="X7:Y7"/>
    <mergeCell ref="BB7:BC7"/>
    <mergeCell ref="BD7:BE7"/>
    <mergeCell ref="BF7:BG7"/>
    <mergeCell ref="AP7:AQ7"/>
    <mergeCell ref="AR7:AS7"/>
    <mergeCell ref="AT7:AU7"/>
    <mergeCell ref="AV7:AW7"/>
    <mergeCell ref="AX7:AY7"/>
    <mergeCell ref="AZ7:BA7"/>
  </mergeCells>
  <pageMargins left="0.25" right="0" top="0.3" bottom="0.05" header="0" footer="0"/>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BA217"/>
  <sheetViews>
    <sheetView topLeftCell="A7" workbookViewId="0">
      <pane xSplit="8" ySplit="5" topLeftCell="I137" activePane="bottomRight" state="frozen"/>
      <selection activeCell="A7" sqref="A7"/>
      <selection pane="topRight" activeCell="I7" sqref="I7"/>
      <selection pane="bottomLeft" activeCell="A12" sqref="A12"/>
      <selection pane="bottomRight" activeCell="E154" sqref="E154"/>
    </sheetView>
  </sheetViews>
  <sheetFormatPr defaultRowHeight="12.75"/>
  <cols>
    <col min="1" max="1" width="4.85546875" style="267" customWidth="1"/>
    <col min="2" max="2" width="8.42578125" style="267" customWidth="1"/>
    <col min="3" max="3" width="7.42578125" style="267" customWidth="1"/>
    <col min="4" max="4" width="8.42578125" style="267" customWidth="1"/>
    <col min="5" max="5" width="37.28515625" style="267" customWidth="1"/>
    <col min="6" max="6" width="12.7109375" style="267" customWidth="1"/>
    <col min="7" max="8" width="5.85546875" style="268" customWidth="1"/>
    <col min="9" max="9" width="4.85546875" style="267" customWidth="1"/>
    <col min="10" max="10" width="12.5703125" style="267" customWidth="1"/>
    <col min="11" max="11" width="12.28515625" style="267" customWidth="1"/>
    <col min="12" max="12" width="12.85546875" style="267" customWidth="1"/>
    <col min="13" max="13" width="12.7109375" style="267" customWidth="1"/>
    <col min="14" max="14" width="12.85546875" style="267" customWidth="1"/>
    <col min="15" max="15" width="12.7109375" style="267" customWidth="1"/>
    <col min="16" max="16" width="11.85546875" style="267" customWidth="1"/>
    <col min="17" max="17" width="5" style="267" customWidth="1"/>
    <col min="18" max="18" width="11.28515625" style="267" customWidth="1"/>
    <col min="19" max="19" width="11.42578125" style="267" customWidth="1"/>
    <col min="20" max="20" width="13.140625" style="267" customWidth="1"/>
    <col min="21" max="21" width="6" style="267" customWidth="1"/>
    <col min="22" max="22" width="13.5703125" style="267" customWidth="1"/>
    <col min="23" max="23" width="13.42578125" style="267" customWidth="1"/>
    <col min="24" max="24" width="6.5703125" style="267" customWidth="1"/>
    <col min="25" max="25" width="6.42578125" style="267" customWidth="1"/>
    <col min="26" max="26" width="9.5703125" style="267" customWidth="1"/>
    <col min="27" max="27" width="9.42578125" style="267" customWidth="1"/>
    <col min="28" max="29" width="11.28515625" style="267" customWidth="1"/>
    <col min="30" max="30" width="5.28515625" style="267" customWidth="1"/>
    <col min="31" max="31" width="15" style="267" customWidth="1"/>
    <col min="32" max="32" width="5.28515625" style="267" customWidth="1"/>
    <col min="33" max="33" width="15" style="267" customWidth="1"/>
    <col min="34" max="34" width="4.85546875" style="267" customWidth="1"/>
    <col min="35" max="35" width="13.85546875" style="267" customWidth="1"/>
    <col min="36" max="36" width="11.5703125" style="267" customWidth="1"/>
    <col min="37" max="37" width="5.7109375" style="267" customWidth="1"/>
    <col min="38" max="38" width="12.42578125" style="267" customWidth="1"/>
    <col min="39" max="39" width="10.85546875" style="267" customWidth="1"/>
    <col min="40" max="40" width="9.85546875" style="267" customWidth="1"/>
    <col min="41" max="41" width="9.7109375" style="267" customWidth="1"/>
    <col min="42" max="42" width="13.140625" style="267" customWidth="1"/>
    <col min="43" max="43" width="12.5703125" style="267" customWidth="1"/>
    <col min="44" max="45" width="14.28515625" style="267" customWidth="1"/>
    <col min="46" max="46" width="7" style="267" customWidth="1"/>
    <col min="47" max="47" width="7.5703125" style="267" customWidth="1"/>
    <col min="48" max="48" width="4.7109375" style="267" customWidth="1"/>
    <col min="49" max="49" width="9.5703125" style="267" customWidth="1"/>
    <col min="50" max="51" width="12.28515625" style="267" customWidth="1"/>
    <col min="52" max="52" width="15.7109375" style="267" customWidth="1"/>
    <col min="53" max="53" width="15.85546875" style="267" customWidth="1"/>
    <col min="54" max="16384" width="9.140625" style="267"/>
  </cols>
  <sheetData>
    <row r="1" spans="1:53" ht="12.75" customHeight="1">
      <c r="A1" s="263"/>
      <c r="B1" s="264" t="s">
        <v>156</v>
      </c>
      <c r="C1" s="265"/>
      <c r="D1" s="265"/>
      <c r="E1" s="266"/>
      <c r="I1" s="265"/>
      <c r="M1" s="1198">
        <f>'SC-I'!G1:U1</f>
        <v>0</v>
      </c>
      <c r="N1" s="1198"/>
      <c r="O1" s="1198"/>
      <c r="P1" s="1198"/>
      <c r="Q1" s="1198"/>
      <c r="R1" s="1198"/>
      <c r="S1" s="1198"/>
      <c r="X1" s="265"/>
      <c r="Y1" s="265"/>
      <c r="Z1" s="265"/>
      <c r="AA1" s="265"/>
      <c r="AB1" s="266"/>
      <c r="AC1" s="266"/>
      <c r="AD1" s="266"/>
      <c r="AE1" s="266"/>
      <c r="AF1" s="266"/>
      <c r="AG1" s="266"/>
      <c r="AH1" s="266"/>
      <c r="AI1" s="266"/>
      <c r="AJ1" s="266"/>
      <c r="AK1" s="266"/>
      <c r="AL1" s="265"/>
      <c r="AM1" s="265"/>
      <c r="AN1" s="265"/>
      <c r="AO1" s="265"/>
      <c r="AP1" s="265"/>
      <c r="AQ1" s="265"/>
      <c r="AR1" s="265"/>
      <c r="AS1" s="265"/>
      <c r="AT1" s="265"/>
      <c r="AU1" s="265"/>
      <c r="AV1" s="265"/>
      <c r="AW1" s="265"/>
      <c r="AX1" s="265"/>
      <c r="AY1" s="265"/>
      <c r="AZ1" s="265"/>
      <c r="BA1" s="265"/>
    </row>
    <row r="2" spans="1:53" ht="12.75" customHeight="1">
      <c r="A2" s="263"/>
      <c r="B2" s="264" t="s">
        <v>266</v>
      </c>
      <c r="C2" s="265"/>
      <c r="D2" s="265"/>
      <c r="E2" s="265"/>
      <c r="I2" s="269"/>
      <c r="M2" s="1199">
        <f>'SC-I'!G2:U3</f>
        <v>0</v>
      </c>
      <c r="N2" s="1199"/>
      <c r="O2" s="1199"/>
      <c r="P2" s="1199"/>
      <c r="Q2" s="1199"/>
      <c r="R2" s="1199"/>
      <c r="S2" s="1199"/>
      <c r="X2" s="269"/>
      <c r="Y2" s="269"/>
      <c r="Z2" s="269"/>
      <c r="AA2" s="269"/>
      <c r="AB2" s="270"/>
      <c r="AC2" s="270"/>
      <c r="AD2" s="270"/>
      <c r="AE2" s="270"/>
      <c r="AF2" s="270"/>
      <c r="AG2" s="270"/>
      <c r="AH2" s="270"/>
      <c r="AI2" s="270"/>
      <c r="AJ2" s="270"/>
      <c r="AK2" s="270"/>
      <c r="AL2" s="269"/>
      <c r="AM2" s="269"/>
      <c r="AN2" s="269"/>
      <c r="AO2" s="269"/>
      <c r="AP2" s="269"/>
      <c r="AQ2" s="269"/>
      <c r="AR2" s="269"/>
      <c r="AS2" s="269"/>
      <c r="AT2" s="269"/>
      <c r="AU2" s="269"/>
      <c r="AV2" s="269"/>
      <c r="AW2" s="269"/>
      <c r="AX2" s="269"/>
      <c r="AY2" s="269"/>
      <c r="AZ2" s="269"/>
      <c r="BA2" s="269"/>
    </row>
    <row r="3" spans="1:53" ht="10.5" customHeight="1">
      <c r="A3" s="265"/>
      <c r="B3" s="265"/>
      <c r="C3" s="265"/>
      <c r="D3" s="265"/>
      <c r="E3" s="265"/>
      <c r="F3" s="269"/>
      <c r="G3" s="271"/>
      <c r="H3" s="271"/>
      <c r="I3" s="269"/>
      <c r="M3" s="1199"/>
      <c r="N3" s="1199"/>
      <c r="O3" s="1199"/>
      <c r="P3" s="1199"/>
      <c r="Q3" s="1199"/>
      <c r="R3" s="1199"/>
      <c r="S3" s="1199"/>
      <c r="X3" s="269"/>
      <c r="Y3" s="269"/>
      <c r="Z3" s="269"/>
      <c r="AA3" s="269"/>
      <c r="AB3" s="270"/>
      <c r="AC3" s="270"/>
      <c r="AD3" s="270"/>
      <c r="AE3" s="270"/>
      <c r="AF3" s="270"/>
      <c r="AG3" s="270"/>
      <c r="AH3" s="270"/>
      <c r="AI3" s="270"/>
      <c r="AJ3" s="270"/>
      <c r="AK3" s="270"/>
      <c r="AL3" s="269"/>
      <c r="AM3" s="269"/>
      <c r="AN3" s="269"/>
      <c r="AO3" s="269"/>
      <c r="AP3" s="269"/>
      <c r="AQ3" s="269"/>
      <c r="AR3" s="269"/>
      <c r="AS3" s="269"/>
      <c r="AT3" s="269"/>
      <c r="AU3" s="269"/>
      <c r="AV3" s="269"/>
      <c r="AW3" s="269"/>
      <c r="AX3" s="269"/>
      <c r="AY3" s="269"/>
      <c r="AZ3" s="269"/>
      <c r="BA3" s="269"/>
    </row>
    <row r="4" spans="1:53" ht="19.5" customHeight="1">
      <c r="B4" s="1201" t="s">
        <v>146</v>
      </c>
      <c r="C4" s="1201"/>
      <c r="D4" s="1201"/>
      <c r="E4" s="1201"/>
      <c r="F4" s="1201"/>
      <c r="G4" s="1201"/>
      <c r="H4" s="1201"/>
      <c r="I4" s="1201"/>
      <c r="J4" s="1201"/>
      <c r="K4" s="1201"/>
      <c r="L4" s="1201"/>
      <c r="M4" s="1201"/>
      <c r="N4" s="1201"/>
      <c r="O4" s="1201"/>
      <c r="P4" s="1201"/>
      <c r="Q4" s="1201"/>
      <c r="R4" s="1201"/>
      <c r="S4" s="272"/>
      <c r="T4" s="272"/>
      <c r="U4" s="272"/>
      <c r="V4" s="272"/>
      <c r="W4" s="272"/>
      <c r="X4" s="273"/>
      <c r="Y4" s="273"/>
      <c r="Z4" s="274"/>
      <c r="AA4" s="274"/>
      <c r="AB4" s="272"/>
      <c r="AC4" s="272"/>
      <c r="AD4" s="272"/>
      <c r="AE4" s="272"/>
      <c r="AF4" s="272"/>
      <c r="AG4" s="272"/>
      <c r="AH4" s="272"/>
      <c r="AI4" s="272"/>
      <c r="AJ4" s="272"/>
      <c r="AK4" s="272"/>
      <c r="AL4" s="274"/>
      <c r="AM4" s="274"/>
      <c r="AN4" s="274"/>
      <c r="AO4" s="274"/>
      <c r="AP4" s="274"/>
      <c r="AQ4" s="274"/>
      <c r="AR4" s="274"/>
      <c r="AS4" s="274"/>
      <c r="AT4" s="274"/>
      <c r="AU4" s="274"/>
      <c r="AV4" s="274"/>
      <c r="AW4" s="274"/>
      <c r="AX4" s="274"/>
      <c r="AY4" s="274"/>
      <c r="AZ4" s="274"/>
      <c r="BA4" s="274"/>
    </row>
    <row r="5" spans="1:53" ht="15">
      <c r="B5" s="1202" t="s">
        <v>303</v>
      </c>
      <c r="C5" s="1202"/>
      <c r="D5" s="1202"/>
      <c r="E5" s="1202"/>
      <c r="F5" s="1202"/>
      <c r="G5" s="1202"/>
      <c r="H5" s="1202"/>
      <c r="I5" s="1202"/>
      <c r="J5" s="1202"/>
      <c r="K5" s="1202"/>
      <c r="L5" s="1202"/>
      <c r="M5" s="1202"/>
      <c r="N5" s="1202"/>
      <c r="O5" s="1202"/>
      <c r="P5" s="1202"/>
      <c r="Q5" s="1202"/>
      <c r="R5" s="1202"/>
      <c r="S5" s="275"/>
      <c r="T5" s="275"/>
      <c r="U5" s="275"/>
      <c r="V5" s="275"/>
      <c r="W5" s="275"/>
      <c r="X5" s="276"/>
      <c r="Y5" s="276"/>
      <c r="AB5" s="275"/>
      <c r="AC5" s="275"/>
      <c r="AD5" s="275"/>
      <c r="AE5" s="275"/>
      <c r="AF5" s="275"/>
      <c r="AG5" s="275"/>
      <c r="AH5" s="275"/>
      <c r="AI5" s="275"/>
      <c r="AJ5" s="275"/>
      <c r="AK5" s="275"/>
    </row>
    <row r="6" spans="1:53">
      <c r="P6" s="267" t="s">
        <v>227</v>
      </c>
    </row>
    <row r="7" spans="1:53" ht="13.5" customHeight="1">
      <c r="A7" s="1203" t="s">
        <v>45</v>
      </c>
      <c r="B7" s="1197" t="s">
        <v>27</v>
      </c>
      <c r="C7" s="1206" t="s">
        <v>1</v>
      </c>
      <c r="D7" s="1207"/>
      <c r="E7" s="1197" t="s">
        <v>0</v>
      </c>
      <c r="F7" s="1197" t="s">
        <v>147</v>
      </c>
      <c r="G7" s="1208" t="s">
        <v>148</v>
      </c>
      <c r="H7" s="1208"/>
      <c r="I7" s="1200" t="s">
        <v>45</v>
      </c>
      <c r="J7" s="1197" t="s">
        <v>278</v>
      </c>
      <c r="K7" s="1197"/>
      <c r="L7" s="1197" t="s">
        <v>279</v>
      </c>
      <c r="M7" s="1197"/>
      <c r="N7" s="1197" t="s">
        <v>454</v>
      </c>
      <c r="O7" s="1197"/>
      <c r="P7" s="1197" t="s">
        <v>280</v>
      </c>
      <c r="Q7" s="1197"/>
      <c r="R7" s="1197" t="s">
        <v>281</v>
      </c>
      <c r="S7" s="1197"/>
      <c r="T7" s="1197" t="s">
        <v>282</v>
      </c>
      <c r="U7" s="1197"/>
      <c r="V7" s="1197" t="s">
        <v>283</v>
      </c>
      <c r="W7" s="1197"/>
      <c r="X7" s="1197" t="s">
        <v>284</v>
      </c>
      <c r="Y7" s="1197"/>
      <c r="Z7" s="1197" t="s">
        <v>285</v>
      </c>
      <c r="AA7" s="1197"/>
      <c r="AB7" s="1197" t="s">
        <v>286</v>
      </c>
      <c r="AC7" s="1197"/>
      <c r="AD7" s="1197" t="s">
        <v>287</v>
      </c>
      <c r="AE7" s="1197"/>
      <c r="AF7" s="1197" t="s">
        <v>444</v>
      </c>
      <c r="AG7" s="1197"/>
      <c r="AH7" s="1197" t="s">
        <v>288</v>
      </c>
      <c r="AI7" s="1197"/>
      <c r="AJ7" s="1197" t="s">
        <v>289</v>
      </c>
      <c r="AK7" s="1197"/>
      <c r="AL7" s="1197" t="s">
        <v>290</v>
      </c>
      <c r="AM7" s="1197"/>
      <c r="AN7" s="1197" t="s">
        <v>291</v>
      </c>
      <c r="AO7" s="1197"/>
      <c r="AP7" s="1197" t="s">
        <v>292</v>
      </c>
      <c r="AQ7" s="1197"/>
      <c r="AR7" s="1197" t="s">
        <v>293</v>
      </c>
      <c r="AS7" s="1197"/>
      <c r="AT7" s="1197" t="s">
        <v>294</v>
      </c>
      <c r="AU7" s="1197"/>
      <c r="AV7" s="1197" t="s">
        <v>295</v>
      </c>
      <c r="AW7" s="1197"/>
      <c r="AX7" s="1197" t="s">
        <v>296</v>
      </c>
      <c r="AY7" s="1197"/>
      <c r="AZ7" s="1197" t="s">
        <v>297</v>
      </c>
      <c r="BA7" s="1197"/>
    </row>
    <row r="8" spans="1:53" ht="22.5" customHeight="1">
      <c r="A8" s="1204"/>
      <c r="B8" s="1197"/>
      <c r="C8" s="278" t="s">
        <v>20</v>
      </c>
      <c r="D8" s="277" t="s">
        <v>39</v>
      </c>
      <c r="E8" s="1197"/>
      <c r="F8" s="1197"/>
      <c r="G8" s="279" t="s">
        <v>29</v>
      </c>
      <c r="H8" s="279" t="s">
        <v>30</v>
      </c>
      <c r="I8" s="1200"/>
      <c r="J8" s="277" t="s">
        <v>29</v>
      </c>
      <c r="K8" s="277" t="s">
        <v>30</v>
      </c>
      <c r="L8" s="277" t="s">
        <v>29</v>
      </c>
      <c r="M8" s="277" t="s">
        <v>30</v>
      </c>
      <c r="N8" s="465" t="s">
        <v>29</v>
      </c>
      <c r="O8" s="465" t="s">
        <v>30</v>
      </c>
      <c r="P8" s="277" t="s">
        <v>29</v>
      </c>
      <c r="Q8" s="277" t="s">
        <v>30</v>
      </c>
      <c r="R8" s="277" t="s">
        <v>29</v>
      </c>
      <c r="S8" s="277" t="s">
        <v>30</v>
      </c>
      <c r="T8" s="277" t="s">
        <v>29</v>
      </c>
      <c r="U8" s="277" t="s">
        <v>30</v>
      </c>
      <c r="V8" s="277" t="s">
        <v>29</v>
      </c>
      <c r="W8" s="277" t="s">
        <v>30</v>
      </c>
      <c r="X8" s="277" t="s">
        <v>29</v>
      </c>
      <c r="Y8" s="277" t="s">
        <v>30</v>
      </c>
      <c r="Z8" s="277" t="s">
        <v>29</v>
      </c>
      <c r="AA8" s="277" t="s">
        <v>30</v>
      </c>
      <c r="AB8" s="277" t="s">
        <v>29</v>
      </c>
      <c r="AC8" s="277" t="s">
        <v>30</v>
      </c>
      <c r="AD8" s="277" t="s">
        <v>29</v>
      </c>
      <c r="AE8" s="277" t="s">
        <v>30</v>
      </c>
      <c r="AF8" s="461" t="s">
        <v>29</v>
      </c>
      <c r="AG8" s="461" t="s">
        <v>30</v>
      </c>
      <c r="AH8" s="277" t="s">
        <v>29</v>
      </c>
      <c r="AI8" s="277" t="s">
        <v>30</v>
      </c>
      <c r="AJ8" s="277" t="s">
        <v>29</v>
      </c>
      <c r="AK8" s="277" t="s">
        <v>30</v>
      </c>
      <c r="AL8" s="277" t="s">
        <v>29</v>
      </c>
      <c r="AM8" s="277" t="s">
        <v>30</v>
      </c>
      <c r="AN8" s="277" t="s">
        <v>29</v>
      </c>
      <c r="AO8" s="277" t="s">
        <v>30</v>
      </c>
      <c r="AP8" s="277" t="s">
        <v>29</v>
      </c>
      <c r="AQ8" s="277" t="s">
        <v>30</v>
      </c>
      <c r="AR8" s="277" t="s">
        <v>29</v>
      </c>
      <c r="AS8" s="277" t="s">
        <v>30</v>
      </c>
      <c r="AT8" s="277" t="s">
        <v>29</v>
      </c>
      <c r="AU8" s="277" t="s">
        <v>30</v>
      </c>
      <c r="AV8" s="277" t="s">
        <v>29</v>
      </c>
      <c r="AW8" s="277" t="s">
        <v>30</v>
      </c>
      <c r="AX8" s="277" t="s">
        <v>29</v>
      </c>
      <c r="AY8" s="277" t="s">
        <v>30</v>
      </c>
      <c r="AZ8" s="277" t="s">
        <v>29</v>
      </c>
      <c r="BA8" s="277" t="s">
        <v>30</v>
      </c>
    </row>
    <row r="9" spans="1:53" s="281" customFormat="1" ht="8.25" customHeight="1">
      <c r="A9" s="280">
        <v>1</v>
      </c>
      <c r="B9" s="280">
        <v>2</v>
      </c>
      <c r="C9" s="280">
        <v>3</v>
      </c>
      <c r="D9" s="280">
        <v>4</v>
      </c>
      <c r="E9" s="280">
        <v>5</v>
      </c>
      <c r="F9" s="280">
        <v>6</v>
      </c>
      <c r="G9" s="280">
        <v>7</v>
      </c>
      <c r="H9" s="280">
        <v>8</v>
      </c>
      <c r="I9" s="280">
        <v>9</v>
      </c>
      <c r="J9" s="280">
        <v>10</v>
      </c>
      <c r="K9" s="280">
        <v>11</v>
      </c>
      <c r="L9" s="280">
        <v>12</v>
      </c>
      <c r="M9" s="280">
        <v>13</v>
      </c>
      <c r="N9" s="280">
        <v>12</v>
      </c>
      <c r="O9" s="280">
        <v>13</v>
      </c>
      <c r="P9" s="280">
        <v>14</v>
      </c>
      <c r="Q9" s="280">
        <v>15</v>
      </c>
      <c r="R9" s="280">
        <v>16</v>
      </c>
      <c r="S9" s="280">
        <v>17</v>
      </c>
      <c r="T9" s="280">
        <v>18</v>
      </c>
      <c r="U9" s="280">
        <v>19</v>
      </c>
      <c r="V9" s="280">
        <v>20</v>
      </c>
      <c r="W9" s="280">
        <v>21</v>
      </c>
      <c r="X9" s="280">
        <v>22</v>
      </c>
      <c r="Y9" s="280">
        <v>23</v>
      </c>
      <c r="Z9" s="280">
        <v>24</v>
      </c>
      <c r="AA9" s="280">
        <v>25</v>
      </c>
      <c r="AB9" s="280">
        <v>26</v>
      </c>
      <c r="AC9" s="280">
        <v>27</v>
      </c>
      <c r="AD9" s="280">
        <v>28</v>
      </c>
      <c r="AE9" s="280">
        <v>29</v>
      </c>
      <c r="AF9" s="280">
        <v>28</v>
      </c>
      <c r="AG9" s="280">
        <v>29</v>
      </c>
      <c r="AH9" s="280">
        <v>30</v>
      </c>
      <c r="AI9" s="280">
        <v>31</v>
      </c>
      <c r="AJ9" s="280">
        <v>32</v>
      </c>
      <c r="AK9" s="280">
        <v>33</v>
      </c>
      <c r="AL9" s="280">
        <v>34</v>
      </c>
      <c r="AM9" s="280">
        <v>35</v>
      </c>
      <c r="AN9" s="280">
        <v>36</v>
      </c>
      <c r="AO9" s="280">
        <v>37</v>
      </c>
      <c r="AP9" s="280">
        <v>38</v>
      </c>
      <c r="AQ9" s="280">
        <v>39</v>
      </c>
      <c r="AR9" s="280">
        <v>40</v>
      </c>
      <c r="AS9" s="280">
        <v>41</v>
      </c>
      <c r="AT9" s="280">
        <v>42</v>
      </c>
      <c r="AU9" s="280">
        <v>43</v>
      </c>
      <c r="AV9" s="280">
        <v>44</v>
      </c>
      <c r="AW9" s="280">
        <v>45</v>
      </c>
      <c r="AX9" s="280">
        <v>46</v>
      </c>
      <c r="AY9" s="280">
        <v>47</v>
      </c>
      <c r="AZ9" s="280">
        <v>48</v>
      </c>
      <c r="BA9" s="280">
        <v>49</v>
      </c>
    </row>
    <row r="10" spans="1:53" s="289" customFormat="1" ht="15" customHeight="1">
      <c r="A10" s="63" t="str">
        <f t="array" ref="A10">IF(C10&lt;&gt;0,SUM(($C10:C$23&lt;&gt;0)*1),"")</f>
        <v/>
      </c>
      <c r="B10" s="282"/>
      <c r="C10" s="283"/>
      <c r="D10" s="282"/>
      <c r="E10" s="284" t="s">
        <v>258</v>
      </c>
      <c r="F10" s="285"/>
      <c r="G10" s="286"/>
      <c r="H10" s="286"/>
      <c r="I10" s="287"/>
      <c r="J10" s="288">
        <f>'SC-I'!J452</f>
        <v>481905579</v>
      </c>
      <c r="K10" s="288">
        <f>'SC-I'!K452</f>
        <v>0</v>
      </c>
      <c r="L10" s="288">
        <f>'SC-I'!L452</f>
        <v>1518304</v>
      </c>
      <c r="M10" s="288">
        <f>'SC-I'!M452</f>
        <v>0</v>
      </c>
      <c r="N10" s="288">
        <f>'SC-I'!N452</f>
        <v>0</v>
      </c>
      <c r="O10" s="288">
        <f>'SC-I'!O452</f>
        <v>0</v>
      </c>
      <c r="P10" s="288">
        <f>'SC-I'!P452</f>
        <v>62811209</v>
      </c>
      <c r="Q10" s="288">
        <f>'SC-I'!Q452</f>
        <v>0</v>
      </c>
      <c r="R10" s="288">
        <f>'SC-I'!T452</f>
        <v>1219554047</v>
      </c>
      <c r="S10" s="288">
        <f>'SC-I'!U452</f>
        <v>0</v>
      </c>
      <c r="T10" s="288">
        <f>'SC-I'!Z452</f>
        <v>31348179853</v>
      </c>
      <c r="U10" s="288">
        <f>'SC-I'!AA452</f>
        <v>0</v>
      </c>
      <c r="V10" s="288">
        <f>'SC-I'!AB452</f>
        <v>0</v>
      </c>
      <c r="W10" s="288">
        <f>'SC-I'!AC452</f>
        <v>1597487431</v>
      </c>
      <c r="X10" s="288">
        <f>'SC-I'!AD452</f>
        <v>0</v>
      </c>
      <c r="Y10" s="288">
        <f>'SC-I'!AE452</f>
        <v>0</v>
      </c>
      <c r="Z10" s="288">
        <f>'SC-I'!AF452</f>
        <v>0</v>
      </c>
      <c r="AA10" s="288">
        <f>'SC-I'!AG452</f>
        <v>0</v>
      </c>
      <c r="AB10" s="288">
        <f>'SC-I'!AH452</f>
        <v>0</v>
      </c>
      <c r="AC10" s="288">
        <f>'SC-I'!AI452</f>
        <v>7000000000</v>
      </c>
      <c r="AD10" s="288">
        <f>'SC-I'!AJ452</f>
        <v>0</v>
      </c>
      <c r="AE10" s="288">
        <f>'SC-I'!AK452</f>
        <v>20000000000</v>
      </c>
      <c r="AF10" s="288">
        <f>'SC-I'!AL452</f>
        <v>0</v>
      </c>
      <c r="AG10" s="288">
        <f>'SC-I'!AM452</f>
        <v>1961520000</v>
      </c>
      <c r="AH10" s="288">
        <f>'SC-I'!AN452</f>
        <v>0</v>
      </c>
      <c r="AI10" s="288">
        <f>'SC-I'!AO452</f>
        <v>4000000000</v>
      </c>
      <c r="AJ10" s="288">
        <f>'SC-I'!AP452</f>
        <v>583066238</v>
      </c>
      <c r="AK10" s="288">
        <f>'SC-I'!AQ452</f>
        <v>0</v>
      </c>
      <c r="AL10" s="288">
        <f>'SC-I'!AR452</f>
        <v>650934626</v>
      </c>
      <c r="AM10" s="288">
        <f>'SC-I'!AS452</f>
        <v>0</v>
      </c>
      <c r="AN10" s="288">
        <f>'SC-I'!AT452</f>
        <v>0</v>
      </c>
      <c r="AO10" s="288">
        <f>'SC-I'!AU452</f>
        <v>0</v>
      </c>
      <c r="AP10" s="288">
        <f>'SC-I'!AV452</f>
        <v>0</v>
      </c>
      <c r="AQ10" s="288">
        <f>'SC-I'!AW452</f>
        <v>0</v>
      </c>
      <c r="AR10" s="288">
        <f>'SC-I'!AX452</f>
        <v>0</v>
      </c>
      <c r="AS10" s="288">
        <f>'SC-I'!AY452</f>
        <v>0</v>
      </c>
      <c r="AT10" s="288">
        <f>'SC-I'!AZ452</f>
        <v>0</v>
      </c>
      <c r="AU10" s="288">
        <f>'SC-I'!BA452</f>
        <v>0</v>
      </c>
      <c r="AV10" s="288">
        <f>'SC-I'!BB452</f>
        <v>0</v>
      </c>
      <c r="AW10" s="288">
        <f>'SC-I'!BC452</f>
        <v>0</v>
      </c>
      <c r="AX10" s="288">
        <f>'SC-I'!BD452</f>
        <v>0</v>
      </c>
      <c r="AY10" s="288">
        <f>'SC-I'!BE452</f>
        <v>0</v>
      </c>
      <c r="AZ10" s="288">
        <f>'SC-I'!BF452</f>
        <v>0</v>
      </c>
      <c r="BA10" s="288">
        <f>'SC-I'!BG452</f>
        <v>0</v>
      </c>
    </row>
    <row r="11" spans="1:53" s="289" customFormat="1" ht="15" customHeight="1">
      <c r="A11" s="63">
        <f t="array" aca="1" ref="A11" ca="1">IF(C11&lt;&gt;0,SUM(($C$11:C11&lt;&gt;0)*1),"")</f>
        <v>1</v>
      </c>
      <c r="B11" s="290" t="str">
        <f ca="1">IF(ROWS($1:1)&gt;COUNT(Dong7),"",OFFSET(TH!C$1,SMALL(Dong7,ROWS($1:1)),))</f>
        <v/>
      </c>
      <c r="C11" s="290" t="str">
        <f ca="1">IF(ROWS($1:1)&gt;COUNT(Dong7),"",OFFSET(TH!D$1,SMALL(Dong7,ROWS($1:1)),))</f>
        <v/>
      </c>
      <c r="D11" s="290" t="str">
        <f ca="1">IF(ROWS($1:1)&gt;COUNT(Dong7),"",OFFSET(TH!E$1,SMALL(Dong7,ROWS($1:1)),))</f>
        <v/>
      </c>
      <c r="E11" s="396" t="str">
        <f ca="1">IF(ROWS($1:1)&gt;COUNT(Dong7),"",OFFSET(TH!F$1,SMALL(Dong7,ROWS($1:1)),))</f>
        <v/>
      </c>
      <c r="F11" s="345" t="str">
        <f ca="1">IF(ROWS($1:1)&gt;COUNT(Dong7),"",OFFSET(TH!M$1,SMALL(Dong7,ROWS($1:1)),))</f>
        <v/>
      </c>
      <c r="G11" s="347" t="str">
        <f ca="1">IF(ROWS($1:1)&gt;COUNT(Dong7),"",OFFSET(TH!O$1,SMALL(Dong7,ROWS($1:1)),))</f>
        <v/>
      </c>
      <c r="H11" s="347" t="str">
        <f ca="1">IF(ROWS($1:1)&gt;COUNT(Dong7),"",OFFSET(TH!P$1,SMALL(Dong7,ROWS($1:1)),))</f>
        <v/>
      </c>
      <c r="I11" s="63">
        <f t="shared" ref="I11:I21" ca="1" si="0">A11</f>
        <v>1</v>
      </c>
      <c r="J11" s="292">
        <f t="shared" ref="J11:J74" ca="1" si="1">IF($G11="1111",$F11,0)</f>
        <v>0</v>
      </c>
      <c r="K11" s="292">
        <f t="shared" ref="K11:K74" ca="1" si="2">IF($H11="1111",$F11,0)</f>
        <v>0</v>
      </c>
      <c r="L11" s="292">
        <f t="shared" ref="L11:L74" ca="1" si="3">IF($G11="1121",$F11,0)</f>
        <v>0</v>
      </c>
      <c r="M11" s="292">
        <f t="shared" ref="M11:M74" ca="1" si="4">IF($H11="1121",$F11,0)</f>
        <v>0</v>
      </c>
      <c r="N11" s="292">
        <f ca="1">IF($G11="1122",$F11,0)</f>
        <v>0</v>
      </c>
      <c r="O11" s="292">
        <f ca="1">IF($H11="1122",$F11,0)</f>
        <v>0</v>
      </c>
      <c r="P11" s="292">
        <f t="shared" ref="P11:P74" ca="1" si="5">IF($G11="1331",$F11,0)</f>
        <v>0</v>
      </c>
      <c r="Q11" s="292">
        <f t="shared" ref="Q11:Q74" ca="1" si="6">IF($H11="1331",$F11,0)</f>
        <v>0</v>
      </c>
      <c r="R11" s="292">
        <f t="shared" ref="R11:R74" ca="1" si="7">IF($G11="1388",$F11,0)</f>
        <v>0</v>
      </c>
      <c r="S11" s="292">
        <f t="shared" ref="S11:S74" ca="1" si="8">IF($H11="1388",$F11,0)</f>
        <v>0</v>
      </c>
      <c r="T11" s="292">
        <f ca="1">IF($G11="2412",$F11,0)</f>
        <v>0</v>
      </c>
      <c r="U11" s="292">
        <f ca="1">IF($H11="2412",$F11,0)</f>
        <v>0</v>
      </c>
      <c r="V11" s="292">
        <f t="shared" ref="V11:V74" ca="1" si="9">IF($G11="331",$F11,0)</f>
        <v>0</v>
      </c>
      <c r="W11" s="292">
        <f t="shared" ref="W11:W74" ca="1" si="10">IF($H11="331",$F11,0)</f>
        <v>0</v>
      </c>
      <c r="X11" s="292">
        <f t="shared" ref="X11:X74" ca="1" si="11">IF($G11="3334",$F11,0)</f>
        <v>0</v>
      </c>
      <c r="Y11" s="292">
        <f t="shared" ref="Y11:Y74" ca="1" si="12">IF($H11="3334",$F11,0)</f>
        <v>0</v>
      </c>
      <c r="Z11" s="292">
        <f t="shared" ref="Z11:Z74" ca="1" si="13">IF($G11="33382",$F11,0)</f>
        <v>0</v>
      </c>
      <c r="AA11" s="292">
        <f t="shared" ref="AA11:AA74" ca="1" si="14">IF($H11="33382",$F11,0)</f>
        <v>0</v>
      </c>
      <c r="AB11" s="292">
        <f t="shared" ref="AB11:AB74" ca="1" si="15">IF($G11="3388",$F11,0)</f>
        <v>0</v>
      </c>
      <c r="AC11" s="292">
        <f t="shared" ref="AC11:AC74" ca="1" si="16">IF($H11="3388",$F11,0)</f>
        <v>0</v>
      </c>
      <c r="AD11" s="292">
        <f t="shared" ref="AD11:AD74" ca="1" si="17">IF($G11="3411",$F11,0)</f>
        <v>0</v>
      </c>
      <c r="AE11" s="292">
        <f t="shared" ref="AE11:AE74" ca="1" si="18">IF($H11="3411",$F11,0)</f>
        <v>0</v>
      </c>
      <c r="AF11" s="292">
        <f ca="1">IF($G11="3412",$F11,0)</f>
        <v>0</v>
      </c>
      <c r="AG11" s="292">
        <f ca="1">IF($H11="3412",$F11,0)</f>
        <v>0</v>
      </c>
      <c r="AH11" s="292">
        <f t="shared" ref="AH11:AH74" ca="1" si="19">IF($G11="4111",$F11,0)</f>
        <v>0</v>
      </c>
      <c r="AI11" s="292">
        <f t="shared" ref="AI11:AI74" ca="1" si="20">IF($H11="4111",$F11,0)</f>
        <v>0</v>
      </c>
      <c r="AJ11" s="292">
        <f t="shared" ref="AJ11:AJ74" ca="1" si="21">IF($G11="4211",$F11,0)</f>
        <v>0</v>
      </c>
      <c r="AK11" s="292">
        <f t="shared" ref="AK11:AK74" ca="1" si="22">IF($H11="4211",$F11,0)</f>
        <v>0</v>
      </c>
      <c r="AL11" s="292">
        <f t="shared" ref="AL11:AL74" ca="1" si="23">IF($G11="4212",$F11,0)</f>
        <v>0</v>
      </c>
      <c r="AM11" s="292">
        <f t="shared" ref="AM11:AM74" ca="1" si="24">IF($H11="4212",$F11,0)</f>
        <v>0</v>
      </c>
      <c r="AN11" s="292">
        <f t="shared" ref="AN11:AN74" ca="1" si="25">IF($G11="515",$F11,0)</f>
        <v>0</v>
      </c>
      <c r="AO11" s="292">
        <f t="shared" ref="AO11:AO74" ca="1" si="26">IF($H11="515",$F11,0)</f>
        <v>0</v>
      </c>
      <c r="AP11" s="292">
        <f t="shared" ref="AP11:AP74" ca="1" si="27">IF($G11="635",$F11,0)</f>
        <v>0</v>
      </c>
      <c r="AQ11" s="292">
        <f t="shared" ref="AQ11:AQ74" ca="1" si="28">IF($H11="635",$F11,0)</f>
        <v>0</v>
      </c>
      <c r="AR11" s="292">
        <f t="shared" ref="AR11:AR74" ca="1" si="29">IF($G11="642",$F11,0)</f>
        <v>0</v>
      </c>
      <c r="AS11" s="292">
        <f t="shared" ref="AS11:AS74" ca="1" si="30">IF($H11="642",$F11,0)</f>
        <v>0</v>
      </c>
      <c r="AT11" s="292">
        <f t="shared" ref="AT11:AT74" ca="1" si="31">IF($G11="711",$F11,0)</f>
        <v>0</v>
      </c>
      <c r="AU11" s="292">
        <f t="shared" ref="AU11:AU74" ca="1" si="32">IF($H11="711",$F11,0)</f>
        <v>0</v>
      </c>
      <c r="AV11" s="292">
        <f t="shared" ref="AV11:AV74" ca="1" si="33">IF($G11="811",$F11,0)</f>
        <v>0</v>
      </c>
      <c r="AW11" s="292">
        <f t="shared" ref="AW11:AW74" ca="1" si="34">IF($H11="811",$F11,0)</f>
        <v>0</v>
      </c>
      <c r="AX11" s="292">
        <f t="shared" ref="AX11:AX74" ca="1" si="35">IF($G11="821",$F11,0)</f>
        <v>0</v>
      </c>
      <c r="AY11" s="292">
        <f t="shared" ref="AY11:AY74" ca="1" si="36">IF($H11="821",$F11,0)</f>
        <v>0</v>
      </c>
      <c r="AZ11" s="292">
        <f t="shared" ref="AZ11:AZ74" ca="1" si="37">IF($G11="911",$F11,0)</f>
        <v>0</v>
      </c>
      <c r="BA11" s="292">
        <f t="shared" ref="BA11:BA74" ca="1" si="38">IF($H11="911",$F11,0)</f>
        <v>0</v>
      </c>
    </row>
    <row r="12" spans="1:53" s="289" customFormat="1" ht="15" customHeight="1">
      <c r="A12" s="63" t="str">
        <f t="array" ref="A12">IF(C12&lt;&gt;0,SUM(($C$11:C12&lt;&gt;0)*1),"")</f>
        <v/>
      </c>
      <c r="B12" s="290"/>
      <c r="C12" s="290"/>
      <c r="D12" s="290"/>
      <c r="E12" s="396"/>
      <c r="F12" s="345"/>
      <c r="G12" s="347"/>
      <c r="H12" s="347"/>
      <c r="I12" s="63" t="str">
        <f t="shared" si="0"/>
        <v/>
      </c>
      <c r="J12" s="292">
        <f t="shared" si="1"/>
        <v>0</v>
      </c>
      <c r="K12" s="292">
        <f t="shared" si="2"/>
        <v>0</v>
      </c>
      <c r="L12" s="292">
        <f t="shared" si="3"/>
        <v>0</v>
      </c>
      <c r="M12" s="292">
        <f t="shared" si="4"/>
        <v>0</v>
      </c>
      <c r="N12" s="292">
        <f t="shared" ref="N12:N75" si="39">IF($G12="1122",$F12,0)</f>
        <v>0</v>
      </c>
      <c r="O12" s="292">
        <f t="shared" ref="O12:O75" si="40">IF($H12="1122",$F12,0)</f>
        <v>0</v>
      </c>
      <c r="P12" s="292">
        <f t="shared" si="5"/>
        <v>0</v>
      </c>
      <c r="Q12" s="292">
        <f t="shared" si="6"/>
        <v>0</v>
      </c>
      <c r="R12" s="292">
        <f t="shared" si="7"/>
        <v>0</v>
      </c>
      <c r="S12" s="292">
        <f t="shared" si="8"/>
        <v>0</v>
      </c>
      <c r="T12" s="292">
        <f t="shared" ref="T12:T75" si="41">IF($G12="2412",$F12,0)</f>
        <v>0</v>
      </c>
      <c r="U12" s="292">
        <f t="shared" ref="U12:U75" si="42">IF($H12="2412",$F12,0)</f>
        <v>0</v>
      </c>
      <c r="V12" s="292">
        <f t="shared" si="9"/>
        <v>0</v>
      </c>
      <c r="W12" s="292">
        <f t="shared" si="10"/>
        <v>0</v>
      </c>
      <c r="X12" s="292">
        <f t="shared" si="11"/>
        <v>0</v>
      </c>
      <c r="Y12" s="292">
        <f t="shared" si="12"/>
        <v>0</v>
      </c>
      <c r="Z12" s="292">
        <f t="shared" si="13"/>
        <v>0</v>
      </c>
      <c r="AA12" s="292">
        <f t="shared" si="14"/>
        <v>0</v>
      </c>
      <c r="AB12" s="292">
        <f t="shared" si="15"/>
        <v>0</v>
      </c>
      <c r="AC12" s="292">
        <f t="shared" si="16"/>
        <v>0</v>
      </c>
      <c r="AD12" s="292">
        <f t="shared" si="17"/>
        <v>0</v>
      </c>
      <c r="AE12" s="292">
        <f t="shared" si="18"/>
        <v>0</v>
      </c>
      <c r="AF12" s="292">
        <f t="shared" ref="AF12:AF75" si="43">IF($G12="3412",$F12,0)</f>
        <v>0</v>
      </c>
      <c r="AG12" s="292">
        <f t="shared" ref="AG12:AG75" si="44">IF($H12="3412",$F12,0)</f>
        <v>0</v>
      </c>
      <c r="AH12" s="292">
        <f t="shared" si="19"/>
        <v>0</v>
      </c>
      <c r="AI12" s="292">
        <f t="shared" si="20"/>
        <v>0</v>
      </c>
      <c r="AJ12" s="292">
        <f t="shared" si="21"/>
        <v>0</v>
      </c>
      <c r="AK12" s="292">
        <f t="shared" si="22"/>
        <v>0</v>
      </c>
      <c r="AL12" s="292">
        <f t="shared" si="23"/>
        <v>0</v>
      </c>
      <c r="AM12" s="292">
        <f t="shared" si="24"/>
        <v>0</v>
      </c>
      <c r="AN12" s="292">
        <f t="shared" si="25"/>
        <v>0</v>
      </c>
      <c r="AO12" s="292">
        <f t="shared" si="26"/>
        <v>0</v>
      </c>
      <c r="AP12" s="292">
        <f t="shared" si="27"/>
        <v>0</v>
      </c>
      <c r="AQ12" s="292">
        <f t="shared" si="28"/>
        <v>0</v>
      </c>
      <c r="AR12" s="292">
        <f t="shared" si="29"/>
        <v>0</v>
      </c>
      <c r="AS12" s="292">
        <f t="shared" si="30"/>
        <v>0</v>
      </c>
      <c r="AT12" s="292">
        <f t="shared" si="31"/>
        <v>0</v>
      </c>
      <c r="AU12" s="292">
        <f t="shared" si="32"/>
        <v>0</v>
      </c>
      <c r="AV12" s="292">
        <f t="shared" si="33"/>
        <v>0</v>
      </c>
      <c r="AW12" s="292">
        <f t="shared" si="34"/>
        <v>0</v>
      </c>
      <c r="AX12" s="292">
        <f t="shared" si="35"/>
        <v>0</v>
      </c>
      <c r="AY12" s="292">
        <f t="shared" si="36"/>
        <v>0</v>
      </c>
      <c r="AZ12" s="292">
        <f t="shared" si="37"/>
        <v>0</v>
      </c>
      <c r="BA12" s="292">
        <f t="shared" si="38"/>
        <v>0</v>
      </c>
    </row>
    <row r="13" spans="1:53" s="289" customFormat="1" ht="15" customHeight="1">
      <c r="A13" s="63" t="str">
        <f t="array" ref="A13">IF(C13&lt;&gt;0,SUM(($C$11:C13&lt;&gt;0)*1),"")</f>
        <v/>
      </c>
      <c r="B13" s="290"/>
      <c r="C13" s="290"/>
      <c r="D13" s="290"/>
      <c r="E13" s="396"/>
      <c r="F13" s="345"/>
      <c r="G13" s="347"/>
      <c r="H13" s="347"/>
      <c r="I13" s="63" t="str">
        <f t="shared" si="0"/>
        <v/>
      </c>
      <c r="J13" s="292">
        <f t="shared" si="1"/>
        <v>0</v>
      </c>
      <c r="K13" s="292">
        <f t="shared" si="2"/>
        <v>0</v>
      </c>
      <c r="L13" s="292">
        <f t="shared" si="3"/>
        <v>0</v>
      </c>
      <c r="M13" s="292">
        <f t="shared" si="4"/>
        <v>0</v>
      </c>
      <c r="N13" s="292">
        <f t="shared" si="39"/>
        <v>0</v>
      </c>
      <c r="O13" s="292">
        <f t="shared" si="40"/>
        <v>0</v>
      </c>
      <c r="P13" s="292">
        <f t="shared" si="5"/>
        <v>0</v>
      </c>
      <c r="Q13" s="292">
        <f t="shared" si="6"/>
        <v>0</v>
      </c>
      <c r="R13" s="292">
        <f t="shared" si="7"/>
        <v>0</v>
      </c>
      <c r="S13" s="292">
        <f t="shared" si="8"/>
        <v>0</v>
      </c>
      <c r="T13" s="292">
        <f t="shared" si="41"/>
        <v>0</v>
      </c>
      <c r="U13" s="292">
        <f t="shared" si="42"/>
        <v>0</v>
      </c>
      <c r="V13" s="292">
        <f t="shared" si="9"/>
        <v>0</v>
      </c>
      <c r="W13" s="292">
        <f t="shared" si="10"/>
        <v>0</v>
      </c>
      <c r="X13" s="292">
        <f t="shared" si="11"/>
        <v>0</v>
      </c>
      <c r="Y13" s="292">
        <f t="shared" si="12"/>
        <v>0</v>
      </c>
      <c r="Z13" s="292">
        <f t="shared" si="13"/>
        <v>0</v>
      </c>
      <c r="AA13" s="292">
        <f t="shared" si="14"/>
        <v>0</v>
      </c>
      <c r="AB13" s="292">
        <f t="shared" si="15"/>
        <v>0</v>
      </c>
      <c r="AC13" s="292">
        <f t="shared" si="16"/>
        <v>0</v>
      </c>
      <c r="AD13" s="292">
        <f t="shared" si="17"/>
        <v>0</v>
      </c>
      <c r="AE13" s="292">
        <f t="shared" si="18"/>
        <v>0</v>
      </c>
      <c r="AF13" s="292">
        <f t="shared" si="43"/>
        <v>0</v>
      </c>
      <c r="AG13" s="292">
        <f t="shared" si="44"/>
        <v>0</v>
      </c>
      <c r="AH13" s="292">
        <f t="shared" si="19"/>
        <v>0</v>
      </c>
      <c r="AI13" s="292">
        <f t="shared" si="20"/>
        <v>0</v>
      </c>
      <c r="AJ13" s="292">
        <f t="shared" si="21"/>
        <v>0</v>
      </c>
      <c r="AK13" s="292">
        <f t="shared" si="22"/>
        <v>0</v>
      </c>
      <c r="AL13" s="292">
        <f t="shared" si="23"/>
        <v>0</v>
      </c>
      <c r="AM13" s="292">
        <f t="shared" si="24"/>
        <v>0</v>
      </c>
      <c r="AN13" s="292">
        <f t="shared" si="25"/>
        <v>0</v>
      </c>
      <c r="AO13" s="292">
        <f t="shared" si="26"/>
        <v>0</v>
      </c>
      <c r="AP13" s="292">
        <f t="shared" si="27"/>
        <v>0</v>
      </c>
      <c r="AQ13" s="292">
        <f t="shared" si="28"/>
        <v>0</v>
      </c>
      <c r="AR13" s="292">
        <f t="shared" si="29"/>
        <v>0</v>
      </c>
      <c r="AS13" s="292">
        <f t="shared" si="30"/>
        <v>0</v>
      </c>
      <c r="AT13" s="292">
        <f t="shared" si="31"/>
        <v>0</v>
      </c>
      <c r="AU13" s="292">
        <f t="shared" si="32"/>
        <v>0</v>
      </c>
      <c r="AV13" s="292">
        <f t="shared" si="33"/>
        <v>0</v>
      </c>
      <c r="AW13" s="292">
        <f t="shared" si="34"/>
        <v>0</v>
      </c>
      <c r="AX13" s="292">
        <f t="shared" si="35"/>
        <v>0</v>
      </c>
      <c r="AY13" s="292">
        <f t="shared" si="36"/>
        <v>0</v>
      </c>
      <c r="AZ13" s="292">
        <f t="shared" si="37"/>
        <v>0</v>
      </c>
      <c r="BA13" s="292">
        <f t="shared" si="38"/>
        <v>0</v>
      </c>
    </row>
    <row r="14" spans="1:53" s="289" customFormat="1" ht="15" customHeight="1">
      <c r="A14" s="63" t="str">
        <f t="array" ref="A14">IF(C14&lt;&gt;0,SUM(($C$11:C14&lt;&gt;0)*1),"")</f>
        <v/>
      </c>
      <c r="B14" s="290"/>
      <c r="C14" s="290"/>
      <c r="D14" s="290"/>
      <c r="E14" s="396"/>
      <c r="F14" s="345"/>
      <c r="G14" s="347"/>
      <c r="H14" s="347"/>
      <c r="I14" s="63" t="str">
        <f t="shared" si="0"/>
        <v/>
      </c>
      <c r="J14" s="292">
        <f t="shared" si="1"/>
        <v>0</v>
      </c>
      <c r="K14" s="292">
        <f t="shared" si="2"/>
        <v>0</v>
      </c>
      <c r="L14" s="292">
        <f t="shared" si="3"/>
        <v>0</v>
      </c>
      <c r="M14" s="292">
        <f t="shared" si="4"/>
        <v>0</v>
      </c>
      <c r="N14" s="292">
        <f t="shared" si="39"/>
        <v>0</v>
      </c>
      <c r="O14" s="292">
        <f t="shared" si="40"/>
        <v>0</v>
      </c>
      <c r="P14" s="292">
        <f t="shared" si="5"/>
        <v>0</v>
      </c>
      <c r="Q14" s="292">
        <f t="shared" si="6"/>
        <v>0</v>
      </c>
      <c r="R14" s="292">
        <f t="shared" si="7"/>
        <v>0</v>
      </c>
      <c r="S14" s="292">
        <f t="shared" si="8"/>
        <v>0</v>
      </c>
      <c r="T14" s="292">
        <f t="shared" si="41"/>
        <v>0</v>
      </c>
      <c r="U14" s="292">
        <f t="shared" si="42"/>
        <v>0</v>
      </c>
      <c r="V14" s="292">
        <f t="shared" si="9"/>
        <v>0</v>
      </c>
      <c r="W14" s="292">
        <f t="shared" si="10"/>
        <v>0</v>
      </c>
      <c r="X14" s="292">
        <f t="shared" si="11"/>
        <v>0</v>
      </c>
      <c r="Y14" s="292">
        <f t="shared" si="12"/>
        <v>0</v>
      </c>
      <c r="Z14" s="292">
        <f t="shared" si="13"/>
        <v>0</v>
      </c>
      <c r="AA14" s="292">
        <f t="shared" si="14"/>
        <v>0</v>
      </c>
      <c r="AB14" s="292">
        <f t="shared" si="15"/>
        <v>0</v>
      </c>
      <c r="AC14" s="292">
        <f t="shared" si="16"/>
        <v>0</v>
      </c>
      <c r="AD14" s="292">
        <f t="shared" si="17"/>
        <v>0</v>
      </c>
      <c r="AE14" s="292">
        <f t="shared" si="18"/>
        <v>0</v>
      </c>
      <c r="AF14" s="292">
        <f t="shared" si="43"/>
        <v>0</v>
      </c>
      <c r="AG14" s="292">
        <f t="shared" si="44"/>
        <v>0</v>
      </c>
      <c r="AH14" s="292">
        <f t="shared" si="19"/>
        <v>0</v>
      </c>
      <c r="AI14" s="292">
        <f t="shared" si="20"/>
        <v>0</v>
      </c>
      <c r="AJ14" s="292">
        <f t="shared" si="21"/>
        <v>0</v>
      </c>
      <c r="AK14" s="292">
        <f t="shared" si="22"/>
        <v>0</v>
      </c>
      <c r="AL14" s="292">
        <f t="shared" si="23"/>
        <v>0</v>
      </c>
      <c r="AM14" s="292">
        <f t="shared" si="24"/>
        <v>0</v>
      </c>
      <c r="AN14" s="292">
        <f t="shared" si="25"/>
        <v>0</v>
      </c>
      <c r="AO14" s="292">
        <f t="shared" si="26"/>
        <v>0</v>
      </c>
      <c r="AP14" s="292">
        <f t="shared" si="27"/>
        <v>0</v>
      </c>
      <c r="AQ14" s="292">
        <f t="shared" si="28"/>
        <v>0</v>
      </c>
      <c r="AR14" s="292">
        <f t="shared" si="29"/>
        <v>0</v>
      </c>
      <c r="AS14" s="292">
        <f t="shared" si="30"/>
        <v>0</v>
      </c>
      <c r="AT14" s="292">
        <f t="shared" si="31"/>
        <v>0</v>
      </c>
      <c r="AU14" s="292">
        <f t="shared" si="32"/>
        <v>0</v>
      </c>
      <c r="AV14" s="292">
        <f t="shared" si="33"/>
        <v>0</v>
      </c>
      <c r="AW14" s="292">
        <f t="shared" si="34"/>
        <v>0</v>
      </c>
      <c r="AX14" s="292">
        <f t="shared" si="35"/>
        <v>0</v>
      </c>
      <c r="AY14" s="292">
        <f t="shared" si="36"/>
        <v>0</v>
      </c>
      <c r="AZ14" s="292">
        <f t="shared" si="37"/>
        <v>0</v>
      </c>
      <c r="BA14" s="292">
        <f t="shared" si="38"/>
        <v>0</v>
      </c>
    </row>
    <row r="15" spans="1:53" s="289" customFormat="1" ht="15" customHeight="1">
      <c r="A15" s="63" t="str">
        <f t="array" ref="A15">IF(C15&lt;&gt;0,SUM(($C$11:C15&lt;&gt;0)*1),"")</f>
        <v/>
      </c>
      <c r="B15" s="290"/>
      <c r="C15" s="290"/>
      <c r="D15" s="290"/>
      <c r="E15" s="396"/>
      <c r="F15" s="345"/>
      <c r="G15" s="347"/>
      <c r="H15" s="347"/>
      <c r="I15" s="63" t="str">
        <f t="shared" si="0"/>
        <v/>
      </c>
      <c r="J15" s="292">
        <f t="shared" si="1"/>
        <v>0</v>
      </c>
      <c r="K15" s="292">
        <f t="shared" si="2"/>
        <v>0</v>
      </c>
      <c r="L15" s="292">
        <f t="shared" si="3"/>
        <v>0</v>
      </c>
      <c r="M15" s="292">
        <f t="shared" si="4"/>
        <v>0</v>
      </c>
      <c r="N15" s="292">
        <f t="shared" si="39"/>
        <v>0</v>
      </c>
      <c r="O15" s="292">
        <f t="shared" si="40"/>
        <v>0</v>
      </c>
      <c r="P15" s="292">
        <f t="shared" si="5"/>
        <v>0</v>
      </c>
      <c r="Q15" s="292">
        <f t="shared" si="6"/>
        <v>0</v>
      </c>
      <c r="R15" s="292">
        <f t="shared" si="7"/>
        <v>0</v>
      </c>
      <c r="S15" s="292">
        <f t="shared" si="8"/>
        <v>0</v>
      </c>
      <c r="T15" s="292">
        <f t="shared" si="41"/>
        <v>0</v>
      </c>
      <c r="U15" s="292">
        <f t="shared" si="42"/>
        <v>0</v>
      </c>
      <c r="V15" s="292">
        <f t="shared" si="9"/>
        <v>0</v>
      </c>
      <c r="W15" s="292">
        <f t="shared" si="10"/>
        <v>0</v>
      </c>
      <c r="X15" s="292">
        <f t="shared" si="11"/>
        <v>0</v>
      </c>
      <c r="Y15" s="292">
        <f t="shared" si="12"/>
        <v>0</v>
      </c>
      <c r="Z15" s="292">
        <f t="shared" si="13"/>
        <v>0</v>
      </c>
      <c r="AA15" s="292">
        <f t="shared" si="14"/>
        <v>0</v>
      </c>
      <c r="AB15" s="292">
        <f t="shared" si="15"/>
        <v>0</v>
      </c>
      <c r="AC15" s="292">
        <f t="shared" si="16"/>
        <v>0</v>
      </c>
      <c r="AD15" s="292">
        <f t="shared" si="17"/>
        <v>0</v>
      </c>
      <c r="AE15" s="292">
        <f t="shared" si="18"/>
        <v>0</v>
      </c>
      <c r="AF15" s="292">
        <f t="shared" si="43"/>
        <v>0</v>
      </c>
      <c r="AG15" s="292">
        <f t="shared" si="44"/>
        <v>0</v>
      </c>
      <c r="AH15" s="292">
        <f t="shared" si="19"/>
        <v>0</v>
      </c>
      <c r="AI15" s="292">
        <f t="shared" si="20"/>
        <v>0</v>
      </c>
      <c r="AJ15" s="292">
        <f t="shared" si="21"/>
        <v>0</v>
      </c>
      <c r="AK15" s="292">
        <f t="shared" si="22"/>
        <v>0</v>
      </c>
      <c r="AL15" s="292">
        <f t="shared" si="23"/>
        <v>0</v>
      </c>
      <c r="AM15" s="292">
        <f t="shared" si="24"/>
        <v>0</v>
      </c>
      <c r="AN15" s="292">
        <f t="shared" si="25"/>
        <v>0</v>
      </c>
      <c r="AO15" s="292">
        <f t="shared" si="26"/>
        <v>0</v>
      </c>
      <c r="AP15" s="292">
        <f t="shared" si="27"/>
        <v>0</v>
      </c>
      <c r="AQ15" s="292">
        <f t="shared" si="28"/>
        <v>0</v>
      </c>
      <c r="AR15" s="292">
        <f t="shared" si="29"/>
        <v>0</v>
      </c>
      <c r="AS15" s="292">
        <f t="shared" si="30"/>
        <v>0</v>
      </c>
      <c r="AT15" s="292">
        <f t="shared" si="31"/>
        <v>0</v>
      </c>
      <c r="AU15" s="292">
        <f t="shared" si="32"/>
        <v>0</v>
      </c>
      <c r="AV15" s="292">
        <f t="shared" si="33"/>
        <v>0</v>
      </c>
      <c r="AW15" s="292">
        <f t="shared" si="34"/>
        <v>0</v>
      </c>
      <c r="AX15" s="292">
        <f t="shared" si="35"/>
        <v>0</v>
      </c>
      <c r="AY15" s="292">
        <f t="shared" si="36"/>
        <v>0</v>
      </c>
      <c r="AZ15" s="292">
        <f t="shared" si="37"/>
        <v>0</v>
      </c>
      <c r="BA15" s="292">
        <f t="shared" si="38"/>
        <v>0</v>
      </c>
    </row>
    <row r="16" spans="1:53" s="289" customFormat="1" ht="15" customHeight="1">
      <c r="A16" s="63" t="str">
        <f t="array" ref="A16">IF(C16&lt;&gt;0,SUM(($C$11:C16&lt;&gt;0)*1),"")</f>
        <v/>
      </c>
      <c r="B16" s="290"/>
      <c r="C16" s="290"/>
      <c r="D16" s="290"/>
      <c r="E16" s="396"/>
      <c r="F16" s="345"/>
      <c r="G16" s="347"/>
      <c r="H16" s="347"/>
      <c r="I16" s="63" t="str">
        <f t="shared" si="0"/>
        <v/>
      </c>
      <c r="J16" s="292">
        <f t="shared" si="1"/>
        <v>0</v>
      </c>
      <c r="K16" s="292">
        <f t="shared" si="2"/>
        <v>0</v>
      </c>
      <c r="L16" s="292">
        <f t="shared" si="3"/>
        <v>0</v>
      </c>
      <c r="M16" s="292">
        <f t="shared" si="4"/>
        <v>0</v>
      </c>
      <c r="N16" s="292">
        <f t="shared" si="39"/>
        <v>0</v>
      </c>
      <c r="O16" s="292">
        <f t="shared" si="40"/>
        <v>0</v>
      </c>
      <c r="P16" s="292">
        <f t="shared" si="5"/>
        <v>0</v>
      </c>
      <c r="Q16" s="292">
        <f t="shared" si="6"/>
        <v>0</v>
      </c>
      <c r="R16" s="292">
        <f t="shared" si="7"/>
        <v>0</v>
      </c>
      <c r="S16" s="292">
        <f t="shared" si="8"/>
        <v>0</v>
      </c>
      <c r="T16" s="292">
        <f t="shared" si="41"/>
        <v>0</v>
      </c>
      <c r="U16" s="292">
        <f t="shared" si="42"/>
        <v>0</v>
      </c>
      <c r="V16" s="292">
        <f t="shared" si="9"/>
        <v>0</v>
      </c>
      <c r="W16" s="292">
        <f t="shared" si="10"/>
        <v>0</v>
      </c>
      <c r="X16" s="292">
        <f t="shared" si="11"/>
        <v>0</v>
      </c>
      <c r="Y16" s="292">
        <f t="shared" si="12"/>
        <v>0</v>
      </c>
      <c r="Z16" s="292">
        <f t="shared" si="13"/>
        <v>0</v>
      </c>
      <c r="AA16" s="292">
        <f t="shared" si="14"/>
        <v>0</v>
      </c>
      <c r="AB16" s="292">
        <f t="shared" si="15"/>
        <v>0</v>
      </c>
      <c r="AC16" s="292">
        <f t="shared" si="16"/>
        <v>0</v>
      </c>
      <c r="AD16" s="292">
        <f t="shared" si="17"/>
        <v>0</v>
      </c>
      <c r="AE16" s="292">
        <f t="shared" si="18"/>
        <v>0</v>
      </c>
      <c r="AF16" s="292">
        <f t="shared" si="43"/>
        <v>0</v>
      </c>
      <c r="AG16" s="292">
        <f t="shared" si="44"/>
        <v>0</v>
      </c>
      <c r="AH16" s="292">
        <f t="shared" si="19"/>
        <v>0</v>
      </c>
      <c r="AI16" s="292">
        <f t="shared" si="20"/>
        <v>0</v>
      </c>
      <c r="AJ16" s="292">
        <f t="shared" si="21"/>
        <v>0</v>
      </c>
      <c r="AK16" s="292">
        <f t="shared" si="22"/>
        <v>0</v>
      </c>
      <c r="AL16" s="292">
        <f t="shared" si="23"/>
        <v>0</v>
      </c>
      <c r="AM16" s="292">
        <f t="shared" si="24"/>
        <v>0</v>
      </c>
      <c r="AN16" s="292">
        <f t="shared" si="25"/>
        <v>0</v>
      </c>
      <c r="AO16" s="292">
        <f t="shared" si="26"/>
        <v>0</v>
      </c>
      <c r="AP16" s="292">
        <f t="shared" si="27"/>
        <v>0</v>
      </c>
      <c r="AQ16" s="292">
        <f t="shared" si="28"/>
        <v>0</v>
      </c>
      <c r="AR16" s="292">
        <f t="shared" si="29"/>
        <v>0</v>
      </c>
      <c r="AS16" s="292">
        <f t="shared" si="30"/>
        <v>0</v>
      </c>
      <c r="AT16" s="292">
        <f t="shared" si="31"/>
        <v>0</v>
      </c>
      <c r="AU16" s="292">
        <f t="shared" si="32"/>
        <v>0</v>
      </c>
      <c r="AV16" s="292">
        <f t="shared" si="33"/>
        <v>0</v>
      </c>
      <c r="AW16" s="292">
        <f t="shared" si="34"/>
        <v>0</v>
      </c>
      <c r="AX16" s="292">
        <f t="shared" si="35"/>
        <v>0</v>
      </c>
      <c r="AY16" s="292">
        <f t="shared" si="36"/>
        <v>0</v>
      </c>
      <c r="AZ16" s="292">
        <f t="shared" si="37"/>
        <v>0</v>
      </c>
      <c r="BA16" s="292">
        <f t="shared" si="38"/>
        <v>0</v>
      </c>
    </row>
    <row r="17" spans="1:53" s="289" customFormat="1" ht="15" customHeight="1">
      <c r="A17" s="63" t="str">
        <f t="array" ref="A17">IF(C17&lt;&gt;0,SUM(($C$11:C17&lt;&gt;0)*1),"")</f>
        <v/>
      </c>
      <c r="B17" s="290"/>
      <c r="C17" s="290"/>
      <c r="D17" s="290"/>
      <c r="E17" s="396"/>
      <c r="F17" s="345"/>
      <c r="G17" s="347"/>
      <c r="H17" s="347"/>
      <c r="I17" s="63" t="str">
        <f t="shared" si="0"/>
        <v/>
      </c>
      <c r="J17" s="292">
        <f t="shared" si="1"/>
        <v>0</v>
      </c>
      <c r="K17" s="292">
        <f t="shared" si="2"/>
        <v>0</v>
      </c>
      <c r="L17" s="292">
        <f t="shared" si="3"/>
        <v>0</v>
      </c>
      <c r="M17" s="292">
        <f t="shared" si="4"/>
        <v>0</v>
      </c>
      <c r="N17" s="292">
        <f t="shared" si="39"/>
        <v>0</v>
      </c>
      <c r="O17" s="292">
        <f t="shared" si="40"/>
        <v>0</v>
      </c>
      <c r="P17" s="292">
        <f t="shared" si="5"/>
        <v>0</v>
      </c>
      <c r="Q17" s="292">
        <f t="shared" si="6"/>
        <v>0</v>
      </c>
      <c r="R17" s="292">
        <f t="shared" si="7"/>
        <v>0</v>
      </c>
      <c r="S17" s="292">
        <f t="shared" si="8"/>
        <v>0</v>
      </c>
      <c r="T17" s="292">
        <f t="shared" si="41"/>
        <v>0</v>
      </c>
      <c r="U17" s="292">
        <f t="shared" si="42"/>
        <v>0</v>
      </c>
      <c r="V17" s="292">
        <f t="shared" si="9"/>
        <v>0</v>
      </c>
      <c r="W17" s="292">
        <f t="shared" si="10"/>
        <v>0</v>
      </c>
      <c r="X17" s="292">
        <f t="shared" si="11"/>
        <v>0</v>
      </c>
      <c r="Y17" s="292">
        <f t="shared" si="12"/>
        <v>0</v>
      </c>
      <c r="Z17" s="292">
        <f t="shared" si="13"/>
        <v>0</v>
      </c>
      <c r="AA17" s="292">
        <f t="shared" si="14"/>
        <v>0</v>
      </c>
      <c r="AB17" s="292">
        <f t="shared" si="15"/>
        <v>0</v>
      </c>
      <c r="AC17" s="292">
        <f t="shared" si="16"/>
        <v>0</v>
      </c>
      <c r="AD17" s="292">
        <f t="shared" si="17"/>
        <v>0</v>
      </c>
      <c r="AE17" s="292">
        <f t="shared" si="18"/>
        <v>0</v>
      </c>
      <c r="AF17" s="292">
        <f t="shared" si="43"/>
        <v>0</v>
      </c>
      <c r="AG17" s="292">
        <f t="shared" si="44"/>
        <v>0</v>
      </c>
      <c r="AH17" s="292">
        <f t="shared" si="19"/>
        <v>0</v>
      </c>
      <c r="AI17" s="292">
        <f t="shared" si="20"/>
        <v>0</v>
      </c>
      <c r="AJ17" s="292">
        <f t="shared" si="21"/>
        <v>0</v>
      </c>
      <c r="AK17" s="292">
        <f t="shared" si="22"/>
        <v>0</v>
      </c>
      <c r="AL17" s="292">
        <f t="shared" si="23"/>
        <v>0</v>
      </c>
      <c r="AM17" s="292">
        <f t="shared" si="24"/>
        <v>0</v>
      </c>
      <c r="AN17" s="292">
        <f t="shared" si="25"/>
        <v>0</v>
      </c>
      <c r="AO17" s="292">
        <f t="shared" si="26"/>
        <v>0</v>
      </c>
      <c r="AP17" s="292">
        <f t="shared" si="27"/>
        <v>0</v>
      </c>
      <c r="AQ17" s="292">
        <f t="shared" si="28"/>
        <v>0</v>
      </c>
      <c r="AR17" s="292">
        <f t="shared" si="29"/>
        <v>0</v>
      </c>
      <c r="AS17" s="292">
        <f t="shared" si="30"/>
        <v>0</v>
      </c>
      <c r="AT17" s="292">
        <f t="shared" si="31"/>
        <v>0</v>
      </c>
      <c r="AU17" s="292">
        <f t="shared" si="32"/>
        <v>0</v>
      </c>
      <c r="AV17" s="292">
        <f t="shared" si="33"/>
        <v>0</v>
      </c>
      <c r="AW17" s="292">
        <f t="shared" si="34"/>
        <v>0</v>
      </c>
      <c r="AX17" s="292">
        <f t="shared" si="35"/>
        <v>0</v>
      </c>
      <c r="AY17" s="292">
        <f t="shared" si="36"/>
        <v>0</v>
      </c>
      <c r="AZ17" s="292">
        <f t="shared" si="37"/>
        <v>0</v>
      </c>
      <c r="BA17" s="292">
        <f t="shared" si="38"/>
        <v>0</v>
      </c>
    </row>
    <row r="18" spans="1:53" s="289" customFormat="1" ht="15" customHeight="1">
      <c r="A18" s="63" t="str">
        <f t="array" ref="A18">IF(C18&lt;&gt;0,SUM(($C$11:C18&lt;&gt;0)*1),"")</f>
        <v/>
      </c>
      <c r="B18" s="290"/>
      <c r="C18" s="290"/>
      <c r="D18" s="290"/>
      <c r="E18" s="396"/>
      <c r="F18" s="345"/>
      <c r="G18" s="347"/>
      <c r="H18" s="347"/>
      <c r="I18" s="63" t="str">
        <f t="shared" si="0"/>
        <v/>
      </c>
      <c r="J18" s="292">
        <f t="shared" si="1"/>
        <v>0</v>
      </c>
      <c r="K18" s="292">
        <f t="shared" si="2"/>
        <v>0</v>
      </c>
      <c r="L18" s="292">
        <f t="shared" si="3"/>
        <v>0</v>
      </c>
      <c r="M18" s="292">
        <f t="shared" si="4"/>
        <v>0</v>
      </c>
      <c r="N18" s="292">
        <f t="shared" si="39"/>
        <v>0</v>
      </c>
      <c r="O18" s="292">
        <f t="shared" si="40"/>
        <v>0</v>
      </c>
      <c r="P18" s="292">
        <f t="shared" si="5"/>
        <v>0</v>
      </c>
      <c r="Q18" s="292">
        <f t="shared" si="6"/>
        <v>0</v>
      </c>
      <c r="R18" s="292">
        <f t="shared" si="7"/>
        <v>0</v>
      </c>
      <c r="S18" s="292">
        <f t="shared" si="8"/>
        <v>0</v>
      </c>
      <c r="T18" s="292">
        <f t="shared" si="41"/>
        <v>0</v>
      </c>
      <c r="U18" s="292">
        <f t="shared" si="42"/>
        <v>0</v>
      </c>
      <c r="V18" s="292">
        <f t="shared" si="9"/>
        <v>0</v>
      </c>
      <c r="W18" s="292">
        <f t="shared" si="10"/>
        <v>0</v>
      </c>
      <c r="X18" s="292">
        <f t="shared" si="11"/>
        <v>0</v>
      </c>
      <c r="Y18" s="292">
        <f t="shared" si="12"/>
        <v>0</v>
      </c>
      <c r="Z18" s="292">
        <f t="shared" si="13"/>
        <v>0</v>
      </c>
      <c r="AA18" s="292">
        <f t="shared" si="14"/>
        <v>0</v>
      </c>
      <c r="AB18" s="292">
        <f t="shared" si="15"/>
        <v>0</v>
      </c>
      <c r="AC18" s="292">
        <f t="shared" si="16"/>
        <v>0</v>
      </c>
      <c r="AD18" s="292">
        <f t="shared" si="17"/>
        <v>0</v>
      </c>
      <c r="AE18" s="292">
        <f t="shared" si="18"/>
        <v>0</v>
      </c>
      <c r="AF18" s="292">
        <f t="shared" si="43"/>
        <v>0</v>
      </c>
      <c r="AG18" s="292">
        <f t="shared" si="44"/>
        <v>0</v>
      </c>
      <c r="AH18" s="292">
        <f t="shared" si="19"/>
        <v>0</v>
      </c>
      <c r="AI18" s="292">
        <f t="shared" si="20"/>
        <v>0</v>
      </c>
      <c r="AJ18" s="292">
        <f t="shared" si="21"/>
        <v>0</v>
      </c>
      <c r="AK18" s="292">
        <f t="shared" si="22"/>
        <v>0</v>
      </c>
      <c r="AL18" s="292">
        <f t="shared" si="23"/>
        <v>0</v>
      </c>
      <c r="AM18" s="292">
        <f t="shared" si="24"/>
        <v>0</v>
      </c>
      <c r="AN18" s="292">
        <f t="shared" si="25"/>
        <v>0</v>
      </c>
      <c r="AO18" s="292">
        <f t="shared" si="26"/>
        <v>0</v>
      </c>
      <c r="AP18" s="292">
        <f t="shared" si="27"/>
        <v>0</v>
      </c>
      <c r="AQ18" s="292">
        <f t="shared" si="28"/>
        <v>0</v>
      </c>
      <c r="AR18" s="292">
        <f t="shared" si="29"/>
        <v>0</v>
      </c>
      <c r="AS18" s="292">
        <f t="shared" si="30"/>
        <v>0</v>
      </c>
      <c r="AT18" s="292">
        <f t="shared" si="31"/>
        <v>0</v>
      </c>
      <c r="AU18" s="292">
        <f t="shared" si="32"/>
        <v>0</v>
      </c>
      <c r="AV18" s="292">
        <f t="shared" si="33"/>
        <v>0</v>
      </c>
      <c r="AW18" s="292">
        <f t="shared" si="34"/>
        <v>0</v>
      </c>
      <c r="AX18" s="292">
        <f t="shared" si="35"/>
        <v>0</v>
      </c>
      <c r="AY18" s="292">
        <f t="shared" si="36"/>
        <v>0</v>
      </c>
      <c r="AZ18" s="292">
        <f t="shared" si="37"/>
        <v>0</v>
      </c>
      <c r="BA18" s="292">
        <f t="shared" si="38"/>
        <v>0</v>
      </c>
    </row>
    <row r="19" spans="1:53" s="289" customFormat="1" ht="15" customHeight="1">
      <c r="A19" s="63" t="str">
        <f t="array" ref="A19">IF(C19&lt;&gt;0,SUM(($C$11:C19&lt;&gt;0)*1),"")</f>
        <v/>
      </c>
      <c r="B19" s="290"/>
      <c r="C19" s="290"/>
      <c r="D19" s="290"/>
      <c r="E19" s="396"/>
      <c r="F19" s="345"/>
      <c r="G19" s="347"/>
      <c r="H19" s="347"/>
      <c r="I19" s="63" t="str">
        <f t="shared" si="0"/>
        <v/>
      </c>
      <c r="J19" s="292">
        <f t="shared" si="1"/>
        <v>0</v>
      </c>
      <c r="K19" s="292">
        <f t="shared" si="2"/>
        <v>0</v>
      </c>
      <c r="L19" s="292">
        <f t="shared" si="3"/>
        <v>0</v>
      </c>
      <c r="M19" s="292">
        <f t="shared" si="4"/>
        <v>0</v>
      </c>
      <c r="N19" s="292">
        <f t="shared" si="39"/>
        <v>0</v>
      </c>
      <c r="O19" s="292">
        <f t="shared" si="40"/>
        <v>0</v>
      </c>
      <c r="P19" s="292">
        <f t="shared" si="5"/>
        <v>0</v>
      </c>
      <c r="Q19" s="292">
        <f t="shared" si="6"/>
        <v>0</v>
      </c>
      <c r="R19" s="292">
        <f t="shared" si="7"/>
        <v>0</v>
      </c>
      <c r="S19" s="292">
        <f t="shared" si="8"/>
        <v>0</v>
      </c>
      <c r="T19" s="292">
        <f t="shared" si="41"/>
        <v>0</v>
      </c>
      <c r="U19" s="292">
        <f t="shared" si="42"/>
        <v>0</v>
      </c>
      <c r="V19" s="292">
        <f t="shared" si="9"/>
        <v>0</v>
      </c>
      <c r="W19" s="292">
        <f t="shared" si="10"/>
        <v>0</v>
      </c>
      <c r="X19" s="292">
        <f t="shared" si="11"/>
        <v>0</v>
      </c>
      <c r="Y19" s="292">
        <f t="shared" si="12"/>
        <v>0</v>
      </c>
      <c r="Z19" s="292">
        <f t="shared" si="13"/>
        <v>0</v>
      </c>
      <c r="AA19" s="292">
        <f t="shared" si="14"/>
        <v>0</v>
      </c>
      <c r="AB19" s="292">
        <f t="shared" si="15"/>
        <v>0</v>
      </c>
      <c r="AC19" s="292">
        <f t="shared" si="16"/>
        <v>0</v>
      </c>
      <c r="AD19" s="292">
        <f t="shared" si="17"/>
        <v>0</v>
      </c>
      <c r="AE19" s="292">
        <f t="shared" si="18"/>
        <v>0</v>
      </c>
      <c r="AF19" s="292">
        <f t="shared" si="43"/>
        <v>0</v>
      </c>
      <c r="AG19" s="292">
        <f t="shared" si="44"/>
        <v>0</v>
      </c>
      <c r="AH19" s="292">
        <f t="shared" si="19"/>
        <v>0</v>
      </c>
      <c r="AI19" s="292">
        <f t="shared" si="20"/>
        <v>0</v>
      </c>
      <c r="AJ19" s="292">
        <f t="shared" si="21"/>
        <v>0</v>
      </c>
      <c r="AK19" s="292">
        <f t="shared" si="22"/>
        <v>0</v>
      </c>
      <c r="AL19" s="292">
        <f t="shared" si="23"/>
        <v>0</v>
      </c>
      <c r="AM19" s="292">
        <f t="shared" si="24"/>
        <v>0</v>
      </c>
      <c r="AN19" s="292">
        <f t="shared" si="25"/>
        <v>0</v>
      </c>
      <c r="AO19" s="292">
        <f t="shared" si="26"/>
        <v>0</v>
      </c>
      <c r="AP19" s="292">
        <f t="shared" si="27"/>
        <v>0</v>
      </c>
      <c r="AQ19" s="292">
        <f t="shared" si="28"/>
        <v>0</v>
      </c>
      <c r="AR19" s="292">
        <f t="shared" si="29"/>
        <v>0</v>
      </c>
      <c r="AS19" s="292">
        <f t="shared" si="30"/>
        <v>0</v>
      </c>
      <c r="AT19" s="292">
        <f t="shared" si="31"/>
        <v>0</v>
      </c>
      <c r="AU19" s="292">
        <f t="shared" si="32"/>
        <v>0</v>
      </c>
      <c r="AV19" s="292">
        <f t="shared" si="33"/>
        <v>0</v>
      </c>
      <c r="AW19" s="292">
        <f t="shared" si="34"/>
        <v>0</v>
      </c>
      <c r="AX19" s="292">
        <f t="shared" si="35"/>
        <v>0</v>
      </c>
      <c r="AY19" s="292">
        <f t="shared" si="36"/>
        <v>0</v>
      </c>
      <c r="AZ19" s="292">
        <f t="shared" si="37"/>
        <v>0</v>
      </c>
      <c r="BA19" s="292">
        <f t="shared" si="38"/>
        <v>0</v>
      </c>
    </row>
    <row r="20" spans="1:53" s="289" customFormat="1" ht="15" customHeight="1">
      <c r="A20" s="63" t="str">
        <f t="array" ref="A20">IF(C20&lt;&gt;0,SUM(($C$11:C20&lt;&gt;0)*1),"")</f>
        <v/>
      </c>
      <c r="B20" s="290"/>
      <c r="C20" s="290"/>
      <c r="D20" s="290"/>
      <c r="E20" s="396"/>
      <c r="F20" s="345"/>
      <c r="G20" s="347"/>
      <c r="H20" s="347"/>
      <c r="I20" s="63" t="str">
        <f t="shared" si="0"/>
        <v/>
      </c>
      <c r="J20" s="292">
        <f t="shared" si="1"/>
        <v>0</v>
      </c>
      <c r="K20" s="292">
        <f t="shared" si="2"/>
        <v>0</v>
      </c>
      <c r="L20" s="292">
        <f t="shared" si="3"/>
        <v>0</v>
      </c>
      <c r="M20" s="292">
        <f t="shared" si="4"/>
        <v>0</v>
      </c>
      <c r="N20" s="292">
        <f t="shared" si="39"/>
        <v>0</v>
      </c>
      <c r="O20" s="292">
        <f t="shared" si="40"/>
        <v>0</v>
      </c>
      <c r="P20" s="292">
        <f t="shared" si="5"/>
        <v>0</v>
      </c>
      <c r="Q20" s="292">
        <f t="shared" si="6"/>
        <v>0</v>
      </c>
      <c r="R20" s="292">
        <f t="shared" si="7"/>
        <v>0</v>
      </c>
      <c r="S20" s="292">
        <f t="shared" si="8"/>
        <v>0</v>
      </c>
      <c r="T20" s="292">
        <f t="shared" si="41"/>
        <v>0</v>
      </c>
      <c r="U20" s="292">
        <f t="shared" si="42"/>
        <v>0</v>
      </c>
      <c r="V20" s="292">
        <f t="shared" si="9"/>
        <v>0</v>
      </c>
      <c r="W20" s="292">
        <f t="shared" si="10"/>
        <v>0</v>
      </c>
      <c r="X20" s="292">
        <f t="shared" si="11"/>
        <v>0</v>
      </c>
      <c r="Y20" s="292">
        <f t="shared" si="12"/>
        <v>0</v>
      </c>
      <c r="Z20" s="292">
        <f t="shared" si="13"/>
        <v>0</v>
      </c>
      <c r="AA20" s="292">
        <f t="shared" si="14"/>
        <v>0</v>
      </c>
      <c r="AB20" s="292">
        <f t="shared" si="15"/>
        <v>0</v>
      </c>
      <c r="AC20" s="292">
        <f t="shared" si="16"/>
        <v>0</v>
      </c>
      <c r="AD20" s="292">
        <f t="shared" si="17"/>
        <v>0</v>
      </c>
      <c r="AE20" s="292">
        <f t="shared" si="18"/>
        <v>0</v>
      </c>
      <c r="AF20" s="292">
        <f t="shared" si="43"/>
        <v>0</v>
      </c>
      <c r="AG20" s="292">
        <f t="shared" si="44"/>
        <v>0</v>
      </c>
      <c r="AH20" s="292">
        <f t="shared" si="19"/>
        <v>0</v>
      </c>
      <c r="AI20" s="292">
        <f t="shared" si="20"/>
        <v>0</v>
      </c>
      <c r="AJ20" s="292">
        <f t="shared" si="21"/>
        <v>0</v>
      </c>
      <c r="AK20" s="292">
        <f t="shared" si="22"/>
        <v>0</v>
      </c>
      <c r="AL20" s="292">
        <f t="shared" si="23"/>
        <v>0</v>
      </c>
      <c r="AM20" s="292">
        <f t="shared" si="24"/>
        <v>0</v>
      </c>
      <c r="AN20" s="292">
        <f t="shared" si="25"/>
        <v>0</v>
      </c>
      <c r="AO20" s="292">
        <f t="shared" si="26"/>
        <v>0</v>
      </c>
      <c r="AP20" s="292">
        <f t="shared" si="27"/>
        <v>0</v>
      </c>
      <c r="AQ20" s="292">
        <f t="shared" si="28"/>
        <v>0</v>
      </c>
      <c r="AR20" s="292">
        <f t="shared" si="29"/>
        <v>0</v>
      </c>
      <c r="AS20" s="292">
        <f t="shared" si="30"/>
        <v>0</v>
      </c>
      <c r="AT20" s="292">
        <f t="shared" si="31"/>
        <v>0</v>
      </c>
      <c r="AU20" s="292">
        <f t="shared" si="32"/>
        <v>0</v>
      </c>
      <c r="AV20" s="292">
        <f t="shared" si="33"/>
        <v>0</v>
      </c>
      <c r="AW20" s="292">
        <f t="shared" si="34"/>
        <v>0</v>
      </c>
      <c r="AX20" s="292">
        <f t="shared" si="35"/>
        <v>0</v>
      </c>
      <c r="AY20" s="292">
        <f t="shared" si="36"/>
        <v>0</v>
      </c>
      <c r="AZ20" s="292">
        <f t="shared" si="37"/>
        <v>0</v>
      </c>
      <c r="BA20" s="292">
        <f t="shared" si="38"/>
        <v>0</v>
      </c>
    </row>
    <row r="21" spans="1:53" s="289" customFormat="1" ht="15" customHeight="1">
      <c r="A21" s="63" t="str">
        <f t="array" ref="A21">IF(C21&lt;&gt;0,SUM(($C$11:C21&lt;&gt;0)*1),"")</f>
        <v/>
      </c>
      <c r="B21" s="290"/>
      <c r="C21" s="290"/>
      <c r="D21" s="290"/>
      <c r="E21" s="396"/>
      <c r="F21" s="345"/>
      <c r="G21" s="347"/>
      <c r="H21" s="347"/>
      <c r="I21" s="63" t="str">
        <f t="shared" si="0"/>
        <v/>
      </c>
      <c r="J21" s="292">
        <f t="shared" si="1"/>
        <v>0</v>
      </c>
      <c r="K21" s="292">
        <f t="shared" si="2"/>
        <v>0</v>
      </c>
      <c r="L21" s="292">
        <f t="shared" si="3"/>
        <v>0</v>
      </c>
      <c r="M21" s="292">
        <f t="shared" si="4"/>
        <v>0</v>
      </c>
      <c r="N21" s="292">
        <f t="shared" si="39"/>
        <v>0</v>
      </c>
      <c r="O21" s="292">
        <f t="shared" si="40"/>
        <v>0</v>
      </c>
      <c r="P21" s="292">
        <f t="shared" si="5"/>
        <v>0</v>
      </c>
      <c r="Q21" s="292">
        <f t="shared" si="6"/>
        <v>0</v>
      </c>
      <c r="R21" s="292">
        <f t="shared" si="7"/>
        <v>0</v>
      </c>
      <c r="S21" s="292">
        <f t="shared" si="8"/>
        <v>0</v>
      </c>
      <c r="T21" s="292">
        <f t="shared" si="41"/>
        <v>0</v>
      </c>
      <c r="U21" s="292">
        <f t="shared" si="42"/>
        <v>0</v>
      </c>
      <c r="V21" s="292">
        <f t="shared" si="9"/>
        <v>0</v>
      </c>
      <c r="W21" s="292">
        <f t="shared" si="10"/>
        <v>0</v>
      </c>
      <c r="X21" s="292">
        <f t="shared" si="11"/>
        <v>0</v>
      </c>
      <c r="Y21" s="292">
        <f t="shared" si="12"/>
        <v>0</v>
      </c>
      <c r="Z21" s="292">
        <f t="shared" si="13"/>
        <v>0</v>
      </c>
      <c r="AA21" s="292">
        <f t="shared" si="14"/>
        <v>0</v>
      </c>
      <c r="AB21" s="292">
        <f t="shared" si="15"/>
        <v>0</v>
      </c>
      <c r="AC21" s="292">
        <f t="shared" si="16"/>
        <v>0</v>
      </c>
      <c r="AD21" s="292">
        <f t="shared" si="17"/>
        <v>0</v>
      </c>
      <c r="AE21" s="292">
        <f t="shared" si="18"/>
        <v>0</v>
      </c>
      <c r="AF21" s="292">
        <f t="shared" si="43"/>
        <v>0</v>
      </c>
      <c r="AG21" s="292">
        <f t="shared" si="44"/>
        <v>0</v>
      </c>
      <c r="AH21" s="292">
        <f t="shared" si="19"/>
        <v>0</v>
      </c>
      <c r="AI21" s="292">
        <f t="shared" si="20"/>
        <v>0</v>
      </c>
      <c r="AJ21" s="292">
        <f t="shared" si="21"/>
        <v>0</v>
      </c>
      <c r="AK21" s="292">
        <f t="shared" si="22"/>
        <v>0</v>
      </c>
      <c r="AL21" s="292">
        <f t="shared" si="23"/>
        <v>0</v>
      </c>
      <c r="AM21" s="292">
        <f t="shared" si="24"/>
        <v>0</v>
      </c>
      <c r="AN21" s="292">
        <f t="shared" si="25"/>
        <v>0</v>
      </c>
      <c r="AO21" s="292">
        <f t="shared" si="26"/>
        <v>0</v>
      </c>
      <c r="AP21" s="292">
        <f t="shared" si="27"/>
        <v>0</v>
      </c>
      <c r="AQ21" s="292">
        <f t="shared" si="28"/>
        <v>0</v>
      </c>
      <c r="AR21" s="292">
        <f t="shared" si="29"/>
        <v>0</v>
      </c>
      <c r="AS21" s="292">
        <f t="shared" si="30"/>
        <v>0</v>
      </c>
      <c r="AT21" s="292">
        <f t="shared" si="31"/>
        <v>0</v>
      </c>
      <c r="AU21" s="292">
        <f t="shared" si="32"/>
        <v>0</v>
      </c>
      <c r="AV21" s="292">
        <f t="shared" si="33"/>
        <v>0</v>
      </c>
      <c r="AW21" s="292">
        <f t="shared" si="34"/>
        <v>0</v>
      </c>
      <c r="AX21" s="292">
        <f t="shared" si="35"/>
        <v>0</v>
      </c>
      <c r="AY21" s="292">
        <f t="shared" si="36"/>
        <v>0</v>
      </c>
      <c r="AZ21" s="292">
        <f t="shared" si="37"/>
        <v>0</v>
      </c>
      <c r="BA21" s="292">
        <f t="shared" si="38"/>
        <v>0</v>
      </c>
    </row>
    <row r="22" spans="1:53" s="289" customFormat="1" ht="15" customHeight="1">
      <c r="A22" s="63" t="str">
        <f t="array" ref="A22">IF(C22&lt;&gt;0,SUM(($C$11:C22&lt;&gt;0)*1),"")</f>
        <v/>
      </c>
      <c r="B22" s="290"/>
      <c r="C22" s="290"/>
      <c r="D22" s="290"/>
      <c r="E22" s="396"/>
      <c r="F22" s="345"/>
      <c r="G22" s="347"/>
      <c r="H22" s="347"/>
      <c r="I22" s="63" t="str">
        <f t="shared" ref="I22:I78" si="45">A22</f>
        <v/>
      </c>
      <c r="J22" s="292">
        <f t="shared" si="1"/>
        <v>0</v>
      </c>
      <c r="K22" s="292">
        <f t="shared" si="2"/>
        <v>0</v>
      </c>
      <c r="L22" s="292">
        <f t="shared" si="3"/>
        <v>0</v>
      </c>
      <c r="M22" s="292">
        <f t="shared" si="4"/>
        <v>0</v>
      </c>
      <c r="N22" s="292">
        <f t="shared" si="39"/>
        <v>0</v>
      </c>
      <c r="O22" s="292">
        <f t="shared" si="40"/>
        <v>0</v>
      </c>
      <c r="P22" s="292">
        <f t="shared" si="5"/>
        <v>0</v>
      </c>
      <c r="Q22" s="292">
        <f t="shared" si="6"/>
        <v>0</v>
      </c>
      <c r="R22" s="292">
        <f t="shared" si="7"/>
        <v>0</v>
      </c>
      <c r="S22" s="292">
        <f t="shared" si="8"/>
        <v>0</v>
      </c>
      <c r="T22" s="292">
        <f t="shared" si="41"/>
        <v>0</v>
      </c>
      <c r="U22" s="292">
        <f t="shared" si="42"/>
        <v>0</v>
      </c>
      <c r="V22" s="292">
        <f t="shared" si="9"/>
        <v>0</v>
      </c>
      <c r="W22" s="292">
        <f t="shared" si="10"/>
        <v>0</v>
      </c>
      <c r="X22" s="292">
        <f t="shared" si="11"/>
        <v>0</v>
      </c>
      <c r="Y22" s="292">
        <f t="shared" si="12"/>
        <v>0</v>
      </c>
      <c r="Z22" s="292">
        <f t="shared" si="13"/>
        <v>0</v>
      </c>
      <c r="AA22" s="292">
        <f t="shared" si="14"/>
        <v>0</v>
      </c>
      <c r="AB22" s="292">
        <f t="shared" si="15"/>
        <v>0</v>
      </c>
      <c r="AC22" s="292">
        <f t="shared" si="16"/>
        <v>0</v>
      </c>
      <c r="AD22" s="292">
        <f t="shared" si="17"/>
        <v>0</v>
      </c>
      <c r="AE22" s="292">
        <f t="shared" si="18"/>
        <v>0</v>
      </c>
      <c r="AF22" s="292">
        <f t="shared" si="43"/>
        <v>0</v>
      </c>
      <c r="AG22" s="292">
        <f t="shared" si="44"/>
        <v>0</v>
      </c>
      <c r="AH22" s="292">
        <f t="shared" si="19"/>
        <v>0</v>
      </c>
      <c r="AI22" s="292">
        <f t="shared" si="20"/>
        <v>0</v>
      </c>
      <c r="AJ22" s="292">
        <f t="shared" si="21"/>
        <v>0</v>
      </c>
      <c r="AK22" s="292">
        <f t="shared" si="22"/>
        <v>0</v>
      </c>
      <c r="AL22" s="292">
        <f t="shared" si="23"/>
        <v>0</v>
      </c>
      <c r="AM22" s="292">
        <f t="shared" si="24"/>
        <v>0</v>
      </c>
      <c r="AN22" s="292">
        <f t="shared" si="25"/>
        <v>0</v>
      </c>
      <c r="AO22" s="292">
        <f t="shared" si="26"/>
        <v>0</v>
      </c>
      <c r="AP22" s="292">
        <f t="shared" si="27"/>
        <v>0</v>
      </c>
      <c r="AQ22" s="292">
        <f t="shared" si="28"/>
        <v>0</v>
      </c>
      <c r="AR22" s="292">
        <f t="shared" si="29"/>
        <v>0</v>
      </c>
      <c r="AS22" s="292">
        <f t="shared" si="30"/>
        <v>0</v>
      </c>
      <c r="AT22" s="292">
        <f t="shared" si="31"/>
        <v>0</v>
      </c>
      <c r="AU22" s="292">
        <f t="shared" si="32"/>
        <v>0</v>
      </c>
      <c r="AV22" s="292">
        <f t="shared" si="33"/>
        <v>0</v>
      </c>
      <c r="AW22" s="292">
        <f t="shared" si="34"/>
        <v>0</v>
      </c>
      <c r="AX22" s="292">
        <f t="shared" si="35"/>
        <v>0</v>
      </c>
      <c r="AY22" s="292">
        <f t="shared" si="36"/>
        <v>0</v>
      </c>
      <c r="AZ22" s="292">
        <f t="shared" si="37"/>
        <v>0</v>
      </c>
      <c r="BA22" s="292">
        <f t="shared" si="38"/>
        <v>0</v>
      </c>
    </row>
    <row r="23" spans="1:53" s="289" customFormat="1" ht="15" customHeight="1">
      <c r="A23" s="63" t="str">
        <f t="array" ref="A23">IF(C23&lt;&gt;0,SUM(($C$11:C23&lt;&gt;0)*1),"")</f>
        <v/>
      </c>
      <c r="B23" s="290"/>
      <c r="C23" s="290"/>
      <c r="D23" s="290"/>
      <c r="E23" s="396"/>
      <c r="F23" s="345"/>
      <c r="G23" s="347"/>
      <c r="H23" s="347"/>
      <c r="I23" s="63" t="str">
        <f t="shared" si="45"/>
        <v/>
      </c>
      <c r="J23" s="292">
        <f t="shared" si="1"/>
        <v>0</v>
      </c>
      <c r="K23" s="292">
        <f t="shared" si="2"/>
        <v>0</v>
      </c>
      <c r="L23" s="292">
        <f t="shared" si="3"/>
        <v>0</v>
      </c>
      <c r="M23" s="292">
        <f t="shared" si="4"/>
        <v>0</v>
      </c>
      <c r="N23" s="292">
        <f t="shared" si="39"/>
        <v>0</v>
      </c>
      <c r="O23" s="292">
        <f t="shared" si="40"/>
        <v>0</v>
      </c>
      <c r="P23" s="292">
        <f t="shared" si="5"/>
        <v>0</v>
      </c>
      <c r="Q23" s="292">
        <f t="shared" si="6"/>
        <v>0</v>
      </c>
      <c r="R23" s="292">
        <f t="shared" si="7"/>
        <v>0</v>
      </c>
      <c r="S23" s="292">
        <f t="shared" si="8"/>
        <v>0</v>
      </c>
      <c r="T23" s="292">
        <f t="shared" si="41"/>
        <v>0</v>
      </c>
      <c r="U23" s="292">
        <f t="shared" si="42"/>
        <v>0</v>
      </c>
      <c r="V23" s="292">
        <f t="shared" si="9"/>
        <v>0</v>
      </c>
      <c r="W23" s="292">
        <f t="shared" si="10"/>
        <v>0</v>
      </c>
      <c r="X23" s="292">
        <f t="shared" si="11"/>
        <v>0</v>
      </c>
      <c r="Y23" s="292">
        <f t="shared" si="12"/>
        <v>0</v>
      </c>
      <c r="Z23" s="292">
        <f t="shared" si="13"/>
        <v>0</v>
      </c>
      <c r="AA23" s="292">
        <f t="shared" si="14"/>
        <v>0</v>
      </c>
      <c r="AB23" s="292">
        <f t="shared" si="15"/>
        <v>0</v>
      </c>
      <c r="AC23" s="292">
        <f t="shared" si="16"/>
        <v>0</v>
      </c>
      <c r="AD23" s="292">
        <f t="shared" si="17"/>
        <v>0</v>
      </c>
      <c r="AE23" s="292">
        <f t="shared" si="18"/>
        <v>0</v>
      </c>
      <c r="AF23" s="292">
        <f t="shared" si="43"/>
        <v>0</v>
      </c>
      <c r="AG23" s="292">
        <f t="shared" si="44"/>
        <v>0</v>
      </c>
      <c r="AH23" s="292">
        <f t="shared" si="19"/>
        <v>0</v>
      </c>
      <c r="AI23" s="292">
        <f t="shared" si="20"/>
        <v>0</v>
      </c>
      <c r="AJ23" s="292">
        <f t="shared" si="21"/>
        <v>0</v>
      </c>
      <c r="AK23" s="292">
        <f t="shared" si="22"/>
        <v>0</v>
      </c>
      <c r="AL23" s="292">
        <f t="shared" si="23"/>
        <v>0</v>
      </c>
      <c r="AM23" s="292">
        <f t="shared" si="24"/>
        <v>0</v>
      </c>
      <c r="AN23" s="292">
        <f t="shared" si="25"/>
        <v>0</v>
      </c>
      <c r="AO23" s="292">
        <f t="shared" si="26"/>
        <v>0</v>
      </c>
      <c r="AP23" s="292">
        <f t="shared" si="27"/>
        <v>0</v>
      </c>
      <c r="AQ23" s="292">
        <f t="shared" si="28"/>
        <v>0</v>
      </c>
      <c r="AR23" s="292">
        <f t="shared" si="29"/>
        <v>0</v>
      </c>
      <c r="AS23" s="292">
        <f t="shared" si="30"/>
        <v>0</v>
      </c>
      <c r="AT23" s="292">
        <f t="shared" si="31"/>
        <v>0</v>
      </c>
      <c r="AU23" s="292">
        <f t="shared" si="32"/>
        <v>0</v>
      </c>
      <c r="AV23" s="292">
        <f t="shared" si="33"/>
        <v>0</v>
      </c>
      <c r="AW23" s="292">
        <f t="shared" si="34"/>
        <v>0</v>
      </c>
      <c r="AX23" s="292">
        <f t="shared" si="35"/>
        <v>0</v>
      </c>
      <c r="AY23" s="292">
        <f t="shared" si="36"/>
        <v>0</v>
      </c>
      <c r="AZ23" s="292">
        <f t="shared" si="37"/>
        <v>0</v>
      </c>
      <c r="BA23" s="292">
        <f t="shared" si="38"/>
        <v>0</v>
      </c>
    </row>
    <row r="24" spans="1:53" s="289" customFormat="1" ht="15" customHeight="1">
      <c r="A24" s="63" t="str">
        <f t="array" ref="A24">IF(C24&lt;&gt;0,SUM(($C$11:C24&lt;&gt;0)*1),"")</f>
        <v/>
      </c>
      <c r="B24" s="290"/>
      <c r="C24" s="290"/>
      <c r="D24" s="290"/>
      <c r="E24" s="396"/>
      <c r="F24" s="345"/>
      <c r="G24" s="347"/>
      <c r="H24" s="347"/>
      <c r="I24" s="63" t="str">
        <f t="shared" si="45"/>
        <v/>
      </c>
      <c r="J24" s="292">
        <f t="shared" si="1"/>
        <v>0</v>
      </c>
      <c r="K24" s="292">
        <f t="shared" si="2"/>
        <v>0</v>
      </c>
      <c r="L24" s="292">
        <f t="shared" si="3"/>
        <v>0</v>
      </c>
      <c r="M24" s="292">
        <f t="shared" si="4"/>
        <v>0</v>
      </c>
      <c r="N24" s="292">
        <f t="shared" si="39"/>
        <v>0</v>
      </c>
      <c r="O24" s="292">
        <f t="shared" si="40"/>
        <v>0</v>
      </c>
      <c r="P24" s="292">
        <f t="shared" si="5"/>
        <v>0</v>
      </c>
      <c r="Q24" s="292">
        <f t="shared" si="6"/>
        <v>0</v>
      </c>
      <c r="R24" s="292">
        <f t="shared" si="7"/>
        <v>0</v>
      </c>
      <c r="S24" s="292">
        <f t="shared" si="8"/>
        <v>0</v>
      </c>
      <c r="T24" s="292">
        <f t="shared" si="41"/>
        <v>0</v>
      </c>
      <c r="U24" s="292">
        <f t="shared" si="42"/>
        <v>0</v>
      </c>
      <c r="V24" s="292">
        <f t="shared" si="9"/>
        <v>0</v>
      </c>
      <c r="W24" s="292">
        <f t="shared" si="10"/>
        <v>0</v>
      </c>
      <c r="X24" s="292">
        <f t="shared" si="11"/>
        <v>0</v>
      </c>
      <c r="Y24" s="292">
        <f t="shared" si="12"/>
        <v>0</v>
      </c>
      <c r="Z24" s="292">
        <f t="shared" si="13"/>
        <v>0</v>
      </c>
      <c r="AA24" s="292">
        <f t="shared" si="14"/>
        <v>0</v>
      </c>
      <c r="AB24" s="292">
        <f t="shared" si="15"/>
        <v>0</v>
      </c>
      <c r="AC24" s="292">
        <f t="shared" si="16"/>
        <v>0</v>
      </c>
      <c r="AD24" s="292">
        <f t="shared" si="17"/>
        <v>0</v>
      </c>
      <c r="AE24" s="292">
        <f t="shared" si="18"/>
        <v>0</v>
      </c>
      <c r="AF24" s="292">
        <f t="shared" si="43"/>
        <v>0</v>
      </c>
      <c r="AG24" s="292">
        <f t="shared" si="44"/>
        <v>0</v>
      </c>
      <c r="AH24" s="292">
        <f t="shared" si="19"/>
        <v>0</v>
      </c>
      <c r="AI24" s="292">
        <f t="shared" si="20"/>
        <v>0</v>
      </c>
      <c r="AJ24" s="292">
        <f t="shared" si="21"/>
        <v>0</v>
      </c>
      <c r="AK24" s="292">
        <f t="shared" si="22"/>
        <v>0</v>
      </c>
      <c r="AL24" s="292">
        <f t="shared" si="23"/>
        <v>0</v>
      </c>
      <c r="AM24" s="292">
        <f t="shared" si="24"/>
        <v>0</v>
      </c>
      <c r="AN24" s="292">
        <f t="shared" si="25"/>
        <v>0</v>
      </c>
      <c r="AO24" s="292">
        <f t="shared" si="26"/>
        <v>0</v>
      </c>
      <c r="AP24" s="292">
        <f t="shared" si="27"/>
        <v>0</v>
      </c>
      <c r="AQ24" s="292">
        <f t="shared" si="28"/>
        <v>0</v>
      </c>
      <c r="AR24" s="292">
        <f t="shared" si="29"/>
        <v>0</v>
      </c>
      <c r="AS24" s="292">
        <f t="shared" si="30"/>
        <v>0</v>
      </c>
      <c r="AT24" s="292">
        <f t="shared" si="31"/>
        <v>0</v>
      </c>
      <c r="AU24" s="292">
        <f t="shared" si="32"/>
        <v>0</v>
      </c>
      <c r="AV24" s="292">
        <f t="shared" si="33"/>
        <v>0</v>
      </c>
      <c r="AW24" s="292">
        <f t="shared" si="34"/>
        <v>0</v>
      </c>
      <c r="AX24" s="292">
        <f t="shared" si="35"/>
        <v>0</v>
      </c>
      <c r="AY24" s="292">
        <f t="shared" si="36"/>
        <v>0</v>
      </c>
      <c r="AZ24" s="292">
        <f t="shared" si="37"/>
        <v>0</v>
      </c>
      <c r="BA24" s="292">
        <f t="shared" si="38"/>
        <v>0</v>
      </c>
    </row>
    <row r="25" spans="1:53" s="289" customFormat="1" ht="15" customHeight="1">
      <c r="A25" s="63" t="str">
        <f t="array" ref="A25">IF(C25&lt;&gt;0,SUM(($C$11:C25&lt;&gt;0)*1),"")</f>
        <v/>
      </c>
      <c r="B25" s="290"/>
      <c r="C25" s="290"/>
      <c r="D25" s="290"/>
      <c r="E25" s="396"/>
      <c r="F25" s="345"/>
      <c r="G25" s="347"/>
      <c r="H25" s="347"/>
      <c r="I25" s="63" t="str">
        <f t="shared" si="45"/>
        <v/>
      </c>
      <c r="J25" s="292">
        <f t="shared" si="1"/>
        <v>0</v>
      </c>
      <c r="K25" s="292">
        <f t="shared" si="2"/>
        <v>0</v>
      </c>
      <c r="L25" s="292">
        <f t="shared" si="3"/>
        <v>0</v>
      </c>
      <c r="M25" s="292">
        <f t="shared" si="4"/>
        <v>0</v>
      </c>
      <c r="N25" s="292">
        <f t="shared" si="39"/>
        <v>0</v>
      </c>
      <c r="O25" s="292">
        <f t="shared" si="40"/>
        <v>0</v>
      </c>
      <c r="P25" s="292">
        <f t="shared" si="5"/>
        <v>0</v>
      </c>
      <c r="Q25" s="292">
        <f t="shared" si="6"/>
        <v>0</v>
      </c>
      <c r="R25" s="292">
        <f t="shared" si="7"/>
        <v>0</v>
      </c>
      <c r="S25" s="292">
        <f t="shared" si="8"/>
        <v>0</v>
      </c>
      <c r="T25" s="292">
        <f t="shared" si="41"/>
        <v>0</v>
      </c>
      <c r="U25" s="292">
        <f t="shared" si="42"/>
        <v>0</v>
      </c>
      <c r="V25" s="292">
        <f t="shared" si="9"/>
        <v>0</v>
      </c>
      <c r="W25" s="292">
        <f t="shared" si="10"/>
        <v>0</v>
      </c>
      <c r="X25" s="292">
        <f t="shared" si="11"/>
        <v>0</v>
      </c>
      <c r="Y25" s="292">
        <f t="shared" si="12"/>
        <v>0</v>
      </c>
      <c r="Z25" s="292">
        <f t="shared" si="13"/>
        <v>0</v>
      </c>
      <c r="AA25" s="292">
        <f t="shared" si="14"/>
        <v>0</v>
      </c>
      <c r="AB25" s="292">
        <f t="shared" si="15"/>
        <v>0</v>
      </c>
      <c r="AC25" s="292">
        <f t="shared" si="16"/>
        <v>0</v>
      </c>
      <c r="AD25" s="292">
        <f t="shared" si="17"/>
        <v>0</v>
      </c>
      <c r="AE25" s="292">
        <f t="shared" si="18"/>
        <v>0</v>
      </c>
      <c r="AF25" s="292">
        <f t="shared" si="43"/>
        <v>0</v>
      </c>
      <c r="AG25" s="292">
        <f t="shared" si="44"/>
        <v>0</v>
      </c>
      <c r="AH25" s="292">
        <f t="shared" si="19"/>
        <v>0</v>
      </c>
      <c r="AI25" s="292">
        <f t="shared" si="20"/>
        <v>0</v>
      </c>
      <c r="AJ25" s="292">
        <f t="shared" si="21"/>
        <v>0</v>
      </c>
      <c r="AK25" s="292">
        <f t="shared" si="22"/>
        <v>0</v>
      </c>
      <c r="AL25" s="292">
        <f t="shared" si="23"/>
        <v>0</v>
      </c>
      <c r="AM25" s="292">
        <f t="shared" si="24"/>
        <v>0</v>
      </c>
      <c r="AN25" s="292">
        <f t="shared" si="25"/>
        <v>0</v>
      </c>
      <c r="AO25" s="292">
        <f t="shared" si="26"/>
        <v>0</v>
      </c>
      <c r="AP25" s="292">
        <f t="shared" si="27"/>
        <v>0</v>
      </c>
      <c r="AQ25" s="292">
        <f t="shared" si="28"/>
        <v>0</v>
      </c>
      <c r="AR25" s="292">
        <f t="shared" si="29"/>
        <v>0</v>
      </c>
      <c r="AS25" s="292">
        <f t="shared" si="30"/>
        <v>0</v>
      </c>
      <c r="AT25" s="292">
        <f t="shared" si="31"/>
        <v>0</v>
      </c>
      <c r="AU25" s="292">
        <f t="shared" si="32"/>
        <v>0</v>
      </c>
      <c r="AV25" s="292">
        <f t="shared" si="33"/>
        <v>0</v>
      </c>
      <c r="AW25" s="292">
        <f t="shared" si="34"/>
        <v>0</v>
      </c>
      <c r="AX25" s="292">
        <f t="shared" si="35"/>
        <v>0</v>
      </c>
      <c r="AY25" s="292">
        <f t="shared" si="36"/>
        <v>0</v>
      </c>
      <c r="AZ25" s="292">
        <f t="shared" si="37"/>
        <v>0</v>
      </c>
      <c r="BA25" s="292">
        <f t="shared" si="38"/>
        <v>0</v>
      </c>
    </row>
    <row r="26" spans="1:53" s="289" customFormat="1" ht="15" customHeight="1">
      <c r="A26" s="63" t="str">
        <f t="array" ref="A26">IF(C26&lt;&gt;0,SUM(($C$11:C26&lt;&gt;0)*1),"")</f>
        <v/>
      </c>
      <c r="B26" s="290"/>
      <c r="C26" s="290"/>
      <c r="D26" s="290"/>
      <c r="E26" s="396"/>
      <c r="F26" s="345"/>
      <c r="G26" s="347"/>
      <c r="H26" s="347"/>
      <c r="I26" s="63" t="str">
        <f t="shared" si="45"/>
        <v/>
      </c>
      <c r="J26" s="292">
        <f t="shared" si="1"/>
        <v>0</v>
      </c>
      <c r="K26" s="292">
        <f t="shared" si="2"/>
        <v>0</v>
      </c>
      <c r="L26" s="292">
        <f t="shared" si="3"/>
        <v>0</v>
      </c>
      <c r="M26" s="292">
        <f t="shared" si="4"/>
        <v>0</v>
      </c>
      <c r="N26" s="292">
        <f t="shared" si="39"/>
        <v>0</v>
      </c>
      <c r="O26" s="292">
        <f t="shared" si="40"/>
        <v>0</v>
      </c>
      <c r="P26" s="292">
        <f t="shared" si="5"/>
        <v>0</v>
      </c>
      <c r="Q26" s="292">
        <f t="shared" si="6"/>
        <v>0</v>
      </c>
      <c r="R26" s="292">
        <f t="shared" si="7"/>
        <v>0</v>
      </c>
      <c r="S26" s="292">
        <f t="shared" si="8"/>
        <v>0</v>
      </c>
      <c r="T26" s="292">
        <f t="shared" si="41"/>
        <v>0</v>
      </c>
      <c r="U26" s="292">
        <f t="shared" si="42"/>
        <v>0</v>
      </c>
      <c r="V26" s="292">
        <f t="shared" si="9"/>
        <v>0</v>
      </c>
      <c r="W26" s="292">
        <f t="shared" si="10"/>
        <v>0</v>
      </c>
      <c r="X26" s="292">
        <f t="shared" si="11"/>
        <v>0</v>
      </c>
      <c r="Y26" s="292">
        <f t="shared" si="12"/>
        <v>0</v>
      </c>
      <c r="Z26" s="292">
        <f t="shared" si="13"/>
        <v>0</v>
      </c>
      <c r="AA26" s="292">
        <f t="shared" si="14"/>
        <v>0</v>
      </c>
      <c r="AB26" s="292">
        <f t="shared" si="15"/>
        <v>0</v>
      </c>
      <c r="AC26" s="292">
        <f t="shared" si="16"/>
        <v>0</v>
      </c>
      <c r="AD26" s="292">
        <f t="shared" si="17"/>
        <v>0</v>
      </c>
      <c r="AE26" s="292">
        <f t="shared" si="18"/>
        <v>0</v>
      </c>
      <c r="AF26" s="292">
        <f t="shared" si="43"/>
        <v>0</v>
      </c>
      <c r="AG26" s="292">
        <f t="shared" si="44"/>
        <v>0</v>
      </c>
      <c r="AH26" s="292">
        <f t="shared" si="19"/>
        <v>0</v>
      </c>
      <c r="AI26" s="292">
        <f t="shared" si="20"/>
        <v>0</v>
      </c>
      <c r="AJ26" s="292">
        <f t="shared" si="21"/>
        <v>0</v>
      </c>
      <c r="AK26" s="292">
        <f t="shared" si="22"/>
        <v>0</v>
      </c>
      <c r="AL26" s="292">
        <f t="shared" si="23"/>
        <v>0</v>
      </c>
      <c r="AM26" s="292">
        <f t="shared" si="24"/>
        <v>0</v>
      </c>
      <c r="AN26" s="292">
        <f t="shared" si="25"/>
        <v>0</v>
      </c>
      <c r="AO26" s="292">
        <f t="shared" si="26"/>
        <v>0</v>
      </c>
      <c r="AP26" s="292">
        <f t="shared" si="27"/>
        <v>0</v>
      </c>
      <c r="AQ26" s="292">
        <f t="shared" si="28"/>
        <v>0</v>
      </c>
      <c r="AR26" s="292">
        <f t="shared" si="29"/>
        <v>0</v>
      </c>
      <c r="AS26" s="292">
        <f t="shared" si="30"/>
        <v>0</v>
      </c>
      <c r="AT26" s="292">
        <f t="shared" si="31"/>
        <v>0</v>
      </c>
      <c r="AU26" s="292">
        <f t="shared" si="32"/>
        <v>0</v>
      </c>
      <c r="AV26" s="292">
        <f t="shared" si="33"/>
        <v>0</v>
      </c>
      <c r="AW26" s="292">
        <f t="shared" si="34"/>
        <v>0</v>
      </c>
      <c r="AX26" s="292">
        <f t="shared" si="35"/>
        <v>0</v>
      </c>
      <c r="AY26" s="292">
        <f t="shared" si="36"/>
        <v>0</v>
      </c>
      <c r="AZ26" s="292">
        <f t="shared" si="37"/>
        <v>0</v>
      </c>
      <c r="BA26" s="292">
        <f t="shared" si="38"/>
        <v>0</v>
      </c>
    </row>
    <row r="27" spans="1:53" s="289" customFormat="1" ht="15" customHeight="1">
      <c r="A27" s="63" t="str">
        <f t="array" ref="A27">IF(C27&lt;&gt;0,SUM(($C$11:C27&lt;&gt;0)*1),"")</f>
        <v/>
      </c>
      <c r="B27" s="290"/>
      <c r="C27" s="290"/>
      <c r="D27" s="290"/>
      <c r="E27" s="396"/>
      <c r="F27" s="345"/>
      <c r="G27" s="347"/>
      <c r="H27" s="347"/>
      <c r="I27" s="63" t="str">
        <f t="shared" si="45"/>
        <v/>
      </c>
      <c r="J27" s="292">
        <f t="shared" si="1"/>
        <v>0</v>
      </c>
      <c r="K27" s="292">
        <f t="shared" si="2"/>
        <v>0</v>
      </c>
      <c r="L27" s="292">
        <f t="shared" si="3"/>
        <v>0</v>
      </c>
      <c r="M27" s="292">
        <f t="shared" si="4"/>
        <v>0</v>
      </c>
      <c r="N27" s="292">
        <f t="shared" si="39"/>
        <v>0</v>
      </c>
      <c r="O27" s="292">
        <f t="shared" si="40"/>
        <v>0</v>
      </c>
      <c r="P27" s="292">
        <f t="shared" si="5"/>
        <v>0</v>
      </c>
      <c r="Q27" s="292">
        <f t="shared" si="6"/>
        <v>0</v>
      </c>
      <c r="R27" s="292">
        <f t="shared" si="7"/>
        <v>0</v>
      </c>
      <c r="S27" s="292">
        <f t="shared" si="8"/>
        <v>0</v>
      </c>
      <c r="T27" s="292">
        <f t="shared" si="41"/>
        <v>0</v>
      </c>
      <c r="U27" s="292">
        <f t="shared" si="42"/>
        <v>0</v>
      </c>
      <c r="V27" s="292">
        <f t="shared" si="9"/>
        <v>0</v>
      </c>
      <c r="W27" s="292">
        <f t="shared" si="10"/>
        <v>0</v>
      </c>
      <c r="X27" s="292">
        <f t="shared" si="11"/>
        <v>0</v>
      </c>
      <c r="Y27" s="292">
        <f t="shared" si="12"/>
        <v>0</v>
      </c>
      <c r="Z27" s="292">
        <f t="shared" si="13"/>
        <v>0</v>
      </c>
      <c r="AA27" s="292">
        <f t="shared" si="14"/>
        <v>0</v>
      </c>
      <c r="AB27" s="292">
        <f t="shared" si="15"/>
        <v>0</v>
      </c>
      <c r="AC27" s="292">
        <f t="shared" si="16"/>
        <v>0</v>
      </c>
      <c r="AD27" s="292">
        <f t="shared" si="17"/>
        <v>0</v>
      </c>
      <c r="AE27" s="292">
        <f t="shared" si="18"/>
        <v>0</v>
      </c>
      <c r="AF27" s="292">
        <f t="shared" si="43"/>
        <v>0</v>
      </c>
      <c r="AG27" s="292">
        <f t="shared" si="44"/>
        <v>0</v>
      </c>
      <c r="AH27" s="292">
        <f t="shared" si="19"/>
        <v>0</v>
      </c>
      <c r="AI27" s="292">
        <f t="shared" si="20"/>
        <v>0</v>
      </c>
      <c r="AJ27" s="292">
        <f t="shared" si="21"/>
        <v>0</v>
      </c>
      <c r="AK27" s="292">
        <f t="shared" si="22"/>
        <v>0</v>
      </c>
      <c r="AL27" s="292">
        <f t="shared" si="23"/>
        <v>0</v>
      </c>
      <c r="AM27" s="292">
        <f t="shared" si="24"/>
        <v>0</v>
      </c>
      <c r="AN27" s="292">
        <f t="shared" si="25"/>
        <v>0</v>
      </c>
      <c r="AO27" s="292">
        <f t="shared" si="26"/>
        <v>0</v>
      </c>
      <c r="AP27" s="292">
        <f t="shared" si="27"/>
        <v>0</v>
      </c>
      <c r="AQ27" s="292">
        <f t="shared" si="28"/>
        <v>0</v>
      </c>
      <c r="AR27" s="292">
        <f t="shared" si="29"/>
        <v>0</v>
      </c>
      <c r="AS27" s="292">
        <f t="shared" si="30"/>
        <v>0</v>
      </c>
      <c r="AT27" s="292">
        <f t="shared" si="31"/>
        <v>0</v>
      </c>
      <c r="AU27" s="292">
        <f t="shared" si="32"/>
        <v>0</v>
      </c>
      <c r="AV27" s="292">
        <f t="shared" si="33"/>
        <v>0</v>
      </c>
      <c r="AW27" s="292">
        <f t="shared" si="34"/>
        <v>0</v>
      </c>
      <c r="AX27" s="292">
        <f t="shared" si="35"/>
        <v>0</v>
      </c>
      <c r="AY27" s="292">
        <f t="shared" si="36"/>
        <v>0</v>
      </c>
      <c r="AZ27" s="292">
        <f t="shared" si="37"/>
        <v>0</v>
      </c>
      <c r="BA27" s="292">
        <f t="shared" si="38"/>
        <v>0</v>
      </c>
    </row>
    <row r="28" spans="1:53" s="289" customFormat="1" ht="15" customHeight="1">
      <c r="A28" s="63" t="str">
        <f t="array" ref="A28">IF(C28&lt;&gt;0,SUM(($C$11:C28&lt;&gt;0)*1),"")</f>
        <v/>
      </c>
      <c r="B28" s="290"/>
      <c r="C28" s="290"/>
      <c r="D28" s="290"/>
      <c r="E28" s="396"/>
      <c r="F28" s="345"/>
      <c r="G28" s="347"/>
      <c r="H28" s="347"/>
      <c r="I28" s="63" t="str">
        <f t="shared" si="45"/>
        <v/>
      </c>
      <c r="J28" s="292">
        <f t="shared" si="1"/>
        <v>0</v>
      </c>
      <c r="K28" s="292">
        <f t="shared" si="2"/>
        <v>0</v>
      </c>
      <c r="L28" s="292">
        <f t="shared" si="3"/>
        <v>0</v>
      </c>
      <c r="M28" s="292">
        <f t="shared" si="4"/>
        <v>0</v>
      </c>
      <c r="N28" s="292">
        <f t="shared" si="39"/>
        <v>0</v>
      </c>
      <c r="O28" s="292">
        <f t="shared" si="40"/>
        <v>0</v>
      </c>
      <c r="P28" s="292">
        <f t="shared" si="5"/>
        <v>0</v>
      </c>
      <c r="Q28" s="292">
        <f t="shared" si="6"/>
        <v>0</v>
      </c>
      <c r="R28" s="292">
        <f t="shared" si="7"/>
        <v>0</v>
      </c>
      <c r="S28" s="292">
        <f t="shared" si="8"/>
        <v>0</v>
      </c>
      <c r="T28" s="292">
        <f t="shared" si="41"/>
        <v>0</v>
      </c>
      <c r="U28" s="292">
        <f t="shared" si="42"/>
        <v>0</v>
      </c>
      <c r="V28" s="292">
        <f t="shared" si="9"/>
        <v>0</v>
      </c>
      <c r="W28" s="292">
        <f t="shared" si="10"/>
        <v>0</v>
      </c>
      <c r="X28" s="292">
        <f t="shared" si="11"/>
        <v>0</v>
      </c>
      <c r="Y28" s="292">
        <f t="shared" si="12"/>
        <v>0</v>
      </c>
      <c r="Z28" s="292">
        <f t="shared" si="13"/>
        <v>0</v>
      </c>
      <c r="AA28" s="292">
        <f t="shared" si="14"/>
        <v>0</v>
      </c>
      <c r="AB28" s="292">
        <f t="shared" si="15"/>
        <v>0</v>
      </c>
      <c r="AC28" s="292">
        <f t="shared" si="16"/>
        <v>0</v>
      </c>
      <c r="AD28" s="292">
        <f t="shared" si="17"/>
        <v>0</v>
      </c>
      <c r="AE28" s="292">
        <f t="shared" si="18"/>
        <v>0</v>
      </c>
      <c r="AF28" s="292">
        <f t="shared" si="43"/>
        <v>0</v>
      </c>
      <c r="AG28" s="292">
        <f t="shared" si="44"/>
        <v>0</v>
      </c>
      <c r="AH28" s="292">
        <f t="shared" si="19"/>
        <v>0</v>
      </c>
      <c r="AI28" s="292">
        <f t="shared" si="20"/>
        <v>0</v>
      </c>
      <c r="AJ28" s="292">
        <f t="shared" si="21"/>
        <v>0</v>
      </c>
      <c r="AK28" s="292">
        <f t="shared" si="22"/>
        <v>0</v>
      </c>
      <c r="AL28" s="292">
        <f t="shared" si="23"/>
        <v>0</v>
      </c>
      <c r="AM28" s="292">
        <f t="shared" si="24"/>
        <v>0</v>
      </c>
      <c r="AN28" s="292">
        <f t="shared" si="25"/>
        <v>0</v>
      </c>
      <c r="AO28" s="292">
        <f t="shared" si="26"/>
        <v>0</v>
      </c>
      <c r="AP28" s="292">
        <f t="shared" si="27"/>
        <v>0</v>
      </c>
      <c r="AQ28" s="292">
        <f t="shared" si="28"/>
        <v>0</v>
      </c>
      <c r="AR28" s="292">
        <f t="shared" si="29"/>
        <v>0</v>
      </c>
      <c r="AS28" s="292">
        <f t="shared" si="30"/>
        <v>0</v>
      </c>
      <c r="AT28" s="292">
        <f t="shared" si="31"/>
        <v>0</v>
      </c>
      <c r="AU28" s="292">
        <f t="shared" si="32"/>
        <v>0</v>
      </c>
      <c r="AV28" s="292">
        <f t="shared" si="33"/>
        <v>0</v>
      </c>
      <c r="AW28" s="292">
        <f t="shared" si="34"/>
        <v>0</v>
      </c>
      <c r="AX28" s="292">
        <f t="shared" si="35"/>
        <v>0</v>
      </c>
      <c r="AY28" s="292">
        <f t="shared" si="36"/>
        <v>0</v>
      </c>
      <c r="AZ28" s="292">
        <f t="shared" si="37"/>
        <v>0</v>
      </c>
      <c r="BA28" s="292">
        <f t="shared" si="38"/>
        <v>0</v>
      </c>
    </row>
    <row r="29" spans="1:53" s="289" customFormat="1" ht="15" customHeight="1">
      <c r="A29" s="63" t="str">
        <f t="array" ref="A29">IF(C29&lt;&gt;0,SUM(($C$11:C29&lt;&gt;0)*1),"")</f>
        <v/>
      </c>
      <c r="B29" s="290"/>
      <c r="C29" s="290"/>
      <c r="D29" s="290"/>
      <c r="E29" s="396"/>
      <c r="F29" s="345"/>
      <c r="G29" s="347"/>
      <c r="H29" s="347"/>
      <c r="I29" s="63" t="str">
        <f t="shared" si="45"/>
        <v/>
      </c>
      <c r="J29" s="292">
        <f t="shared" si="1"/>
        <v>0</v>
      </c>
      <c r="K29" s="292">
        <f t="shared" si="2"/>
        <v>0</v>
      </c>
      <c r="L29" s="292">
        <f t="shared" si="3"/>
        <v>0</v>
      </c>
      <c r="M29" s="292">
        <f t="shared" si="4"/>
        <v>0</v>
      </c>
      <c r="N29" s="292">
        <f t="shared" si="39"/>
        <v>0</v>
      </c>
      <c r="O29" s="292">
        <f t="shared" si="40"/>
        <v>0</v>
      </c>
      <c r="P29" s="292">
        <f t="shared" si="5"/>
        <v>0</v>
      </c>
      <c r="Q29" s="292">
        <f t="shared" si="6"/>
        <v>0</v>
      </c>
      <c r="R29" s="292">
        <f t="shared" si="7"/>
        <v>0</v>
      </c>
      <c r="S29" s="292">
        <f t="shared" si="8"/>
        <v>0</v>
      </c>
      <c r="T29" s="292">
        <f t="shared" si="41"/>
        <v>0</v>
      </c>
      <c r="U29" s="292">
        <f t="shared" si="42"/>
        <v>0</v>
      </c>
      <c r="V29" s="292">
        <f t="shared" si="9"/>
        <v>0</v>
      </c>
      <c r="W29" s="292">
        <f t="shared" si="10"/>
        <v>0</v>
      </c>
      <c r="X29" s="292">
        <f t="shared" si="11"/>
        <v>0</v>
      </c>
      <c r="Y29" s="292">
        <f t="shared" si="12"/>
        <v>0</v>
      </c>
      <c r="Z29" s="292">
        <f t="shared" si="13"/>
        <v>0</v>
      </c>
      <c r="AA29" s="292">
        <f t="shared" si="14"/>
        <v>0</v>
      </c>
      <c r="AB29" s="292">
        <f t="shared" si="15"/>
        <v>0</v>
      </c>
      <c r="AC29" s="292">
        <f t="shared" si="16"/>
        <v>0</v>
      </c>
      <c r="AD29" s="292">
        <f t="shared" si="17"/>
        <v>0</v>
      </c>
      <c r="AE29" s="292">
        <f t="shared" si="18"/>
        <v>0</v>
      </c>
      <c r="AF29" s="292">
        <f t="shared" si="43"/>
        <v>0</v>
      </c>
      <c r="AG29" s="292">
        <f t="shared" si="44"/>
        <v>0</v>
      </c>
      <c r="AH29" s="292">
        <f t="shared" si="19"/>
        <v>0</v>
      </c>
      <c r="AI29" s="292">
        <f t="shared" si="20"/>
        <v>0</v>
      </c>
      <c r="AJ29" s="292">
        <f t="shared" si="21"/>
        <v>0</v>
      </c>
      <c r="AK29" s="292">
        <f t="shared" si="22"/>
        <v>0</v>
      </c>
      <c r="AL29" s="292">
        <f t="shared" si="23"/>
        <v>0</v>
      </c>
      <c r="AM29" s="292">
        <f t="shared" si="24"/>
        <v>0</v>
      </c>
      <c r="AN29" s="292">
        <f t="shared" si="25"/>
        <v>0</v>
      </c>
      <c r="AO29" s="292">
        <f t="shared" si="26"/>
        <v>0</v>
      </c>
      <c r="AP29" s="292">
        <f t="shared" si="27"/>
        <v>0</v>
      </c>
      <c r="AQ29" s="292">
        <f t="shared" si="28"/>
        <v>0</v>
      </c>
      <c r="AR29" s="292">
        <f t="shared" si="29"/>
        <v>0</v>
      </c>
      <c r="AS29" s="292">
        <f t="shared" si="30"/>
        <v>0</v>
      </c>
      <c r="AT29" s="292">
        <f t="shared" si="31"/>
        <v>0</v>
      </c>
      <c r="AU29" s="292">
        <f t="shared" si="32"/>
        <v>0</v>
      </c>
      <c r="AV29" s="292">
        <f t="shared" si="33"/>
        <v>0</v>
      </c>
      <c r="AW29" s="292">
        <f t="shared" si="34"/>
        <v>0</v>
      </c>
      <c r="AX29" s="292">
        <f t="shared" si="35"/>
        <v>0</v>
      </c>
      <c r="AY29" s="292">
        <f t="shared" si="36"/>
        <v>0</v>
      </c>
      <c r="AZ29" s="292">
        <f t="shared" si="37"/>
        <v>0</v>
      </c>
      <c r="BA29" s="292">
        <f t="shared" si="38"/>
        <v>0</v>
      </c>
    </row>
    <row r="30" spans="1:53" s="289" customFormat="1" ht="15" customHeight="1">
      <c r="A30" s="63" t="str">
        <f t="array" ref="A30">IF(C30&lt;&gt;0,SUM(($C$11:C30&lt;&gt;0)*1),"")</f>
        <v/>
      </c>
      <c r="B30" s="290"/>
      <c r="C30" s="290"/>
      <c r="D30" s="290"/>
      <c r="E30" s="396"/>
      <c r="F30" s="345"/>
      <c r="G30" s="347"/>
      <c r="H30" s="347"/>
      <c r="I30" s="63" t="str">
        <f t="shared" si="45"/>
        <v/>
      </c>
      <c r="J30" s="292">
        <f t="shared" si="1"/>
        <v>0</v>
      </c>
      <c r="K30" s="292">
        <f t="shared" si="2"/>
        <v>0</v>
      </c>
      <c r="L30" s="292">
        <f t="shared" si="3"/>
        <v>0</v>
      </c>
      <c r="M30" s="292">
        <f t="shared" si="4"/>
        <v>0</v>
      </c>
      <c r="N30" s="292">
        <f t="shared" si="39"/>
        <v>0</v>
      </c>
      <c r="O30" s="292">
        <f t="shared" si="40"/>
        <v>0</v>
      </c>
      <c r="P30" s="292">
        <f t="shared" si="5"/>
        <v>0</v>
      </c>
      <c r="Q30" s="292">
        <f t="shared" si="6"/>
        <v>0</v>
      </c>
      <c r="R30" s="292">
        <f t="shared" si="7"/>
        <v>0</v>
      </c>
      <c r="S30" s="292">
        <f t="shared" si="8"/>
        <v>0</v>
      </c>
      <c r="T30" s="292">
        <f t="shared" si="41"/>
        <v>0</v>
      </c>
      <c r="U30" s="292">
        <f t="shared" si="42"/>
        <v>0</v>
      </c>
      <c r="V30" s="292">
        <f t="shared" si="9"/>
        <v>0</v>
      </c>
      <c r="W30" s="292">
        <f t="shared" si="10"/>
        <v>0</v>
      </c>
      <c r="X30" s="292">
        <f t="shared" si="11"/>
        <v>0</v>
      </c>
      <c r="Y30" s="292">
        <f t="shared" si="12"/>
        <v>0</v>
      </c>
      <c r="Z30" s="292">
        <f t="shared" si="13"/>
        <v>0</v>
      </c>
      <c r="AA30" s="292">
        <f t="shared" si="14"/>
        <v>0</v>
      </c>
      <c r="AB30" s="292">
        <f t="shared" si="15"/>
        <v>0</v>
      </c>
      <c r="AC30" s="292">
        <f t="shared" si="16"/>
        <v>0</v>
      </c>
      <c r="AD30" s="292">
        <f t="shared" si="17"/>
        <v>0</v>
      </c>
      <c r="AE30" s="292">
        <f t="shared" si="18"/>
        <v>0</v>
      </c>
      <c r="AF30" s="292">
        <f t="shared" si="43"/>
        <v>0</v>
      </c>
      <c r="AG30" s="292">
        <f t="shared" si="44"/>
        <v>0</v>
      </c>
      <c r="AH30" s="292">
        <f t="shared" si="19"/>
        <v>0</v>
      </c>
      <c r="AI30" s="292">
        <f t="shared" si="20"/>
        <v>0</v>
      </c>
      <c r="AJ30" s="292">
        <f t="shared" si="21"/>
        <v>0</v>
      </c>
      <c r="AK30" s="292">
        <f t="shared" si="22"/>
        <v>0</v>
      </c>
      <c r="AL30" s="292">
        <f t="shared" si="23"/>
        <v>0</v>
      </c>
      <c r="AM30" s="292">
        <f t="shared" si="24"/>
        <v>0</v>
      </c>
      <c r="AN30" s="292">
        <f t="shared" si="25"/>
        <v>0</v>
      </c>
      <c r="AO30" s="292">
        <f t="shared" si="26"/>
        <v>0</v>
      </c>
      <c r="AP30" s="292">
        <f t="shared" si="27"/>
        <v>0</v>
      </c>
      <c r="AQ30" s="292">
        <f t="shared" si="28"/>
        <v>0</v>
      </c>
      <c r="AR30" s="292">
        <f t="shared" si="29"/>
        <v>0</v>
      </c>
      <c r="AS30" s="292">
        <f t="shared" si="30"/>
        <v>0</v>
      </c>
      <c r="AT30" s="292">
        <f t="shared" si="31"/>
        <v>0</v>
      </c>
      <c r="AU30" s="292">
        <f t="shared" si="32"/>
        <v>0</v>
      </c>
      <c r="AV30" s="292">
        <f t="shared" si="33"/>
        <v>0</v>
      </c>
      <c r="AW30" s="292">
        <f t="shared" si="34"/>
        <v>0</v>
      </c>
      <c r="AX30" s="292">
        <f t="shared" si="35"/>
        <v>0</v>
      </c>
      <c r="AY30" s="292">
        <f t="shared" si="36"/>
        <v>0</v>
      </c>
      <c r="AZ30" s="292">
        <f t="shared" si="37"/>
        <v>0</v>
      </c>
      <c r="BA30" s="292">
        <f t="shared" si="38"/>
        <v>0</v>
      </c>
    </row>
    <row r="31" spans="1:53" s="289" customFormat="1" ht="15" customHeight="1">
      <c r="A31" s="63" t="str">
        <f t="array" ref="A31">IF(C31&lt;&gt;0,SUM(($C$11:C31&lt;&gt;0)*1),"")</f>
        <v/>
      </c>
      <c r="B31" s="290"/>
      <c r="C31" s="290"/>
      <c r="D31" s="290"/>
      <c r="E31" s="396"/>
      <c r="F31" s="345"/>
      <c r="G31" s="347"/>
      <c r="H31" s="347"/>
      <c r="I31" s="63" t="str">
        <f t="shared" si="45"/>
        <v/>
      </c>
      <c r="J31" s="292">
        <f t="shared" si="1"/>
        <v>0</v>
      </c>
      <c r="K31" s="292">
        <f t="shared" si="2"/>
        <v>0</v>
      </c>
      <c r="L31" s="292">
        <f t="shared" si="3"/>
        <v>0</v>
      </c>
      <c r="M31" s="292">
        <f t="shared" si="4"/>
        <v>0</v>
      </c>
      <c r="N31" s="292">
        <f t="shared" si="39"/>
        <v>0</v>
      </c>
      <c r="O31" s="292">
        <f t="shared" si="40"/>
        <v>0</v>
      </c>
      <c r="P31" s="292">
        <f t="shared" si="5"/>
        <v>0</v>
      </c>
      <c r="Q31" s="292">
        <f t="shared" si="6"/>
        <v>0</v>
      </c>
      <c r="R31" s="292">
        <f t="shared" si="7"/>
        <v>0</v>
      </c>
      <c r="S31" s="292">
        <f t="shared" si="8"/>
        <v>0</v>
      </c>
      <c r="T31" s="292">
        <f t="shared" si="41"/>
        <v>0</v>
      </c>
      <c r="U31" s="292">
        <f t="shared" si="42"/>
        <v>0</v>
      </c>
      <c r="V31" s="292">
        <f t="shared" si="9"/>
        <v>0</v>
      </c>
      <c r="W31" s="292">
        <f t="shared" si="10"/>
        <v>0</v>
      </c>
      <c r="X31" s="292">
        <f t="shared" si="11"/>
        <v>0</v>
      </c>
      <c r="Y31" s="292">
        <f t="shared" si="12"/>
        <v>0</v>
      </c>
      <c r="Z31" s="292">
        <f t="shared" si="13"/>
        <v>0</v>
      </c>
      <c r="AA31" s="292">
        <f t="shared" si="14"/>
        <v>0</v>
      </c>
      <c r="AB31" s="292">
        <f t="shared" si="15"/>
        <v>0</v>
      </c>
      <c r="AC31" s="292">
        <f t="shared" si="16"/>
        <v>0</v>
      </c>
      <c r="AD31" s="292">
        <f t="shared" si="17"/>
        <v>0</v>
      </c>
      <c r="AE31" s="292">
        <f t="shared" si="18"/>
        <v>0</v>
      </c>
      <c r="AF31" s="292">
        <f t="shared" si="43"/>
        <v>0</v>
      </c>
      <c r="AG31" s="292">
        <f t="shared" si="44"/>
        <v>0</v>
      </c>
      <c r="AH31" s="292">
        <f t="shared" si="19"/>
        <v>0</v>
      </c>
      <c r="AI31" s="292">
        <f t="shared" si="20"/>
        <v>0</v>
      </c>
      <c r="AJ31" s="292">
        <f t="shared" si="21"/>
        <v>0</v>
      </c>
      <c r="AK31" s="292">
        <f t="shared" si="22"/>
        <v>0</v>
      </c>
      <c r="AL31" s="292">
        <f t="shared" si="23"/>
        <v>0</v>
      </c>
      <c r="AM31" s="292">
        <f t="shared" si="24"/>
        <v>0</v>
      </c>
      <c r="AN31" s="292">
        <f t="shared" si="25"/>
        <v>0</v>
      </c>
      <c r="AO31" s="292">
        <f t="shared" si="26"/>
        <v>0</v>
      </c>
      <c r="AP31" s="292">
        <f t="shared" si="27"/>
        <v>0</v>
      </c>
      <c r="AQ31" s="292">
        <f t="shared" si="28"/>
        <v>0</v>
      </c>
      <c r="AR31" s="292">
        <f t="shared" si="29"/>
        <v>0</v>
      </c>
      <c r="AS31" s="292">
        <f t="shared" si="30"/>
        <v>0</v>
      </c>
      <c r="AT31" s="292">
        <f t="shared" si="31"/>
        <v>0</v>
      </c>
      <c r="AU31" s="292">
        <f t="shared" si="32"/>
        <v>0</v>
      </c>
      <c r="AV31" s="292">
        <f t="shared" si="33"/>
        <v>0</v>
      </c>
      <c r="AW31" s="292">
        <f t="shared" si="34"/>
        <v>0</v>
      </c>
      <c r="AX31" s="292">
        <f t="shared" si="35"/>
        <v>0</v>
      </c>
      <c r="AY31" s="292">
        <f t="shared" si="36"/>
        <v>0</v>
      </c>
      <c r="AZ31" s="292">
        <f t="shared" si="37"/>
        <v>0</v>
      </c>
      <c r="BA31" s="292">
        <f t="shared" si="38"/>
        <v>0</v>
      </c>
    </row>
    <row r="32" spans="1:53" s="289" customFormat="1" ht="15" customHeight="1">
      <c r="A32" s="63" t="str">
        <f t="array" ref="A32">IF(C32&lt;&gt;0,SUM(($C$11:C32&lt;&gt;0)*1),"")</f>
        <v/>
      </c>
      <c r="B32" s="290"/>
      <c r="C32" s="290"/>
      <c r="D32" s="290"/>
      <c r="E32" s="396"/>
      <c r="F32" s="345"/>
      <c r="G32" s="347"/>
      <c r="H32" s="347"/>
      <c r="I32" s="63" t="str">
        <f t="shared" si="45"/>
        <v/>
      </c>
      <c r="J32" s="292">
        <f t="shared" si="1"/>
        <v>0</v>
      </c>
      <c r="K32" s="292">
        <f t="shared" si="2"/>
        <v>0</v>
      </c>
      <c r="L32" s="292">
        <f t="shared" si="3"/>
        <v>0</v>
      </c>
      <c r="M32" s="292">
        <f t="shared" si="4"/>
        <v>0</v>
      </c>
      <c r="N32" s="292">
        <f t="shared" si="39"/>
        <v>0</v>
      </c>
      <c r="O32" s="292">
        <f t="shared" si="40"/>
        <v>0</v>
      </c>
      <c r="P32" s="292">
        <f t="shared" si="5"/>
        <v>0</v>
      </c>
      <c r="Q32" s="292">
        <f t="shared" si="6"/>
        <v>0</v>
      </c>
      <c r="R32" s="292">
        <f t="shared" si="7"/>
        <v>0</v>
      </c>
      <c r="S32" s="292">
        <f t="shared" si="8"/>
        <v>0</v>
      </c>
      <c r="T32" s="292">
        <f t="shared" si="41"/>
        <v>0</v>
      </c>
      <c r="U32" s="292">
        <f t="shared" si="42"/>
        <v>0</v>
      </c>
      <c r="V32" s="292">
        <f t="shared" si="9"/>
        <v>0</v>
      </c>
      <c r="W32" s="292">
        <f t="shared" si="10"/>
        <v>0</v>
      </c>
      <c r="X32" s="292">
        <f t="shared" si="11"/>
        <v>0</v>
      </c>
      <c r="Y32" s="292">
        <f t="shared" si="12"/>
        <v>0</v>
      </c>
      <c r="Z32" s="292">
        <f t="shared" si="13"/>
        <v>0</v>
      </c>
      <c r="AA32" s="292">
        <f t="shared" si="14"/>
        <v>0</v>
      </c>
      <c r="AB32" s="292">
        <f t="shared" si="15"/>
        <v>0</v>
      </c>
      <c r="AC32" s="292">
        <f t="shared" si="16"/>
        <v>0</v>
      </c>
      <c r="AD32" s="292">
        <f t="shared" si="17"/>
        <v>0</v>
      </c>
      <c r="AE32" s="292">
        <f t="shared" si="18"/>
        <v>0</v>
      </c>
      <c r="AF32" s="292">
        <f t="shared" si="43"/>
        <v>0</v>
      </c>
      <c r="AG32" s="292">
        <f t="shared" si="44"/>
        <v>0</v>
      </c>
      <c r="AH32" s="292">
        <f t="shared" si="19"/>
        <v>0</v>
      </c>
      <c r="AI32" s="292">
        <f t="shared" si="20"/>
        <v>0</v>
      </c>
      <c r="AJ32" s="292">
        <f t="shared" si="21"/>
        <v>0</v>
      </c>
      <c r="AK32" s="292">
        <f t="shared" si="22"/>
        <v>0</v>
      </c>
      <c r="AL32" s="292">
        <f t="shared" si="23"/>
        <v>0</v>
      </c>
      <c r="AM32" s="292">
        <f t="shared" si="24"/>
        <v>0</v>
      </c>
      <c r="AN32" s="292">
        <f t="shared" si="25"/>
        <v>0</v>
      </c>
      <c r="AO32" s="292">
        <f t="shared" si="26"/>
        <v>0</v>
      </c>
      <c r="AP32" s="292">
        <f t="shared" si="27"/>
        <v>0</v>
      </c>
      <c r="AQ32" s="292">
        <f t="shared" si="28"/>
        <v>0</v>
      </c>
      <c r="AR32" s="292">
        <f t="shared" si="29"/>
        <v>0</v>
      </c>
      <c r="AS32" s="292">
        <f t="shared" si="30"/>
        <v>0</v>
      </c>
      <c r="AT32" s="292">
        <f t="shared" si="31"/>
        <v>0</v>
      </c>
      <c r="AU32" s="292">
        <f t="shared" si="32"/>
        <v>0</v>
      </c>
      <c r="AV32" s="292">
        <f t="shared" si="33"/>
        <v>0</v>
      </c>
      <c r="AW32" s="292">
        <f t="shared" si="34"/>
        <v>0</v>
      </c>
      <c r="AX32" s="292">
        <f t="shared" si="35"/>
        <v>0</v>
      </c>
      <c r="AY32" s="292">
        <f t="shared" si="36"/>
        <v>0</v>
      </c>
      <c r="AZ32" s="292">
        <f t="shared" si="37"/>
        <v>0</v>
      </c>
      <c r="BA32" s="292">
        <f t="shared" si="38"/>
        <v>0</v>
      </c>
    </row>
    <row r="33" spans="1:53" s="289" customFormat="1" ht="15" customHeight="1">
      <c r="A33" s="63" t="str">
        <f t="array" ref="A33">IF(C33&lt;&gt;0,SUM(($C$11:C33&lt;&gt;0)*1),"")</f>
        <v/>
      </c>
      <c r="B33" s="290"/>
      <c r="C33" s="290"/>
      <c r="D33" s="290"/>
      <c r="E33" s="396"/>
      <c r="F33" s="345"/>
      <c r="G33" s="347"/>
      <c r="H33" s="347"/>
      <c r="I33" s="63" t="str">
        <f t="shared" si="45"/>
        <v/>
      </c>
      <c r="J33" s="292">
        <f t="shared" si="1"/>
        <v>0</v>
      </c>
      <c r="K33" s="292">
        <f t="shared" si="2"/>
        <v>0</v>
      </c>
      <c r="L33" s="292">
        <f t="shared" si="3"/>
        <v>0</v>
      </c>
      <c r="M33" s="292">
        <f t="shared" si="4"/>
        <v>0</v>
      </c>
      <c r="N33" s="292">
        <f t="shared" si="39"/>
        <v>0</v>
      </c>
      <c r="O33" s="292">
        <f t="shared" si="40"/>
        <v>0</v>
      </c>
      <c r="P33" s="292">
        <f t="shared" si="5"/>
        <v>0</v>
      </c>
      <c r="Q33" s="292">
        <f t="shared" si="6"/>
        <v>0</v>
      </c>
      <c r="R33" s="292">
        <f t="shared" si="7"/>
        <v>0</v>
      </c>
      <c r="S33" s="292">
        <f t="shared" si="8"/>
        <v>0</v>
      </c>
      <c r="T33" s="292">
        <f t="shared" si="41"/>
        <v>0</v>
      </c>
      <c r="U33" s="292">
        <f t="shared" si="42"/>
        <v>0</v>
      </c>
      <c r="V33" s="292">
        <f t="shared" si="9"/>
        <v>0</v>
      </c>
      <c r="W33" s="292">
        <f t="shared" si="10"/>
        <v>0</v>
      </c>
      <c r="X33" s="292">
        <f t="shared" si="11"/>
        <v>0</v>
      </c>
      <c r="Y33" s="292">
        <f t="shared" si="12"/>
        <v>0</v>
      </c>
      <c r="Z33" s="292">
        <f t="shared" si="13"/>
        <v>0</v>
      </c>
      <c r="AA33" s="292">
        <f t="shared" si="14"/>
        <v>0</v>
      </c>
      <c r="AB33" s="292">
        <f t="shared" si="15"/>
        <v>0</v>
      </c>
      <c r="AC33" s="292">
        <f t="shared" si="16"/>
        <v>0</v>
      </c>
      <c r="AD33" s="292">
        <f t="shared" si="17"/>
        <v>0</v>
      </c>
      <c r="AE33" s="292">
        <f t="shared" si="18"/>
        <v>0</v>
      </c>
      <c r="AF33" s="292">
        <f t="shared" si="43"/>
        <v>0</v>
      </c>
      <c r="AG33" s="292">
        <f t="shared" si="44"/>
        <v>0</v>
      </c>
      <c r="AH33" s="292">
        <f t="shared" si="19"/>
        <v>0</v>
      </c>
      <c r="AI33" s="292">
        <f t="shared" si="20"/>
        <v>0</v>
      </c>
      <c r="AJ33" s="292">
        <f t="shared" si="21"/>
        <v>0</v>
      </c>
      <c r="AK33" s="292">
        <f t="shared" si="22"/>
        <v>0</v>
      </c>
      <c r="AL33" s="292">
        <f t="shared" si="23"/>
        <v>0</v>
      </c>
      <c r="AM33" s="292">
        <f t="shared" si="24"/>
        <v>0</v>
      </c>
      <c r="AN33" s="292">
        <f t="shared" si="25"/>
        <v>0</v>
      </c>
      <c r="AO33" s="292">
        <f t="shared" si="26"/>
        <v>0</v>
      </c>
      <c r="AP33" s="292">
        <f t="shared" si="27"/>
        <v>0</v>
      </c>
      <c r="AQ33" s="292">
        <f t="shared" si="28"/>
        <v>0</v>
      </c>
      <c r="AR33" s="292">
        <f t="shared" si="29"/>
        <v>0</v>
      </c>
      <c r="AS33" s="292">
        <f t="shared" si="30"/>
        <v>0</v>
      </c>
      <c r="AT33" s="292">
        <f t="shared" si="31"/>
        <v>0</v>
      </c>
      <c r="AU33" s="292">
        <f t="shared" si="32"/>
        <v>0</v>
      </c>
      <c r="AV33" s="292">
        <f t="shared" si="33"/>
        <v>0</v>
      </c>
      <c r="AW33" s="292">
        <f t="shared" si="34"/>
        <v>0</v>
      </c>
      <c r="AX33" s="292">
        <f t="shared" si="35"/>
        <v>0</v>
      </c>
      <c r="AY33" s="292">
        <f t="shared" si="36"/>
        <v>0</v>
      </c>
      <c r="AZ33" s="292">
        <f t="shared" si="37"/>
        <v>0</v>
      </c>
      <c r="BA33" s="292">
        <f t="shared" si="38"/>
        <v>0</v>
      </c>
    </row>
    <row r="34" spans="1:53" s="289" customFormat="1" ht="15" customHeight="1">
      <c r="A34" s="63" t="str">
        <f t="array" ref="A34">IF(C34&lt;&gt;0,SUM(($C$11:C34&lt;&gt;0)*1),"")</f>
        <v/>
      </c>
      <c r="B34" s="290"/>
      <c r="C34" s="290"/>
      <c r="D34" s="290"/>
      <c r="E34" s="396"/>
      <c r="F34" s="345"/>
      <c r="G34" s="347"/>
      <c r="H34" s="347"/>
      <c r="I34" s="63" t="str">
        <f t="shared" si="45"/>
        <v/>
      </c>
      <c r="J34" s="292">
        <f t="shared" si="1"/>
        <v>0</v>
      </c>
      <c r="K34" s="292">
        <f t="shared" si="2"/>
        <v>0</v>
      </c>
      <c r="L34" s="292">
        <f t="shared" si="3"/>
        <v>0</v>
      </c>
      <c r="M34" s="292">
        <f t="shared" si="4"/>
        <v>0</v>
      </c>
      <c r="N34" s="292">
        <f t="shared" si="39"/>
        <v>0</v>
      </c>
      <c r="O34" s="292">
        <f t="shared" si="40"/>
        <v>0</v>
      </c>
      <c r="P34" s="292">
        <f t="shared" si="5"/>
        <v>0</v>
      </c>
      <c r="Q34" s="292">
        <f t="shared" si="6"/>
        <v>0</v>
      </c>
      <c r="R34" s="292">
        <f t="shared" si="7"/>
        <v>0</v>
      </c>
      <c r="S34" s="292">
        <f t="shared" si="8"/>
        <v>0</v>
      </c>
      <c r="T34" s="292">
        <f t="shared" si="41"/>
        <v>0</v>
      </c>
      <c r="U34" s="292">
        <f t="shared" si="42"/>
        <v>0</v>
      </c>
      <c r="V34" s="292">
        <f t="shared" si="9"/>
        <v>0</v>
      </c>
      <c r="W34" s="292">
        <f t="shared" si="10"/>
        <v>0</v>
      </c>
      <c r="X34" s="292">
        <f t="shared" si="11"/>
        <v>0</v>
      </c>
      <c r="Y34" s="292">
        <f t="shared" si="12"/>
        <v>0</v>
      </c>
      <c r="Z34" s="292">
        <f t="shared" si="13"/>
        <v>0</v>
      </c>
      <c r="AA34" s="292">
        <f t="shared" si="14"/>
        <v>0</v>
      </c>
      <c r="AB34" s="292">
        <f t="shared" si="15"/>
        <v>0</v>
      </c>
      <c r="AC34" s="292">
        <f t="shared" si="16"/>
        <v>0</v>
      </c>
      <c r="AD34" s="292">
        <f t="shared" si="17"/>
        <v>0</v>
      </c>
      <c r="AE34" s="292">
        <f t="shared" si="18"/>
        <v>0</v>
      </c>
      <c r="AF34" s="292">
        <f t="shared" si="43"/>
        <v>0</v>
      </c>
      <c r="AG34" s="292">
        <f t="shared" si="44"/>
        <v>0</v>
      </c>
      <c r="AH34" s="292">
        <f t="shared" si="19"/>
        <v>0</v>
      </c>
      <c r="AI34" s="292">
        <f t="shared" si="20"/>
        <v>0</v>
      </c>
      <c r="AJ34" s="292">
        <f t="shared" si="21"/>
        <v>0</v>
      </c>
      <c r="AK34" s="292">
        <f t="shared" si="22"/>
        <v>0</v>
      </c>
      <c r="AL34" s="292">
        <f t="shared" si="23"/>
        <v>0</v>
      </c>
      <c r="AM34" s="292">
        <f t="shared" si="24"/>
        <v>0</v>
      </c>
      <c r="AN34" s="292">
        <f t="shared" si="25"/>
        <v>0</v>
      </c>
      <c r="AO34" s="292">
        <f t="shared" si="26"/>
        <v>0</v>
      </c>
      <c r="AP34" s="292">
        <f t="shared" si="27"/>
        <v>0</v>
      </c>
      <c r="AQ34" s="292">
        <f t="shared" si="28"/>
        <v>0</v>
      </c>
      <c r="AR34" s="292">
        <f t="shared" si="29"/>
        <v>0</v>
      </c>
      <c r="AS34" s="292">
        <f t="shared" si="30"/>
        <v>0</v>
      </c>
      <c r="AT34" s="292">
        <f t="shared" si="31"/>
        <v>0</v>
      </c>
      <c r="AU34" s="292">
        <f t="shared" si="32"/>
        <v>0</v>
      </c>
      <c r="AV34" s="292">
        <f t="shared" si="33"/>
        <v>0</v>
      </c>
      <c r="AW34" s="292">
        <f t="shared" si="34"/>
        <v>0</v>
      </c>
      <c r="AX34" s="292">
        <f t="shared" si="35"/>
        <v>0</v>
      </c>
      <c r="AY34" s="292">
        <f t="shared" si="36"/>
        <v>0</v>
      </c>
      <c r="AZ34" s="292">
        <f t="shared" si="37"/>
        <v>0</v>
      </c>
      <c r="BA34" s="292">
        <f t="shared" si="38"/>
        <v>0</v>
      </c>
    </row>
    <row r="35" spans="1:53" s="289" customFormat="1" ht="15" customHeight="1">
      <c r="A35" s="63" t="str">
        <f t="array" ref="A35">IF(C35&lt;&gt;0,SUM(($C$11:C35&lt;&gt;0)*1),"")</f>
        <v/>
      </c>
      <c r="B35" s="290"/>
      <c r="C35" s="290"/>
      <c r="D35" s="290"/>
      <c r="E35" s="396"/>
      <c r="F35" s="345"/>
      <c r="G35" s="347"/>
      <c r="H35" s="347"/>
      <c r="I35" s="63" t="str">
        <f t="shared" si="45"/>
        <v/>
      </c>
      <c r="J35" s="292">
        <f t="shared" si="1"/>
        <v>0</v>
      </c>
      <c r="K35" s="292">
        <f t="shared" si="2"/>
        <v>0</v>
      </c>
      <c r="L35" s="292">
        <f t="shared" si="3"/>
        <v>0</v>
      </c>
      <c r="M35" s="292">
        <f t="shared" si="4"/>
        <v>0</v>
      </c>
      <c r="N35" s="292">
        <f t="shared" si="39"/>
        <v>0</v>
      </c>
      <c r="O35" s="292">
        <f t="shared" si="40"/>
        <v>0</v>
      </c>
      <c r="P35" s="292">
        <f t="shared" si="5"/>
        <v>0</v>
      </c>
      <c r="Q35" s="292">
        <f t="shared" si="6"/>
        <v>0</v>
      </c>
      <c r="R35" s="292">
        <f t="shared" si="7"/>
        <v>0</v>
      </c>
      <c r="S35" s="292">
        <f t="shared" si="8"/>
        <v>0</v>
      </c>
      <c r="T35" s="292">
        <f t="shared" si="41"/>
        <v>0</v>
      </c>
      <c r="U35" s="292">
        <f t="shared" si="42"/>
        <v>0</v>
      </c>
      <c r="V35" s="292">
        <f t="shared" si="9"/>
        <v>0</v>
      </c>
      <c r="W35" s="292">
        <f t="shared" si="10"/>
        <v>0</v>
      </c>
      <c r="X35" s="292">
        <f t="shared" si="11"/>
        <v>0</v>
      </c>
      <c r="Y35" s="292">
        <f t="shared" si="12"/>
        <v>0</v>
      </c>
      <c r="Z35" s="292">
        <f t="shared" si="13"/>
        <v>0</v>
      </c>
      <c r="AA35" s="292">
        <f t="shared" si="14"/>
        <v>0</v>
      </c>
      <c r="AB35" s="292">
        <f t="shared" si="15"/>
        <v>0</v>
      </c>
      <c r="AC35" s="292">
        <f t="shared" si="16"/>
        <v>0</v>
      </c>
      <c r="AD35" s="292">
        <f t="shared" si="17"/>
        <v>0</v>
      </c>
      <c r="AE35" s="292">
        <f t="shared" si="18"/>
        <v>0</v>
      </c>
      <c r="AF35" s="292">
        <f t="shared" si="43"/>
        <v>0</v>
      </c>
      <c r="AG35" s="292">
        <f t="shared" si="44"/>
        <v>0</v>
      </c>
      <c r="AH35" s="292">
        <f t="shared" si="19"/>
        <v>0</v>
      </c>
      <c r="AI35" s="292">
        <f t="shared" si="20"/>
        <v>0</v>
      </c>
      <c r="AJ35" s="292">
        <f t="shared" si="21"/>
        <v>0</v>
      </c>
      <c r="AK35" s="292">
        <f t="shared" si="22"/>
        <v>0</v>
      </c>
      <c r="AL35" s="292">
        <f t="shared" si="23"/>
        <v>0</v>
      </c>
      <c r="AM35" s="292">
        <f t="shared" si="24"/>
        <v>0</v>
      </c>
      <c r="AN35" s="292">
        <f t="shared" si="25"/>
        <v>0</v>
      </c>
      <c r="AO35" s="292">
        <f t="shared" si="26"/>
        <v>0</v>
      </c>
      <c r="AP35" s="292">
        <f t="shared" si="27"/>
        <v>0</v>
      </c>
      <c r="AQ35" s="292">
        <f t="shared" si="28"/>
        <v>0</v>
      </c>
      <c r="AR35" s="292">
        <f t="shared" si="29"/>
        <v>0</v>
      </c>
      <c r="AS35" s="292">
        <f t="shared" si="30"/>
        <v>0</v>
      </c>
      <c r="AT35" s="292">
        <f t="shared" si="31"/>
        <v>0</v>
      </c>
      <c r="AU35" s="292">
        <f t="shared" si="32"/>
        <v>0</v>
      </c>
      <c r="AV35" s="292">
        <f t="shared" si="33"/>
        <v>0</v>
      </c>
      <c r="AW35" s="292">
        <f t="shared" si="34"/>
        <v>0</v>
      </c>
      <c r="AX35" s="292">
        <f t="shared" si="35"/>
        <v>0</v>
      </c>
      <c r="AY35" s="292">
        <f t="shared" si="36"/>
        <v>0</v>
      </c>
      <c r="AZ35" s="292">
        <f t="shared" si="37"/>
        <v>0</v>
      </c>
      <c r="BA35" s="292">
        <f t="shared" si="38"/>
        <v>0</v>
      </c>
    </row>
    <row r="36" spans="1:53" s="289" customFormat="1" ht="15" customHeight="1">
      <c r="A36" s="63" t="str">
        <f t="array" ref="A36">IF(C36&lt;&gt;0,SUM(($C$11:C36&lt;&gt;0)*1),"")</f>
        <v/>
      </c>
      <c r="B36" s="290"/>
      <c r="C36" s="290"/>
      <c r="D36" s="290"/>
      <c r="E36" s="396"/>
      <c r="F36" s="345"/>
      <c r="G36" s="347"/>
      <c r="H36" s="347"/>
      <c r="I36" s="63" t="str">
        <f t="shared" si="45"/>
        <v/>
      </c>
      <c r="J36" s="292">
        <f t="shared" si="1"/>
        <v>0</v>
      </c>
      <c r="K36" s="292">
        <f t="shared" si="2"/>
        <v>0</v>
      </c>
      <c r="L36" s="292">
        <f t="shared" si="3"/>
        <v>0</v>
      </c>
      <c r="M36" s="292">
        <f t="shared" si="4"/>
        <v>0</v>
      </c>
      <c r="N36" s="292">
        <f t="shared" si="39"/>
        <v>0</v>
      </c>
      <c r="O36" s="292">
        <f t="shared" si="40"/>
        <v>0</v>
      </c>
      <c r="P36" s="292">
        <f t="shared" si="5"/>
        <v>0</v>
      </c>
      <c r="Q36" s="292">
        <f t="shared" si="6"/>
        <v>0</v>
      </c>
      <c r="R36" s="292">
        <f t="shared" si="7"/>
        <v>0</v>
      </c>
      <c r="S36" s="292">
        <f t="shared" si="8"/>
        <v>0</v>
      </c>
      <c r="T36" s="292">
        <f t="shared" si="41"/>
        <v>0</v>
      </c>
      <c r="U36" s="292">
        <f t="shared" si="42"/>
        <v>0</v>
      </c>
      <c r="V36" s="292">
        <f t="shared" si="9"/>
        <v>0</v>
      </c>
      <c r="W36" s="292">
        <f t="shared" si="10"/>
        <v>0</v>
      </c>
      <c r="X36" s="292">
        <f t="shared" si="11"/>
        <v>0</v>
      </c>
      <c r="Y36" s="292">
        <f t="shared" si="12"/>
        <v>0</v>
      </c>
      <c r="Z36" s="292">
        <f t="shared" si="13"/>
        <v>0</v>
      </c>
      <c r="AA36" s="292">
        <f t="shared" si="14"/>
        <v>0</v>
      </c>
      <c r="AB36" s="292">
        <f t="shared" si="15"/>
        <v>0</v>
      </c>
      <c r="AC36" s="292">
        <f t="shared" si="16"/>
        <v>0</v>
      </c>
      <c r="AD36" s="292">
        <f t="shared" si="17"/>
        <v>0</v>
      </c>
      <c r="AE36" s="292">
        <f t="shared" si="18"/>
        <v>0</v>
      </c>
      <c r="AF36" s="292">
        <f t="shared" si="43"/>
        <v>0</v>
      </c>
      <c r="AG36" s="292">
        <f t="shared" si="44"/>
        <v>0</v>
      </c>
      <c r="AH36" s="292">
        <f t="shared" si="19"/>
        <v>0</v>
      </c>
      <c r="AI36" s="292">
        <f t="shared" si="20"/>
        <v>0</v>
      </c>
      <c r="AJ36" s="292">
        <f t="shared" si="21"/>
        <v>0</v>
      </c>
      <c r="AK36" s="292">
        <f t="shared" si="22"/>
        <v>0</v>
      </c>
      <c r="AL36" s="292">
        <f t="shared" si="23"/>
        <v>0</v>
      </c>
      <c r="AM36" s="292">
        <f t="shared" si="24"/>
        <v>0</v>
      </c>
      <c r="AN36" s="292">
        <f t="shared" si="25"/>
        <v>0</v>
      </c>
      <c r="AO36" s="292">
        <f t="shared" si="26"/>
        <v>0</v>
      </c>
      <c r="AP36" s="292">
        <f t="shared" si="27"/>
        <v>0</v>
      </c>
      <c r="AQ36" s="292">
        <f t="shared" si="28"/>
        <v>0</v>
      </c>
      <c r="AR36" s="292">
        <f t="shared" si="29"/>
        <v>0</v>
      </c>
      <c r="AS36" s="292">
        <f t="shared" si="30"/>
        <v>0</v>
      </c>
      <c r="AT36" s="292">
        <f t="shared" si="31"/>
        <v>0</v>
      </c>
      <c r="AU36" s="292">
        <f t="shared" si="32"/>
        <v>0</v>
      </c>
      <c r="AV36" s="292">
        <f t="shared" si="33"/>
        <v>0</v>
      </c>
      <c r="AW36" s="292">
        <f t="shared" si="34"/>
        <v>0</v>
      </c>
      <c r="AX36" s="292">
        <f t="shared" si="35"/>
        <v>0</v>
      </c>
      <c r="AY36" s="292">
        <f t="shared" si="36"/>
        <v>0</v>
      </c>
      <c r="AZ36" s="292">
        <f t="shared" si="37"/>
        <v>0</v>
      </c>
      <c r="BA36" s="292">
        <f t="shared" si="38"/>
        <v>0</v>
      </c>
    </row>
    <row r="37" spans="1:53" s="289" customFormat="1" ht="15" customHeight="1">
      <c r="A37" s="63" t="str">
        <f t="array" ref="A37">IF(C37&lt;&gt;0,SUM(($C$11:C37&lt;&gt;0)*1),"")</f>
        <v/>
      </c>
      <c r="B37" s="290"/>
      <c r="C37" s="290"/>
      <c r="D37" s="290"/>
      <c r="E37" s="396"/>
      <c r="F37" s="345"/>
      <c r="G37" s="347"/>
      <c r="H37" s="347"/>
      <c r="I37" s="63" t="str">
        <f t="shared" si="45"/>
        <v/>
      </c>
      <c r="J37" s="292">
        <f t="shared" si="1"/>
        <v>0</v>
      </c>
      <c r="K37" s="292">
        <f t="shared" si="2"/>
        <v>0</v>
      </c>
      <c r="L37" s="292">
        <f t="shared" si="3"/>
        <v>0</v>
      </c>
      <c r="M37" s="292">
        <f t="shared" si="4"/>
        <v>0</v>
      </c>
      <c r="N37" s="292">
        <f t="shared" si="39"/>
        <v>0</v>
      </c>
      <c r="O37" s="292">
        <f t="shared" si="40"/>
        <v>0</v>
      </c>
      <c r="P37" s="292">
        <f t="shared" si="5"/>
        <v>0</v>
      </c>
      <c r="Q37" s="292">
        <f t="shared" si="6"/>
        <v>0</v>
      </c>
      <c r="R37" s="292">
        <f t="shared" si="7"/>
        <v>0</v>
      </c>
      <c r="S37" s="292">
        <f t="shared" si="8"/>
        <v>0</v>
      </c>
      <c r="T37" s="292">
        <f t="shared" si="41"/>
        <v>0</v>
      </c>
      <c r="U37" s="292">
        <f t="shared" si="42"/>
        <v>0</v>
      </c>
      <c r="V37" s="292">
        <f t="shared" si="9"/>
        <v>0</v>
      </c>
      <c r="W37" s="292">
        <f t="shared" si="10"/>
        <v>0</v>
      </c>
      <c r="X37" s="292">
        <f t="shared" si="11"/>
        <v>0</v>
      </c>
      <c r="Y37" s="292">
        <f t="shared" si="12"/>
        <v>0</v>
      </c>
      <c r="Z37" s="292">
        <f t="shared" si="13"/>
        <v>0</v>
      </c>
      <c r="AA37" s="292">
        <f t="shared" si="14"/>
        <v>0</v>
      </c>
      <c r="AB37" s="292">
        <f t="shared" si="15"/>
        <v>0</v>
      </c>
      <c r="AC37" s="292">
        <f t="shared" si="16"/>
        <v>0</v>
      </c>
      <c r="AD37" s="292">
        <f t="shared" si="17"/>
        <v>0</v>
      </c>
      <c r="AE37" s="292">
        <f t="shared" si="18"/>
        <v>0</v>
      </c>
      <c r="AF37" s="292">
        <f t="shared" si="43"/>
        <v>0</v>
      </c>
      <c r="AG37" s="292">
        <f t="shared" si="44"/>
        <v>0</v>
      </c>
      <c r="AH37" s="292">
        <f t="shared" si="19"/>
        <v>0</v>
      </c>
      <c r="AI37" s="292">
        <f t="shared" si="20"/>
        <v>0</v>
      </c>
      <c r="AJ37" s="292">
        <f t="shared" si="21"/>
        <v>0</v>
      </c>
      <c r="AK37" s="292">
        <f t="shared" si="22"/>
        <v>0</v>
      </c>
      <c r="AL37" s="292">
        <f t="shared" si="23"/>
        <v>0</v>
      </c>
      <c r="AM37" s="292">
        <f t="shared" si="24"/>
        <v>0</v>
      </c>
      <c r="AN37" s="292">
        <f t="shared" si="25"/>
        <v>0</v>
      </c>
      <c r="AO37" s="292">
        <f t="shared" si="26"/>
        <v>0</v>
      </c>
      <c r="AP37" s="292">
        <f t="shared" si="27"/>
        <v>0</v>
      </c>
      <c r="AQ37" s="292">
        <f t="shared" si="28"/>
        <v>0</v>
      </c>
      <c r="AR37" s="292">
        <f t="shared" si="29"/>
        <v>0</v>
      </c>
      <c r="AS37" s="292">
        <f t="shared" si="30"/>
        <v>0</v>
      </c>
      <c r="AT37" s="292">
        <f t="shared" si="31"/>
        <v>0</v>
      </c>
      <c r="AU37" s="292">
        <f t="shared" si="32"/>
        <v>0</v>
      </c>
      <c r="AV37" s="292">
        <f t="shared" si="33"/>
        <v>0</v>
      </c>
      <c r="AW37" s="292">
        <f t="shared" si="34"/>
        <v>0</v>
      </c>
      <c r="AX37" s="292">
        <f t="shared" si="35"/>
        <v>0</v>
      </c>
      <c r="AY37" s="292">
        <f t="shared" si="36"/>
        <v>0</v>
      </c>
      <c r="AZ37" s="292">
        <f t="shared" si="37"/>
        <v>0</v>
      </c>
      <c r="BA37" s="292">
        <f t="shared" si="38"/>
        <v>0</v>
      </c>
    </row>
    <row r="38" spans="1:53" s="289" customFormat="1" ht="15" customHeight="1">
      <c r="A38" s="63" t="str">
        <f t="array" ref="A38">IF(C38&lt;&gt;0,SUM(($C$11:C38&lt;&gt;0)*1),"")</f>
        <v/>
      </c>
      <c r="B38" s="290"/>
      <c r="C38" s="290"/>
      <c r="D38" s="290"/>
      <c r="E38" s="396"/>
      <c r="F38" s="345"/>
      <c r="G38" s="347"/>
      <c r="H38" s="347"/>
      <c r="I38" s="63" t="str">
        <f t="shared" si="45"/>
        <v/>
      </c>
      <c r="J38" s="292">
        <f t="shared" si="1"/>
        <v>0</v>
      </c>
      <c r="K38" s="292">
        <f t="shared" si="2"/>
        <v>0</v>
      </c>
      <c r="L38" s="292">
        <f t="shared" si="3"/>
        <v>0</v>
      </c>
      <c r="M38" s="292">
        <f t="shared" si="4"/>
        <v>0</v>
      </c>
      <c r="N38" s="292">
        <f t="shared" si="39"/>
        <v>0</v>
      </c>
      <c r="O38" s="292">
        <f t="shared" si="40"/>
        <v>0</v>
      </c>
      <c r="P38" s="292">
        <f t="shared" si="5"/>
        <v>0</v>
      </c>
      <c r="Q38" s="292">
        <f t="shared" si="6"/>
        <v>0</v>
      </c>
      <c r="R38" s="292">
        <f t="shared" si="7"/>
        <v>0</v>
      </c>
      <c r="S38" s="292">
        <f t="shared" si="8"/>
        <v>0</v>
      </c>
      <c r="T38" s="292">
        <f t="shared" si="41"/>
        <v>0</v>
      </c>
      <c r="U38" s="292">
        <f t="shared" si="42"/>
        <v>0</v>
      </c>
      <c r="V38" s="292">
        <f t="shared" si="9"/>
        <v>0</v>
      </c>
      <c r="W38" s="292">
        <f t="shared" si="10"/>
        <v>0</v>
      </c>
      <c r="X38" s="292">
        <f t="shared" si="11"/>
        <v>0</v>
      </c>
      <c r="Y38" s="292">
        <f t="shared" si="12"/>
        <v>0</v>
      </c>
      <c r="Z38" s="292">
        <f t="shared" si="13"/>
        <v>0</v>
      </c>
      <c r="AA38" s="292">
        <f t="shared" si="14"/>
        <v>0</v>
      </c>
      <c r="AB38" s="292">
        <f t="shared" si="15"/>
        <v>0</v>
      </c>
      <c r="AC38" s="292">
        <f t="shared" si="16"/>
        <v>0</v>
      </c>
      <c r="AD38" s="292">
        <f t="shared" si="17"/>
        <v>0</v>
      </c>
      <c r="AE38" s="292">
        <f t="shared" si="18"/>
        <v>0</v>
      </c>
      <c r="AF38" s="292">
        <f t="shared" si="43"/>
        <v>0</v>
      </c>
      <c r="AG38" s="292">
        <f t="shared" si="44"/>
        <v>0</v>
      </c>
      <c r="AH38" s="292">
        <f t="shared" si="19"/>
        <v>0</v>
      </c>
      <c r="AI38" s="292">
        <f t="shared" si="20"/>
        <v>0</v>
      </c>
      <c r="AJ38" s="292">
        <f t="shared" si="21"/>
        <v>0</v>
      </c>
      <c r="AK38" s="292">
        <f t="shared" si="22"/>
        <v>0</v>
      </c>
      <c r="AL38" s="292">
        <f t="shared" si="23"/>
        <v>0</v>
      </c>
      <c r="AM38" s="292">
        <f t="shared" si="24"/>
        <v>0</v>
      </c>
      <c r="AN38" s="292">
        <f t="shared" si="25"/>
        <v>0</v>
      </c>
      <c r="AO38" s="292">
        <f t="shared" si="26"/>
        <v>0</v>
      </c>
      <c r="AP38" s="292">
        <f t="shared" si="27"/>
        <v>0</v>
      </c>
      <c r="AQ38" s="292">
        <f t="shared" si="28"/>
        <v>0</v>
      </c>
      <c r="AR38" s="292">
        <f t="shared" si="29"/>
        <v>0</v>
      </c>
      <c r="AS38" s="292">
        <f t="shared" si="30"/>
        <v>0</v>
      </c>
      <c r="AT38" s="292">
        <f t="shared" si="31"/>
        <v>0</v>
      </c>
      <c r="AU38" s="292">
        <f t="shared" si="32"/>
        <v>0</v>
      </c>
      <c r="AV38" s="292">
        <f t="shared" si="33"/>
        <v>0</v>
      </c>
      <c r="AW38" s="292">
        <f t="shared" si="34"/>
        <v>0</v>
      </c>
      <c r="AX38" s="292">
        <f t="shared" si="35"/>
        <v>0</v>
      </c>
      <c r="AY38" s="292">
        <f t="shared" si="36"/>
        <v>0</v>
      </c>
      <c r="AZ38" s="292">
        <f t="shared" si="37"/>
        <v>0</v>
      </c>
      <c r="BA38" s="292">
        <f t="shared" si="38"/>
        <v>0</v>
      </c>
    </row>
    <row r="39" spans="1:53" s="289" customFormat="1" ht="15" customHeight="1">
      <c r="A39" s="63" t="str">
        <f t="array" ref="A39">IF(C39&lt;&gt;0,SUM(($C$11:C39&lt;&gt;0)*1),"")</f>
        <v/>
      </c>
      <c r="B39" s="290"/>
      <c r="C39" s="290"/>
      <c r="D39" s="290"/>
      <c r="E39" s="396"/>
      <c r="F39" s="345"/>
      <c r="G39" s="347"/>
      <c r="H39" s="347"/>
      <c r="I39" s="63" t="str">
        <f t="shared" si="45"/>
        <v/>
      </c>
      <c r="J39" s="292">
        <f t="shared" si="1"/>
        <v>0</v>
      </c>
      <c r="K39" s="292">
        <f t="shared" si="2"/>
        <v>0</v>
      </c>
      <c r="L39" s="292">
        <f t="shared" si="3"/>
        <v>0</v>
      </c>
      <c r="M39" s="292">
        <f t="shared" si="4"/>
        <v>0</v>
      </c>
      <c r="N39" s="292">
        <f t="shared" si="39"/>
        <v>0</v>
      </c>
      <c r="O39" s="292">
        <f t="shared" si="40"/>
        <v>0</v>
      </c>
      <c r="P39" s="292">
        <f t="shared" si="5"/>
        <v>0</v>
      </c>
      <c r="Q39" s="292">
        <f t="shared" si="6"/>
        <v>0</v>
      </c>
      <c r="R39" s="292">
        <f t="shared" si="7"/>
        <v>0</v>
      </c>
      <c r="S39" s="292">
        <f t="shared" si="8"/>
        <v>0</v>
      </c>
      <c r="T39" s="292">
        <f t="shared" si="41"/>
        <v>0</v>
      </c>
      <c r="U39" s="292">
        <f t="shared" si="42"/>
        <v>0</v>
      </c>
      <c r="V39" s="292">
        <f t="shared" si="9"/>
        <v>0</v>
      </c>
      <c r="W39" s="292">
        <f t="shared" si="10"/>
        <v>0</v>
      </c>
      <c r="X39" s="292">
        <f t="shared" si="11"/>
        <v>0</v>
      </c>
      <c r="Y39" s="292">
        <f t="shared" si="12"/>
        <v>0</v>
      </c>
      <c r="Z39" s="292">
        <f t="shared" si="13"/>
        <v>0</v>
      </c>
      <c r="AA39" s="292">
        <f t="shared" si="14"/>
        <v>0</v>
      </c>
      <c r="AB39" s="292">
        <f t="shared" si="15"/>
        <v>0</v>
      </c>
      <c r="AC39" s="292">
        <f t="shared" si="16"/>
        <v>0</v>
      </c>
      <c r="AD39" s="292">
        <f t="shared" si="17"/>
        <v>0</v>
      </c>
      <c r="AE39" s="292">
        <f t="shared" si="18"/>
        <v>0</v>
      </c>
      <c r="AF39" s="292">
        <f t="shared" si="43"/>
        <v>0</v>
      </c>
      <c r="AG39" s="292">
        <f t="shared" si="44"/>
        <v>0</v>
      </c>
      <c r="AH39" s="292">
        <f t="shared" si="19"/>
        <v>0</v>
      </c>
      <c r="AI39" s="292">
        <f t="shared" si="20"/>
        <v>0</v>
      </c>
      <c r="AJ39" s="292">
        <f t="shared" si="21"/>
        <v>0</v>
      </c>
      <c r="AK39" s="292">
        <f t="shared" si="22"/>
        <v>0</v>
      </c>
      <c r="AL39" s="292">
        <f t="shared" si="23"/>
        <v>0</v>
      </c>
      <c r="AM39" s="292">
        <f t="shared" si="24"/>
        <v>0</v>
      </c>
      <c r="AN39" s="292">
        <f t="shared" si="25"/>
        <v>0</v>
      </c>
      <c r="AO39" s="292">
        <f t="shared" si="26"/>
        <v>0</v>
      </c>
      <c r="AP39" s="292">
        <f t="shared" si="27"/>
        <v>0</v>
      </c>
      <c r="AQ39" s="292">
        <f t="shared" si="28"/>
        <v>0</v>
      </c>
      <c r="AR39" s="292">
        <f t="shared" si="29"/>
        <v>0</v>
      </c>
      <c r="AS39" s="292">
        <f t="shared" si="30"/>
        <v>0</v>
      </c>
      <c r="AT39" s="292">
        <f t="shared" si="31"/>
        <v>0</v>
      </c>
      <c r="AU39" s="292">
        <f t="shared" si="32"/>
        <v>0</v>
      </c>
      <c r="AV39" s="292">
        <f t="shared" si="33"/>
        <v>0</v>
      </c>
      <c r="AW39" s="292">
        <f t="shared" si="34"/>
        <v>0</v>
      </c>
      <c r="AX39" s="292">
        <f t="shared" si="35"/>
        <v>0</v>
      </c>
      <c r="AY39" s="292">
        <f t="shared" si="36"/>
        <v>0</v>
      </c>
      <c r="AZ39" s="292">
        <f t="shared" si="37"/>
        <v>0</v>
      </c>
      <c r="BA39" s="292">
        <f t="shared" si="38"/>
        <v>0</v>
      </c>
    </row>
    <row r="40" spans="1:53" s="289" customFormat="1" ht="15" customHeight="1">
      <c r="A40" s="63" t="str">
        <f t="array" ref="A40">IF(C40&lt;&gt;0,SUM(($C$11:C40&lt;&gt;0)*1),"")</f>
        <v/>
      </c>
      <c r="B40" s="290"/>
      <c r="C40" s="290"/>
      <c r="D40" s="290"/>
      <c r="E40" s="396"/>
      <c r="F40" s="345"/>
      <c r="G40" s="347"/>
      <c r="H40" s="347"/>
      <c r="I40" s="63" t="str">
        <f t="shared" si="45"/>
        <v/>
      </c>
      <c r="J40" s="292">
        <f t="shared" si="1"/>
        <v>0</v>
      </c>
      <c r="K40" s="292">
        <f t="shared" si="2"/>
        <v>0</v>
      </c>
      <c r="L40" s="292">
        <f t="shared" si="3"/>
        <v>0</v>
      </c>
      <c r="M40" s="292">
        <f t="shared" si="4"/>
        <v>0</v>
      </c>
      <c r="N40" s="292">
        <f t="shared" si="39"/>
        <v>0</v>
      </c>
      <c r="O40" s="292">
        <f t="shared" si="40"/>
        <v>0</v>
      </c>
      <c r="P40" s="292">
        <f t="shared" si="5"/>
        <v>0</v>
      </c>
      <c r="Q40" s="292">
        <f t="shared" si="6"/>
        <v>0</v>
      </c>
      <c r="R40" s="292">
        <f t="shared" si="7"/>
        <v>0</v>
      </c>
      <c r="S40" s="292">
        <f t="shared" si="8"/>
        <v>0</v>
      </c>
      <c r="T40" s="292">
        <f t="shared" si="41"/>
        <v>0</v>
      </c>
      <c r="U40" s="292">
        <f t="shared" si="42"/>
        <v>0</v>
      </c>
      <c r="V40" s="292">
        <f t="shared" si="9"/>
        <v>0</v>
      </c>
      <c r="W40" s="292">
        <f t="shared" si="10"/>
        <v>0</v>
      </c>
      <c r="X40" s="292">
        <f t="shared" si="11"/>
        <v>0</v>
      </c>
      <c r="Y40" s="292">
        <f t="shared" si="12"/>
        <v>0</v>
      </c>
      <c r="Z40" s="292">
        <f t="shared" si="13"/>
        <v>0</v>
      </c>
      <c r="AA40" s="292">
        <f t="shared" si="14"/>
        <v>0</v>
      </c>
      <c r="AB40" s="292">
        <f t="shared" si="15"/>
        <v>0</v>
      </c>
      <c r="AC40" s="292">
        <f t="shared" si="16"/>
        <v>0</v>
      </c>
      <c r="AD40" s="292">
        <f t="shared" si="17"/>
        <v>0</v>
      </c>
      <c r="AE40" s="292">
        <f t="shared" si="18"/>
        <v>0</v>
      </c>
      <c r="AF40" s="292">
        <f t="shared" si="43"/>
        <v>0</v>
      </c>
      <c r="AG40" s="292">
        <f t="shared" si="44"/>
        <v>0</v>
      </c>
      <c r="AH40" s="292">
        <f t="shared" si="19"/>
        <v>0</v>
      </c>
      <c r="AI40" s="292">
        <f t="shared" si="20"/>
        <v>0</v>
      </c>
      <c r="AJ40" s="292">
        <f t="shared" si="21"/>
        <v>0</v>
      </c>
      <c r="AK40" s="292">
        <f t="shared" si="22"/>
        <v>0</v>
      </c>
      <c r="AL40" s="292">
        <f t="shared" si="23"/>
        <v>0</v>
      </c>
      <c r="AM40" s="292">
        <f t="shared" si="24"/>
        <v>0</v>
      </c>
      <c r="AN40" s="292">
        <f t="shared" si="25"/>
        <v>0</v>
      </c>
      <c r="AO40" s="292">
        <f t="shared" si="26"/>
        <v>0</v>
      </c>
      <c r="AP40" s="292">
        <f t="shared" si="27"/>
        <v>0</v>
      </c>
      <c r="AQ40" s="292">
        <f t="shared" si="28"/>
        <v>0</v>
      </c>
      <c r="AR40" s="292">
        <f t="shared" si="29"/>
        <v>0</v>
      </c>
      <c r="AS40" s="292">
        <f t="shared" si="30"/>
        <v>0</v>
      </c>
      <c r="AT40" s="292">
        <f t="shared" si="31"/>
        <v>0</v>
      </c>
      <c r="AU40" s="292">
        <f t="shared" si="32"/>
        <v>0</v>
      </c>
      <c r="AV40" s="292">
        <f t="shared" si="33"/>
        <v>0</v>
      </c>
      <c r="AW40" s="292">
        <f t="shared" si="34"/>
        <v>0</v>
      </c>
      <c r="AX40" s="292">
        <f t="shared" si="35"/>
        <v>0</v>
      </c>
      <c r="AY40" s="292">
        <f t="shared" si="36"/>
        <v>0</v>
      </c>
      <c r="AZ40" s="292">
        <f t="shared" si="37"/>
        <v>0</v>
      </c>
      <c r="BA40" s="292">
        <f t="shared" si="38"/>
        <v>0</v>
      </c>
    </row>
    <row r="41" spans="1:53" s="289" customFormat="1" ht="15" customHeight="1">
      <c r="A41" s="63" t="str">
        <f t="array" ref="A41">IF(C41&lt;&gt;0,SUM(($C$11:C41&lt;&gt;0)*1),"")</f>
        <v/>
      </c>
      <c r="B41" s="290"/>
      <c r="C41" s="290"/>
      <c r="D41" s="290"/>
      <c r="E41" s="396"/>
      <c r="F41" s="345"/>
      <c r="G41" s="347"/>
      <c r="H41" s="347"/>
      <c r="I41" s="63" t="str">
        <f t="shared" si="45"/>
        <v/>
      </c>
      <c r="J41" s="292">
        <f t="shared" si="1"/>
        <v>0</v>
      </c>
      <c r="K41" s="292">
        <f t="shared" si="2"/>
        <v>0</v>
      </c>
      <c r="L41" s="292">
        <f t="shared" si="3"/>
        <v>0</v>
      </c>
      <c r="M41" s="292">
        <f t="shared" si="4"/>
        <v>0</v>
      </c>
      <c r="N41" s="292">
        <f t="shared" si="39"/>
        <v>0</v>
      </c>
      <c r="O41" s="292">
        <f t="shared" si="40"/>
        <v>0</v>
      </c>
      <c r="P41" s="292">
        <f t="shared" si="5"/>
        <v>0</v>
      </c>
      <c r="Q41" s="292">
        <f t="shared" si="6"/>
        <v>0</v>
      </c>
      <c r="R41" s="292">
        <f t="shared" si="7"/>
        <v>0</v>
      </c>
      <c r="S41" s="292">
        <f t="shared" si="8"/>
        <v>0</v>
      </c>
      <c r="T41" s="292">
        <f t="shared" si="41"/>
        <v>0</v>
      </c>
      <c r="U41" s="292">
        <f t="shared" si="42"/>
        <v>0</v>
      </c>
      <c r="V41" s="292">
        <f t="shared" si="9"/>
        <v>0</v>
      </c>
      <c r="W41" s="292">
        <f t="shared" si="10"/>
        <v>0</v>
      </c>
      <c r="X41" s="292">
        <f t="shared" si="11"/>
        <v>0</v>
      </c>
      <c r="Y41" s="292">
        <f t="shared" si="12"/>
        <v>0</v>
      </c>
      <c r="Z41" s="292">
        <f t="shared" si="13"/>
        <v>0</v>
      </c>
      <c r="AA41" s="292">
        <f t="shared" si="14"/>
        <v>0</v>
      </c>
      <c r="AB41" s="292">
        <f t="shared" si="15"/>
        <v>0</v>
      </c>
      <c r="AC41" s="292">
        <f t="shared" si="16"/>
        <v>0</v>
      </c>
      <c r="AD41" s="292">
        <f t="shared" si="17"/>
        <v>0</v>
      </c>
      <c r="AE41" s="292">
        <f t="shared" si="18"/>
        <v>0</v>
      </c>
      <c r="AF41" s="292">
        <f t="shared" si="43"/>
        <v>0</v>
      </c>
      <c r="AG41" s="292">
        <f t="shared" si="44"/>
        <v>0</v>
      </c>
      <c r="AH41" s="292">
        <f t="shared" si="19"/>
        <v>0</v>
      </c>
      <c r="AI41" s="292">
        <f t="shared" si="20"/>
        <v>0</v>
      </c>
      <c r="AJ41" s="292">
        <f t="shared" si="21"/>
        <v>0</v>
      </c>
      <c r="AK41" s="292">
        <f t="shared" si="22"/>
        <v>0</v>
      </c>
      <c r="AL41" s="292">
        <f t="shared" si="23"/>
        <v>0</v>
      </c>
      <c r="AM41" s="292">
        <f t="shared" si="24"/>
        <v>0</v>
      </c>
      <c r="AN41" s="292">
        <f t="shared" si="25"/>
        <v>0</v>
      </c>
      <c r="AO41" s="292">
        <f t="shared" si="26"/>
        <v>0</v>
      </c>
      <c r="AP41" s="292">
        <f t="shared" si="27"/>
        <v>0</v>
      </c>
      <c r="AQ41" s="292">
        <f t="shared" si="28"/>
        <v>0</v>
      </c>
      <c r="AR41" s="292">
        <f t="shared" si="29"/>
        <v>0</v>
      </c>
      <c r="AS41" s="292">
        <f t="shared" si="30"/>
        <v>0</v>
      </c>
      <c r="AT41" s="292">
        <f t="shared" si="31"/>
        <v>0</v>
      </c>
      <c r="AU41" s="292">
        <f t="shared" si="32"/>
        <v>0</v>
      </c>
      <c r="AV41" s="292">
        <f t="shared" si="33"/>
        <v>0</v>
      </c>
      <c r="AW41" s="292">
        <f t="shared" si="34"/>
        <v>0</v>
      </c>
      <c r="AX41" s="292">
        <f t="shared" si="35"/>
        <v>0</v>
      </c>
      <c r="AY41" s="292">
        <f t="shared" si="36"/>
        <v>0</v>
      </c>
      <c r="AZ41" s="292">
        <f t="shared" si="37"/>
        <v>0</v>
      </c>
      <c r="BA41" s="292">
        <f t="shared" si="38"/>
        <v>0</v>
      </c>
    </row>
    <row r="42" spans="1:53" s="289" customFormat="1" ht="15" customHeight="1">
      <c r="A42" s="63" t="str">
        <f t="array" ref="A42">IF(C42&lt;&gt;0,SUM(($C$11:C42&lt;&gt;0)*1),"")</f>
        <v/>
      </c>
      <c r="B42" s="290"/>
      <c r="C42" s="290"/>
      <c r="D42" s="290"/>
      <c r="E42" s="396"/>
      <c r="F42" s="345"/>
      <c r="G42" s="347"/>
      <c r="H42" s="347"/>
      <c r="I42" s="63" t="str">
        <f t="shared" si="45"/>
        <v/>
      </c>
      <c r="J42" s="292">
        <f t="shared" si="1"/>
        <v>0</v>
      </c>
      <c r="K42" s="292">
        <f t="shared" si="2"/>
        <v>0</v>
      </c>
      <c r="L42" s="292">
        <f t="shared" si="3"/>
        <v>0</v>
      </c>
      <c r="M42" s="292">
        <f t="shared" si="4"/>
        <v>0</v>
      </c>
      <c r="N42" s="292">
        <f t="shared" si="39"/>
        <v>0</v>
      </c>
      <c r="O42" s="292">
        <f t="shared" si="40"/>
        <v>0</v>
      </c>
      <c r="P42" s="292">
        <f t="shared" si="5"/>
        <v>0</v>
      </c>
      <c r="Q42" s="292">
        <f t="shared" si="6"/>
        <v>0</v>
      </c>
      <c r="R42" s="292">
        <f t="shared" si="7"/>
        <v>0</v>
      </c>
      <c r="S42" s="292">
        <f t="shared" si="8"/>
        <v>0</v>
      </c>
      <c r="T42" s="292">
        <f t="shared" si="41"/>
        <v>0</v>
      </c>
      <c r="U42" s="292">
        <f t="shared" si="42"/>
        <v>0</v>
      </c>
      <c r="V42" s="292">
        <f t="shared" si="9"/>
        <v>0</v>
      </c>
      <c r="W42" s="292">
        <f t="shared" si="10"/>
        <v>0</v>
      </c>
      <c r="X42" s="292">
        <f t="shared" si="11"/>
        <v>0</v>
      </c>
      <c r="Y42" s="292">
        <f t="shared" si="12"/>
        <v>0</v>
      </c>
      <c r="Z42" s="292">
        <f t="shared" si="13"/>
        <v>0</v>
      </c>
      <c r="AA42" s="292">
        <f t="shared" si="14"/>
        <v>0</v>
      </c>
      <c r="AB42" s="292">
        <f t="shared" si="15"/>
        <v>0</v>
      </c>
      <c r="AC42" s="292">
        <f t="shared" si="16"/>
        <v>0</v>
      </c>
      <c r="AD42" s="292">
        <f t="shared" si="17"/>
        <v>0</v>
      </c>
      <c r="AE42" s="292">
        <f t="shared" si="18"/>
        <v>0</v>
      </c>
      <c r="AF42" s="292">
        <f t="shared" si="43"/>
        <v>0</v>
      </c>
      <c r="AG42" s="292">
        <f t="shared" si="44"/>
        <v>0</v>
      </c>
      <c r="AH42" s="292">
        <f t="shared" si="19"/>
        <v>0</v>
      </c>
      <c r="AI42" s="292">
        <f t="shared" si="20"/>
        <v>0</v>
      </c>
      <c r="AJ42" s="292">
        <f t="shared" si="21"/>
        <v>0</v>
      </c>
      <c r="AK42" s="292">
        <f t="shared" si="22"/>
        <v>0</v>
      </c>
      <c r="AL42" s="292">
        <f t="shared" si="23"/>
        <v>0</v>
      </c>
      <c r="AM42" s="292">
        <f t="shared" si="24"/>
        <v>0</v>
      </c>
      <c r="AN42" s="292">
        <f t="shared" si="25"/>
        <v>0</v>
      </c>
      <c r="AO42" s="292">
        <f t="shared" si="26"/>
        <v>0</v>
      </c>
      <c r="AP42" s="292">
        <f t="shared" si="27"/>
        <v>0</v>
      </c>
      <c r="AQ42" s="292">
        <f t="shared" si="28"/>
        <v>0</v>
      </c>
      <c r="AR42" s="292">
        <f t="shared" si="29"/>
        <v>0</v>
      </c>
      <c r="AS42" s="292">
        <f t="shared" si="30"/>
        <v>0</v>
      </c>
      <c r="AT42" s="292">
        <f t="shared" si="31"/>
        <v>0</v>
      </c>
      <c r="AU42" s="292">
        <f t="shared" si="32"/>
        <v>0</v>
      </c>
      <c r="AV42" s="292">
        <f t="shared" si="33"/>
        <v>0</v>
      </c>
      <c r="AW42" s="292">
        <f t="shared" si="34"/>
        <v>0</v>
      </c>
      <c r="AX42" s="292">
        <f t="shared" si="35"/>
        <v>0</v>
      </c>
      <c r="AY42" s="292">
        <f t="shared" si="36"/>
        <v>0</v>
      </c>
      <c r="AZ42" s="292">
        <f t="shared" si="37"/>
        <v>0</v>
      </c>
      <c r="BA42" s="292">
        <f t="shared" si="38"/>
        <v>0</v>
      </c>
    </row>
    <row r="43" spans="1:53" s="289" customFormat="1" ht="15" customHeight="1">
      <c r="A43" s="63" t="str">
        <f t="array" ref="A43">IF(C43&lt;&gt;0,SUM(($C$11:C43&lt;&gt;0)*1),"")</f>
        <v/>
      </c>
      <c r="B43" s="290"/>
      <c r="C43" s="290"/>
      <c r="D43" s="290"/>
      <c r="E43" s="396"/>
      <c r="F43" s="345"/>
      <c r="G43" s="347"/>
      <c r="H43" s="347"/>
      <c r="I43" s="63" t="str">
        <f t="shared" si="45"/>
        <v/>
      </c>
      <c r="J43" s="292">
        <f t="shared" si="1"/>
        <v>0</v>
      </c>
      <c r="K43" s="292">
        <f t="shared" si="2"/>
        <v>0</v>
      </c>
      <c r="L43" s="292">
        <f t="shared" si="3"/>
        <v>0</v>
      </c>
      <c r="M43" s="292">
        <f t="shared" si="4"/>
        <v>0</v>
      </c>
      <c r="N43" s="292">
        <f t="shared" si="39"/>
        <v>0</v>
      </c>
      <c r="O43" s="292">
        <f t="shared" si="40"/>
        <v>0</v>
      </c>
      <c r="P43" s="292">
        <f t="shared" si="5"/>
        <v>0</v>
      </c>
      <c r="Q43" s="292">
        <f t="shared" si="6"/>
        <v>0</v>
      </c>
      <c r="R43" s="292">
        <f t="shared" si="7"/>
        <v>0</v>
      </c>
      <c r="S43" s="292">
        <f t="shared" si="8"/>
        <v>0</v>
      </c>
      <c r="T43" s="292">
        <f t="shared" si="41"/>
        <v>0</v>
      </c>
      <c r="U43" s="292">
        <f t="shared" si="42"/>
        <v>0</v>
      </c>
      <c r="V43" s="292">
        <f t="shared" si="9"/>
        <v>0</v>
      </c>
      <c r="W43" s="292">
        <f t="shared" si="10"/>
        <v>0</v>
      </c>
      <c r="X43" s="292">
        <f t="shared" si="11"/>
        <v>0</v>
      </c>
      <c r="Y43" s="292">
        <f t="shared" si="12"/>
        <v>0</v>
      </c>
      <c r="Z43" s="292">
        <f t="shared" si="13"/>
        <v>0</v>
      </c>
      <c r="AA43" s="292">
        <f t="shared" si="14"/>
        <v>0</v>
      </c>
      <c r="AB43" s="292">
        <f t="shared" si="15"/>
        <v>0</v>
      </c>
      <c r="AC43" s="292">
        <f t="shared" si="16"/>
        <v>0</v>
      </c>
      <c r="AD43" s="292">
        <f t="shared" si="17"/>
        <v>0</v>
      </c>
      <c r="AE43" s="292">
        <f t="shared" si="18"/>
        <v>0</v>
      </c>
      <c r="AF43" s="292">
        <f t="shared" si="43"/>
        <v>0</v>
      </c>
      <c r="AG43" s="292">
        <f t="shared" si="44"/>
        <v>0</v>
      </c>
      <c r="AH43" s="292">
        <f t="shared" si="19"/>
        <v>0</v>
      </c>
      <c r="AI43" s="292">
        <f t="shared" si="20"/>
        <v>0</v>
      </c>
      <c r="AJ43" s="292">
        <f t="shared" si="21"/>
        <v>0</v>
      </c>
      <c r="AK43" s="292">
        <f t="shared" si="22"/>
        <v>0</v>
      </c>
      <c r="AL43" s="292">
        <f t="shared" si="23"/>
        <v>0</v>
      </c>
      <c r="AM43" s="292">
        <f t="shared" si="24"/>
        <v>0</v>
      </c>
      <c r="AN43" s="292">
        <f t="shared" si="25"/>
        <v>0</v>
      </c>
      <c r="AO43" s="292">
        <f t="shared" si="26"/>
        <v>0</v>
      </c>
      <c r="AP43" s="292">
        <f t="shared" si="27"/>
        <v>0</v>
      </c>
      <c r="AQ43" s="292">
        <f t="shared" si="28"/>
        <v>0</v>
      </c>
      <c r="AR43" s="292">
        <f t="shared" si="29"/>
        <v>0</v>
      </c>
      <c r="AS43" s="292">
        <f t="shared" si="30"/>
        <v>0</v>
      </c>
      <c r="AT43" s="292">
        <f t="shared" si="31"/>
        <v>0</v>
      </c>
      <c r="AU43" s="292">
        <f t="shared" si="32"/>
        <v>0</v>
      </c>
      <c r="AV43" s="292">
        <f t="shared" si="33"/>
        <v>0</v>
      </c>
      <c r="AW43" s="292">
        <f t="shared" si="34"/>
        <v>0</v>
      </c>
      <c r="AX43" s="292">
        <f t="shared" si="35"/>
        <v>0</v>
      </c>
      <c r="AY43" s="292">
        <f t="shared" si="36"/>
        <v>0</v>
      </c>
      <c r="AZ43" s="292">
        <f t="shared" si="37"/>
        <v>0</v>
      </c>
      <c r="BA43" s="292">
        <f t="shared" si="38"/>
        <v>0</v>
      </c>
    </row>
    <row r="44" spans="1:53" s="289" customFormat="1" ht="15" customHeight="1">
      <c r="A44" s="63" t="str">
        <f t="array" ref="A44">IF(C44&lt;&gt;0,SUM(($C$11:C44&lt;&gt;0)*1),"")</f>
        <v/>
      </c>
      <c r="B44" s="290"/>
      <c r="C44" s="290"/>
      <c r="D44" s="290"/>
      <c r="E44" s="396"/>
      <c r="F44" s="345"/>
      <c r="G44" s="347"/>
      <c r="H44" s="347"/>
      <c r="I44" s="63" t="str">
        <f t="shared" si="45"/>
        <v/>
      </c>
      <c r="J44" s="292">
        <f t="shared" si="1"/>
        <v>0</v>
      </c>
      <c r="K44" s="292">
        <f t="shared" si="2"/>
        <v>0</v>
      </c>
      <c r="L44" s="292">
        <f t="shared" si="3"/>
        <v>0</v>
      </c>
      <c r="M44" s="292">
        <f t="shared" si="4"/>
        <v>0</v>
      </c>
      <c r="N44" s="292">
        <f t="shared" si="39"/>
        <v>0</v>
      </c>
      <c r="O44" s="292">
        <f t="shared" si="40"/>
        <v>0</v>
      </c>
      <c r="P44" s="292">
        <f t="shared" si="5"/>
        <v>0</v>
      </c>
      <c r="Q44" s="292">
        <f t="shared" si="6"/>
        <v>0</v>
      </c>
      <c r="R44" s="292">
        <f t="shared" si="7"/>
        <v>0</v>
      </c>
      <c r="S44" s="292">
        <f t="shared" si="8"/>
        <v>0</v>
      </c>
      <c r="T44" s="292">
        <f t="shared" si="41"/>
        <v>0</v>
      </c>
      <c r="U44" s="292">
        <f t="shared" si="42"/>
        <v>0</v>
      </c>
      <c r="V44" s="292">
        <f t="shared" si="9"/>
        <v>0</v>
      </c>
      <c r="W44" s="292">
        <f t="shared" si="10"/>
        <v>0</v>
      </c>
      <c r="X44" s="292">
        <f t="shared" si="11"/>
        <v>0</v>
      </c>
      <c r="Y44" s="292">
        <f t="shared" si="12"/>
        <v>0</v>
      </c>
      <c r="Z44" s="292">
        <f t="shared" si="13"/>
        <v>0</v>
      </c>
      <c r="AA44" s="292">
        <f t="shared" si="14"/>
        <v>0</v>
      </c>
      <c r="AB44" s="292">
        <f t="shared" si="15"/>
        <v>0</v>
      </c>
      <c r="AC44" s="292">
        <f t="shared" si="16"/>
        <v>0</v>
      </c>
      <c r="AD44" s="292">
        <f t="shared" si="17"/>
        <v>0</v>
      </c>
      <c r="AE44" s="292">
        <f t="shared" si="18"/>
        <v>0</v>
      </c>
      <c r="AF44" s="292">
        <f t="shared" si="43"/>
        <v>0</v>
      </c>
      <c r="AG44" s="292">
        <f t="shared" si="44"/>
        <v>0</v>
      </c>
      <c r="AH44" s="292">
        <f t="shared" si="19"/>
        <v>0</v>
      </c>
      <c r="AI44" s="292">
        <f t="shared" si="20"/>
        <v>0</v>
      </c>
      <c r="AJ44" s="292">
        <f t="shared" si="21"/>
        <v>0</v>
      </c>
      <c r="AK44" s="292">
        <f t="shared" si="22"/>
        <v>0</v>
      </c>
      <c r="AL44" s="292">
        <f t="shared" si="23"/>
        <v>0</v>
      </c>
      <c r="AM44" s="292">
        <f t="shared" si="24"/>
        <v>0</v>
      </c>
      <c r="AN44" s="292">
        <f t="shared" si="25"/>
        <v>0</v>
      </c>
      <c r="AO44" s="292">
        <f t="shared" si="26"/>
        <v>0</v>
      </c>
      <c r="AP44" s="292">
        <f t="shared" si="27"/>
        <v>0</v>
      </c>
      <c r="AQ44" s="292">
        <f t="shared" si="28"/>
        <v>0</v>
      </c>
      <c r="AR44" s="292">
        <f t="shared" si="29"/>
        <v>0</v>
      </c>
      <c r="AS44" s="292">
        <f t="shared" si="30"/>
        <v>0</v>
      </c>
      <c r="AT44" s="292">
        <f t="shared" si="31"/>
        <v>0</v>
      </c>
      <c r="AU44" s="292">
        <f t="shared" si="32"/>
        <v>0</v>
      </c>
      <c r="AV44" s="292">
        <f t="shared" si="33"/>
        <v>0</v>
      </c>
      <c r="AW44" s="292">
        <f t="shared" si="34"/>
        <v>0</v>
      </c>
      <c r="AX44" s="292">
        <f t="shared" si="35"/>
        <v>0</v>
      </c>
      <c r="AY44" s="292">
        <f t="shared" si="36"/>
        <v>0</v>
      </c>
      <c r="AZ44" s="292">
        <f t="shared" si="37"/>
        <v>0</v>
      </c>
      <c r="BA44" s="292">
        <f t="shared" si="38"/>
        <v>0</v>
      </c>
    </row>
    <row r="45" spans="1:53" s="289" customFormat="1" ht="15" customHeight="1">
      <c r="A45" s="63" t="str">
        <f t="array" ref="A45">IF(C45&lt;&gt;0,SUM(($C$11:C45&lt;&gt;0)*1),"")</f>
        <v/>
      </c>
      <c r="B45" s="290"/>
      <c r="C45" s="290"/>
      <c r="D45" s="290"/>
      <c r="E45" s="396"/>
      <c r="F45" s="345"/>
      <c r="G45" s="347"/>
      <c r="H45" s="347"/>
      <c r="I45" s="63" t="str">
        <f t="shared" si="45"/>
        <v/>
      </c>
      <c r="J45" s="292">
        <f t="shared" si="1"/>
        <v>0</v>
      </c>
      <c r="K45" s="292">
        <f t="shared" si="2"/>
        <v>0</v>
      </c>
      <c r="L45" s="292">
        <f t="shared" si="3"/>
        <v>0</v>
      </c>
      <c r="M45" s="292">
        <f t="shared" si="4"/>
        <v>0</v>
      </c>
      <c r="N45" s="292">
        <f t="shared" si="39"/>
        <v>0</v>
      </c>
      <c r="O45" s="292">
        <f t="shared" si="40"/>
        <v>0</v>
      </c>
      <c r="P45" s="292">
        <f t="shared" si="5"/>
        <v>0</v>
      </c>
      <c r="Q45" s="292">
        <f t="shared" si="6"/>
        <v>0</v>
      </c>
      <c r="R45" s="292">
        <f t="shared" si="7"/>
        <v>0</v>
      </c>
      <c r="S45" s="292">
        <f t="shared" si="8"/>
        <v>0</v>
      </c>
      <c r="T45" s="292">
        <f t="shared" si="41"/>
        <v>0</v>
      </c>
      <c r="U45" s="292">
        <f t="shared" si="42"/>
        <v>0</v>
      </c>
      <c r="V45" s="292">
        <f t="shared" si="9"/>
        <v>0</v>
      </c>
      <c r="W45" s="292">
        <f t="shared" si="10"/>
        <v>0</v>
      </c>
      <c r="X45" s="292">
        <f t="shared" si="11"/>
        <v>0</v>
      </c>
      <c r="Y45" s="292">
        <f t="shared" si="12"/>
        <v>0</v>
      </c>
      <c r="Z45" s="292">
        <f t="shared" si="13"/>
        <v>0</v>
      </c>
      <c r="AA45" s="292">
        <f t="shared" si="14"/>
        <v>0</v>
      </c>
      <c r="AB45" s="292">
        <f t="shared" si="15"/>
        <v>0</v>
      </c>
      <c r="AC45" s="292">
        <f t="shared" si="16"/>
        <v>0</v>
      </c>
      <c r="AD45" s="292">
        <f t="shared" si="17"/>
        <v>0</v>
      </c>
      <c r="AE45" s="292">
        <f t="shared" si="18"/>
        <v>0</v>
      </c>
      <c r="AF45" s="292">
        <f t="shared" si="43"/>
        <v>0</v>
      </c>
      <c r="AG45" s="292">
        <f t="shared" si="44"/>
        <v>0</v>
      </c>
      <c r="AH45" s="292">
        <f t="shared" si="19"/>
        <v>0</v>
      </c>
      <c r="AI45" s="292">
        <f t="shared" si="20"/>
        <v>0</v>
      </c>
      <c r="AJ45" s="292">
        <f t="shared" si="21"/>
        <v>0</v>
      </c>
      <c r="AK45" s="292">
        <f t="shared" si="22"/>
        <v>0</v>
      </c>
      <c r="AL45" s="292">
        <f t="shared" si="23"/>
        <v>0</v>
      </c>
      <c r="AM45" s="292">
        <f t="shared" si="24"/>
        <v>0</v>
      </c>
      <c r="AN45" s="292">
        <f t="shared" si="25"/>
        <v>0</v>
      </c>
      <c r="AO45" s="292">
        <f t="shared" si="26"/>
        <v>0</v>
      </c>
      <c r="AP45" s="292">
        <f t="shared" si="27"/>
        <v>0</v>
      </c>
      <c r="AQ45" s="292">
        <f t="shared" si="28"/>
        <v>0</v>
      </c>
      <c r="AR45" s="292">
        <f t="shared" si="29"/>
        <v>0</v>
      </c>
      <c r="AS45" s="292">
        <f t="shared" si="30"/>
        <v>0</v>
      </c>
      <c r="AT45" s="292">
        <f t="shared" si="31"/>
        <v>0</v>
      </c>
      <c r="AU45" s="292">
        <f t="shared" si="32"/>
        <v>0</v>
      </c>
      <c r="AV45" s="292">
        <f t="shared" si="33"/>
        <v>0</v>
      </c>
      <c r="AW45" s="292">
        <f t="shared" si="34"/>
        <v>0</v>
      </c>
      <c r="AX45" s="292">
        <f t="shared" si="35"/>
        <v>0</v>
      </c>
      <c r="AY45" s="292">
        <f t="shared" si="36"/>
        <v>0</v>
      </c>
      <c r="AZ45" s="292">
        <f t="shared" si="37"/>
        <v>0</v>
      </c>
      <c r="BA45" s="292">
        <f t="shared" si="38"/>
        <v>0</v>
      </c>
    </row>
    <row r="46" spans="1:53" s="289" customFormat="1" ht="15" customHeight="1">
      <c r="A46" s="63" t="str">
        <f t="array" ref="A46">IF(C46&lt;&gt;0,SUM(($C$11:C46&lt;&gt;0)*1),"")</f>
        <v/>
      </c>
      <c r="B46" s="290"/>
      <c r="C46" s="290"/>
      <c r="D46" s="290"/>
      <c r="E46" s="396"/>
      <c r="F46" s="345"/>
      <c r="G46" s="347"/>
      <c r="H46" s="347"/>
      <c r="I46" s="63" t="str">
        <f t="shared" si="45"/>
        <v/>
      </c>
      <c r="J46" s="292">
        <f t="shared" si="1"/>
        <v>0</v>
      </c>
      <c r="K46" s="292">
        <f t="shared" si="2"/>
        <v>0</v>
      </c>
      <c r="L46" s="292">
        <f t="shared" si="3"/>
        <v>0</v>
      </c>
      <c r="M46" s="292">
        <f t="shared" si="4"/>
        <v>0</v>
      </c>
      <c r="N46" s="292">
        <f t="shared" si="39"/>
        <v>0</v>
      </c>
      <c r="O46" s="292">
        <f t="shared" si="40"/>
        <v>0</v>
      </c>
      <c r="P46" s="292">
        <f t="shared" si="5"/>
        <v>0</v>
      </c>
      <c r="Q46" s="292">
        <f t="shared" si="6"/>
        <v>0</v>
      </c>
      <c r="R46" s="292">
        <f t="shared" si="7"/>
        <v>0</v>
      </c>
      <c r="S46" s="292">
        <f t="shared" si="8"/>
        <v>0</v>
      </c>
      <c r="T46" s="292">
        <f t="shared" si="41"/>
        <v>0</v>
      </c>
      <c r="U46" s="292">
        <f t="shared" si="42"/>
        <v>0</v>
      </c>
      <c r="V46" s="292">
        <f t="shared" si="9"/>
        <v>0</v>
      </c>
      <c r="W46" s="292">
        <f t="shared" si="10"/>
        <v>0</v>
      </c>
      <c r="X46" s="292">
        <f t="shared" si="11"/>
        <v>0</v>
      </c>
      <c r="Y46" s="292">
        <f t="shared" si="12"/>
        <v>0</v>
      </c>
      <c r="Z46" s="292">
        <f t="shared" si="13"/>
        <v>0</v>
      </c>
      <c r="AA46" s="292">
        <f t="shared" si="14"/>
        <v>0</v>
      </c>
      <c r="AB46" s="292">
        <f t="shared" si="15"/>
        <v>0</v>
      </c>
      <c r="AC46" s="292">
        <f t="shared" si="16"/>
        <v>0</v>
      </c>
      <c r="AD46" s="292">
        <f t="shared" si="17"/>
        <v>0</v>
      </c>
      <c r="AE46" s="292">
        <f t="shared" si="18"/>
        <v>0</v>
      </c>
      <c r="AF46" s="292">
        <f t="shared" si="43"/>
        <v>0</v>
      </c>
      <c r="AG46" s="292">
        <f t="shared" si="44"/>
        <v>0</v>
      </c>
      <c r="AH46" s="292">
        <f t="shared" si="19"/>
        <v>0</v>
      </c>
      <c r="AI46" s="292">
        <f t="shared" si="20"/>
        <v>0</v>
      </c>
      <c r="AJ46" s="292">
        <f t="shared" si="21"/>
        <v>0</v>
      </c>
      <c r="AK46" s="292">
        <f t="shared" si="22"/>
        <v>0</v>
      </c>
      <c r="AL46" s="292">
        <f t="shared" si="23"/>
        <v>0</v>
      </c>
      <c r="AM46" s="292">
        <f t="shared" si="24"/>
        <v>0</v>
      </c>
      <c r="AN46" s="292">
        <f t="shared" si="25"/>
        <v>0</v>
      </c>
      <c r="AO46" s="292">
        <f t="shared" si="26"/>
        <v>0</v>
      </c>
      <c r="AP46" s="292">
        <f t="shared" si="27"/>
        <v>0</v>
      </c>
      <c r="AQ46" s="292">
        <f t="shared" si="28"/>
        <v>0</v>
      </c>
      <c r="AR46" s="292">
        <f t="shared" si="29"/>
        <v>0</v>
      </c>
      <c r="AS46" s="292">
        <f t="shared" si="30"/>
        <v>0</v>
      </c>
      <c r="AT46" s="292">
        <f t="shared" si="31"/>
        <v>0</v>
      </c>
      <c r="AU46" s="292">
        <f t="shared" si="32"/>
        <v>0</v>
      </c>
      <c r="AV46" s="292">
        <f t="shared" si="33"/>
        <v>0</v>
      </c>
      <c r="AW46" s="292">
        <f t="shared" si="34"/>
        <v>0</v>
      </c>
      <c r="AX46" s="292">
        <f t="shared" si="35"/>
        <v>0</v>
      </c>
      <c r="AY46" s="292">
        <f t="shared" si="36"/>
        <v>0</v>
      </c>
      <c r="AZ46" s="292">
        <f t="shared" si="37"/>
        <v>0</v>
      </c>
      <c r="BA46" s="292">
        <f t="shared" si="38"/>
        <v>0</v>
      </c>
    </row>
    <row r="47" spans="1:53" s="289" customFormat="1" ht="15" customHeight="1">
      <c r="A47" s="63" t="str">
        <f t="array" ref="A47">IF(C47&lt;&gt;0,SUM(($C$11:C47&lt;&gt;0)*1),"")</f>
        <v/>
      </c>
      <c r="B47" s="290"/>
      <c r="C47" s="290"/>
      <c r="D47" s="290"/>
      <c r="E47" s="396"/>
      <c r="F47" s="345"/>
      <c r="G47" s="347"/>
      <c r="H47" s="347"/>
      <c r="I47" s="63" t="str">
        <f t="shared" si="45"/>
        <v/>
      </c>
      <c r="J47" s="292">
        <f t="shared" si="1"/>
        <v>0</v>
      </c>
      <c r="K47" s="292">
        <f t="shared" si="2"/>
        <v>0</v>
      </c>
      <c r="L47" s="292">
        <f t="shared" si="3"/>
        <v>0</v>
      </c>
      <c r="M47" s="292">
        <f t="shared" si="4"/>
        <v>0</v>
      </c>
      <c r="N47" s="292">
        <f t="shared" si="39"/>
        <v>0</v>
      </c>
      <c r="O47" s="292">
        <f t="shared" si="40"/>
        <v>0</v>
      </c>
      <c r="P47" s="292">
        <f t="shared" si="5"/>
        <v>0</v>
      </c>
      <c r="Q47" s="292">
        <f t="shared" si="6"/>
        <v>0</v>
      </c>
      <c r="R47" s="292">
        <f t="shared" si="7"/>
        <v>0</v>
      </c>
      <c r="S47" s="292">
        <f t="shared" si="8"/>
        <v>0</v>
      </c>
      <c r="T47" s="292">
        <f t="shared" si="41"/>
        <v>0</v>
      </c>
      <c r="U47" s="292">
        <f t="shared" si="42"/>
        <v>0</v>
      </c>
      <c r="V47" s="292">
        <f t="shared" si="9"/>
        <v>0</v>
      </c>
      <c r="W47" s="292">
        <f t="shared" si="10"/>
        <v>0</v>
      </c>
      <c r="X47" s="292">
        <f t="shared" si="11"/>
        <v>0</v>
      </c>
      <c r="Y47" s="292">
        <f t="shared" si="12"/>
        <v>0</v>
      </c>
      <c r="Z47" s="292">
        <f t="shared" si="13"/>
        <v>0</v>
      </c>
      <c r="AA47" s="292">
        <f t="shared" si="14"/>
        <v>0</v>
      </c>
      <c r="AB47" s="292">
        <f t="shared" si="15"/>
        <v>0</v>
      </c>
      <c r="AC47" s="292">
        <f t="shared" si="16"/>
        <v>0</v>
      </c>
      <c r="AD47" s="292">
        <f t="shared" si="17"/>
        <v>0</v>
      </c>
      <c r="AE47" s="292">
        <f t="shared" si="18"/>
        <v>0</v>
      </c>
      <c r="AF47" s="292">
        <f t="shared" si="43"/>
        <v>0</v>
      </c>
      <c r="AG47" s="292">
        <f t="shared" si="44"/>
        <v>0</v>
      </c>
      <c r="AH47" s="292">
        <f t="shared" si="19"/>
        <v>0</v>
      </c>
      <c r="AI47" s="292">
        <f t="shared" si="20"/>
        <v>0</v>
      </c>
      <c r="AJ47" s="292">
        <f t="shared" si="21"/>
        <v>0</v>
      </c>
      <c r="AK47" s="292">
        <f t="shared" si="22"/>
        <v>0</v>
      </c>
      <c r="AL47" s="292">
        <f t="shared" si="23"/>
        <v>0</v>
      </c>
      <c r="AM47" s="292">
        <f t="shared" si="24"/>
        <v>0</v>
      </c>
      <c r="AN47" s="292">
        <f t="shared" si="25"/>
        <v>0</v>
      </c>
      <c r="AO47" s="292">
        <f t="shared" si="26"/>
        <v>0</v>
      </c>
      <c r="AP47" s="292">
        <f t="shared" si="27"/>
        <v>0</v>
      </c>
      <c r="AQ47" s="292">
        <f t="shared" si="28"/>
        <v>0</v>
      </c>
      <c r="AR47" s="292">
        <f t="shared" si="29"/>
        <v>0</v>
      </c>
      <c r="AS47" s="292">
        <f t="shared" si="30"/>
        <v>0</v>
      </c>
      <c r="AT47" s="292">
        <f t="shared" si="31"/>
        <v>0</v>
      </c>
      <c r="AU47" s="292">
        <f t="shared" si="32"/>
        <v>0</v>
      </c>
      <c r="AV47" s="292">
        <f t="shared" si="33"/>
        <v>0</v>
      </c>
      <c r="AW47" s="292">
        <f t="shared" si="34"/>
        <v>0</v>
      </c>
      <c r="AX47" s="292">
        <f t="shared" si="35"/>
        <v>0</v>
      </c>
      <c r="AY47" s="292">
        <f t="shared" si="36"/>
        <v>0</v>
      </c>
      <c r="AZ47" s="292">
        <f t="shared" si="37"/>
        <v>0</v>
      </c>
      <c r="BA47" s="292">
        <f t="shared" si="38"/>
        <v>0</v>
      </c>
    </row>
    <row r="48" spans="1:53" s="289" customFormat="1" ht="15" customHeight="1">
      <c r="A48" s="63" t="str">
        <f t="array" ref="A48">IF(C48&lt;&gt;0,SUM(($C$11:C48&lt;&gt;0)*1),"")</f>
        <v/>
      </c>
      <c r="B48" s="290"/>
      <c r="C48" s="290"/>
      <c r="D48" s="290"/>
      <c r="E48" s="396"/>
      <c r="F48" s="345"/>
      <c r="G48" s="347"/>
      <c r="H48" s="347"/>
      <c r="I48" s="63" t="str">
        <f t="shared" si="45"/>
        <v/>
      </c>
      <c r="J48" s="292">
        <f t="shared" si="1"/>
        <v>0</v>
      </c>
      <c r="K48" s="292">
        <f t="shared" si="2"/>
        <v>0</v>
      </c>
      <c r="L48" s="292">
        <f t="shared" si="3"/>
        <v>0</v>
      </c>
      <c r="M48" s="292">
        <f t="shared" si="4"/>
        <v>0</v>
      </c>
      <c r="N48" s="292">
        <f t="shared" si="39"/>
        <v>0</v>
      </c>
      <c r="O48" s="292">
        <f t="shared" si="40"/>
        <v>0</v>
      </c>
      <c r="P48" s="292">
        <f t="shared" si="5"/>
        <v>0</v>
      </c>
      <c r="Q48" s="292">
        <f t="shared" si="6"/>
        <v>0</v>
      </c>
      <c r="R48" s="292">
        <f t="shared" si="7"/>
        <v>0</v>
      </c>
      <c r="S48" s="292">
        <f t="shared" si="8"/>
        <v>0</v>
      </c>
      <c r="T48" s="292">
        <f t="shared" si="41"/>
        <v>0</v>
      </c>
      <c r="U48" s="292">
        <f t="shared" si="42"/>
        <v>0</v>
      </c>
      <c r="V48" s="292">
        <f t="shared" si="9"/>
        <v>0</v>
      </c>
      <c r="W48" s="292">
        <f t="shared" si="10"/>
        <v>0</v>
      </c>
      <c r="X48" s="292">
        <f t="shared" si="11"/>
        <v>0</v>
      </c>
      <c r="Y48" s="292">
        <f t="shared" si="12"/>
        <v>0</v>
      </c>
      <c r="Z48" s="292">
        <f t="shared" si="13"/>
        <v>0</v>
      </c>
      <c r="AA48" s="292">
        <f t="shared" si="14"/>
        <v>0</v>
      </c>
      <c r="AB48" s="292">
        <f t="shared" si="15"/>
        <v>0</v>
      </c>
      <c r="AC48" s="292">
        <f t="shared" si="16"/>
        <v>0</v>
      </c>
      <c r="AD48" s="292">
        <f t="shared" si="17"/>
        <v>0</v>
      </c>
      <c r="AE48" s="292">
        <f t="shared" si="18"/>
        <v>0</v>
      </c>
      <c r="AF48" s="292">
        <f t="shared" si="43"/>
        <v>0</v>
      </c>
      <c r="AG48" s="292">
        <f t="shared" si="44"/>
        <v>0</v>
      </c>
      <c r="AH48" s="292">
        <f t="shared" si="19"/>
        <v>0</v>
      </c>
      <c r="AI48" s="292">
        <f t="shared" si="20"/>
        <v>0</v>
      </c>
      <c r="AJ48" s="292">
        <f t="shared" si="21"/>
        <v>0</v>
      </c>
      <c r="AK48" s="292">
        <f t="shared" si="22"/>
        <v>0</v>
      </c>
      <c r="AL48" s="292">
        <f t="shared" si="23"/>
        <v>0</v>
      </c>
      <c r="AM48" s="292">
        <f t="shared" si="24"/>
        <v>0</v>
      </c>
      <c r="AN48" s="292">
        <f t="shared" si="25"/>
        <v>0</v>
      </c>
      <c r="AO48" s="292">
        <f t="shared" si="26"/>
        <v>0</v>
      </c>
      <c r="AP48" s="292">
        <f t="shared" si="27"/>
        <v>0</v>
      </c>
      <c r="AQ48" s="292">
        <f t="shared" si="28"/>
        <v>0</v>
      </c>
      <c r="AR48" s="292">
        <f t="shared" si="29"/>
        <v>0</v>
      </c>
      <c r="AS48" s="292">
        <f t="shared" si="30"/>
        <v>0</v>
      </c>
      <c r="AT48" s="292">
        <f t="shared" si="31"/>
        <v>0</v>
      </c>
      <c r="AU48" s="292">
        <f t="shared" si="32"/>
        <v>0</v>
      </c>
      <c r="AV48" s="292">
        <f t="shared" si="33"/>
        <v>0</v>
      </c>
      <c r="AW48" s="292">
        <f t="shared" si="34"/>
        <v>0</v>
      </c>
      <c r="AX48" s="292">
        <f t="shared" si="35"/>
        <v>0</v>
      </c>
      <c r="AY48" s="292">
        <f t="shared" si="36"/>
        <v>0</v>
      </c>
      <c r="AZ48" s="292">
        <f t="shared" si="37"/>
        <v>0</v>
      </c>
      <c r="BA48" s="292">
        <f t="shared" si="38"/>
        <v>0</v>
      </c>
    </row>
    <row r="49" spans="1:53" s="289" customFormat="1" ht="15" customHeight="1">
      <c r="A49" s="63" t="str">
        <f t="array" ref="A49">IF(C49&lt;&gt;0,SUM(($C$11:C49&lt;&gt;0)*1),"")</f>
        <v/>
      </c>
      <c r="B49" s="290"/>
      <c r="C49" s="290"/>
      <c r="D49" s="290"/>
      <c r="E49" s="396"/>
      <c r="F49" s="345"/>
      <c r="G49" s="347"/>
      <c r="H49" s="347"/>
      <c r="I49" s="63" t="str">
        <f t="shared" si="45"/>
        <v/>
      </c>
      <c r="J49" s="292">
        <f t="shared" si="1"/>
        <v>0</v>
      </c>
      <c r="K49" s="292">
        <f t="shared" si="2"/>
        <v>0</v>
      </c>
      <c r="L49" s="292">
        <f t="shared" si="3"/>
        <v>0</v>
      </c>
      <c r="M49" s="292">
        <f t="shared" si="4"/>
        <v>0</v>
      </c>
      <c r="N49" s="292">
        <f t="shared" si="39"/>
        <v>0</v>
      </c>
      <c r="O49" s="292">
        <f t="shared" si="40"/>
        <v>0</v>
      </c>
      <c r="P49" s="292">
        <f t="shared" si="5"/>
        <v>0</v>
      </c>
      <c r="Q49" s="292">
        <f t="shared" si="6"/>
        <v>0</v>
      </c>
      <c r="R49" s="292">
        <f t="shared" si="7"/>
        <v>0</v>
      </c>
      <c r="S49" s="292">
        <f t="shared" si="8"/>
        <v>0</v>
      </c>
      <c r="T49" s="292">
        <f t="shared" si="41"/>
        <v>0</v>
      </c>
      <c r="U49" s="292">
        <f t="shared" si="42"/>
        <v>0</v>
      </c>
      <c r="V49" s="292">
        <f t="shared" si="9"/>
        <v>0</v>
      </c>
      <c r="W49" s="292">
        <f t="shared" si="10"/>
        <v>0</v>
      </c>
      <c r="X49" s="292">
        <f t="shared" si="11"/>
        <v>0</v>
      </c>
      <c r="Y49" s="292">
        <f t="shared" si="12"/>
        <v>0</v>
      </c>
      <c r="Z49" s="292">
        <f t="shared" si="13"/>
        <v>0</v>
      </c>
      <c r="AA49" s="292">
        <f t="shared" si="14"/>
        <v>0</v>
      </c>
      <c r="AB49" s="292">
        <f t="shared" si="15"/>
        <v>0</v>
      </c>
      <c r="AC49" s="292">
        <f t="shared" si="16"/>
        <v>0</v>
      </c>
      <c r="AD49" s="292">
        <f t="shared" si="17"/>
        <v>0</v>
      </c>
      <c r="AE49" s="292">
        <f t="shared" si="18"/>
        <v>0</v>
      </c>
      <c r="AF49" s="292">
        <f t="shared" si="43"/>
        <v>0</v>
      </c>
      <c r="AG49" s="292">
        <f t="shared" si="44"/>
        <v>0</v>
      </c>
      <c r="AH49" s="292">
        <f t="shared" si="19"/>
        <v>0</v>
      </c>
      <c r="AI49" s="292">
        <f t="shared" si="20"/>
        <v>0</v>
      </c>
      <c r="AJ49" s="292">
        <f t="shared" si="21"/>
        <v>0</v>
      </c>
      <c r="AK49" s="292">
        <f t="shared" si="22"/>
        <v>0</v>
      </c>
      <c r="AL49" s="292">
        <f t="shared" si="23"/>
        <v>0</v>
      </c>
      <c r="AM49" s="292">
        <f t="shared" si="24"/>
        <v>0</v>
      </c>
      <c r="AN49" s="292">
        <f t="shared" si="25"/>
        <v>0</v>
      </c>
      <c r="AO49" s="292">
        <f t="shared" si="26"/>
        <v>0</v>
      </c>
      <c r="AP49" s="292">
        <f t="shared" si="27"/>
        <v>0</v>
      </c>
      <c r="AQ49" s="292">
        <f t="shared" si="28"/>
        <v>0</v>
      </c>
      <c r="AR49" s="292">
        <f t="shared" si="29"/>
        <v>0</v>
      </c>
      <c r="AS49" s="292">
        <f t="shared" si="30"/>
        <v>0</v>
      </c>
      <c r="AT49" s="292">
        <f t="shared" si="31"/>
        <v>0</v>
      </c>
      <c r="AU49" s="292">
        <f t="shared" si="32"/>
        <v>0</v>
      </c>
      <c r="AV49" s="292">
        <f t="shared" si="33"/>
        <v>0</v>
      </c>
      <c r="AW49" s="292">
        <f t="shared" si="34"/>
        <v>0</v>
      </c>
      <c r="AX49" s="292">
        <f t="shared" si="35"/>
        <v>0</v>
      </c>
      <c r="AY49" s="292">
        <f t="shared" si="36"/>
        <v>0</v>
      </c>
      <c r="AZ49" s="292">
        <f t="shared" si="37"/>
        <v>0</v>
      </c>
      <c r="BA49" s="292">
        <f t="shared" si="38"/>
        <v>0</v>
      </c>
    </row>
    <row r="50" spans="1:53" s="289" customFormat="1" ht="15" customHeight="1">
      <c r="A50" s="63" t="str">
        <f t="array" ref="A50">IF(C50&lt;&gt;0,SUM(($C$11:C50&lt;&gt;0)*1),"")</f>
        <v/>
      </c>
      <c r="B50" s="290"/>
      <c r="C50" s="290"/>
      <c r="D50" s="290"/>
      <c r="E50" s="396"/>
      <c r="F50" s="345"/>
      <c r="G50" s="347"/>
      <c r="H50" s="347"/>
      <c r="I50" s="63" t="str">
        <f t="shared" si="45"/>
        <v/>
      </c>
      <c r="J50" s="292">
        <f t="shared" si="1"/>
        <v>0</v>
      </c>
      <c r="K50" s="292">
        <f t="shared" si="2"/>
        <v>0</v>
      </c>
      <c r="L50" s="292">
        <f t="shared" si="3"/>
        <v>0</v>
      </c>
      <c r="M50" s="292">
        <f t="shared" si="4"/>
        <v>0</v>
      </c>
      <c r="N50" s="292">
        <f t="shared" si="39"/>
        <v>0</v>
      </c>
      <c r="O50" s="292">
        <f t="shared" si="40"/>
        <v>0</v>
      </c>
      <c r="P50" s="292">
        <f t="shared" si="5"/>
        <v>0</v>
      </c>
      <c r="Q50" s="292">
        <f t="shared" si="6"/>
        <v>0</v>
      </c>
      <c r="R50" s="292">
        <f t="shared" si="7"/>
        <v>0</v>
      </c>
      <c r="S50" s="292">
        <f t="shared" si="8"/>
        <v>0</v>
      </c>
      <c r="T50" s="292">
        <f t="shared" si="41"/>
        <v>0</v>
      </c>
      <c r="U50" s="292">
        <f t="shared" si="42"/>
        <v>0</v>
      </c>
      <c r="V50" s="292">
        <f t="shared" si="9"/>
        <v>0</v>
      </c>
      <c r="W50" s="292">
        <f t="shared" si="10"/>
        <v>0</v>
      </c>
      <c r="X50" s="292">
        <f t="shared" si="11"/>
        <v>0</v>
      </c>
      <c r="Y50" s="292">
        <f t="shared" si="12"/>
        <v>0</v>
      </c>
      <c r="Z50" s="292">
        <f t="shared" si="13"/>
        <v>0</v>
      </c>
      <c r="AA50" s="292">
        <f t="shared" si="14"/>
        <v>0</v>
      </c>
      <c r="AB50" s="292">
        <f t="shared" si="15"/>
        <v>0</v>
      </c>
      <c r="AC50" s="292">
        <f t="shared" si="16"/>
        <v>0</v>
      </c>
      <c r="AD50" s="292">
        <f t="shared" si="17"/>
        <v>0</v>
      </c>
      <c r="AE50" s="292">
        <f t="shared" si="18"/>
        <v>0</v>
      </c>
      <c r="AF50" s="292">
        <f t="shared" si="43"/>
        <v>0</v>
      </c>
      <c r="AG50" s="292">
        <f t="shared" si="44"/>
        <v>0</v>
      </c>
      <c r="AH50" s="292">
        <f t="shared" si="19"/>
        <v>0</v>
      </c>
      <c r="AI50" s="292">
        <f t="shared" si="20"/>
        <v>0</v>
      </c>
      <c r="AJ50" s="292">
        <f t="shared" si="21"/>
        <v>0</v>
      </c>
      <c r="AK50" s="292">
        <f t="shared" si="22"/>
        <v>0</v>
      </c>
      <c r="AL50" s="292">
        <f t="shared" si="23"/>
        <v>0</v>
      </c>
      <c r="AM50" s="292">
        <f t="shared" si="24"/>
        <v>0</v>
      </c>
      <c r="AN50" s="292">
        <f t="shared" si="25"/>
        <v>0</v>
      </c>
      <c r="AO50" s="292">
        <f t="shared" si="26"/>
        <v>0</v>
      </c>
      <c r="AP50" s="292">
        <f t="shared" si="27"/>
        <v>0</v>
      </c>
      <c r="AQ50" s="292">
        <f t="shared" si="28"/>
        <v>0</v>
      </c>
      <c r="AR50" s="292">
        <f t="shared" si="29"/>
        <v>0</v>
      </c>
      <c r="AS50" s="292">
        <f t="shared" si="30"/>
        <v>0</v>
      </c>
      <c r="AT50" s="292">
        <f t="shared" si="31"/>
        <v>0</v>
      </c>
      <c r="AU50" s="292">
        <f t="shared" si="32"/>
        <v>0</v>
      </c>
      <c r="AV50" s="292">
        <f t="shared" si="33"/>
        <v>0</v>
      </c>
      <c r="AW50" s="292">
        <f t="shared" si="34"/>
        <v>0</v>
      </c>
      <c r="AX50" s="292">
        <f t="shared" si="35"/>
        <v>0</v>
      </c>
      <c r="AY50" s="292">
        <f t="shared" si="36"/>
        <v>0</v>
      </c>
      <c r="AZ50" s="292">
        <f t="shared" si="37"/>
        <v>0</v>
      </c>
      <c r="BA50" s="292">
        <f t="shared" si="38"/>
        <v>0</v>
      </c>
    </row>
    <row r="51" spans="1:53" s="289" customFormat="1" ht="15" customHeight="1">
      <c r="A51" s="63" t="str">
        <f t="array" ref="A51">IF(C51&lt;&gt;0,SUM(($C$11:C51&lt;&gt;0)*1),"")</f>
        <v/>
      </c>
      <c r="B51" s="290"/>
      <c r="C51" s="290"/>
      <c r="D51" s="290"/>
      <c r="E51" s="396"/>
      <c r="F51" s="345"/>
      <c r="G51" s="347"/>
      <c r="H51" s="347"/>
      <c r="I51" s="63" t="str">
        <f t="shared" si="45"/>
        <v/>
      </c>
      <c r="J51" s="292">
        <f t="shared" si="1"/>
        <v>0</v>
      </c>
      <c r="K51" s="292">
        <f t="shared" si="2"/>
        <v>0</v>
      </c>
      <c r="L51" s="292">
        <f t="shared" si="3"/>
        <v>0</v>
      </c>
      <c r="M51" s="292">
        <f t="shared" si="4"/>
        <v>0</v>
      </c>
      <c r="N51" s="292">
        <f t="shared" si="39"/>
        <v>0</v>
      </c>
      <c r="O51" s="292">
        <f t="shared" si="40"/>
        <v>0</v>
      </c>
      <c r="P51" s="292">
        <f t="shared" si="5"/>
        <v>0</v>
      </c>
      <c r="Q51" s="292">
        <f t="shared" si="6"/>
        <v>0</v>
      </c>
      <c r="R51" s="292">
        <f t="shared" si="7"/>
        <v>0</v>
      </c>
      <c r="S51" s="292">
        <f t="shared" si="8"/>
        <v>0</v>
      </c>
      <c r="T51" s="292">
        <f t="shared" si="41"/>
        <v>0</v>
      </c>
      <c r="U51" s="292">
        <f t="shared" si="42"/>
        <v>0</v>
      </c>
      <c r="V51" s="292">
        <f t="shared" si="9"/>
        <v>0</v>
      </c>
      <c r="W51" s="292">
        <f t="shared" si="10"/>
        <v>0</v>
      </c>
      <c r="X51" s="292">
        <f t="shared" si="11"/>
        <v>0</v>
      </c>
      <c r="Y51" s="292">
        <f t="shared" si="12"/>
        <v>0</v>
      </c>
      <c r="Z51" s="292">
        <f t="shared" si="13"/>
        <v>0</v>
      </c>
      <c r="AA51" s="292">
        <f t="shared" si="14"/>
        <v>0</v>
      </c>
      <c r="AB51" s="292">
        <f t="shared" si="15"/>
        <v>0</v>
      </c>
      <c r="AC51" s="292">
        <f t="shared" si="16"/>
        <v>0</v>
      </c>
      <c r="AD51" s="292">
        <f t="shared" si="17"/>
        <v>0</v>
      </c>
      <c r="AE51" s="292">
        <f t="shared" si="18"/>
        <v>0</v>
      </c>
      <c r="AF51" s="292">
        <f t="shared" si="43"/>
        <v>0</v>
      </c>
      <c r="AG51" s="292">
        <f t="shared" si="44"/>
        <v>0</v>
      </c>
      <c r="AH51" s="292">
        <f t="shared" si="19"/>
        <v>0</v>
      </c>
      <c r="AI51" s="292">
        <f t="shared" si="20"/>
        <v>0</v>
      </c>
      <c r="AJ51" s="292">
        <f t="shared" si="21"/>
        <v>0</v>
      </c>
      <c r="AK51" s="292">
        <f t="shared" si="22"/>
        <v>0</v>
      </c>
      <c r="AL51" s="292">
        <f t="shared" si="23"/>
        <v>0</v>
      </c>
      <c r="AM51" s="292">
        <f t="shared" si="24"/>
        <v>0</v>
      </c>
      <c r="AN51" s="292">
        <f t="shared" si="25"/>
        <v>0</v>
      </c>
      <c r="AO51" s="292">
        <f t="shared" si="26"/>
        <v>0</v>
      </c>
      <c r="AP51" s="292">
        <f t="shared" si="27"/>
        <v>0</v>
      </c>
      <c r="AQ51" s="292">
        <f t="shared" si="28"/>
        <v>0</v>
      </c>
      <c r="AR51" s="292">
        <f t="shared" si="29"/>
        <v>0</v>
      </c>
      <c r="AS51" s="292">
        <f t="shared" si="30"/>
        <v>0</v>
      </c>
      <c r="AT51" s="292">
        <f t="shared" si="31"/>
        <v>0</v>
      </c>
      <c r="AU51" s="292">
        <f t="shared" si="32"/>
        <v>0</v>
      </c>
      <c r="AV51" s="292">
        <f t="shared" si="33"/>
        <v>0</v>
      </c>
      <c r="AW51" s="292">
        <f t="shared" si="34"/>
        <v>0</v>
      </c>
      <c r="AX51" s="292">
        <f t="shared" si="35"/>
        <v>0</v>
      </c>
      <c r="AY51" s="292">
        <f t="shared" si="36"/>
        <v>0</v>
      </c>
      <c r="AZ51" s="292">
        <f t="shared" si="37"/>
        <v>0</v>
      </c>
      <c r="BA51" s="292">
        <f t="shared" si="38"/>
        <v>0</v>
      </c>
    </row>
    <row r="52" spans="1:53" s="289" customFormat="1" ht="15" customHeight="1">
      <c r="A52" s="63" t="str">
        <f t="array" ref="A52">IF(C52&lt;&gt;0,SUM(($C$11:C52&lt;&gt;0)*1),"")</f>
        <v/>
      </c>
      <c r="B52" s="290"/>
      <c r="C52" s="290"/>
      <c r="D52" s="290"/>
      <c r="E52" s="396"/>
      <c r="F52" s="345"/>
      <c r="G52" s="347"/>
      <c r="H52" s="347"/>
      <c r="I52" s="63" t="str">
        <f t="shared" si="45"/>
        <v/>
      </c>
      <c r="J52" s="292">
        <f t="shared" si="1"/>
        <v>0</v>
      </c>
      <c r="K52" s="292">
        <f t="shared" si="2"/>
        <v>0</v>
      </c>
      <c r="L52" s="292">
        <f t="shared" si="3"/>
        <v>0</v>
      </c>
      <c r="M52" s="292">
        <f t="shared" si="4"/>
        <v>0</v>
      </c>
      <c r="N52" s="292">
        <f t="shared" si="39"/>
        <v>0</v>
      </c>
      <c r="O52" s="292">
        <f t="shared" si="40"/>
        <v>0</v>
      </c>
      <c r="P52" s="292">
        <f t="shared" si="5"/>
        <v>0</v>
      </c>
      <c r="Q52" s="292">
        <f t="shared" si="6"/>
        <v>0</v>
      </c>
      <c r="R52" s="292">
        <f t="shared" si="7"/>
        <v>0</v>
      </c>
      <c r="S52" s="292">
        <f t="shared" si="8"/>
        <v>0</v>
      </c>
      <c r="T52" s="292">
        <f t="shared" si="41"/>
        <v>0</v>
      </c>
      <c r="U52" s="292">
        <f t="shared" si="42"/>
        <v>0</v>
      </c>
      <c r="V52" s="292">
        <f t="shared" si="9"/>
        <v>0</v>
      </c>
      <c r="W52" s="292">
        <f t="shared" si="10"/>
        <v>0</v>
      </c>
      <c r="X52" s="292">
        <f t="shared" si="11"/>
        <v>0</v>
      </c>
      <c r="Y52" s="292">
        <f t="shared" si="12"/>
        <v>0</v>
      </c>
      <c r="Z52" s="292">
        <f t="shared" si="13"/>
        <v>0</v>
      </c>
      <c r="AA52" s="292">
        <f t="shared" si="14"/>
        <v>0</v>
      </c>
      <c r="AB52" s="292">
        <f t="shared" si="15"/>
        <v>0</v>
      </c>
      <c r="AC52" s="292">
        <f t="shared" si="16"/>
        <v>0</v>
      </c>
      <c r="AD52" s="292">
        <f t="shared" si="17"/>
        <v>0</v>
      </c>
      <c r="AE52" s="292">
        <f t="shared" si="18"/>
        <v>0</v>
      </c>
      <c r="AF52" s="292">
        <f t="shared" si="43"/>
        <v>0</v>
      </c>
      <c r="AG52" s="292">
        <f t="shared" si="44"/>
        <v>0</v>
      </c>
      <c r="AH52" s="292">
        <f t="shared" si="19"/>
        <v>0</v>
      </c>
      <c r="AI52" s="292">
        <f t="shared" si="20"/>
        <v>0</v>
      </c>
      <c r="AJ52" s="292">
        <f t="shared" si="21"/>
        <v>0</v>
      </c>
      <c r="AK52" s="292">
        <f t="shared" si="22"/>
        <v>0</v>
      </c>
      <c r="AL52" s="292">
        <f t="shared" si="23"/>
        <v>0</v>
      </c>
      <c r="AM52" s="292">
        <f t="shared" si="24"/>
        <v>0</v>
      </c>
      <c r="AN52" s="292">
        <f t="shared" si="25"/>
        <v>0</v>
      </c>
      <c r="AO52" s="292">
        <f t="shared" si="26"/>
        <v>0</v>
      </c>
      <c r="AP52" s="292">
        <f t="shared" si="27"/>
        <v>0</v>
      </c>
      <c r="AQ52" s="292">
        <f t="shared" si="28"/>
        <v>0</v>
      </c>
      <c r="AR52" s="292">
        <f t="shared" si="29"/>
        <v>0</v>
      </c>
      <c r="AS52" s="292">
        <f t="shared" si="30"/>
        <v>0</v>
      </c>
      <c r="AT52" s="292">
        <f t="shared" si="31"/>
        <v>0</v>
      </c>
      <c r="AU52" s="292">
        <f t="shared" si="32"/>
        <v>0</v>
      </c>
      <c r="AV52" s="292">
        <f t="shared" si="33"/>
        <v>0</v>
      </c>
      <c r="AW52" s="292">
        <f t="shared" si="34"/>
        <v>0</v>
      </c>
      <c r="AX52" s="292">
        <f t="shared" si="35"/>
        <v>0</v>
      </c>
      <c r="AY52" s="292">
        <f t="shared" si="36"/>
        <v>0</v>
      </c>
      <c r="AZ52" s="292">
        <f t="shared" si="37"/>
        <v>0</v>
      </c>
      <c r="BA52" s="292">
        <f t="shared" si="38"/>
        <v>0</v>
      </c>
    </row>
    <row r="53" spans="1:53" s="289" customFormat="1" ht="15" customHeight="1">
      <c r="A53" s="63" t="str">
        <f t="array" ref="A53">IF(C53&lt;&gt;0,SUM(($C$11:C53&lt;&gt;0)*1),"")</f>
        <v/>
      </c>
      <c r="B53" s="290"/>
      <c r="C53" s="290"/>
      <c r="D53" s="290"/>
      <c r="E53" s="396"/>
      <c r="F53" s="345"/>
      <c r="G53" s="347"/>
      <c r="H53" s="347"/>
      <c r="I53" s="63" t="str">
        <f t="shared" si="45"/>
        <v/>
      </c>
      <c r="J53" s="292">
        <f t="shared" si="1"/>
        <v>0</v>
      </c>
      <c r="K53" s="292">
        <f t="shared" si="2"/>
        <v>0</v>
      </c>
      <c r="L53" s="292">
        <f t="shared" si="3"/>
        <v>0</v>
      </c>
      <c r="M53" s="292">
        <f t="shared" si="4"/>
        <v>0</v>
      </c>
      <c r="N53" s="292">
        <f t="shared" si="39"/>
        <v>0</v>
      </c>
      <c r="O53" s="292">
        <f t="shared" si="40"/>
        <v>0</v>
      </c>
      <c r="P53" s="292">
        <f t="shared" si="5"/>
        <v>0</v>
      </c>
      <c r="Q53" s="292">
        <f t="shared" si="6"/>
        <v>0</v>
      </c>
      <c r="R53" s="292">
        <f t="shared" si="7"/>
        <v>0</v>
      </c>
      <c r="S53" s="292">
        <f t="shared" si="8"/>
        <v>0</v>
      </c>
      <c r="T53" s="292">
        <f t="shared" si="41"/>
        <v>0</v>
      </c>
      <c r="U53" s="292">
        <f t="shared" si="42"/>
        <v>0</v>
      </c>
      <c r="V53" s="292">
        <f t="shared" si="9"/>
        <v>0</v>
      </c>
      <c r="W53" s="292">
        <f t="shared" si="10"/>
        <v>0</v>
      </c>
      <c r="X53" s="292">
        <f t="shared" si="11"/>
        <v>0</v>
      </c>
      <c r="Y53" s="292">
        <f t="shared" si="12"/>
        <v>0</v>
      </c>
      <c r="Z53" s="292">
        <f t="shared" si="13"/>
        <v>0</v>
      </c>
      <c r="AA53" s="292">
        <f t="shared" si="14"/>
        <v>0</v>
      </c>
      <c r="AB53" s="292">
        <f t="shared" si="15"/>
        <v>0</v>
      </c>
      <c r="AC53" s="292">
        <f t="shared" si="16"/>
        <v>0</v>
      </c>
      <c r="AD53" s="292">
        <f t="shared" si="17"/>
        <v>0</v>
      </c>
      <c r="AE53" s="292">
        <f t="shared" si="18"/>
        <v>0</v>
      </c>
      <c r="AF53" s="292">
        <f t="shared" si="43"/>
        <v>0</v>
      </c>
      <c r="AG53" s="292">
        <f t="shared" si="44"/>
        <v>0</v>
      </c>
      <c r="AH53" s="292">
        <f t="shared" si="19"/>
        <v>0</v>
      </c>
      <c r="AI53" s="292">
        <f t="shared" si="20"/>
        <v>0</v>
      </c>
      <c r="AJ53" s="292">
        <f t="shared" si="21"/>
        <v>0</v>
      </c>
      <c r="AK53" s="292">
        <f t="shared" si="22"/>
        <v>0</v>
      </c>
      <c r="AL53" s="292">
        <f t="shared" si="23"/>
        <v>0</v>
      </c>
      <c r="AM53" s="292">
        <f t="shared" si="24"/>
        <v>0</v>
      </c>
      <c r="AN53" s="292">
        <f t="shared" si="25"/>
        <v>0</v>
      </c>
      <c r="AO53" s="292">
        <f t="shared" si="26"/>
        <v>0</v>
      </c>
      <c r="AP53" s="292">
        <f t="shared" si="27"/>
        <v>0</v>
      </c>
      <c r="AQ53" s="292">
        <f t="shared" si="28"/>
        <v>0</v>
      </c>
      <c r="AR53" s="292">
        <f t="shared" si="29"/>
        <v>0</v>
      </c>
      <c r="AS53" s="292">
        <f t="shared" si="30"/>
        <v>0</v>
      </c>
      <c r="AT53" s="292">
        <f t="shared" si="31"/>
        <v>0</v>
      </c>
      <c r="AU53" s="292">
        <f t="shared" si="32"/>
        <v>0</v>
      </c>
      <c r="AV53" s="292">
        <f t="shared" si="33"/>
        <v>0</v>
      </c>
      <c r="AW53" s="292">
        <f t="shared" si="34"/>
        <v>0</v>
      </c>
      <c r="AX53" s="292">
        <f t="shared" si="35"/>
        <v>0</v>
      </c>
      <c r="AY53" s="292">
        <f t="shared" si="36"/>
        <v>0</v>
      </c>
      <c r="AZ53" s="292">
        <f t="shared" si="37"/>
        <v>0</v>
      </c>
      <c r="BA53" s="292">
        <f t="shared" si="38"/>
        <v>0</v>
      </c>
    </row>
    <row r="54" spans="1:53" s="289" customFormat="1" ht="15" customHeight="1">
      <c r="A54" s="63" t="str">
        <f t="array" ref="A54">IF(C54&lt;&gt;0,SUM(($C$11:C54&lt;&gt;0)*1),"")</f>
        <v/>
      </c>
      <c r="B54" s="290"/>
      <c r="C54" s="290"/>
      <c r="D54" s="290"/>
      <c r="E54" s="396"/>
      <c r="F54" s="345"/>
      <c r="G54" s="347"/>
      <c r="H54" s="347"/>
      <c r="I54" s="63" t="str">
        <f t="shared" si="45"/>
        <v/>
      </c>
      <c r="J54" s="292">
        <f t="shared" si="1"/>
        <v>0</v>
      </c>
      <c r="K54" s="292">
        <f t="shared" si="2"/>
        <v>0</v>
      </c>
      <c r="L54" s="292">
        <f t="shared" si="3"/>
        <v>0</v>
      </c>
      <c r="M54" s="292">
        <f t="shared" si="4"/>
        <v>0</v>
      </c>
      <c r="N54" s="292">
        <f t="shared" si="39"/>
        <v>0</v>
      </c>
      <c r="O54" s="292">
        <f t="shared" si="40"/>
        <v>0</v>
      </c>
      <c r="P54" s="292">
        <f t="shared" si="5"/>
        <v>0</v>
      </c>
      <c r="Q54" s="292">
        <f t="shared" si="6"/>
        <v>0</v>
      </c>
      <c r="R54" s="292">
        <f t="shared" si="7"/>
        <v>0</v>
      </c>
      <c r="S54" s="292">
        <f t="shared" si="8"/>
        <v>0</v>
      </c>
      <c r="T54" s="292">
        <f t="shared" si="41"/>
        <v>0</v>
      </c>
      <c r="U54" s="292">
        <f t="shared" si="42"/>
        <v>0</v>
      </c>
      <c r="V54" s="292">
        <f t="shared" si="9"/>
        <v>0</v>
      </c>
      <c r="W54" s="292">
        <f t="shared" si="10"/>
        <v>0</v>
      </c>
      <c r="X54" s="292">
        <f t="shared" si="11"/>
        <v>0</v>
      </c>
      <c r="Y54" s="292">
        <f t="shared" si="12"/>
        <v>0</v>
      </c>
      <c r="Z54" s="292">
        <f t="shared" si="13"/>
        <v>0</v>
      </c>
      <c r="AA54" s="292">
        <f t="shared" si="14"/>
        <v>0</v>
      </c>
      <c r="AB54" s="292">
        <f t="shared" si="15"/>
        <v>0</v>
      </c>
      <c r="AC54" s="292">
        <f t="shared" si="16"/>
        <v>0</v>
      </c>
      <c r="AD54" s="292">
        <f t="shared" si="17"/>
        <v>0</v>
      </c>
      <c r="AE54" s="292">
        <f t="shared" si="18"/>
        <v>0</v>
      </c>
      <c r="AF54" s="292">
        <f t="shared" si="43"/>
        <v>0</v>
      </c>
      <c r="AG54" s="292">
        <f t="shared" si="44"/>
        <v>0</v>
      </c>
      <c r="AH54" s="292">
        <f t="shared" si="19"/>
        <v>0</v>
      </c>
      <c r="AI54" s="292">
        <f t="shared" si="20"/>
        <v>0</v>
      </c>
      <c r="AJ54" s="292">
        <f t="shared" si="21"/>
        <v>0</v>
      </c>
      <c r="AK54" s="292">
        <f t="shared" si="22"/>
        <v>0</v>
      </c>
      <c r="AL54" s="292">
        <f t="shared" si="23"/>
        <v>0</v>
      </c>
      <c r="AM54" s="292">
        <f t="shared" si="24"/>
        <v>0</v>
      </c>
      <c r="AN54" s="292">
        <f t="shared" si="25"/>
        <v>0</v>
      </c>
      <c r="AO54" s="292">
        <f t="shared" si="26"/>
        <v>0</v>
      </c>
      <c r="AP54" s="292">
        <f t="shared" si="27"/>
        <v>0</v>
      </c>
      <c r="AQ54" s="292">
        <f t="shared" si="28"/>
        <v>0</v>
      </c>
      <c r="AR54" s="292">
        <f t="shared" si="29"/>
        <v>0</v>
      </c>
      <c r="AS54" s="292">
        <f t="shared" si="30"/>
        <v>0</v>
      </c>
      <c r="AT54" s="292">
        <f t="shared" si="31"/>
        <v>0</v>
      </c>
      <c r="AU54" s="292">
        <f t="shared" si="32"/>
        <v>0</v>
      </c>
      <c r="AV54" s="292">
        <f t="shared" si="33"/>
        <v>0</v>
      </c>
      <c r="AW54" s="292">
        <f t="shared" si="34"/>
        <v>0</v>
      </c>
      <c r="AX54" s="292">
        <f t="shared" si="35"/>
        <v>0</v>
      </c>
      <c r="AY54" s="292">
        <f t="shared" si="36"/>
        <v>0</v>
      </c>
      <c r="AZ54" s="292">
        <f t="shared" si="37"/>
        <v>0</v>
      </c>
      <c r="BA54" s="292">
        <f t="shared" si="38"/>
        <v>0</v>
      </c>
    </row>
    <row r="55" spans="1:53" s="289" customFormat="1" ht="15" customHeight="1">
      <c r="A55" s="63" t="str">
        <f t="array" ref="A55">IF(C55&lt;&gt;0,SUM(($C$11:C55&lt;&gt;0)*1),"")</f>
        <v/>
      </c>
      <c r="B55" s="290"/>
      <c r="C55" s="290"/>
      <c r="D55" s="290"/>
      <c r="E55" s="396"/>
      <c r="F55" s="345"/>
      <c r="G55" s="347"/>
      <c r="H55" s="347"/>
      <c r="I55" s="63" t="str">
        <f t="shared" si="45"/>
        <v/>
      </c>
      <c r="J55" s="292">
        <f t="shared" si="1"/>
        <v>0</v>
      </c>
      <c r="K55" s="292">
        <f t="shared" si="2"/>
        <v>0</v>
      </c>
      <c r="L55" s="292">
        <f t="shared" si="3"/>
        <v>0</v>
      </c>
      <c r="M55" s="292">
        <f t="shared" si="4"/>
        <v>0</v>
      </c>
      <c r="N55" s="292">
        <f t="shared" si="39"/>
        <v>0</v>
      </c>
      <c r="O55" s="292">
        <f t="shared" si="40"/>
        <v>0</v>
      </c>
      <c r="P55" s="292">
        <f t="shared" si="5"/>
        <v>0</v>
      </c>
      <c r="Q55" s="292">
        <f t="shared" si="6"/>
        <v>0</v>
      </c>
      <c r="R55" s="292">
        <f t="shared" si="7"/>
        <v>0</v>
      </c>
      <c r="S55" s="292">
        <f t="shared" si="8"/>
        <v>0</v>
      </c>
      <c r="T55" s="292">
        <f t="shared" si="41"/>
        <v>0</v>
      </c>
      <c r="U55" s="292">
        <f t="shared" si="42"/>
        <v>0</v>
      </c>
      <c r="V55" s="292">
        <f t="shared" si="9"/>
        <v>0</v>
      </c>
      <c r="W55" s="292">
        <f t="shared" si="10"/>
        <v>0</v>
      </c>
      <c r="X55" s="292">
        <f t="shared" si="11"/>
        <v>0</v>
      </c>
      <c r="Y55" s="292">
        <f t="shared" si="12"/>
        <v>0</v>
      </c>
      <c r="Z55" s="292">
        <f t="shared" si="13"/>
        <v>0</v>
      </c>
      <c r="AA55" s="292">
        <f t="shared" si="14"/>
        <v>0</v>
      </c>
      <c r="AB55" s="292">
        <f t="shared" si="15"/>
        <v>0</v>
      </c>
      <c r="AC55" s="292">
        <f t="shared" si="16"/>
        <v>0</v>
      </c>
      <c r="AD55" s="292">
        <f t="shared" si="17"/>
        <v>0</v>
      </c>
      <c r="AE55" s="292">
        <f t="shared" si="18"/>
        <v>0</v>
      </c>
      <c r="AF55" s="292">
        <f t="shared" si="43"/>
        <v>0</v>
      </c>
      <c r="AG55" s="292">
        <f t="shared" si="44"/>
        <v>0</v>
      </c>
      <c r="AH55" s="292">
        <f t="shared" si="19"/>
        <v>0</v>
      </c>
      <c r="AI55" s="292">
        <f t="shared" si="20"/>
        <v>0</v>
      </c>
      <c r="AJ55" s="292">
        <f t="shared" si="21"/>
        <v>0</v>
      </c>
      <c r="AK55" s="292">
        <f t="shared" si="22"/>
        <v>0</v>
      </c>
      <c r="AL55" s="292">
        <f t="shared" si="23"/>
        <v>0</v>
      </c>
      <c r="AM55" s="292">
        <f t="shared" si="24"/>
        <v>0</v>
      </c>
      <c r="AN55" s="292">
        <f t="shared" si="25"/>
        <v>0</v>
      </c>
      <c r="AO55" s="292">
        <f t="shared" si="26"/>
        <v>0</v>
      </c>
      <c r="AP55" s="292">
        <f t="shared" si="27"/>
        <v>0</v>
      </c>
      <c r="AQ55" s="292">
        <f t="shared" si="28"/>
        <v>0</v>
      </c>
      <c r="AR55" s="292">
        <f t="shared" si="29"/>
        <v>0</v>
      </c>
      <c r="AS55" s="292">
        <f t="shared" si="30"/>
        <v>0</v>
      </c>
      <c r="AT55" s="292">
        <f t="shared" si="31"/>
        <v>0</v>
      </c>
      <c r="AU55" s="292">
        <f t="shared" si="32"/>
        <v>0</v>
      </c>
      <c r="AV55" s="292">
        <f t="shared" si="33"/>
        <v>0</v>
      </c>
      <c r="AW55" s="292">
        <f t="shared" si="34"/>
        <v>0</v>
      </c>
      <c r="AX55" s="292">
        <f t="shared" si="35"/>
        <v>0</v>
      </c>
      <c r="AY55" s="292">
        <f t="shared" si="36"/>
        <v>0</v>
      </c>
      <c r="AZ55" s="292">
        <f t="shared" si="37"/>
        <v>0</v>
      </c>
      <c r="BA55" s="292">
        <f t="shared" si="38"/>
        <v>0</v>
      </c>
    </row>
    <row r="56" spans="1:53" s="289" customFormat="1" ht="15" customHeight="1">
      <c r="A56" s="63" t="str">
        <f t="array" ref="A56">IF(C56&lt;&gt;0,SUM(($C$11:C56&lt;&gt;0)*1),"")</f>
        <v/>
      </c>
      <c r="B56" s="290"/>
      <c r="C56" s="290"/>
      <c r="D56" s="290"/>
      <c r="E56" s="396"/>
      <c r="F56" s="345"/>
      <c r="G56" s="347"/>
      <c r="H56" s="347"/>
      <c r="I56" s="63" t="str">
        <f t="shared" si="45"/>
        <v/>
      </c>
      <c r="J56" s="292">
        <f t="shared" si="1"/>
        <v>0</v>
      </c>
      <c r="K56" s="292">
        <f t="shared" si="2"/>
        <v>0</v>
      </c>
      <c r="L56" s="292">
        <f t="shared" si="3"/>
        <v>0</v>
      </c>
      <c r="M56" s="292">
        <f t="shared" si="4"/>
        <v>0</v>
      </c>
      <c r="N56" s="292">
        <f t="shared" si="39"/>
        <v>0</v>
      </c>
      <c r="O56" s="292">
        <f t="shared" si="40"/>
        <v>0</v>
      </c>
      <c r="P56" s="292">
        <f t="shared" si="5"/>
        <v>0</v>
      </c>
      <c r="Q56" s="292">
        <f t="shared" si="6"/>
        <v>0</v>
      </c>
      <c r="R56" s="292">
        <f t="shared" si="7"/>
        <v>0</v>
      </c>
      <c r="S56" s="292">
        <f t="shared" si="8"/>
        <v>0</v>
      </c>
      <c r="T56" s="292">
        <f t="shared" si="41"/>
        <v>0</v>
      </c>
      <c r="U56" s="292">
        <f t="shared" si="42"/>
        <v>0</v>
      </c>
      <c r="V56" s="292">
        <f t="shared" si="9"/>
        <v>0</v>
      </c>
      <c r="W56" s="292">
        <f t="shared" si="10"/>
        <v>0</v>
      </c>
      <c r="X56" s="292">
        <f t="shared" si="11"/>
        <v>0</v>
      </c>
      <c r="Y56" s="292">
        <f t="shared" si="12"/>
        <v>0</v>
      </c>
      <c r="Z56" s="292">
        <f t="shared" si="13"/>
        <v>0</v>
      </c>
      <c r="AA56" s="292">
        <f t="shared" si="14"/>
        <v>0</v>
      </c>
      <c r="AB56" s="292">
        <f t="shared" si="15"/>
        <v>0</v>
      </c>
      <c r="AC56" s="292">
        <f t="shared" si="16"/>
        <v>0</v>
      </c>
      <c r="AD56" s="292">
        <f t="shared" si="17"/>
        <v>0</v>
      </c>
      <c r="AE56" s="292">
        <f t="shared" si="18"/>
        <v>0</v>
      </c>
      <c r="AF56" s="292">
        <f t="shared" si="43"/>
        <v>0</v>
      </c>
      <c r="AG56" s="292">
        <f t="shared" si="44"/>
        <v>0</v>
      </c>
      <c r="AH56" s="292">
        <f t="shared" si="19"/>
        <v>0</v>
      </c>
      <c r="AI56" s="292">
        <f t="shared" si="20"/>
        <v>0</v>
      </c>
      <c r="AJ56" s="292">
        <f t="shared" si="21"/>
        <v>0</v>
      </c>
      <c r="AK56" s="292">
        <f t="shared" si="22"/>
        <v>0</v>
      </c>
      <c r="AL56" s="292">
        <f t="shared" si="23"/>
        <v>0</v>
      </c>
      <c r="AM56" s="292">
        <f t="shared" si="24"/>
        <v>0</v>
      </c>
      <c r="AN56" s="292">
        <f t="shared" si="25"/>
        <v>0</v>
      </c>
      <c r="AO56" s="292">
        <f t="shared" si="26"/>
        <v>0</v>
      </c>
      <c r="AP56" s="292">
        <f t="shared" si="27"/>
        <v>0</v>
      </c>
      <c r="AQ56" s="292">
        <f t="shared" si="28"/>
        <v>0</v>
      </c>
      <c r="AR56" s="292">
        <f t="shared" si="29"/>
        <v>0</v>
      </c>
      <c r="AS56" s="292">
        <f t="shared" si="30"/>
        <v>0</v>
      </c>
      <c r="AT56" s="292">
        <f t="shared" si="31"/>
        <v>0</v>
      </c>
      <c r="AU56" s="292">
        <f t="shared" si="32"/>
        <v>0</v>
      </c>
      <c r="AV56" s="292">
        <f t="shared" si="33"/>
        <v>0</v>
      </c>
      <c r="AW56" s="292">
        <f t="shared" si="34"/>
        <v>0</v>
      </c>
      <c r="AX56" s="292">
        <f t="shared" si="35"/>
        <v>0</v>
      </c>
      <c r="AY56" s="292">
        <f t="shared" si="36"/>
        <v>0</v>
      </c>
      <c r="AZ56" s="292">
        <f t="shared" si="37"/>
        <v>0</v>
      </c>
      <c r="BA56" s="292">
        <f t="shared" si="38"/>
        <v>0</v>
      </c>
    </row>
    <row r="57" spans="1:53" s="289" customFormat="1" ht="15" customHeight="1">
      <c r="A57" s="63" t="str">
        <f t="array" ref="A57">IF(C57&lt;&gt;0,SUM(($C$11:C57&lt;&gt;0)*1),"")</f>
        <v/>
      </c>
      <c r="B57" s="290"/>
      <c r="C57" s="290"/>
      <c r="D57" s="290"/>
      <c r="E57" s="396"/>
      <c r="F57" s="345"/>
      <c r="G57" s="347"/>
      <c r="H57" s="347"/>
      <c r="I57" s="63" t="str">
        <f t="shared" si="45"/>
        <v/>
      </c>
      <c r="J57" s="292">
        <f t="shared" si="1"/>
        <v>0</v>
      </c>
      <c r="K57" s="292">
        <f t="shared" si="2"/>
        <v>0</v>
      </c>
      <c r="L57" s="292">
        <f t="shared" si="3"/>
        <v>0</v>
      </c>
      <c r="M57" s="292">
        <f t="shared" si="4"/>
        <v>0</v>
      </c>
      <c r="N57" s="292">
        <f t="shared" si="39"/>
        <v>0</v>
      </c>
      <c r="O57" s="292">
        <f t="shared" si="40"/>
        <v>0</v>
      </c>
      <c r="P57" s="292">
        <f t="shared" si="5"/>
        <v>0</v>
      </c>
      <c r="Q57" s="292">
        <f t="shared" si="6"/>
        <v>0</v>
      </c>
      <c r="R57" s="292">
        <f t="shared" si="7"/>
        <v>0</v>
      </c>
      <c r="S57" s="292">
        <f t="shared" si="8"/>
        <v>0</v>
      </c>
      <c r="T57" s="292">
        <f t="shared" si="41"/>
        <v>0</v>
      </c>
      <c r="U57" s="292">
        <f t="shared" si="42"/>
        <v>0</v>
      </c>
      <c r="V57" s="292">
        <f t="shared" si="9"/>
        <v>0</v>
      </c>
      <c r="W57" s="292">
        <f t="shared" si="10"/>
        <v>0</v>
      </c>
      <c r="X57" s="292">
        <f t="shared" si="11"/>
        <v>0</v>
      </c>
      <c r="Y57" s="292">
        <f t="shared" si="12"/>
        <v>0</v>
      </c>
      <c r="Z57" s="292">
        <f t="shared" si="13"/>
        <v>0</v>
      </c>
      <c r="AA57" s="292">
        <f t="shared" si="14"/>
        <v>0</v>
      </c>
      <c r="AB57" s="292">
        <f t="shared" si="15"/>
        <v>0</v>
      </c>
      <c r="AC57" s="292">
        <f t="shared" si="16"/>
        <v>0</v>
      </c>
      <c r="AD57" s="292">
        <f t="shared" si="17"/>
        <v>0</v>
      </c>
      <c r="AE57" s="292">
        <f t="shared" si="18"/>
        <v>0</v>
      </c>
      <c r="AF57" s="292">
        <f t="shared" si="43"/>
        <v>0</v>
      </c>
      <c r="AG57" s="292">
        <f t="shared" si="44"/>
        <v>0</v>
      </c>
      <c r="AH57" s="292">
        <f t="shared" si="19"/>
        <v>0</v>
      </c>
      <c r="AI57" s="292">
        <f t="shared" si="20"/>
        <v>0</v>
      </c>
      <c r="AJ57" s="292">
        <f t="shared" si="21"/>
        <v>0</v>
      </c>
      <c r="AK57" s="292">
        <f t="shared" si="22"/>
        <v>0</v>
      </c>
      <c r="AL57" s="292">
        <f t="shared" si="23"/>
        <v>0</v>
      </c>
      <c r="AM57" s="292">
        <f t="shared" si="24"/>
        <v>0</v>
      </c>
      <c r="AN57" s="292">
        <f t="shared" si="25"/>
        <v>0</v>
      </c>
      <c r="AO57" s="292">
        <f t="shared" si="26"/>
        <v>0</v>
      </c>
      <c r="AP57" s="292">
        <f t="shared" si="27"/>
        <v>0</v>
      </c>
      <c r="AQ57" s="292">
        <f t="shared" si="28"/>
        <v>0</v>
      </c>
      <c r="AR57" s="292">
        <f t="shared" si="29"/>
        <v>0</v>
      </c>
      <c r="AS57" s="292">
        <f t="shared" si="30"/>
        <v>0</v>
      </c>
      <c r="AT57" s="292">
        <f t="shared" si="31"/>
        <v>0</v>
      </c>
      <c r="AU57" s="292">
        <f t="shared" si="32"/>
        <v>0</v>
      </c>
      <c r="AV57" s="292">
        <f t="shared" si="33"/>
        <v>0</v>
      </c>
      <c r="AW57" s="292">
        <f t="shared" si="34"/>
        <v>0</v>
      </c>
      <c r="AX57" s="292">
        <f t="shared" si="35"/>
        <v>0</v>
      </c>
      <c r="AY57" s="292">
        <f t="shared" si="36"/>
        <v>0</v>
      </c>
      <c r="AZ57" s="292">
        <f t="shared" si="37"/>
        <v>0</v>
      </c>
      <c r="BA57" s="292">
        <f t="shared" si="38"/>
        <v>0</v>
      </c>
    </row>
    <row r="58" spans="1:53" s="289" customFormat="1" ht="15" customHeight="1">
      <c r="A58" s="63" t="str">
        <f t="array" ref="A58">IF(C58&lt;&gt;0,SUM(($C$11:C58&lt;&gt;0)*1),"")</f>
        <v/>
      </c>
      <c r="B58" s="290"/>
      <c r="C58" s="290"/>
      <c r="D58" s="290"/>
      <c r="E58" s="396"/>
      <c r="F58" s="345"/>
      <c r="G58" s="347"/>
      <c r="H58" s="347"/>
      <c r="I58" s="63" t="str">
        <f t="shared" si="45"/>
        <v/>
      </c>
      <c r="J58" s="292">
        <f t="shared" si="1"/>
        <v>0</v>
      </c>
      <c r="K58" s="292">
        <f t="shared" si="2"/>
        <v>0</v>
      </c>
      <c r="L58" s="292">
        <f t="shared" si="3"/>
        <v>0</v>
      </c>
      <c r="M58" s="292">
        <f t="shared" si="4"/>
        <v>0</v>
      </c>
      <c r="N58" s="292">
        <f t="shared" si="39"/>
        <v>0</v>
      </c>
      <c r="O58" s="292">
        <f t="shared" si="40"/>
        <v>0</v>
      </c>
      <c r="P58" s="292">
        <f t="shared" si="5"/>
        <v>0</v>
      </c>
      <c r="Q58" s="292">
        <f t="shared" si="6"/>
        <v>0</v>
      </c>
      <c r="R58" s="292">
        <f t="shared" si="7"/>
        <v>0</v>
      </c>
      <c r="S58" s="292">
        <f t="shared" si="8"/>
        <v>0</v>
      </c>
      <c r="T58" s="292">
        <f t="shared" si="41"/>
        <v>0</v>
      </c>
      <c r="U58" s="292">
        <f t="shared" si="42"/>
        <v>0</v>
      </c>
      <c r="V58" s="292">
        <f t="shared" si="9"/>
        <v>0</v>
      </c>
      <c r="W58" s="292">
        <f t="shared" si="10"/>
        <v>0</v>
      </c>
      <c r="X58" s="292">
        <f t="shared" si="11"/>
        <v>0</v>
      </c>
      <c r="Y58" s="292">
        <f t="shared" si="12"/>
        <v>0</v>
      </c>
      <c r="Z58" s="292">
        <f t="shared" si="13"/>
        <v>0</v>
      </c>
      <c r="AA58" s="292">
        <f t="shared" si="14"/>
        <v>0</v>
      </c>
      <c r="AB58" s="292">
        <f t="shared" si="15"/>
        <v>0</v>
      </c>
      <c r="AC58" s="292">
        <f t="shared" si="16"/>
        <v>0</v>
      </c>
      <c r="AD58" s="292">
        <f t="shared" si="17"/>
        <v>0</v>
      </c>
      <c r="AE58" s="292">
        <f t="shared" si="18"/>
        <v>0</v>
      </c>
      <c r="AF58" s="292">
        <f t="shared" si="43"/>
        <v>0</v>
      </c>
      <c r="AG58" s="292">
        <f t="shared" si="44"/>
        <v>0</v>
      </c>
      <c r="AH58" s="292">
        <f t="shared" si="19"/>
        <v>0</v>
      </c>
      <c r="AI58" s="292">
        <f t="shared" si="20"/>
        <v>0</v>
      </c>
      <c r="AJ58" s="292">
        <f t="shared" si="21"/>
        <v>0</v>
      </c>
      <c r="AK58" s="292">
        <f t="shared" si="22"/>
        <v>0</v>
      </c>
      <c r="AL58" s="292">
        <f t="shared" si="23"/>
        <v>0</v>
      </c>
      <c r="AM58" s="292">
        <f t="shared" si="24"/>
        <v>0</v>
      </c>
      <c r="AN58" s="292">
        <f t="shared" si="25"/>
        <v>0</v>
      </c>
      <c r="AO58" s="292">
        <f t="shared" si="26"/>
        <v>0</v>
      </c>
      <c r="AP58" s="292">
        <f t="shared" si="27"/>
        <v>0</v>
      </c>
      <c r="AQ58" s="292">
        <f t="shared" si="28"/>
        <v>0</v>
      </c>
      <c r="AR58" s="292">
        <f t="shared" si="29"/>
        <v>0</v>
      </c>
      <c r="AS58" s="292">
        <f t="shared" si="30"/>
        <v>0</v>
      </c>
      <c r="AT58" s="292">
        <f t="shared" si="31"/>
        <v>0</v>
      </c>
      <c r="AU58" s="292">
        <f t="shared" si="32"/>
        <v>0</v>
      </c>
      <c r="AV58" s="292">
        <f t="shared" si="33"/>
        <v>0</v>
      </c>
      <c r="AW58" s="292">
        <f t="shared" si="34"/>
        <v>0</v>
      </c>
      <c r="AX58" s="292">
        <f t="shared" si="35"/>
        <v>0</v>
      </c>
      <c r="AY58" s="292">
        <f t="shared" si="36"/>
        <v>0</v>
      </c>
      <c r="AZ58" s="292">
        <f t="shared" si="37"/>
        <v>0</v>
      </c>
      <c r="BA58" s="292">
        <f t="shared" si="38"/>
        <v>0</v>
      </c>
    </row>
    <row r="59" spans="1:53" s="289" customFormat="1" ht="15" customHeight="1">
      <c r="A59" s="63" t="str">
        <f t="array" ref="A59">IF(C59&lt;&gt;0,SUM(($C$11:C59&lt;&gt;0)*1),"")</f>
        <v/>
      </c>
      <c r="B59" s="290"/>
      <c r="C59" s="290"/>
      <c r="D59" s="290"/>
      <c r="E59" s="396"/>
      <c r="F59" s="345"/>
      <c r="G59" s="347"/>
      <c r="H59" s="347"/>
      <c r="I59" s="63" t="str">
        <f t="shared" si="45"/>
        <v/>
      </c>
      <c r="J59" s="292">
        <f t="shared" si="1"/>
        <v>0</v>
      </c>
      <c r="K59" s="292">
        <f t="shared" si="2"/>
        <v>0</v>
      </c>
      <c r="L59" s="292">
        <f t="shared" si="3"/>
        <v>0</v>
      </c>
      <c r="M59" s="292">
        <f t="shared" si="4"/>
        <v>0</v>
      </c>
      <c r="N59" s="292">
        <f t="shared" si="39"/>
        <v>0</v>
      </c>
      <c r="O59" s="292">
        <f t="shared" si="40"/>
        <v>0</v>
      </c>
      <c r="P59" s="292">
        <f t="shared" si="5"/>
        <v>0</v>
      </c>
      <c r="Q59" s="292">
        <f t="shared" si="6"/>
        <v>0</v>
      </c>
      <c r="R59" s="292">
        <f t="shared" si="7"/>
        <v>0</v>
      </c>
      <c r="S59" s="292">
        <f t="shared" si="8"/>
        <v>0</v>
      </c>
      <c r="T59" s="292">
        <f t="shared" si="41"/>
        <v>0</v>
      </c>
      <c r="U59" s="292">
        <f t="shared" si="42"/>
        <v>0</v>
      </c>
      <c r="V59" s="292">
        <f t="shared" si="9"/>
        <v>0</v>
      </c>
      <c r="W59" s="292">
        <f t="shared" si="10"/>
        <v>0</v>
      </c>
      <c r="X59" s="292">
        <f t="shared" si="11"/>
        <v>0</v>
      </c>
      <c r="Y59" s="292">
        <f t="shared" si="12"/>
        <v>0</v>
      </c>
      <c r="Z59" s="292">
        <f t="shared" si="13"/>
        <v>0</v>
      </c>
      <c r="AA59" s="292">
        <f t="shared" si="14"/>
        <v>0</v>
      </c>
      <c r="AB59" s="292">
        <f t="shared" si="15"/>
        <v>0</v>
      </c>
      <c r="AC59" s="292">
        <f t="shared" si="16"/>
        <v>0</v>
      </c>
      <c r="AD59" s="292">
        <f t="shared" si="17"/>
        <v>0</v>
      </c>
      <c r="AE59" s="292">
        <f t="shared" si="18"/>
        <v>0</v>
      </c>
      <c r="AF59" s="292">
        <f t="shared" si="43"/>
        <v>0</v>
      </c>
      <c r="AG59" s="292">
        <f t="shared" si="44"/>
        <v>0</v>
      </c>
      <c r="AH59" s="292">
        <f t="shared" si="19"/>
        <v>0</v>
      </c>
      <c r="AI59" s="292">
        <f t="shared" si="20"/>
        <v>0</v>
      </c>
      <c r="AJ59" s="292">
        <f t="shared" si="21"/>
        <v>0</v>
      </c>
      <c r="AK59" s="292">
        <f t="shared" si="22"/>
        <v>0</v>
      </c>
      <c r="AL59" s="292">
        <f t="shared" si="23"/>
        <v>0</v>
      </c>
      <c r="AM59" s="292">
        <f t="shared" si="24"/>
        <v>0</v>
      </c>
      <c r="AN59" s="292">
        <f t="shared" si="25"/>
        <v>0</v>
      </c>
      <c r="AO59" s="292">
        <f t="shared" si="26"/>
        <v>0</v>
      </c>
      <c r="AP59" s="292">
        <f t="shared" si="27"/>
        <v>0</v>
      </c>
      <c r="AQ59" s="292">
        <f t="shared" si="28"/>
        <v>0</v>
      </c>
      <c r="AR59" s="292">
        <f t="shared" si="29"/>
        <v>0</v>
      </c>
      <c r="AS59" s="292">
        <f t="shared" si="30"/>
        <v>0</v>
      </c>
      <c r="AT59" s="292">
        <f t="shared" si="31"/>
        <v>0</v>
      </c>
      <c r="AU59" s="292">
        <f t="shared" si="32"/>
        <v>0</v>
      </c>
      <c r="AV59" s="292">
        <f t="shared" si="33"/>
        <v>0</v>
      </c>
      <c r="AW59" s="292">
        <f t="shared" si="34"/>
        <v>0</v>
      </c>
      <c r="AX59" s="292">
        <f t="shared" si="35"/>
        <v>0</v>
      </c>
      <c r="AY59" s="292">
        <f t="shared" si="36"/>
        <v>0</v>
      </c>
      <c r="AZ59" s="292">
        <f t="shared" si="37"/>
        <v>0</v>
      </c>
      <c r="BA59" s="292">
        <f t="shared" si="38"/>
        <v>0</v>
      </c>
    </row>
    <row r="60" spans="1:53" s="289" customFormat="1" ht="15" customHeight="1">
      <c r="A60" s="63" t="str">
        <f t="array" ref="A60">IF(C60&lt;&gt;0,SUM(($C$11:C60&lt;&gt;0)*1),"")</f>
        <v/>
      </c>
      <c r="B60" s="290"/>
      <c r="C60" s="290"/>
      <c r="D60" s="290"/>
      <c r="E60" s="396"/>
      <c r="F60" s="345"/>
      <c r="G60" s="347"/>
      <c r="H60" s="347"/>
      <c r="I60" s="63" t="str">
        <f t="shared" si="45"/>
        <v/>
      </c>
      <c r="J60" s="292">
        <f t="shared" si="1"/>
        <v>0</v>
      </c>
      <c r="K60" s="292">
        <f t="shared" si="2"/>
        <v>0</v>
      </c>
      <c r="L60" s="292">
        <f t="shared" si="3"/>
        <v>0</v>
      </c>
      <c r="M60" s="292">
        <f t="shared" si="4"/>
        <v>0</v>
      </c>
      <c r="N60" s="292">
        <f t="shared" si="39"/>
        <v>0</v>
      </c>
      <c r="O60" s="292">
        <f t="shared" si="40"/>
        <v>0</v>
      </c>
      <c r="P60" s="292">
        <f t="shared" si="5"/>
        <v>0</v>
      </c>
      <c r="Q60" s="292">
        <f t="shared" si="6"/>
        <v>0</v>
      </c>
      <c r="R60" s="292">
        <f t="shared" si="7"/>
        <v>0</v>
      </c>
      <c r="S60" s="292">
        <f t="shared" si="8"/>
        <v>0</v>
      </c>
      <c r="T60" s="292">
        <f t="shared" si="41"/>
        <v>0</v>
      </c>
      <c r="U60" s="292">
        <f t="shared" si="42"/>
        <v>0</v>
      </c>
      <c r="V60" s="292">
        <f t="shared" si="9"/>
        <v>0</v>
      </c>
      <c r="W60" s="292">
        <f t="shared" si="10"/>
        <v>0</v>
      </c>
      <c r="X60" s="292">
        <f t="shared" si="11"/>
        <v>0</v>
      </c>
      <c r="Y60" s="292">
        <f t="shared" si="12"/>
        <v>0</v>
      </c>
      <c r="Z60" s="292">
        <f t="shared" si="13"/>
        <v>0</v>
      </c>
      <c r="AA60" s="292">
        <f t="shared" si="14"/>
        <v>0</v>
      </c>
      <c r="AB60" s="292">
        <f t="shared" si="15"/>
        <v>0</v>
      </c>
      <c r="AC60" s="292">
        <f t="shared" si="16"/>
        <v>0</v>
      </c>
      <c r="AD60" s="292">
        <f t="shared" si="17"/>
        <v>0</v>
      </c>
      <c r="AE60" s="292">
        <f t="shared" si="18"/>
        <v>0</v>
      </c>
      <c r="AF60" s="292">
        <f t="shared" si="43"/>
        <v>0</v>
      </c>
      <c r="AG60" s="292">
        <f t="shared" si="44"/>
        <v>0</v>
      </c>
      <c r="AH60" s="292">
        <f t="shared" si="19"/>
        <v>0</v>
      </c>
      <c r="AI60" s="292">
        <f t="shared" si="20"/>
        <v>0</v>
      </c>
      <c r="AJ60" s="292">
        <f t="shared" si="21"/>
        <v>0</v>
      </c>
      <c r="AK60" s="292">
        <f t="shared" si="22"/>
        <v>0</v>
      </c>
      <c r="AL60" s="292">
        <f t="shared" si="23"/>
        <v>0</v>
      </c>
      <c r="AM60" s="292">
        <f t="shared" si="24"/>
        <v>0</v>
      </c>
      <c r="AN60" s="292">
        <f t="shared" si="25"/>
        <v>0</v>
      </c>
      <c r="AO60" s="292">
        <f t="shared" si="26"/>
        <v>0</v>
      </c>
      <c r="AP60" s="292">
        <f t="shared" si="27"/>
        <v>0</v>
      </c>
      <c r="AQ60" s="292">
        <f t="shared" si="28"/>
        <v>0</v>
      </c>
      <c r="AR60" s="292">
        <f t="shared" si="29"/>
        <v>0</v>
      </c>
      <c r="AS60" s="292">
        <f t="shared" si="30"/>
        <v>0</v>
      </c>
      <c r="AT60" s="292">
        <f t="shared" si="31"/>
        <v>0</v>
      </c>
      <c r="AU60" s="292">
        <f t="shared" si="32"/>
        <v>0</v>
      </c>
      <c r="AV60" s="292">
        <f t="shared" si="33"/>
        <v>0</v>
      </c>
      <c r="AW60" s="292">
        <f t="shared" si="34"/>
        <v>0</v>
      </c>
      <c r="AX60" s="292">
        <f t="shared" si="35"/>
        <v>0</v>
      </c>
      <c r="AY60" s="292">
        <f t="shared" si="36"/>
        <v>0</v>
      </c>
      <c r="AZ60" s="292">
        <f t="shared" si="37"/>
        <v>0</v>
      </c>
      <c r="BA60" s="292">
        <f t="shared" si="38"/>
        <v>0</v>
      </c>
    </row>
    <row r="61" spans="1:53" s="289" customFormat="1" ht="15" customHeight="1">
      <c r="A61" s="63" t="str">
        <f t="array" ref="A61">IF(C61&lt;&gt;0,SUM(($C$11:C61&lt;&gt;0)*1),"")</f>
        <v/>
      </c>
      <c r="B61" s="290"/>
      <c r="C61" s="290"/>
      <c r="D61" s="290"/>
      <c r="E61" s="396"/>
      <c r="F61" s="345"/>
      <c r="G61" s="347"/>
      <c r="H61" s="347"/>
      <c r="I61" s="63" t="str">
        <f t="shared" si="45"/>
        <v/>
      </c>
      <c r="J61" s="292">
        <f t="shared" si="1"/>
        <v>0</v>
      </c>
      <c r="K61" s="292">
        <f t="shared" si="2"/>
        <v>0</v>
      </c>
      <c r="L61" s="292">
        <f t="shared" si="3"/>
        <v>0</v>
      </c>
      <c r="M61" s="292">
        <f t="shared" si="4"/>
        <v>0</v>
      </c>
      <c r="N61" s="292">
        <f t="shared" si="39"/>
        <v>0</v>
      </c>
      <c r="O61" s="292">
        <f t="shared" si="40"/>
        <v>0</v>
      </c>
      <c r="P61" s="292">
        <f t="shared" si="5"/>
        <v>0</v>
      </c>
      <c r="Q61" s="292">
        <f t="shared" si="6"/>
        <v>0</v>
      </c>
      <c r="R61" s="292">
        <f t="shared" si="7"/>
        <v>0</v>
      </c>
      <c r="S61" s="292">
        <f t="shared" si="8"/>
        <v>0</v>
      </c>
      <c r="T61" s="292">
        <f t="shared" si="41"/>
        <v>0</v>
      </c>
      <c r="U61" s="292">
        <f t="shared" si="42"/>
        <v>0</v>
      </c>
      <c r="V61" s="292">
        <f t="shared" si="9"/>
        <v>0</v>
      </c>
      <c r="W61" s="292">
        <f t="shared" si="10"/>
        <v>0</v>
      </c>
      <c r="X61" s="292">
        <f t="shared" si="11"/>
        <v>0</v>
      </c>
      <c r="Y61" s="292">
        <f t="shared" si="12"/>
        <v>0</v>
      </c>
      <c r="Z61" s="292">
        <f t="shared" si="13"/>
        <v>0</v>
      </c>
      <c r="AA61" s="292">
        <f t="shared" si="14"/>
        <v>0</v>
      </c>
      <c r="AB61" s="292">
        <f t="shared" si="15"/>
        <v>0</v>
      </c>
      <c r="AC61" s="292">
        <f t="shared" si="16"/>
        <v>0</v>
      </c>
      <c r="AD61" s="292">
        <f t="shared" si="17"/>
        <v>0</v>
      </c>
      <c r="AE61" s="292">
        <f t="shared" si="18"/>
        <v>0</v>
      </c>
      <c r="AF61" s="292">
        <f t="shared" si="43"/>
        <v>0</v>
      </c>
      <c r="AG61" s="292">
        <f t="shared" si="44"/>
        <v>0</v>
      </c>
      <c r="AH61" s="292">
        <f t="shared" si="19"/>
        <v>0</v>
      </c>
      <c r="AI61" s="292">
        <f t="shared" si="20"/>
        <v>0</v>
      </c>
      <c r="AJ61" s="292">
        <f t="shared" si="21"/>
        <v>0</v>
      </c>
      <c r="AK61" s="292">
        <f t="shared" si="22"/>
        <v>0</v>
      </c>
      <c r="AL61" s="292">
        <f t="shared" si="23"/>
        <v>0</v>
      </c>
      <c r="AM61" s="292">
        <f t="shared" si="24"/>
        <v>0</v>
      </c>
      <c r="AN61" s="292">
        <f t="shared" si="25"/>
        <v>0</v>
      </c>
      <c r="AO61" s="292">
        <f t="shared" si="26"/>
        <v>0</v>
      </c>
      <c r="AP61" s="292">
        <f t="shared" si="27"/>
        <v>0</v>
      </c>
      <c r="AQ61" s="292">
        <f t="shared" si="28"/>
        <v>0</v>
      </c>
      <c r="AR61" s="292">
        <f t="shared" si="29"/>
        <v>0</v>
      </c>
      <c r="AS61" s="292">
        <f t="shared" si="30"/>
        <v>0</v>
      </c>
      <c r="AT61" s="292">
        <f t="shared" si="31"/>
        <v>0</v>
      </c>
      <c r="AU61" s="292">
        <f t="shared" si="32"/>
        <v>0</v>
      </c>
      <c r="AV61" s="292">
        <f t="shared" si="33"/>
        <v>0</v>
      </c>
      <c r="AW61" s="292">
        <f t="shared" si="34"/>
        <v>0</v>
      </c>
      <c r="AX61" s="292">
        <f t="shared" si="35"/>
        <v>0</v>
      </c>
      <c r="AY61" s="292">
        <f t="shared" si="36"/>
        <v>0</v>
      </c>
      <c r="AZ61" s="292">
        <f t="shared" si="37"/>
        <v>0</v>
      </c>
      <c r="BA61" s="292">
        <f t="shared" si="38"/>
        <v>0</v>
      </c>
    </row>
    <row r="62" spans="1:53" s="289" customFormat="1" ht="15" customHeight="1">
      <c r="A62" s="63" t="str">
        <f t="array" ref="A62">IF(C62&lt;&gt;0,SUM(($C$11:C62&lt;&gt;0)*1),"")</f>
        <v/>
      </c>
      <c r="B62" s="290"/>
      <c r="C62" s="290"/>
      <c r="D62" s="290"/>
      <c r="E62" s="396"/>
      <c r="F62" s="345"/>
      <c r="G62" s="347"/>
      <c r="H62" s="347"/>
      <c r="I62" s="63" t="str">
        <f t="shared" si="45"/>
        <v/>
      </c>
      <c r="J62" s="292">
        <f t="shared" si="1"/>
        <v>0</v>
      </c>
      <c r="K62" s="292">
        <f t="shared" si="2"/>
        <v>0</v>
      </c>
      <c r="L62" s="292">
        <f t="shared" si="3"/>
        <v>0</v>
      </c>
      <c r="M62" s="292">
        <f t="shared" si="4"/>
        <v>0</v>
      </c>
      <c r="N62" s="292">
        <f t="shared" si="39"/>
        <v>0</v>
      </c>
      <c r="O62" s="292">
        <f t="shared" si="40"/>
        <v>0</v>
      </c>
      <c r="P62" s="292">
        <f t="shared" si="5"/>
        <v>0</v>
      </c>
      <c r="Q62" s="292">
        <f t="shared" si="6"/>
        <v>0</v>
      </c>
      <c r="R62" s="292">
        <f t="shared" si="7"/>
        <v>0</v>
      </c>
      <c r="S62" s="292">
        <f t="shared" si="8"/>
        <v>0</v>
      </c>
      <c r="T62" s="292">
        <f t="shared" si="41"/>
        <v>0</v>
      </c>
      <c r="U62" s="292">
        <f t="shared" si="42"/>
        <v>0</v>
      </c>
      <c r="V62" s="292">
        <f t="shared" si="9"/>
        <v>0</v>
      </c>
      <c r="W62" s="292">
        <f t="shared" si="10"/>
        <v>0</v>
      </c>
      <c r="X62" s="292">
        <f t="shared" si="11"/>
        <v>0</v>
      </c>
      <c r="Y62" s="292">
        <f t="shared" si="12"/>
        <v>0</v>
      </c>
      <c r="Z62" s="292">
        <f t="shared" si="13"/>
        <v>0</v>
      </c>
      <c r="AA62" s="292">
        <f t="shared" si="14"/>
        <v>0</v>
      </c>
      <c r="AB62" s="292">
        <f t="shared" si="15"/>
        <v>0</v>
      </c>
      <c r="AC62" s="292">
        <f t="shared" si="16"/>
        <v>0</v>
      </c>
      <c r="AD62" s="292">
        <f t="shared" si="17"/>
        <v>0</v>
      </c>
      <c r="AE62" s="292">
        <f t="shared" si="18"/>
        <v>0</v>
      </c>
      <c r="AF62" s="292">
        <f t="shared" si="43"/>
        <v>0</v>
      </c>
      <c r="AG62" s="292">
        <f t="shared" si="44"/>
        <v>0</v>
      </c>
      <c r="AH62" s="292">
        <f t="shared" si="19"/>
        <v>0</v>
      </c>
      <c r="AI62" s="292">
        <f t="shared" si="20"/>
        <v>0</v>
      </c>
      <c r="AJ62" s="292">
        <f t="shared" si="21"/>
        <v>0</v>
      </c>
      <c r="AK62" s="292">
        <f t="shared" si="22"/>
        <v>0</v>
      </c>
      <c r="AL62" s="292">
        <f t="shared" si="23"/>
        <v>0</v>
      </c>
      <c r="AM62" s="292">
        <f t="shared" si="24"/>
        <v>0</v>
      </c>
      <c r="AN62" s="292">
        <f t="shared" si="25"/>
        <v>0</v>
      </c>
      <c r="AO62" s="292">
        <f t="shared" si="26"/>
        <v>0</v>
      </c>
      <c r="AP62" s="292">
        <f t="shared" si="27"/>
        <v>0</v>
      </c>
      <c r="AQ62" s="292">
        <f t="shared" si="28"/>
        <v>0</v>
      </c>
      <c r="AR62" s="292">
        <f t="shared" si="29"/>
        <v>0</v>
      </c>
      <c r="AS62" s="292">
        <f t="shared" si="30"/>
        <v>0</v>
      </c>
      <c r="AT62" s="292">
        <f t="shared" si="31"/>
        <v>0</v>
      </c>
      <c r="AU62" s="292">
        <f t="shared" si="32"/>
        <v>0</v>
      </c>
      <c r="AV62" s="292">
        <f t="shared" si="33"/>
        <v>0</v>
      </c>
      <c r="AW62" s="292">
        <f t="shared" si="34"/>
        <v>0</v>
      </c>
      <c r="AX62" s="292">
        <f t="shared" si="35"/>
        <v>0</v>
      </c>
      <c r="AY62" s="292">
        <f t="shared" si="36"/>
        <v>0</v>
      </c>
      <c r="AZ62" s="292">
        <f t="shared" si="37"/>
        <v>0</v>
      </c>
      <c r="BA62" s="292">
        <f t="shared" si="38"/>
        <v>0</v>
      </c>
    </row>
    <row r="63" spans="1:53" s="289" customFormat="1" ht="15" customHeight="1">
      <c r="A63" s="63" t="str">
        <f t="array" ref="A63">IF(C63&lt;&gt;0,SUM(($C$11:C63&lt;&gt;0)*1),"")</f>
        <v/>
      </c>
      <c r="B63" s="290"/>
      <c r="C63" s="290"/>
      <c r="D63" s="290"/>
      <c r="E63" s="396"/>
      <c r="F63" s="345"/>
      <c r="G63" s="347"/>
      <c r="H63" s="347"/>
      <c r="I63" s="63" t="str">
        <f t="shared" si="45"/>
        <v/>
      </c>
      <c r="J63" s="292">
        <f t="shared" si="1"/>
        <v>0</v>
      </c>
      <c r="K63" s="292">
        <f t="shared" si="2"/>
        <v>0</v>
      </c>
      <c r="L63" s="292">
        <f t="shared" si="3"/>
        <v>0</v>
      </c>
      <c r="M63" s="292">
        <f t="shared" si="4"/>
        <v>0</v>
      </c>
      <c r="N63" s="292">
        <f t="shared" si="39"/>
        <v>0</v>
      </c>
      <c r="O63" s="292">
        <f t="shared" si="40"/>
        <v>0</v>
      </c>
      <c r="P63" s="292">
        <f t="shared" si="5"/>
        <v>0</v>
      </c>
      <c r="Q63" s="292">
        <f t="shared" si="6"/>
        <v>0</v>
      </c>
      <c r="R63" s="292">
        <f t="shared" si="7"/>
        <v>0</v>
      </c>
      <c r="S63" s="292">
        <f t="shared" si="8"/>
        <v>0</v>
      </c>
      <c r="T63" s="292">
        <f t="shared" si="41"/>
        <v>0</v>
      </c>
      <c r="U63" s="292">
        <f t="shared" si="42"/>
        <v>0</v>
      </c>
      <c r="V63" s="292">
        <f t="shared" si="9"/>
        <v>0</v>
      </c>
      <c r="W63" s="292">
        <f t="shared" si="10"/>
        <v>0</v>
      </c>
      <c r="X63" s="292">
        <f t="shared" si="11"/>
        <v>0</v>
      </c>
      <c r="Y63" s="292">
        <f t="shared" si="12"/>
        <v>0</v>
      </c>
      <c r="Z63" s="292">
        <f t="shared" si="13"/>
        <v>0</v>
      </c>
      <c r="AA63" s="292">
        <f t="shared" si="14"/>
        <v>0</v>
      </c>
      <c r="AB63" s="292">
        <f t="shared" si="15"/>
        <v>0</v>
      </c>
      <c r="AC63" s="292">
        <f t="shared" si="16"/>
        <v>0</v>
      </c>
      <c r="AD63" s="292">
        <f t="shared" si="17"/>
        <v>0</v>
      </c>
      <c r="AE63" s="292">
        <f t="shared" si="18"/>
        <v>0</v>
      </c>
      <c r="AF63" s="292">
        <f t="shared" si="43"/>
        <v>0</v>
      </c>
      <c r="AG63" s="292">
        <f t="shared" si="44"/>
        <v>0</v>
      </c>
      <c r="AH63" s="292">
        <f t="shared" si="19"/>
        <v>0</v>
      </c>
      <c r="AI63" s="292">
        <f t="shared" si="20"/>
        <v>0</v>
      </c>
      <c r="AJ63" s="292">
        <f t="shared" si="21"/>
        <v>0</v>
      </c>
      <c r="AK63" s="292">
        <f t="shared" si="22"/>
        <v>0</v>
      </c>
      <c r="AL63" s="292">
        <f t="shared" si="23"/>
        <v>0</v>
      </c>
      <c r="AM63" s="292">
        <f t="shared" si="24"/>
        <v>0</v>
      </c>
      <c r="AN63" s="292">
        <f t="shared" si="25"/>
        <v>0</v>
      </c>
      <c r="AO63" s="292">
        <f t="shared" si="26"/>
        <v>0</v>
      </c>
      <c r="AP63" s="292">
        <f t="shared" si="27"/>
        <v>0</v>
      </c>
      <c r="AQ63" s="292">
        <f t="shared" si="28"/>
        <v>0</v>
      </c>
      <c r="AR63" s="292">
        <f t="shared" si="29"/>
        <v>0</v>
      </c>
      <c r="AS63" s="292">
        <f t="shared" si="30"/>
        <v>0</v>
      </c>
      <c r="AT63" s="292">
        <f t="shared" si="31"/>
        <v>0</v>
      </c>
      <c r="AU63" s="292">
        <f t="shared" si="32"/>
        <v>0</v>
      </c>
      <c r="AV63" s="292">
        <f t="shared" si="33"/>
        <v>0</v>
      </c>
      <c r="AW63" s="292">
        <f t="shared" si="34"/>
        <v>0</v>
      </c>
      <c r="AX63" s="292">
        <f t="shared" si="35"/>
        <v>0</v>
      </c>
      <c r="AY63" s="292">
        <f t="shared" si="36"/>
        <v>0</v>
      </c>
      <c r="AZ63" s="292">
        <f t="shared" si="37"/>
        <v>0</v>
      </c>
      <c r="BA63" s="292">
        <f t="shared" si="38"/>
        <v>0</v>
      </c>
    </row>
    <row r="64" spans="1:53" s="289" customFormat="1" ht="15" customHeight="1">
      <c r="A64" s="63" t="str">
        <f t="array" ref="A64">IF(C64&lt;&gt;0,SUM(($C$11:C64&lt;&gt;0)*1),"")</f>
        <v/>
      </c>
      <c r="B64" s="290"/>
      <c r="C64" s="290"/>
      <c r="D64" s="290"/>
      <c r="E64" s="396"/>
      <c r="F64" s="345"/>
      <c r="G64" s="347"/>
      <c r="H64" s="347"/>
      <c r="I64" s="63" t="str">
        <f t="shared" si="45"/>
        <v/>
      </c>
      <c r="J64" s="292">
        <f t="shared" si="1"/>
        <v>0</v>
      </c>
      <c r="K64" s="292">
        <f t="shared" si="2"/>
        <v>0</v>
      </c>
      <c r="L64" s="292">
        <f t="shared" si="3"/>
        <v>0</v>
      </c>
      <c r="M64" s="292">
        <f t="shared" si="4"/>
        <v>0</v>
      </c>
      <c r="N64" s="292">
        <f t="shared" si="39"/>
        <v>0</v>
      </c>
      <c r="O64" s="292">
        <f t="shared" si="40"/>
        <v>0</v>
      </c>
      <c r="P64" s="292">
        <f t="shared" si="5"/>
        <v>0</v>
      </c>
      <c r="Q64" s="292">
        <f t="shared" si="6"/>
        <v>0</v>
      </c>
      <c r="R64" s="292">
        <f t="shared" si="7"/>
        <v>0</v>
      </c>
      <c r="S64" s="292">
        <f t="shared" si="8"/>
        <v>0</v>
      </c>
      <c r="T64" s="292">
        <f t="shared" si="41"/>
        <v>0</v>
      </c>
      <c r="U64" s="292">
        <f t="shared" si="42"/>
        <v>0</v>
      </c>
      <c r="V64" s="292">
        <f t="shared" si="9"/>
        <v>0</v>
      </c>
      <c r="W64" s="292">
        <f t="shared" si="10"/>
        <v>0</v>
      </c>
      <c r="X64" s="292">
        <f t="shared" si="11"/>
        <v>0</v>
      </c>
      <c r="Y64" s="292">
        <f t="shared" si="12"/>
        <v>0</v>
      </c>
      <c r="Z64" s="292">
        <f t="shared" si="13"/>
        <v>0</v>
      </c>
      <c r="AA64" s="292">
        <f t="shared" si="14"/>
        <v>0</v>
      </c>
      <c r="AB64" s="292">
        <f t="shared" si="15"/>
        <v>0</v>
      </c>
      <c r="AC64" s="292">
        <f t="shared" si="16"/>
        <v>0</v>
      </c>
      <c r="AD64" s="292">
        <f t="shared" si="17"/>
        <v>0</v>
      </c>
      <c r="AE64" s="292">
        <f t="shared" si="18"/>
        <v>0</v>
      </c>
      <c r="AF64" s="292">
        <f t="shared" si="43"/>
        <v>0</v>
      </c>
      <c r="AG64" s="292">
        <f t="shared" si="44"/>
        <v>0</v>
      </c>
      <c r="AH64" s="292">
        <f t="shared" si="19"/>
        <v>0</v>
      </c>
      <c r="AI64" s="292">
        <f t="shared" si="20"/>
        <v>0</v>
      </c>
      <c r="AJ64" s="292">
        <f t="shared" si="21"/>
        <v>0</v>
      </c>
      <c r="AK64" s="292">
        <f t="shared" si="22"/>
        <v>0</v>
      </c>
      <c r="AL64" s="292">
        <f t="shared" si="23"/>
        <v>0</v>
      </c>
      <c r="AM64" s="292">
        <f t="shared" si="24"/>
        <v>0</v>
      </c>
      <c r="AN64" s="292">
        <f t="shared" si="25"/>
        <v>0</v>
      </c>
      <c r="AO64" s="292">
        <f t="shared" si="26"/>
        <v>0</v>
      </c>
      <c r="AP64" s="292">
        <f t="shared" si="27"/>
        <v>0</v>
      </c>
      <c r="AQ64" s="292">
        <f t="shared" si="28"/>
        <v>0</v>
      </c>
      <c r="AR64" s="292">
        <f t="shared" si="29"/>
        <v>0</v>
      </c>
      <c r="AS64" s="292">
        <f t="shared" si="30"/>
        <v>0</v>
      </c>
      <c r="AT64" s="292">
        <f t="shared" si="31"/>
        <v>0</v>
      </c>
      <c r="AU64" s="292">
        <f t="shared" si="32"/>
        <v>0</v>
      </c>
      <c r="AV64" s="292">
        <f t="shared" si="33"/>
        <v>0</v>
      </c>
      <c r="AW64" s="292">
        <f t="shared" si="34"/>
        <v>0</v>
      </c>
      <c r="AX64" s="292">
        <f t="shared" si="35"/>
        <v>0</v>
      </c>
      <c r="AY64" s="292">
        <f t="shared" si="36"/>
        <v>0</v>
      </c>
      <c r="AZ64" s="292">
        <f t="shared" si="37"/>
        <v>0</v>
      </c>
      <c r="BA64" s="292">
        <f t="shared" si="38"/>
        <v>0</v>
      </c>
    </row>
    <row r="65" spans="1:53" s="289" customFormat="1" ht="15" customHeight="1">
      <c r="A65" s="63" t="str">
        <f t="array" ref="A65">IF(C65&lt;&gt;0,SUM(($C$11:C65&lt;&gt;0)*1),"")</f>
        <v/>
      </c>
      <c r="B65" s="290"/>
      <c r="C65" s="290"/>
      <c r="D65" s="290"/>
      <c r="E65" s="396"/>
      <c r="F65" s="345"/>
      <c r="G65" s="347"/>
      <c r="H65" s="347"/>
      <c r="I65" s="63" t="str">
        <f t="shared" si="45"/>
        <v/>
      </c>
      <c r="J65" s="292">
        <f t="shared" si="1"/>
        <v>0</v>
      </c>
      <c r="K65" s="292">
        <f t="shared" si="2"/>
        <v>0</v>
      </c>
      <c r="L65" s="292">
        <f t="shared" si="3"/>
        <v>0</v>
      </c>
      <c r="M65" s="292">
        <f t="shared" si="4"/>
        <v>0</v>
      </c>
      <c r="N65" s="292">
        <f t="shared" si="39"/>
        <v>0</v>
      </c>
      <c r="O65" s="292">
        <f t="shared" si="40"/>
        <v>0</v>
      </c>
      <c r="P65" s="292">
        <f t="shared" si="5"/>
        <v>0</v>
      </c>
      <c r="Q65" s="292">
        <f t="shared" si="6"/>
        <v>0</v>
      </c>
      <c r="R65" s="292">
        <f t="shared" si="7"/>
        <v>0</v>
      </c>
      <c r="S65" s="292">
        <f t="shared" si="8"/>
        <v>0</v>
      </c>
      <c r="T65" s="292">
        <f t="shared" si="41"/>
        <v>0</v>
      </c>
      <c r="U65" s="292">
        <f t="shared" si="42"/>
        <v>0</v>
      </c>
      <c r="V65" s="292">
        <f t="shared" si="9"/>
        <v>0</v>
      </c>
      <c r="W65" s="292">
        <f t="shared" si="10"/>
        <v>0</v>
      </c>
      <c r="X65" s="292">
        <f t="shared" si="11"/>
        <v>0</v>
      </c>
      <c r="Y65" s="292">
        <f t="shared" si="12"/>
        <v>0</v>
      </c>
      <c r="Z65" s="292">
        <f t="shared" si="13"/>
        <v>0</v>
      </c>
      <c r="AA65" s="292">
        <f t="shared" si="14"/>
        <v>0</v>
      </c>
      <c r="AB65" s="292">
        <f t="shared" si="15"/>
        <v>0</v>
      </c>
      <c r="AC65" s="292">
        <f t="shared" si="16"/>
        <v>0</v>
      </c>
      <c r="AD65" s="292">
        <f t="shared" si="17"/>
        <v>0</v>
      </c>
      <c r="AE65" s="292">
        <f t="shared" si="18"/>
        <v>0</v>
      </c>
      <c r="AF65" s="292">
        <f t="shared" si="43"/>
        <v>0</v>
      </c>
      <c r="AG65" s="292">
        <f t="shared" si="44"/>
        <v>0</v>
      </c>
      <c r="AH65" s="292">
        <f t="shared" si="19"/>
        <v>0</v>
      </c>
      <c r="AI65" s="292">
        <f t="shared" si="20"/>
        <v>0</v>
      </c>
      <c r="AJ65" s="292">
        <f t="shared" si="21"/>
        <v>0</v>
      </c>
      <c r="AK65" s="292">
        <f t="shared" si="22"/>
        <v>0</v>
      </c>
      <c r="AL65" s="292">
        <f t="shared" si="23"/>
        <v>0</v>
      </c>
      <c r="AM65" s="292">
        <f t="shared" si="24"/>
        <v>0</v>
      </c>
      <c r="AN65" s="292">
        <f t="shared" si="25"/>
        <v>0</v>
      </c>
      <c r="AO65" s="292">
        <f t="shared" si="26"/>
        <v>0</v>
      </c>
      <c r="AP65" s="292">
        <f t="shared" si="27"/>
        <v>0</v>
      </c>
      <c r="AQ65" s="292">
        <f t="shared" si="28"/>
        <v>0</v>
      </c>
      <c r="AR65" s="292">
        <f t="shared" si="29"/>
        <v>0</v>
      </c>
      <c r="AS65" s="292">
        <f t="shared" si="30"/>
        <v>0</v>
      </c>
      <c r="AT65" s="292">
        <f t="shared" si="31"/>
        <v>0</v>
      </c>
      <c r="AU65" s="292">
        <f t="shared" si="32"/>
        <v>0</v>
      </c>
      <c r="AV65" s="292">
        <f t="shared" si="33"/>
        <v>0</v>
      </c>
      <c r="AW65" s="292">
        <f t="shared" si="34"/>
        <v>0</v>
      </c>
      <c r="AX65" s="292">
        <f t="shared" si="35"/>
        <v>0</v>
      </c>
      <c r="AY65" s="292">
        <f t="shared" si="36"/>
        <v>0</v>
      </c>
      <c r="AZ65" s="292">
        <f t="shared" si="37"/>
        <v>0</v>
      </c>
      <c r="BA65" s="292">
        <f t="shared" si="38"/>
        <v>0</v>
      </c>
    </row>
    <row r="66" spans="1:53" s="289" customFormat="1" ht="15" customHeight="1">
      <c r="A66" s="63" t="str">
        <f t="array" ref="A66">IF(C66&lt;&gt;0,SUM(($C$11:C66&lt;&gt;0)*1),"")</f>
        <v/>
      </c>
      <c r="B66" s="290"/>
      <c r="C66" s="290"/>
      <c r="D66" s="290"/>
      <c r="E66" s="396"/>
      <c r="F66" s="345"/>
      <c r="G66" s="347"/>
      <c r="H66" s="347"/>
      <c r="I66" s="63" t="str">
        <f t="shared" si="45"/>
        <v/>
      </c>
      <c r="J66" s="292">
        <f t="shared" si="1"/>
        <v>0</v>
      </c>
      <c r="K66" s="292">
        <f t="shared" si="2"/>
        <v>0</v>
      </c>
      <c r="L66" s="292">
        <f t="shared" si="3"/>
        <v>0</v>
      </c>
      <c r="M66" s="292">
        <f t="shared" si="4"/>
        <v>0</v>
      </c>
      <c r="N66" s="292">
        <f t="shared" si="39"/>
        <v>0</v>
      </c>
      <c r="O66" s="292">
        <f t="shared" si="40"/>
        <v>0</v>
      </c>
      <c r="P66" s="292">
        <f t="shared" si="5"/>
        <v>0</v>
      </c>
      <c r="Q66" s="292">
        <f t="shared" si="6"/>
        <v>0</v>
      </c>
      <c r="R66" s="292">
        <f t="shared" si="7"/>
        <v>0</v>
      </c>
      <c r="S66" s="292">
        <f t="shared" si="8"/>
        <v>0</v>
      </c>
      <c r="T66" s="292">
        <f t="shared" si="41"/>
        <v>0</v>
      </c>
      <c r="U66" s="292">
        <f t="shared" si="42"/>
        <v>0</v>
      </c>
      <c r="V66" s="292">
        <f t="shared" si="9"/>
        <v>0</v>
      </c>
      <c r="W66" s="292">
        <f t="shared" si="10"/>
        <v>0</v>
      </c>
      <c r="X66" s="292">
        <f t="shared" si="11"/>
        <v>0</v>
      </c>
      <c r="Y66" s="292">
        <f t="shared" si="12"/>
        <v>0</v>
      </c>
      <c r="Z66" s="292">
        <f t="shared" si="13"/>
        <v>0</v>
      </c>
      <c r="AA66" s="292">
        <f t="shared" si="14"/>
        <v>0</v>
      </c>
      <c r="AB66" s="292">
        <f t="shared" si="15"/>
        <v>0</v>
      </c>
      <c r="AC66" s="292">
        <f t="shared" si="16"/>
        <v>0</v>
      </c>
      <c r="AD66" s="292">
        <f t="shared" si="17"/>
        <v>0</v>
      </c>
      <c r="AE66" s="292">
        <f t="shared" si="18"/>
        <v>0</v>
      </c>
      <c r="AF66" s="292">
        <f t="shared" si="43"/>
        <v>0</v>
      </c>
      <c r="AG66" s="292">
        <f t="shared" si="44"/>
        <v>0</v>
      </c>
      <c r="AH66" s="292">
        <f t="shared" si="19"/>
        <v>0</v>
      </c>
      <c r="AI66" s="292">
        <f t="shared" si="20"/>
        <v>0</v>
      </c>
      <c r="AJ66" s="292">
        <f t="shared" si="21"/>
        <v>0</v>
      </c>
      <c r="AK66" s="292">
        <f t="shared" si="22"/>
        <v>0</v>
      </c>
      <c r="AL66" s="292">
        <f t="shared" si="23"/>
        <v>0</v>
      </c>
      <c r="AM66" s="292">
        <f t="shared" si="24"/>
        <v>0</v>
      </c>
      <c r="AN66" s="292">
        <f t="shared" si="25"/>
        <v>0</v>
      </c>
      <c r="AO66" s="292">
        <f t="shared" si="26"/>
        <v>0</v>
      </c>
      <c r="AP66" s="292">
        <f t="shared" si="27"/>
        <v>0</v>
      </c>
      <c r="AQ66" s="292">
        <f t="shared" si="28"/>
        <v>0</v>
      </c>
      <c r="AR66" s="292">
        <f t="shared" si="29"/>
        <v>0</v>
      </c>
      <c r="AS66" s="292">
        <f t="shared" si="30"/>
        <v>0</v>
      </c>
      <c r="AT66" s="292">
        <f t="shared" si="31"/>
        <v>0</v>
      </c>
      <c r="AU66" s="292">
        <f t="shared" si="32"/>
        <v>0</v>
      </c>
      <c r="AV66" s="292">
        <f t="shared" si="33"/>
        <v>0</v>
      </c>
      <c r="AW66" s="292">
        <f t="shared" si="34"/>
        <v>0</v>
      </c>
      <c r="AX66" s="292">
        <f t="shared" si="35"/>
        <v>0</v>
      </c>
      <c r="AY66" s="292">
        <f t="shared" si="36"/>
        <v>0</v>
      </c>
      <c r="AZ66" s="292">
        <f t="shared" si="37"/>
        <v>0</v>
      </c>
      <c r="BA66" s="292">
        <f t="shared" si="38"/>
        <v>0</v>
      </c>
    </row>
    <row r="67" spans="1:53" s="289" customFormat="1" ht="15" customHeight="1">
      <c r="A67" s="63" t="str">
        <f t="array" ref="A67">IF(C67&lt;&gt;0,SUM(($C$11:C67&lt;&gt;0)*1),"")</f>
        <v/>
      </c>
      <c r="B67" s="290"/>
      <c r="C67" s="290"/>
      <c r="D67" s="290"/>
      <c r="E67" s="396"/>
      <c r="F67" s="345"/>
      <c r="G67" s="347"/>
      <c r="H67" s="347"/>
      <c r="I67" s="63" t="str">
        <f t="shared" si="45"/>
        <v/>
      </c>
      <c r="J67" s="292">
        <f t="shared" si="1"/>
        <v>0</v>
      </c>
      <c r="K67" s="292">
        <f t="shared" si="2"/>
        <v>0</v>
      </c>
      <c r="L67" s="292">
        <f t="shared" si="3"/>
        <v>0</v>
      </c>
      <c r="M67" s="292">
        <f t="shared" si="4"/>
        <v>0</v>
      </c>
      <c r="N67" s="292">
        <f t="shared" si="39"/>
        <v>0</v>
      </c>
      <c r="O67" s="292">
        <f t="shared" si="40"/>
        <v>0</v>
      </c>
      <c r="P67" s="292">
        <f t="shared" si="5"/>
        <v>0</v>
      </c>
      <c r="Q67" s="292">
        <f t="shared" si="6"/>
        <v>0</v>
      </c>
      <c r="R67" s="292">
        <f t="shared" si="7"/>
        <v>0</v>
      </c>
      <c r="S67" s="292">
        <f t="shared" si="8"/>
        <v>0</v>
      </c>
      <c r="T67" s="292">
        <f t="shared" si="41"/>
        <v>0</v>
      </c>
      <c r="U67" s="292">
        <f t="shared" si="42"/>
        <v>0</v>
      </c>
      <c r="V67" s="292">
        <f t="shared" si="9"/>
        <v>0</v>
      </c>
      <c r="W67" s="292">
        <f t="shared" si="10"/>
        <v>0</v>
      </c>
      <c r="X67" s="292">
        <f t="shared" si="11"/>
        <v>0</v>
      </c>
      <c r="Y67" s="292">
        <f t="shared" si="12"/>
        <v>0</v>
      </c>
      <c r="Z67" s="292">
        <f t="shared" si="13"/>
        <v>0</v>
      </c>
      <c r="AA67" s="292">
        <f t="shared" si="14"/>
        <v>0</v>
      </c>
      <c r="AB67" s="292">
        <f t="shared" si="15"/>
        <v>0</v>
      </c>
      <c r="AC67" s="292">
        <f t="shared" si="16"/>
        <v>0</v>
      </c>
      <c r="AD67" s="292">
        <f t="shared" si="17"/>
        <v>0</v>
      </c>
      <c r="AE67" s="292">
        <f t="shared" si="18"/>
        <v>0</v>
      </c>
      <c r="AF67" s="292">
        <f t="shared" si="43"/>
        <v>0</v>
      </c>
      <c r="AG67" s="292">
        <f t="shared" si="44"/>
        <v>0</v>
      </c>
      <c r="AH67" s="292">
        <f t="shared" si="19"/>
        <v>0</v>
      </c>
      <c r="AI67" s="292">
        <f t="shared" si="20"/>
        <v>0</v>
      </c>
      <c r="AJ67" s="292">
        <f t="shared" si="21"/>
        <v>0</v>
      </c>
      <c r="AK67" s="292">
        <f t="shared" si="22"/>
        <v>0</v>
      </c>
      <c r="AL67" s="292">
        <f t="shared" si="23"/>
        <v>0</v>
      </c>
      <c r="AM67" s="292">
        <f t="shared" si="24"/>
        <v>0</v>
      </c>
      <c r="AN67" s="292">
        <f t="shared" si="25"/>
        <v>0</v>
      </c>
      <c r="AO67" s="292">
        <f t="shared" si="26"/>
        <v>0</v>
      </c>
      <c r="AP67" s="292">
        <f t="shared" si="27"/>
        <v>0</v>
      </c>
      <c r="AQ67" s="292">
        <f t="shared" si="28"/>
        <v>0</v>
      </c>
      <c r="AR67" s="292">
        <f t="shared" si="29"/>
        <v>0</v>
      </c>
      <c r="AS67" s="292">
        <f t="shared" si="30"/>
        <v>0</v>
      </c>
      <c r="AT67" s="292">
        <f t="shared" si="31"/>
        <v>0</v>
      </c>
      <c r="AU67" s="292">
        <f t="shared" si="32"/>
        <v>0</v>
      </c>
      <c r="AV67" s="292">
        <f t="shared" si="33"/>
        <v>0</v>
      </c>
      <c r="AW67" s="292">
        <f t="shared" si="34"/>
        <v>0</v>
      </c>
      <c r="AX67" s="292">
        <f t="shared" si="35"/>
        <v>0</v>
      </c>
      <c r="AY67" s="292">
        <f t="shared" si="36"/>
        <v>0</v>
      </c>
      <c r="AZ67" s="292">
        <f t="shared" si="37"/>
        <v>0</v>
      </c>
      <c r="BA67" s="292">
        <f t="shared" si="38"/>
        <v>0</v>
      </c>
    </row>
    <row r="68" spans="1:53" s="289" customFormat="1" ht="15" customHeight="1">
      <c r="A68" s="63" t="str">
        <f t="array" ref="A68">IF(C68&lt;&gt;0,SUM(($C$11:C68&lt;&gt;0)*1),"")</f>
        <v/>
      </c>
      <c r="B68" s="290"/>
      <c r="C68" s="290"/>
      <c r="D68" s="290"/>
      <c r="E68" s="396"/>
      <c r="F68" s="345"/>
      <c r="G68" s="347"/>
      <c r="H68" s="347"/>
      <c r="I68" s="63" t="str">
        <f t="shared" si="45"/>
        <v/>
      </c>
      <c r="J68" s="292">
        <f t="shared" si="1"/>
        <v>0</v>
      </c>
      <c r="K68" s="292">
        <f t="shared" si="2"/>
        <v>0</v>
      </c>
      <c r="L68" s="292">
        <f t="shared" si="3"/>
        <v>0</v>
      </c>
      <c r="M68" s="292">
        <f t="shared" si="4"/>
        <v>0</v>
      </c>
      <c r="N68" s="292">
        <f t="shared" si="39"/>
        <v>0</v>
      </c>
      <c r="O68" s="292">
        <f t="shared" si="40"/>
        <v>0</v>
      </c>
      <c r="P68" s="292">
        <f t="shared" si="5"/>
        <v>0</v>
      </c>
      <c r="Q68" s="292">
        <f t="shared" si="6"/>
        <v>0</v>
      </c>
      <c r="R68" s="292">
        <f t="shared" si="7"/>
        <v>0</v>
      </c>
      <c r="S68" s="292">
        <f t="shared" si="8"/>
        <v>0</v>
      </c>
      <c r="T68" s="292">
        <f t="shared" si="41"/>
        <v>0</v>
      </c>
      <c r="U68" s="292">
        <f t="shared" si="42"/>
        <v>0</v>
      </c>
      <c r="V68" s="292">
        <f t="shared" si="9"/>
        <v>0</v>
      </c>
      <c r="W68" s="292">
        <f t="shared" si="10"/>
        <v>0</v>
      </c>
      <c r="X68" s="292">
        <f t="shared" si="11"/>
        <v>0</v>
      </c>
      <c r="Y68" s="292">
        <f t="shared" si="12"/>
        <v>0</v>
      </c>
      <c r="Z68" s="292">
        <f t="shared" si="13"/>
        <v>0</v>
      </c>
      <c r="AA68" s="292">
        <f t="shared" si="14"/>
        <v>0</v>
      </c>
      <c r="AB68" s="292">
        <f t="shared" si="15"/>
        <v>0</v>
      </c>
      <c r="AC68" s="292">
        <f t="shared" si="16"/>
        <v>0</v>
      </c>
      <c r="AD68" s="292">
        <f t="shared" si="17"/>
        <v>0</v>
      </c>
      <c r="AE68" s="292">
        <f t="shared" si="18"/>
        <v>0</v>
      </c>
      <c r="AF68" s="292">
        <f t="shared" si="43"/>
        <v>0</v>
      </c>
      <c r="AG68" s="292">
        <f t="shared" si="44"/>
        <v>0</v>
      </c>
      <c r="AH68" s="292">
        <f t="shared" si="19"/>
        <v>0</v>
      </c>
      <c r="AI68" s="292">
        <f t="shared" si="20"/>
        <v>0</v>
      </c>
      <c r="AJ68" s="292">
        <f t="shared" si="21"/>
        <v>0</v>
      </c>
      <c r="AK68" s="292">
        <f t="shared" si="22"/>
        <v>0</v>
      </c>
      <c r="AL68" s="292">
        <f t="shared" si="23"/>
        <v>0</v>
      </c>
      <c r="AM68" s="292">
        <f t="shared" si="24"/>
        <v>0</v>
      </c>
      <c r="AN68" s="292">
        <f t="shared" si="25"/>
        <v>0</v>
      </c>
      <c r="AO68" s="292">
        <f t="shared" si="26"/>
        <v>0</v>
      </c>
      <c r="AP68" s="292">
        <f t="shared" si="27"/>
        <v>0</v>
      </c>
      <c r="AQ68" s="292">
        <f t="shared" si="28"/>
        <v>0</v>
      </c>
      <c r="AR68" s="292">
        <f t="shared" si="29"/>
        <v>0</v>
      </c>
      <c r="AS68" s="292">
        <f t="shared" si="30"/>
        <v>0</v>
      </c>
      <c r="AT68" s="292">
        <f t="shared" si="31"/>
        <v>0</v>
      </c>
      <c r="AU68" s="292">
        <f t="shared" si="32"/>
        <v>0</v>
      </c>
      <c r="AV68" s="292">
        <f t="shared" si="33"/>
        <v>0</v>
      </c>
      <c r="AW68" s="292">
        <f t="shared" si="34"/>
        <v>0</v>
      </c>
      <c r="AX68" s="292">
        <f t="shared" si="35"/>
        <v>0</v>
      </c>
      <c r="AY68" s="292">
        <f t="shared" si="36"/>
        <v>0</v>
      </c>
      <c r="AZ68" s="292">
        <f t="shared" si="37"/>
        <v>0</v>
      </c>
      <c r="BA68" s="292">
        <f t="shared" si="38"/>
        <v>0</v>
      </c>
    </row>
    <row r="69" spans="1:53" s="289" customFormat="1" ht="15" customHeight="1">
      <c r="A69" s="63" t="str">
        <f t="array" ref="A69">IF(C69&lt;&gt;0,SUM(($C$11:C69&lt;&gt;0)*1),"")</f>
        <v/>
      </c>
      <c r="B69" s="290"/>
      <c r="C69" s="290"/>
      <c r="D69" s="290"/>
      <c r="E69" s="396"/>
      <c r="F69" s="345"/>
      <c r="G69" s="347"/>
      <c r="H69" s="347"/>
      <c r="I69" s="63" t="str">
        <f t="shared" si="45"/>
        <v/>
      </c>
      <c r="J69" s="292">
        <f t="shared" si="1"/>
        <v>0</v>
      </c>
      <c r="K69" s="292">
        <f t="shared" si="2"/>
        <v>0</v>
      </c>
      <c r="L69" s="292">
        <f t="shared" si="3"/>
        <v>0</v>
      </c>
      <c r="M69" s="292">
        <f t="shared" si="4"/>
        <v>0</v>
      </c>
      <c r="N69" s="292">
        <f t="shared" si="39"/>
        <v>0</v>
      </c>
      <c r="O69" s="292">
        <f t="shared" si="40"/>
        <v>0</v>
      </c>
      <c r="P69" s="292">
        <f t="shared" si="5"/>
        <v>0</v>
      </c>
      <c r="Q69" s="292">
        <f t="shared" si="6"/>
        <v>0</v>
      </c>
      <c r="R69" s="292">
        <f t="shared" si="7"/>
        <v>0</v>
      </c>
      <c r="S69" s="292">
        <f t="shared" si="8"/>
        <v>0</v>
      </c>
      <c r="T69" s="292">
        <f t="shared" si="41"/>
        <v>0</v>
      </c>
      <c r="U69" s="292">
        <f t="shared" si="42"/>
        <v>0</v>
      </c>
      <c r="V69" s="292">
        <f t="shared" si="9"/>
        <v>0</v>
      </c>
      <c r="W69" s="292">
        <f t="shared" si="10"/>
        <v>0</v>
      </c>
      <c r="X69" s="292">
        <f t="shared" si="11"/>
        <v>0</v>
      </c>
      <c r="Y69" s="292">
        <f t="shared" si="12"/>
        <v>0</v>
      </c>
      <c r="Z69" s="292">
        <f t="shared" si="13"/>
        <v>0</v>
      </c>
      <c r="AA69" s="292">
        <f t="shared" si="14"/>
        <v>0</v>
      </c>
      <c r="AB69" s="292">
        <f t="shared" si="15"/>
        <v>0</v>
      </c>
      <c r="AC69" s="292">
        <f t="shared" si="16"/>
        <v>0</v>
      </c>
      <c r="AD69" s="292">
        <f t="shared" si="17"/>
        <v>0</v>
      </c>
      <c r="AE69" s="292">
        <f t="shared" si="18"/>
        <v>0</v>
      </c>
      <c r="AF69" s="292">
        <f t="shared" si="43"/>
        <v>0</v>
      </c>
      <c r="AG69" s="292">
        <f t="shared" si="44"/>
        <v>0</v>
      </c>
      <c r="AH69" s="292">
        <f t="shared" si="19"/>
        <v>0</v>
      </c>
      <c r="AI69" s="292">
        <f t="shared" si="20"/>
        <v>0</v>
      </c>
      <c r="AJ69" s="292">
        <f t="shared" si="21"/>
        <v>0</v>
      </c>
      <c r="AK69" s="292">
        <f t="shared" si="22"/>
        <v>0</v>
      </c>
      <c r="AL69" s="292">
        <f t="shared" si="23"/>
        <v>0</v>
      </c>
      <c r="AM69" s="292">
        <f t="shared" si="24"/>
        <v>0</v>
      </c>
      <c r="AN69" s="292">
        <f t="shared" si="25"/>
        <v>0</v>
      </c>
      <c r="AO69" s="292">
        <f t="shared" si="26"/>
        <v>0</v>
      </c>
      <c r="AP69" s="292">
        <f t="shared" si="27"/>
        <v>0</v>
      </c>
      <c r="AQ69" s="292">
        <f t="shared" si="28"/>
        <v>0</v>
      </c>
      <c r="AR69" s="292">
        <f t="shared" si="29"/>
        <v>0</v>
      </c>
      <c r="AS69" s="292">
        <f t="shared" si="30"/>
        <v>0</v>
      </c>
      <c r="AT69" s="292">
        <f t="shared" si="31"/>
        <v>0</v>
      </c>
      <c r="AU69" s="292">
        <f t="shared" si="32"/>
        <v>0</v>
      </c>
      <c r="AV69" s="292">
        <f t="shared" si="33"/>
        <v>0</v>
      </c>
      <c r="AW69" s="292">
        <f t="shared" si="34"/>
        <v>0</v>
      </c>
      <c r="AX69" s="292">
        <f t="shared" si="35"/>
        <v>0</v>
      </c>
      <c r="AY69" s="292">
        <f t="shared" si="36"/>
        <v>0</v>
      </c>
      <c r="AZ69" s="292">
        <f t="shared" si="37"/>
        <v>0</v>
      </c>
      <c r="BA69" s="292">
        <f t="shared" si="38"/>
        <v>0</v>
      </c>
    </row>
    <row r="70" spans="1:53" s="289" customFormat="1" ht="15" customHeight="1">
      <c r="A70" s="63" t="str">
        <f t="array" ref="A70">IF(C70&lt;&gt;0,SUM(($C$11:C70&lt;&gt;0)*1),"")</f>
        <v/>
      </c>
      <c r="B70" s="290"/>
      <c r="C70" s="290"/>
      <c r="D70" s="290"/>
      <c r="E70" s="396"/>
      <c r="F70" s="345"/>
      <c r="G70" s="347"/>
      <c r="H70" s="347"/>
      <c r="I70" s="63" t="str">
        <f t="shared" si="45"/>
        <v/>
      </c>
      <c r="J70" s="292">
        <f t="shared" si="1"/>
        <v>0</v>
      </c>
      <c r="K70" s="292">
        <f t="shared" si="2"/>
        <v>0</v>
      </c>
      <c r="L70" s="292">
        <f t="shared" si="3"/>
        <v>0</v>
      </c>
      <c r="M70" s="292">
        <f t="shared" si="4"/>
        <v>0</v>
      </c>
      <c r="N70" s="292">
        <f t="shared" si="39"/>
        <v>0</v>
      </c>
      <c r="O70" s="292">
        <f t="shared" si="40"/>
        <v>0</v>
      </c>
      <c r="P70" s="292">
        <f t="shared" si="5"/>
        <v>0</v>
      </c>
      <c r="Q70" s="292">
        <f t="shared" si="6"/>
        <v>0</v>
      </c>
      <c r="R70" s="292">
        <f t="shared" si="7"/>
        <v>0</v>
      </c>
      <c r="S70" s="292">
        <f t="shared" si="8"/>
        <v>0</v>
      </c>
      <c r="T70" s="292">
        <f t="shared" si="41"/>
        <v>0</v>
      </c>
      <c r="U70" s="292">
        <f t="shared" si="42"/>
        <v>0</v>
      </c>
      <c r="V70" s="292">
        <f t="shared" si="9"/>
        <v>0</v>
      </c>
      <c r="W70" s="292">
        <f t="shared" si="10"/>
        <v>0</v>
      </c>
      <c r="X70" s="292">
        <f t="shared" si="11"/>
        <v>0</v>
      </c>
      <c r="Y70" s="292">
        <f t="shared" si="12"/>
        <v>0</v>
      </c>
      <c r="Z70" s="292">
        <f t="shared" si="13"/>
        <v>0</v>
      </c>
      <c r="AA70" s="292">
        <f t="shared" si="14"/>
        <v>0</v>
      </c>
      <c r="AB70" s="292">
        <f t="shared" si="15"/>
        <v>0</v>
      </c>
      <c r="AC70" s="292">
        <f t="shared" si="16"/>
        <v>0</v>
      </c>
      <c r="AD70" s="292">
        <f t="shared" si="17"/>
        <v>0</v>
      </c>
      <c r="AE70" s="292">
        <f t="shared" si="18"/>
        <v>0</v>
      </c>
      <c r="AF70" s="292">
        <f t="shared" si="43"/>
        <v>0</v>
      </c>
      <c r="AG70" s="292">
        <f t="shared" si="44"/>
        <v>0</v>
      </c>
      <c r="AH70" s="292">
        <f t="shared" si="19"/>
        <v>0</v>
      </c>
      <c r="AI70" s="292">
        <f t="shared" si="20"/>
        <v>0</v>
      </c>
      <c r="AJ70" s="292">
        <f t="shared" si="21"/>
        <v>0</v>
      </c>
      <c r="AK70" s="292">
        <f t="shared" si="22"/>
        <v>0</v>
      </c>
      <c r="AL70" s="292">
        <f t="shared" si="23"/>
        <v>0</v>
      </c>
      <c r="AM70" s="292">
        <f t="shared" si="24"/>
        <v>0</v>
      </c>
      <c r="AN70" s="292">
        <f t="shared" si="25"/>
        <v>0</v>
      </c>
      <c r="AO70" s="292">
        <f t="shared" si="26"/>
        <v>0</v>
      </c>
      <c r="AP70" s="292">
        <f t="shared" si="27"/>
        <v>0</v>
      </c>
      <c r="AQ70" s="292">
        <f t="shared" si="28"/>
        <v>0</v>
      </c>
      <c r="AR70" s="292">
        <f t="shared" si="29"/>
        <v>0</v>
      </c>
      <c r="AS70" s="292">
        <f t="shared" si="30"/>
        <v>0</v>
      </c>
      <c r="AT70" s="292">
        <f t="shared" si="31"/>
        <v>0</v>
      </c>
      <c r="AU70" s="292">
        <f t="shared" si="32"/>
        <v>0</v>
      </c>
      <c r="AV70" s="292">
        <f t="shared" si="33"/>
        <v>0</v>
      </c>
      <c r="AW70" s="292">
        <f t="shared" si="34"/>
        <v>0</v>
      </c>
      <c r="AX70" s="292">
        <f t="shared" si="35"/>
        <v>0</v>
      </c>
      <c r="AY70" s="292">
        <f t="shared" si="36"/>
        <v>0</v>
      </c>
      <c r="AZ70" s="292">
        <f t="shared" si="37"/>
        <v>0</v>
      </c>
      <c r="BA70" s="292">
        <f t="shared" si="38"/>
        <v>0</v>
      </c>
    </row>
    <row r="71" spans="1:53" s="289" customFormat="1" ht="15" customHeight="1">
      <c r="A71" s="63" t="str">
        <f t="array" ref="A71">IF(C71&lt;&gt;0,SUM(($C$11:C71&lt;&gt;0)*1),"")</f>
        <v/>
      </c>
      <c r="B71" s="290"/>
      <c r="C71" s="290"/>
      <c r="D71" s="290"/>
      <c r="E71" s="396"/>
      <c r="F71" s="345"/>
      <c r="G71" s="347"/>
      <c r="H71" s="347"/>
      <c r="I71" s="63" t="str">
        <f t="shared" si="45"/>
        <v/>
      </c>
      <c r="J71" s="292">
        <f t="shared" si="1"/>
        <v>0</v>
      </c>
      <c r="K71" s="292">
        <f t="shared" si="2"/>
        <v>0</v>
      </c>
      <c r="L71" s="292">
        <f t="shared" si="3"/>
        <v>0</v>
      </c>
      <c r="M71" s="292">
        <f t="shared" si="4"/>
        <v>0</v>
      </c>
      <c r="N71" s="292">
        <f t="shared" si="39"/>
        <v>0</v>
      </c>
      <c r="O71" s="292">
        <f t="shared" si="40"/>
        <v>0</v>
      </c>
      <c r="P71" s="292">
        <f t="shared" si="5"/>
        <v>0</v>
      </c>
      <c r="Q71" s="292">
        <f t="shared" si="6"/>
        <v>0</v>
      </c>
      <c r="R71" s="292">
        <f t="shared" si="7"/>
        <v>0</v>
      </c>
      <c r="S71" s="292">
        <f t="shared" si="8"/>
        <v>0</v>
      </c>
      <c r="T71" s="292">
        <f t="shared" si="41"/>
        <v>0</v>
      </c>
      <c r="U71" s="292">
        <f t="shared" si="42"/>
        <v>0</v>
      </c>
      <c r="V71" s="292">
        <f t="shared" si="9"/>
        <v>0</v>
      </c>
      <c r="W71" s="292">
        <f t="shared" si="10"/>
        <v>0</v>
      </c>
      <c r="X71" s="292">
        <f t="shared" si="11"/>
        <v>0</v>
      </c>
      <c r="Y71" s="292">
        <f t="shared" si="12"/>
        <v>0</v>
      </c>
      <c r="Z71" s="292">
        <f t="shared" si="13"/>
        <v>0</v>
      </c>
      <c r="AA71" s="292">
        <f t="shared" si="14"/>
        <v>0</v>
      </c>
      <c r="AB71" s="292">
        <f t="shared" si="15"/>
        <v>0</v>
      </c>
      <c r="AC71" s="292">
        <f t="shared" si="16"/>
        <v>0</v>
      </c>
      <c r="AD71" s="292">
        <f t="shared" si="17"/>
        <v>0</v>
      </c>
      <c r="AE71" s="292">
        <f t="shared" si="18"/>
        <v>0</v>
      </c>
      <c r="AF71" s="292">
        <f t="shared" si="43"/>
        <v>0</v>
      </c>
      <c r="AG71" s="292">
        <f t="shared" si="44"/>
        <v>0</v>
      </c>
      <c r="AH71" s="292">
        <f t="shared" si="19"/>
        <v>0</v>
      </c>
      <c r="AI71" s="292">
        <f t="shared" si="20"/>
        <v>0</v>
      </c>
      <c r="AJ71" s="292">
        <f t="shared" si="21"/>
        <v>0</v>
      </c>
      <c r="AK71" s="292">
        <f t="shared" si="22"/>
        <v>0</v>
      </c>
      <c r="AL71" s="292">
        <f t="shared" si="23"/>
        <v>0</v>
      </c>
      <c r="AM71" s="292">
        <f t="shared" si="24"/>
        <v>0</v>
      </c>
      <c r="AN71" s="292">
        <f t="shared" si="25"/>
        <v>0</v>
      </c>
      <c r="AO71" s="292">
        <f t="shared" si="26"/>
        <v>0</v>
      </c>
      <c r="AP71" s="292">
        <f t="shared" si="27"/>
        <v>0</v>
      </c>
      <c r="AQ71" s="292">
        <f t="shared" si="28"/>
        <v>0</v>
      </c>
      <c r="AR71" s="292">
        <f t="shared" si="29"/>
        <v>0</v>
      </c>
      <c r="AS71" s="292">
        <f t="shared" si="30"/>
        <v>0</v>
      </c>
      <c r="AT71" s="292">
        <f t="shared" si="31"/>
        <v>0</v>
      </c>
      <c r="AU71" s="292">
        <f t="shared" si="32"/>
        <v>0</v>
      </c>
      <c r="AV71" s="292">
        <f t="shared" si="33"/>
        <v>0</v>
      </c>
      <c r="AW71" s="292">
        <f t="shared" si="34"/>
        <v>0</v>
      </c>
      <c r="AX71" s="292">
        <f t="shared" si="35"/>
        <v>0</v>
      </c>
      <c r="AY71" s="292">
        <f t="shared" si="36"/>
        <v>0</v>
      </c>
      <c r="AZ71" s="292">
        <f t="shared" si="37"/>
        <v>0</v>
      </c>
      <c r="BA71" s="292">
        <f t="shared" si="38"/>
        <v>0</v>
      </c>
    </row>
    <row r="72" spans="1:53" s="289" customFormat="1" ht="15" customHeight="1">
      <c r="A72" s="63" t="str">
        <f t="array" ref="A72">IF(C72&lt;&gt;0,SUM(($C$11:C72&lt;&gt;0)*1),"")</f>
        <v/>
      </c>
      <c r="B72" s="290"/>
      <c r="C72" s="290"/>
      <c r="D72" s="290"/>
      <c r="E72" s="396"/>
      <c r="F72" s="345"/>
      <c r="G72" s="347"/>
      <c r="H72" s="347"/>
      <c r="I72" s="63" t="str">
        <f t="shared" si="45"/>
        <v/>
      </c>
      <c r="J72" s="292">
        <f t="shared" si="1"/>
        <v>0</v>
      </c>
      <c r="K72" s="292">
        <f t="shared" si="2"/>
        <v>0</v>
      </c>
      <c r="L72" s="292">
        <f t="shared" si="3"/>
        <v>0</v>
      </c>
      <c r="M72" s="292">
        <f t="shared" si="4"/>
        <v>0</v>
      </c>
      <c r="N72" s="292">
        <f t="shared" si="39"/>
        <v>0</v>
      </c>
      <c r="O72" s="292">
        <f t="shared" si="40"/>
        <v>0</v>
      </c>
      <c r="P72" s="292">
        <f t="shared" si="5"/>
        <v>0</v>
      </c>
      <c r="Q72" s="292">
        <f t="shared" si="6"/>
        <v>0</v>
      </c>
      <c r="R72" s="292">
        <f t="shared" si="7"/>
        <v>0</v>
      </c>
      <c r="S72" s="292">
        <f t="shared" si="8"/>
        <v>0</v>
      </c>
      <c r="T72" s="292">
        <f t="shared" si="41"/>
        <v>0</v>
      </c>
      <c r="U72" s="292">
        <f t="shared" si="42"/>
        <v>0</v>
      </c>
      <c r="V72" s="292">
        <f t="shared" si="9"/>
        <v>0</v>
      </c>
      <c r="W72" s="292">
        <f t="shared" si="10"/>
        <v>0</v>
      </c>
      <c r="X72" s="292">
        <f t="shared" si="11"/>
        <v>0</v>
      </c>
      <c r="Y72" s="292">
        <f t="shared" si="12"/>
        <v>0</v>
      </c>
      <c r="Z72" s="292">
        <f t="shared" si="13"/>
        <v>0</v>
      </c>
      <c r="AA72" s="292">
        <f t="shared" si="14"/>
        <v>0</v>
      </c>
      <c r="AB72" s="292">
        <f t="shared" si="15"/>
        <v>0</v>
      </c>
      <c r="AC72" s="292">
        <f t="shared" si="16"/>
        <v>0</v>
      </c>
      <c r="AD72" s="292">
        <f t="shared" si="17"/>
        <v>0</v>
      </c>
      <c r="AE72" s="292">
        <f t="shared" si="18"/>
        <v>0</v>
      </c>
      <c r="AF72" s="292">
        <f t="shared" si="43"/>
        <v>0</v>
      </c>
      <c r="AG72" s="292">
        <f t="shared" si="44"/>
        <v>0</v>
      </c>
      <c r="AH72" s="292">
        <f t="shared" si="19"/>
        <v>0</v>
      </c>
      <c r="AI72" s="292">
        <f t="shared" si="20"/>
        <v>0</v>
      </c>
      <c r="AJ72" s="292">
        <f t="shared" si="21"/>
        <v>0</v>
      </c>
      <c r="AK72" s="292">
        <f t="shared" si="22"/>
        <v>0</v>
      </c>
      <c r="AL72" s="292">
        <f t="shared" si="23"/>
        <v>0</v>
      </c>
      <c r="AM72" s="292">
        <f t="shared" si="24"/>
        <v>0</v>
      </c>
      <c r="AN72" s="292">
        <f t="shared" si="25"/>
        <v>0</v>
      </c>
      <c r="AO72" s="292">
        <f t="shared" si="26"/>
        <v>0</v>
      </c>
      <c r="AP72" s="292">
        <f t="shared" si="27"/>
        <v>0</v>
      </c>
      <c r="AQ72" s="292">
        <f t="shared" si="28"/>
        <v>0</v>
      </c>
      <c r="AR72" s="292">
        <f t="shared" si="29"/>
        <v>0</v>
      </c>
      <c r="AS72" s="292">
        <f t="shared" si="30"/>
        <v>0</v>
      </c>
      <c r="AT72" s="292">
        <f t="shared" si="31"/>
        <v>0</v>
      </c>
      <c r="AU72" s="292">
        <f t="shared" si="32"/>
        <v>0</v>
      </c>
      <c r="AV72" s="292">
        <f t="shared" si="33"/>
        <v>0</v>
      </c>
      <c r="AW72" s="292">
        <f t="shared" si="34"/>
        <v>0</v>
      </c>
      <c r="AX72" s="292">
        <f t="shared" si="35"/>
        <v>0</v>
      </c>
      <c r="AY72" s="292">
        <f t="shared" si="36"/>
        <v>0</v>
      </c>
      <c r="AZ72" s="292">
        <f t="shared" si="37"/>
        <v>0</v>
      </c>
      <c r="BA72" s="292">
        <f t="shared" si="38"/>
        <v>0</v>
      </c>
    </row>
    <row r="73" spans="1:53" s="289" customFormat="1" ht="15" customHeight="1">
      <c r="A73" s="63" t="str">
        <f t="array" ref="A73">IF(C73&lt;&gt;0,SUM(($C$11:C73&lt;&gt;0)*1),"")</f>
        <v/>
      </c>
      <c r="B73" s="290"/>
      <c r="C73" s="290"/>
      <c r="D73" s="290"/>
      <c r="E73" s="396"/>
      <c r="F73" s="345"/>
      <c r="G73" s="347"/>
      <c r="H73" s="347"/>
      <c r="I73" s="63" t="str">
        <f t="shared" si="45"/>
        <v/>
      </c>
      <c r="J73" s="292">
        <f t="shared" si="1"/>
        <v>0</v>
      </c>
      <c r="K73" s="292">
        <f t="shared" si="2"/>
        <v>0</v>
      </c>
      <c r="L73" s="292">
        <f t="shared" si="3"/>
        <v>0</v>
      </c>
      <c r="M73" s="292">
        <f t="shared" si="4"/>
        <v>0</v>
      </c>
      <c r="N73" s="292">
        <f t="shared" si="39"/>
        <v>0</v>
      </c>
      <c r="O73" s="292">
        <f t="shared" si="40"/>
        <v>0</v>
      </c>
      <c r="P73" s="292">
        <f t="shared" si="5"/>
        <v>0</v>
      </c>
      <c r="Q73" s="292">
        <f t="shared" si="6"/>
        <v>0</v>
      </c>
      <c r="R73" s="292">
        <f t="shared" si="7"/>
        <v>0</v>
      </c>
      <c r="S73" s="292">
        <f t="shared" si="8"/>
        <v>0</v>
      </c>
      <c r="T73" s="292">
        <f t="shared" si="41"/>
        <v>0</v>
      </c>
      <c r="U73" s="292">
        <f t="shared" si="42"/>
        <v>0</v>
      </c>
      <c r="V73" s="292">
        <f t="shared" si="9"/>
        <v>0</v>
      </c>
      <c r="W73" s="292">
        <f t="shared" si="10"/>
        <v>0</v>
      </c>
      <c r="X73" s="292">
        <f t="shared" si="11"/>
        <v>0</v>
      </c>
      <c r="Y73" s="292">
        <f t="shared" si="12"/>
        <v>0</v>
      </c>
      <c r="Z73" s="292">
        <f t="shared" si="13"/>
        <v>0</v>
      </c>
      <c r="AA73" s="292">
        <f t="shared" si="14"/>
        <v>0</v>
      </c>
      <c r="AB73" s="292">
        <f t="shared" si="15"/>
        <v>0</v>
      </c>
      <c r="AC73" s="292">
        <f t="shared" si="16"/>
        <v>0</v>
      </c>
      <c r="AD73" s="292">
        <f t="shared" si="17"/>
        <v>0</v>
      </c>
      <c r="AE73" s="292">
        <f t="shared" si="18"/>
        <v>0</v>
      </c>
      <c r="AF73" s="292">
        <f t="shared" si="43"/>
        <v>0</v>
      </c>
      <c r="AG73" s="292">
        <f t="shared" si="44"/>
        <v>0</v>
      </c>
      <c r="AH73" s="292">
        <f t="shared" si="19"/>
        <v>0</v>
      </c>
      <c r="AI73" s="292">
        <f t="shared" si="20"/>
        <v>0</v>
      </c>
      <c r="AJ73" s="292">
        <f t="shared" si="21"/>
        <v>0</v>
      </c>
      <c r="AK73" s="292">
        <f t="shared" si="22"/>
        <v>0</v>
      </c>
      <c r="AL73" s="292">
        <f t="shared" si="23"/>
        <v>0</v>
      </c>
      <c r="AM73" s="292">
        <f t="shared" si="24"/>
        <v>0</v>
      </c>
      <c r="AN73" s="292">
        <f t="shared" si="25"/>
        <v>0</v>
      </c>
      <c r="AO73" s="292">
        <f t="shared" si="26"/>
        <v>0</v>
      </c>
      <c r="AP73" s="292">
        <f t="shared" si="27"/>
        <v>0</v>
      </c>
      <c r="AQ73" s="292">
        <f t="shared" si="28"/>
        <v>0</v>
      </c>
      <c r="AR73" s="292">
        <f t="shared" si="29"/>
        <v>0</v>
      </c>
      <c r="AS73" s="292">
        <f t="shared" si="30"/>
        <v>0</v>
      </c>
      <c r="AT73" s="292">
        <f t="shared" si="31"/>
        <v>0</v>
      </c>
      <c r="AU73" s="292">
        <f t="shared" si="32"/>
        <v>0</v>
      </c>
      <c r="AV73" s="292">
        <f t="shared" si="33"/>
        <v>0</v>
      </c>
      <c r="AW73" s="292">
        <f t="shared" si="34"/>
        <v>0</v>
      </c>
      <c r="AX73" s="292">
        <f t="shared" si="35"/>
        <v>0</v>
      </c>
      <c r="AY73" s="292">
        <f t="shared" si="36"/>
        <v>0</v>
      </c>
      <c r="AZ73" s="292">
        <f t="shared" si="37"/>
        <v>0</v>
      </c>
      <c r="BA73" s="292">
        <f t="shared" si="38"/>
        <v>0</v>
      </c>
    </row>
    <row r="74" spans="1:53" s="289" customFormat="1" ht="15" customHeight="1">
      <c r="A74" s="63" t="str">
        <f t="array" ref="A74">IF(C74&lt;&gt;0,SUM(($C$11:C74&lt;&gt;0)*1),"")</f>
        <v/>
      </c>
      <c r="B74" s="290"/>
      <c r="C74" s="290"/>
      <c r="D74" s="290"/>
      <c r="E74" s="396"/>
      <c r="F74" s="345"/>
      <c r="G74" s="347"/>
      <c r="H74" s="347"/>
      <c r="I74" s="63" t="str">
        <f t="shared" si="45"/>
        <v/>
      </c>
      <c r="J74" s="292">
        <f t="shared" si="1"/>
        <v>0</v>
      </c>
      <c r="K74" s="292">
        <f t="shared" si="2"/>
        <v>0</v>
      </c>
      <c r="L74" s="292">
        <f t="shared" si="3"/>
        <v>0</v>
      </c>
      <c r="M74" s="292">
        <f t="shared" si="4"/>
        <v>0</v>
      </c>
      <c r="N74" s="292">
        <f t="shared" si="39"/>
        <v>0</v>
      </c>
      <c r="O74" s="292">
        <f t="shared" si="40"/>
        <v>0</v>
      </c>
      <c r="P74" s="292">
        <f t="shared" si="5"/>
        <v>0</v>
      </c>
      <c r="Q74" s="292">
        <f t="shared" si="6"/>
        <v>0</v>
      </c>
      <c r="R74" s="292">
        <f t="shared" si="7"/>
        <v>0</v>
      </c>
      <c r="S74" s="292">
        <f t="shared" si="8"/>
        <v>0</v>
      </c>
      <c r="T74" s="292">
        <f t="shared" si="41"/>
        <v>0</v>
      </c>
      <c r="U74" s="292">
        <f t="shared" si="42"/>
        <v>0</v>
      </c>
      <c r="V74" s="292">
        <f t="shared" si="9"/>
        <v>0</v>
      </c>
      <c r="W74" s="292">
        <f t="shared" si="10"/>
        <v>0</v>
      </c>
      <c r="X74" s="292">
        <f t="shared" si="11"/>
        <v>0</v>
      </c>
      <c r="Y74" s="292">
        <f t="shared" si="12"/>
        <v>0</v>
      </c>
      <c r="Z74" s="292">
        <f t="shared" si="13"/>
        <v>0</v>
      </c>
      <c r="AA74" s="292">
        <f t="shared" si="14"/>
        <v>0</v>
      </c>
      <c r="AB74" s="292">
        <f t="shared" si="15"/>
        <v>0</v>
      </c>
      <c r="AC74" s="292">
        <f t="shared" si="16"/>
        <v>0</v>
      </c>
      <c r="AD74" s="292">
        <f t="shared" si="17"/>
        <v>0</v>
      </c>
      <c r="AE74" s="292">
        <f t="shared" si="18"/>
        <v>0</v>
      </c>
      <c r="AF74" s="292">
        <f t="shared" si="43"/>
        <v>0</v>
      </c>
      <c r="AG74" s="292">
        <f t="shared" si="44"/>
        <v>0</v>
      </c>
      <c r="AH74" s="292">
        <f t="shared" si="19"/>
        <v>0</v>
      </c>
      <c r="AI74" s="292">
        <f t="shared" si="20"/>
        <v>0</v>
      </c>
      <c r="AJ74" s="292">
        <f t="shared" si="21"/>
        <v>0</v>
      </c>
      <c r="AK74" s="292">
        <f t="shared" si="22"/>
        <v>0</v>
      </c>
      <c r="AL74" s="292">
        <f t="shared" si="23"/>
        <v>0</v>
      </c>
      <c r="AM74" s="292">
        <f t="shared" si="24"/>
        <v>0</v>
      </c>
      <c r="AN74" s="292">
        <f t="shared" si="25"/>
        <v>0</v>
      </c>
      <c r="AO74" s="292">
        <f t="shared" si="26"/>
        <v>0</v>
      </c>
      <c r="AP74" s="292">
        <f t="shared" si="27"/>
        <v>0</v>
      </c>
      <c r="AQ74" s="292">
        <f t="shared" si="28"/>
        <v>0</v>
      </c>
      <c r="AR74" s="292">
        <f t="shared" si="29"/>
        <v>0</v>
      </c>
      <c r="AS74" s="292">
        <f t="shared" si="30"/>
        <v>0</v>
      </c>
      <c r="AT74" s="292">
        <f t="shared" si="31"/>
        <v>0</v>
      </c>
      <c r="AU74" s="292">
        <f t="shared" si="32"/>
        <v>0</v>
      </c>
      <c r="AV74" s="292">
        <f t="shared" si="33"/>
        <v>0</v>
      </c>
      <c r="AW74" s="292">
        <f t="shared" si="34"/>
        <v>0</v>
      </c>
      <c r="AX74" s="292">
        <f t="shared" si="35"/>
        <v>0</v>
      </c>
      <c r="AY74" s="292">
        <f t="shared" si="36"/>
        <v>0</v>
      </c>
      <c r="AZ74" s="292">
        <f t="shared" si="37"/>
        <v>0</v>
      </c>
      <c r="BA74" s="292">
        <f t="shared" si="38"/>
        <v>0</v>
      </c>
    </row>
    <row r="75" spans="1:53" s="289" customFormat="1" ht="15" customHeight="1">
      <c r="A75" s="63" t="str">
        <f t="array" ref="A75">IF(C75&lt;&gt;0,SUM(($C$11:C75&lt;&gt;0)*1),"")</f>
        <v/>
      </c>
      <c r="B75" s="290"/>
      <c r="C75" s="290"/>
      <c r="D75" s="290"/>
      <c r="E75" s="396"/>
      <c r="F75" s="345"/>
      <c r="G75" s="347"/>
      <c r="H75" s="347"/>
      <c r="I75" s="63" t="str">
        <f t="shared" si="45"/>
        <v/>
      </c>
      <c r="J75" s="292">
        <f t="shared" ref="J75:J138" si="46">IF($G75="1111",$F75,0)</f>
        <v>0</v>
      </c>
      <c r="K75" s="292">
        <f t="shared" ref="K75:K138" si="47">IF($H75="1111",$F75,0)</f>
        <v>0</v>
      </c>
      <c r="L75" s="292">
        <f t="shared" ref="L75:L138" si="48">IF($G75="1121",$F75,0)</f>
        <v>0</v>
      </c>
      <c r="M75" s="292">
        <f t="shared" ref="M75:M138" si="49">IF($H75="1121",$F75,0)</f>
        <v>0</v>
      </c>
      <c r="N75" s="292">
        <f t="shared" si="39"/>
        <v>0</v>
      </c>
      <c r="O75" s="292">
        <f t="shared" si="40"/>
        <v>0</v>
      </c>
      <c r="P75" s="292">
        <f t="shared" ref="P75:P138" si="50">IF($G75="1331",$F75,0)</f>
        <v>0</v>
      </c>
      <c r="Q75" s="292">
        <f t="shared" ref="Q75:Q138" si="51">IF($H75="1331",$F75,0)</f>
        <v>0</v>
      </c>
      <c r="R75" s="292">
        <f t="shared" ref="R75:R138" si="52">IF($G75="1388",$F75,0)</f>
        <v>0</v>
      </c>
      <c r="S75" s="292">
        <f t="shared" ref="S75:S138" si="53">IF($H75="1388",$F75,0)</f>
        <v>0</v>
      </c>
      <c r="T75" s="292">
        <f t="shared" si="41"/>
        <v>0</v>
      </c>
      <c r="U75" s="292">
        <f t="shared" si="42"/>
        <v>0</v>
      </c>
      <c r="V75" s="292">
        <f t="shared" ref="V75:V138" si="54">IF($G75="331",$F75,0)</f>
        <v>0</v>
      </c>
      <c r="W75" s="292">
        <f t="shared" ref="W75:W138" si="55">IF($H75="331",$F75,0)</f>
        <v>0</v>
      </c>
      <c r="X75" s="292">
        <f t="shared" ref="X75:X138" si="56">IF($G75="3334",$F75,0)</f>
        <v>0</v>
      </c>
      <c r="Y75" s="292">
        <f t="shared" ref="Y75:Y138" si="57">IF($H75="3334",$F75,0)</f>
        <v>0</v>
      </c>
      <c r="Z75" s="292">
        <f t="shared" ref="Z75:Z138" si="58">IF($G75="33382",$F75,0)</f>
        <v>0</v>
      </c>
      <c r="AA75" s="292">
        <f t="shared" ref="AA75:AA138" si="59">IF($H75="33382",$F75,0)</f>
        <v>0</v>
      </c>
      <c r="AB75" s="292">
        <f t="shared" ref="AB75:AB138" si="60">IF($G75="3388",$F75,0)</f>
        <v>0</v>
      </c>
      <c r="AC75" s="292">
        <f t="shared" ref="AC75:AC138" si="61">IF($H75="3388",$F75,0)</f>
        <v>0</v>
      </c>
      <c r="AD75" s="292">
        <f t="shared" ref="AD75:AD138" si="62">IF($G75="3411",$F75,0)</f>
        <v>0</v>
      </c>
      <c r="AE75" s="292">
        <f t="shared" ref="AE75:AE138" si="63">IF($H75="3411",$F75,0)</f>
        <v>0</v>
      </c>
      <c r="AF75" s="292">
        <f t="shared" si="43"/>
        <v>0</v>
      </c>
      <c r="AG75" s="292">
        <f t="shared" si="44"/>
        <v>0</v>
      </c>
      <c r="AH75" s="292">
        <f t="shared" ref="AH75:AH138" si="64">IF($G75="4111",$F75,0)</f>
        <v>0</v>
      </c>
      <c r="AI75" s="292">
        <f t="shared" ref="AI75:AI138" si="65">IF($H75="4111",$F75,0)</f>
        <v>0</v>
      </c>
      <c r="AJ75" s="292">
        <f t="shared" ref="AJ75:AJ138" si="66">IF($G75="4211",$F75,0)</f>
        <v>0</v>
      </c>
      <c r="AK75" s="292">
        <f t="shared" ref="AK75:AK138" si="67">IF($H75="4211",$F75,0)</f>
        <v>0</v>
      </c>
      <c r="AL75" s="292">
        <f t="shared" ref="AL75:AL138" si="68">IF($G75="4212",$F75,0)</f>
        <v>0</v>
      </c>
      <c r="AM75" s="292">
        <f t="shared" ref="AM75:AM138" si="69">IF($H75="4212",$F75,0)</f>
        <v>0</v>
      </c>
      <c r="AN75" s="292">
        <f t="shared" ref="AN75:AN138" si="70">IF($G75="515",$F75,0)</f>
        <v>0</v>
      </c>
      <c r="AO75" s="292">
        <f t="shared" ref="AO75:AO138" si="71">IF($H75="515",$F75,0)</f>
        <v>0</v>
      </c>
      <c r="AP75" s="292">
        <f t="shared" ref="AP75:AP138" si="72">IF($G75="635",$F75,0)</f>
        <v>0</v>
      </c>
      <c r="AQ75" s="292">
        <f t="shared" ref="AQ75:AQ138" si="73">IF($H75="635",$F75,0)</f>
        <v>0</v>
      </c>
      <c r="AR75" s="292">
        <f t="shared" ref="AR75:AR138" si="74">IF($G75="642",$F75,0)</f>
        <v>0</v>
      </c>
      <c r="AS75" s="292">
        <f t="shared" ref="AS75:AS138" si="75">IF($H75="642",$F75,0)</f>
        <v>0</v>
      </c>
      <c r="AT75" s="292">
        <f t="shared" ref="AT75:AT138" si="76">IF($G75="711",$F75,0)</f>
        <v>0</v>
      </c>
      <c r="AU75" s="292">
        <f t="shared" ref="AU75:AU138" si="77">IF($H75="711",$F75,0)</f>
        <v>0</v>
      </c>
      <c r="AV75" s="292">
        <f t="shared" ref="AV75:AV138" si="78">IF($G75="811",$F75,0)</f>
        <v>0</v>
      </c>
      <c r="AW75" s="292">
        <f t="shared" ref="AW75:AW138" si="79">IF($H75="811",$F75,0)</f>
        <v>0</v>
      </c>
      <c r="AX75" s="292">
        <f t="shared" ref="AX75:AX138" si="80">IF($G75="821",$F75,0)</f>
        <v>0</v>
      </c>
      <c r="AY75" s="292">
        <f t="shared" ref="AY75:AY138" si="81">IF($H75="821",$F75,0)</f>
        <v>0</v>
      </c>
      <c r="AZ75" s="292">
        <f t="shared" ref="AZ75:AZ138" si="82">IF($G75="911",$F75,0)</f>
        <v>0</v>
      </c>
      <c r="BA75" s="292">
        <f t="shared" ref="BA75:BA138" si="83">IF($H75="911",$F75,0)</f>
        <v>0</v>
      </c>
    </row>
    <row r="76" spans="1:53" s="289" customFormat="1" ht="15" customHeight="1">
      <c r="A76" s="63" t="str">
        <f t="array" ref="A76">IF(C76&lt;&gt;0,SUM(($C$11:C76&lt;&gt;0)*1),"")</f>
        <v/>
      </c>
      <c r="B76" s="290"/>
      <c r="C76" s="290"/>
      <c r="D76" s="290"/>
      <c r="E76" s="396"/>
      <c r="F76" s="345"/>
      <c r="G76" s="347"/>
      <c r="H76" s="347"/>
      <c r="I76" s="63" t="str">
        <f t="shared" si="45"/>
        <v/>
      </c>
      <c r="J76" s="292">
        <f t="shared" si="46"/>
        <v>0</v>
      </c>
      <c r="K76" s="292">
        <f t="shared" si="47"/>
        <v>0</v>
      </c>
      <c r="L76" s="292">
        <f t="shared" si="48"/>
        <v>0</v>
      </c>
      <c r="M76" s="292">
        <f t="shared" si="49"/>
        <v>0</v>
      </c>
      <c r="N76" s="292">
        <f t="shared" ref="N76:N139" si="84">IF($G76="1122",$F76,0)</f>
        <v>0</v>
      </c>
      <c r="O76" s="292">
        <f t="shared" ref="O76:O139" si="85">IF($H76="1122",$F76,0)</f>
        <v>0</v>
      </c>
      <c r="P76" s="292">
        <f t="shared" si="50"/>
        <v>0</v>
      </c>
      <c r="Q76" s="292">
        <f t="shared" si="51"/>
        <v>0</v>
      </c>
      <c r="R76" s="292">
        <f t="shared" si="52"/>
        <v>0</v>
      </c>
      <c r="S76" s="292">
        <f t="shared" si="53"/>
        <v>0</v>
      </c>
      <c r="T76" s="292">
        <f t="shared" ref="T76:T139" si="86">IF($G76="2412",$F76,0)</f>
        <v>0</v>
      </c>
      <c r="U76" s="292">
        <f t="shared" ref="U76:U139" si="87">IF($H76="2412",$F76,0)</f>
        <v>0</v>
      </c>
      <c r="V76" s="292">
        <f t="shared" si="54"/>
        <v>0</v>
      </c>
      <c r="W76" s="292">
        <f t="shared" si="55"/>
        <v>0</v>
      </c>
      <c r="X76" s="292">
        <f t="shared" si="56"/>
        <v>0</v>
      </c>
      <c r="Y76" s="292">
        <f t="shared" si="57"/>
        <v>0</v>
      </c>
      <c r="Z76" s="292">
        <f t="shared" si="58"/>
        <v>0</v>
      </c>
      <c r="AA76" s="292">
        <f t="shared" si="59"/>
        <v>0</v>
      </c>
      <c r="AB76" s="292">
        <f t="shared" si="60"/>
        <v>0</v>
      </c>
      <c r="AC76" s="292">
        <f t="shared" si="61"/>
        <v>0</v>
      </c>
      <c r="AD76" s="292">
        <f t="shared" si="62"/>
        <v>0</v>
      </c>
      <c r="AE76" s="292">
        <f t="shared" si="63"/>
        <v>0</v>
      </c>
      <c r="AF76" s="292">
        <f t="shared" ref="AF76:AF139" si="88">IF($G76="3412",$F76,0)</f>
        <v>0</v>
      </c>
      <c r="AG76" s="292">
        <f t="shared" ref="AG76:AG139" si="89">IF($H76="3412",$F76,0)</f>
        <v>0</v>
      </c>
      <c r="AH76" s="292">
        <f t="shared" si="64"/>
        <v>0</v>
      </c>
      <c r="AI76" s="292">
        <f t="shared" si="65"/>
        <v>0</v>
      </c>
      <c r="AJ76" s="292">
        <f t="shared" si="66"/>
        <v>0</v>
      </c>
      <c r="AK76" s="292">
        <f t="shared" si="67"/>
        <v>0</v>
      </c>
      <c r="AL76" s="292">
        <f t="shared" si="68"/>
        <v>0</v>
      </c>
      <c r="AM76" s="292">
        <f t="shared" si="69"/>
        <v>0</v>
      </c>
      <c r="AN76" s="292">
        <f t="shared" si="70"/>
        <v>0</v>
      </c>
      <c r="AO76" s="292">
        <f t="shared" si="71"/>
        <v>0</v>
      </c>
      <c r="AP76" s="292">
        <f t="shared" si="72"/>
        <v>0</v>
      </c>
      <c r="AQ76" s="292">
        <f t="shared" si="73"/>
        <v>0</v>
      </c>
      <c r="AR76" s="292">
        <f t="shared" si="74"/>
        <v>0</v>
      </c>
      <c r="AS76" s="292">
        <f t="shared" si="75"/>
        <v>0</v>
      </c>
      <c r="AT76" s="292">
        <f t="shared" si="76"/>
        <v>0</v>
      </c>
      <c r="AU76" s="292">
        <f t="shared" si="77"/>
        <v>0</v>
      </c>
      <c r="AV76" s="292">
        <f t="shared" si="78"/>
        <v>0</v>
      </c>
      <c r="AW76" s="292">
        <f t="shared" si="79"/>
        <v>0</v>
      </c>
      <c r="AX76" s="292">
        <f t="shared" si="80"/>
        <v>0</v>
      </c>
      <c r="AY76" s="292">
        <f t="shared" si="81"/>
        <v>0</v>
      </c>
      <c r="AZ76" s="292">
        <f t="shared" si="82"/>
        <v>0</v>
      </c>
      <c r="BA76" s="292">
        <f t="shared" si="83"/>
        <v>0</v>
      </c>
    </row>
    <row r="77" spans="1:53" s="289" customFormat="1" ht="15" customHeight="1">
      <c r="A77" s="63" t="str">
        <f t="array" ref="A77">IF(C77&lt;&gt;0,SUM(($C$11:C77&lt;&gt;0)*1),"")</f>
        <v/>
      </c>
      <c r="B77" s="290"/>
      <c r="C77" s="290"/>
      <c r="D77" s="290"/>
      <c r="E77" s="396"/>
      <c r="F77" s="345"/>
      <c r="G77" s="347"/>
      <c r="H77" s="347"/>
      <c r="I77" s="63" t="str">
        <f t="shared" si="45"/>
        <v/>
      </c>
      <c r="J77" s="292">
        <f t="shared" si="46"/>
        <v>0</v>
      </c>
      <c r="K77" s="292">
        <f t="shared" si="47"/>
        <v>0</v>
      </c>
      <c r="L77" s="292">
        <f t="shared" si="48"/>
        <v>0</v>
      </c>
      <c r="M77" s="292">
        <f t="shared" si="49"/>
        <v>0</v>
      </c>
      <c r="N77" s="292">
        <f t="shared" si="84"/>
        <v>0</v>
      </c>
      <c r="O77" s="292">
        <f t="shared" si="85"/>
        <v>0</v>
      </c>
      <c r="P77" s="292">
        <f t="shared" si="50"/>
        <v>0</v>
      </c>
      <c r="Q77" s="292">
        <f t="shared" si="51"/>
        <v>0</v>
      </c>
      <c r="R77" s="292">
        <f t="shared" si="52"/>
        <v>0</v>
      </c>
      <c r="S77" s="292">
        <f t="shared" si="53"/>
        <v>0</v>
      </c>
      <c r="T77" s="292">
        <f t="shared" si="86"/>
        <v>0</v>
      </c>
      <c r="U77" s="292">
        <f t="shared" si="87"/>
        <v>0</v>
      </c>
      <c r="V77" s="292">
        <f t="shared" si="54"/>
        <v>0</v>
      </c>
      <c r="W77" s="292">
        <f t="shared" si="55"/>
        <v>0</v>
      </c>
      <c r="X77" s="292">
        <f t="shared" si="56"/>
        <v>0</v>
      </c>
      <c r="Y77" s="292">
        <f t="shared" si="57"/>
        <v>0</v>
      </c>
      <c r="Z77" s="292">
        <f t="shared" si="58"/>
        <v>0</v>
      </c>
      <c r="AA77" s="292">
        <f t="shared" si="59"/>
        <v>0</v>
      </c>
      <c r="AB77" s="292">
        <f t="shared" si="60"/>
        <v>0</v>
      </c>
      <c r="AC77" s="292">
        <f t="shared" si="61"/>
        <v>0</v>
      </c>
      <c r="AD77" s="292">
        <f t="shared" si="62"/>
        <v>0</v>
      </c>
      <c r="AE77" s="292">
        <f t="shared" si="63"/>
        <v>0</v>
      </c>
      <c r="AF77" s="292">
        <f t="shared" si="88"/>
        <v>0</v>
      </c>
      <c r="AG77" s="292">
        <f t="shared" si="89"/>
        <v>0</v>
      </c>
      <c r="AH77" s="292">
        <f t="shared" si="64"/>
        <v>0</v>
      </c>
      <c r="AI77" s="292">
        <f t="shared" si="65"/>
        <v>0</v>
      </c>
      <c r="AJ77" s="292">
        <f t="shared" si="66"/>
        <v>0</v>
      </c>
      <c r="AK77" s="292">
        <f t="shared" si="67"/>
        <v>0</v>
      </c>
      <c r="AL77" s="292">
        <f t="shared" si="68"/>
        <v>0</v>
      </c>
      <c r="AM77" s="292">
        <f t="shared" si="69"/>
        <v>0</v>
      </c>
      <c r="AN77" s="292">
        <f t="shared" si="70"/>
        <v>0</v>
      </c>
      <c r="AO77" s="292">
        <f t="shared" si="71"/>
        <v>0</v>
      </c>
      <c r="AP77" s="292">
        <f t="shared" si="72"/>
        <v>0</v>
      </c>
      <c r="AQ77" s="292">
        <f t="shared" si="73"/>
        <v>0</v>
      </c>
      <c r="AR77" s="292">
        <f t="shared" si="74"/>
        <v>0</v>
      </c>
      <c r="AS77" s="292">
        <f t="shared" si="75"/>
        <v>0</v>
      </c>
      <c r="AT77" s="292">
        <f t="shared" si="76"/>
        <v>0</v>
      </c>
      <c r="AU77" s="292">
        <f t="shared" si="77"/>
        <v>0</v>
      </c>
      <c r="AV77" s="292">
        <f t="shared" si="78"/>
        <v>0</v>
      </c>
      <c r="AW77" s="292">
        <f t="shared" si="79"/>
        <v>0</v>
      </c>
      <c r="AX77" s="292">
        <f t="shared" si="80"/>
        <v>0</v>
      </c>
      <c r="AY77" s="292">
        <f t="shared" si="81"/>
        <v>0</v>
      </c>
      <c r="AZ77" s="292">
        <f t="shared" si="82"/>
        <v>0</v>
      </c>
      <c r="BA77" s="292">
        <f t="shared" si="83"/>
        <v>0</v>
      </c>
    </row>
    <row r="78" spans="1:53" s="289" customFormat="1" ht="15" customHeight="1">
      <c r="A78" s="63" t="str">
        <f t="array" ref="A78">IF(C78&lt;&gt;0,SUM(($C$11:C78&lt;&gt;0)*1),"")</f>
        <v/>
      </c>
      <c r="B78" s="290"/>
      <c r="C78" s="290"/>
      <c r="D78" s="290"/>
      <c r="E78" s="396"/>
      <c r="F78" s="345"/>
      <c r="G78" s="347"/>
      <c r="H78" s="347"/>
      <c r="I78" s="63" t="str">
        <f t="shared" si="45"/>
        <v/>
      </c>
      <c r="J78" s="292">
        <f t="shared" si="46"/>
        <v>0</v>
      </c>
      <c r="K78" s="292">
        <f t="shared" si="47"/>
        <v>0</v>
      </c>
      <c r="L78" s="292">
        <f t="shared" si="48"/>
        <v>0</v>
      </c>
      <c r="M78" s="292">
        <f t="shared" si="49"/>
        <v>0</v>
      </c>
      <c r="N78" s="292">
        <f t="shared" si="84"/>
        <v>0</v>
      </c>
      <c r="O78" s="292">
        <f t="shared" si="85"/>
        <v>0</v>
      </c>
      <c r="P78" s="292">
        <f t="shared" si="50"/>
        <v>0</v>
      </c>
      <c r="Q78" s="292">
        <f t="shared" si="51"/>
        <v>0</v>
      </c>
      <c r="R78" s="292">
        <f t="shared" si="52"/>
        <v>0</v>
      </c>
      <c r="S78" s="292">
        <f t="shared" si="53"/>
        <v>0</v>
      </c>
      <c r="T78" s="292">
        <f t="shared" si="86"/>
        <v>0</v>
      </c>
      <c r="U78" s="292">
        <f t="shared" si="87"/>
        <v>0</v>
      </c>
      <c r="V78" s="292">
        <f t="shared" si="54"/>
        <v>0</v>
      </c>
      <c r="W78" s="292">
        <f t="shared" si="55"/>
        <v>0</v>
      </c>
      <c r="X78" s="292">
        <f t="shared" si="56"/>
        <v>0</v>
      </c>
      <c r="Y78" s="292">
        <f t="shared" si="57"/>
        <v>0</v>
      </c>
      <c r="Z78" s="292">
        <f t="shared" si="58"/>
        <v>0</v>
      </c>
      <c r="AA78" s="292">
        <f t="shared" si="59"/>
        <v>0</v>
      </c>
      <c r="AB78" s="292">
        <f t="shared" si="60"/>
        <v>0</v>
      </c>
      <c r="AC78" s="292">
        <f t="shared" si="61"/>
        <v>0</v>
      </c>
      <c r="AD78" s="292">
        <f t="shared" si="62"/>
        <v>0</v>
      </c>
      <c r="AE78" s="292">
        <f t="shared" si="63"/>
        <v>0</v>
      </c>
      <c r="AF78" s="292">
        <f t="shared" si="88"/>
        <v>0</v>
      </c>
      <c r="AG78" s="292">
        <f t="shared" si="89"/>
        <v>0</v>
      </c>
      <c r="AH78" s="292">
        <f t="shared" si="64"/>
        <v>0</v>
      </c>
      <c r="AI78" s="292">
        <f t="shared" si="65"/>
        <v>0</v>
      </c>
      <c r="AJ78" s="292">
        <f t="shared" si="66"/>
        <v>0</v>
      </c>
      <c r="AK78" s="292">
        <f t="shared" si="67"/>
        <v>0</v>
      </c>
      <c r="AL78" s="292">
        <f t="shared" si="68"/>
        <v>0</v>
      </c>
      <c r="AM78" s="292">
        <f t="shared" si="69"/>
        <v>0</v>
      </c>
      <c r="AN78" s="292">
        <f t="shared" si="70"/>
        <v>0</v>
      </c>
      <c r="AO78" s="292">
        <f t="shared" si="71"/>
        <v>0</v>
      </c>
      <c r="AP78" s="292">
        <f t="shared" si="72"/>
        <v>0</v>
      </c>
      <c r="AQ78" s="292">
        <f t="shared" si="73"/>
        <v>0</v>
      </c>
      <c r="AR78" s="292">
        <f t="shared" si="74"/>
        <v>0</v>
      </c>
      <c r="AS78" s="292">
        <f t="shared" si="75"/>
        <v>0</v>
      </c>
      <c r="AT78" s="292">
        <f t="shared" si="76"/>
        <v>0</v>
      </c>
      <c r="AU78" s="292">
        <f t="shared" si="77"/>
        <v>0</v>
      </c>
      <c r="AV78" s="292">
        <f t="shared" si="78"/>
        <v>0</v>
      </c>
      <c r="AW78" s="292">
        <f t="shared" si="79"/>
        <v>0</v>
      </c>
      <c r="AX78" s="292">
        <f t="shared" si="80"/>
        <v>0</v>
      </c>
      <c r="AY78" s="292">
        <f t="shared" si="81"/>
        <v>0</v>
      </c>
      <c r="AZ78" s="292">
        <f t="shared" si="82"/>
        <v>0</v>
      </c>
      <c r="BA78" s="292">
        <f t="shared" si="83"/>
        <v>0</v>
      </c>
    </row>
    <row r="79" spans="1:53" s="289" customFormat="1" ht="15" customHeight="1">
      <c r="A79" s="63" t="str">
        <f t="array" ref="A79">IF(C79&lt;&gt;0,SUM(($C$11:C79&lt;&gt;0)*1),"")</f>
        <v/>
      </c>
      <c r="B79" s="290"/>
      <c r="C79" s="290"/>
      <c r="D79" s="290"/>
      <c r="E79" s="396"/>
      <c r="F79" s="345"/>
      <c r="G79" s="347"/>
      <c r="H79" s="347"/>
      <c r="I79" s="63" t="str">
        <f>A79</f>
        <v/>
      </c>
      <c r="J79" s="292">
        <f t="shared" si="46"/>
        <v>0</v>
      </c>
      <c r="K79" s="292">
        <f t="shared" si="47"/>
        <v>0</v>
      </c>
      <c r="L79" s="292">
        <f t="shared" si="48"/>
        <v>0</v>
      </c>
      <c r="M79" s="292">
        <f t="shared" si="49"/>
        <v>0</v>
      </c>
      <c r="N79" s="292">
        <f t="shared" si="84"/>
        <v>0</v>
      </c>
      <c r="O79" s="292">
        <f t="shared" si="85"/>
        <v>0</v>
      </c>
      <c r="P79" s="292">
        <f t="shared" si="50"/>
        <v>0</v>
      </c>
      <c r="Q79" s="292">
        <f t="shared" si="51"/>
        <v>0</v>
      </c>
      <c r="R79" s="292">
        <f t="shared" si="52"/>
        <v>0</v>
      </c>
      <c r="S79" s="292">
        <f t="shared" si="53"/>
        <v>0</v>
      </c>
      <c r="T79" s="292">
        <f t="shared" si="86"/>
        <v>0</v>
      </c>
      <c r="U79" s="292">
        <f t="shared" si="87"/>
        <v>0</v>
      </c>
      <c r="V79" s="292">
        <f t="shared" si="54"/>
        <v>0</v>
      </c>
      <c r="W79" s="292">
        <f t="shared" si="55"/>
        <v>0</v>
      </c>
      <c r="X79" s="292">
        <f t="shared" si="56"/>
        <v>0</v>
      </c>
      <c r="Y79" s="292">
        <f t="shared" si="57"/>
        <v>0</v>
      </c>
      <c r="Z79" s="292">
        <f t="shared" si="58"/>
        <v>0</v>
      </c>
      <c r="AA79" s="292">
        <f t="shared" si="59"/>
        <v>0</v>
      </c>
      <c r="AB79" s="292">
        <f t="shared" si="60"/>
        <v>0</v>
      </c>
      <c r="AC79" s="292">
        <f t="shared" si="61"/>
        <v>0</v>
      </c>
      <c r="AD79" s="292">
        <f t="shared" si="62"/>
        <v>0</v>
      </c>
      <c r="AE79" s="292">
        <f t="shared" si="63"/>
        <v>0</v>
      </c>
      <c r="AF79" s="292">
        <f t="shared" si="88"/>
        <v>0</v>
      </c>
      <c r="AG79" s="292">
        <f t="shared" si="89"/>
        <v>0</v>
      </c>
      <c r="AH79" s="292">
        <f t="shared" si="64"/>
        <v>0</v>
      </c>
      <c r="AI79" s="292">
        <f t="shared" si="65"/>
        <v>0</v>
      </c>
      <c r="AJ79" s="292">
        <f t="shared" si="66"/>
        <v>0</v>
      </c>
      <c r="AK79" s="292">
        <f t="shared" si="67"/>
        <v>0</v>
      </c>
      <c r="AL79" s="292">
        <f t="shared" si="68"/>
        <v>0</v>
      </c>
      <c r="AM79" s="292">
        <f t="shared" si="69"/>
        <v>0</v>
      </c>
      <c r="AN79" s="292">
        <f t="shared" si="70"/>
        <v>0</v>
      </c>
      <c r="AO79" s="292">
        <f t="shared" si="71"/>
        <v>0</v>
      </c>
      <c r="AP79" s="292">
        <f t="shared" si="72"/>
        <v>0</v>
      </c>
      <c r="AQ79" s="292">
        <f t="shared" si="73"/>
        <v>0</v>
      </c>
      <c r="AR79" s="292">
        <f t="shared" si="74"/>
        <v>0</v>
      </c>
      <c r="AS79" s="292">
        <f t="shared" si="75"/>
        <v>0</v>
      </c>
      <c r="AT79" s="292">
        <f t="shared" si="76"/>
        <v>0</v>
      </c>
      <c r="AU79" s="292">
        <f t="shared" si="77"/>
        <v>0</v>
      </c>
      <c r="AV79" s="292">
        <f t="shared" si="78"/>
        <v>0</v>
      </c>
      <c r="AW79" s="292">
        <f t="shared" si="79"/>
        <v>0</v>
      </c>
      <c r="AX79" s="292">
        <f t="shared" si="80"/>
        <v>0</v>
      </c>
      <c r="AY79" s="292">
        <f t="shared" si="81"/>
        <v>0</v>
      </c>
      <c r="AZ79" s="292">
        <f t="shared" si="82"/>
        <v>0</v>
      </c>
      <c r="BA79" s="292">
        <f t="shared" si="83"/>
        <v>0</v>
      </c>
    </row>
    <row r="80" spans="1:53" s="289" customFormat="1" ht="15" customHeight="1">
      <c r="A80" s="63" t="str">
        <f t="array" ref="A80">IF(C80&lt;&gt;0,SUM(($C$11:C80&lt;&gt;0)*1),"")</f>
        <v/>
      </c>
      <c r="B80" s="290"/>
      <c r="C80" s="290"/>
      <c r="D80" s="290"/>
      <c r="E80" s="396"/>
      <c r="F80" s="345"/>
      <c r="G80" s="347"/>
      <c r="H80" s="347"/>
      <c r="I80" s="63" t="str">
        <f>A80</f>
        <v/>
      </c>
      <c r="J80" s="292">
        <f t="shared" si="46"/>
        <v>0</v>
      </c>
      <c r="K80" s="292">
        <f t="shared" si="47"/>
        <v>0</v>
      </c>
      <c r="L80" s="292">
        <f t="shared" si="48"/>
        <v>0</v>
      </c>
      <c r="M80" s="292">
        <f t="shared" si="49"/>
        <v>0</v>
      </c>
      <c r="N80" s="292">
        <f t="shared" si="84"/>
        <v>0</v>
      </c>
      <c r="O80" s="292">
        <f t="shared" si="85"/>
        <v>0</v>
      </c>
      <c r="P80" s="292">
        <f t="shared" si="50"/>
        <v>0</v>
      </c>
      <c r="Q80" s="292">
        <f t="shared" si="51"/>
        <v>0</v>
      </c>
      <c r="R80" s="292">
        <f t="shared" si="52"/>
        <v>0</v>
      </c>
      <c r="S80" s="292">
        <f t="shared" si="53"/>
        <v>0</v>
      </c>
      <c r="T80" s="292">
        <f t="shared" si="86"/>
        <v>0</v>
      </c>
      <c r="U80" s="292">
        <f t="shared" si="87"/>
        <v>0</v>
      </c>
      <c r="V80" s="292">
        <f t="shared" si="54"/>
        <v>0</v>
      </c>
      <c r="W80" s="292">
        <f t="shared" si="55"/>
        <v>0</v>
      </c>
      <c r="X80" s="292">
        <f t="shared" si="56"/>
        <v>0</v>
      </c>
      <c r="Y80" s="292">
        <f t="shared" si="57"/>
        <v>0</v>
      </c>
      <c r="Z80" s="292">
        <f t="shared" si="58"/>
        <v>0</v>
      </c>
      <c r="AA80" s="292">
        <f t="shared" si="59"/>
        <v>0</v>
      </c>
      <c r="AB80" s="292">
        <f t="shared" si="60"/>
        <v>0</v>
      </c>
      <c r="AC80" s="292">
        <f t="shared" si="61"/>
        <v>0</v>
      </c>
      <c r="AD80" s="292">
        <f t="shared" si="62"/>
        <v>0</v>
      </c>
      <c r="AE80" s="292">
        <f t="shared" si="63"/>
        <v>0</v>
      </c>
      <c r="AF80" s="292">
        <f t="shared" si="88"/>
        <v>0</v>
      </c>
      <c r="AG80" s="292">
        <f t="shared" si="89"/>
        <v>0</v>
      </c>
      <c r="AH80" s="292">
        <f t="shared" si="64"/>
        <v>0</v>
      </c>
      <c r="AI80" s="292">
        <f t="shared" si="65"/>
        <v>0</v>
      </c>
      <c r="AJ80" s="292">
        <f t="shared" si="66"/>
        <v>0</v>
      </c>
      <c r="AK80" s="292">
        <f t="shared" si="67"/>
        <v>0</v>
      </c>
      <c r="AL80" s="292">
        <f t="shared" si="68"/>
        <v>0</v>
      </c>
      <c r="AM80" s="292">
        <f t="shared" si="69"/>
        <v>0</v>
      </c>
      <c r="AN80" s="292">
        <f t="shared" si="70"/>
        <v>0</v>
      </c>
      <c r="AO80" s="292">
        <f t="shared" si="71"/>
        <v>0</v>
      </c>
      <c r="AP80" s="292">
        <f t="shared" si="72"/>
        <v>0</v>
      </c>
      <c r="AQ80" s="292">
        <f t="shared" si="73"/>
        <v>0</v>
      </c>
      <c r="AR80" s="292">
        <f t="shared" si="74"/>
        <v>0</v>
      </c>
      <c r="AS80" s="292">
        <f t="shared" si="75"/>
        <v>0</v>
      </c>
      <c r="AT80" s="292">
        <f t="shared" si="76"/>
        <v>0</v>
      </c>
      <c r="AU80" s="292">
        <f t="shared" si="77"/>
        <v>0</v>
      </c>
      <c r="AV80" s="292">
        <f t="shared" si="78"/>
        <v>0</v>
      </c>
      <c r="AW80" s="292">
        <f t="shared" si="79"/>
        <v>0</v>
      </c>
      <c r="AX80" s="292">
        <f t="shared" si="80"/>
        <v>0</v>
      </c>
      <c r="AY80" s="292">
        <f t="shared" si="81"/>
        <v>0</v>
      </c>
      <c r="AZ80" s="292">
        <f t="shared" si="82"/>
        <v>0</v>
      </c>
      <c r="BA80" s="292">
        <f t="shared" si="83"/>
        <v>0</v>
      </c>
    </row>
    <row r="81" spans="1:53" s="289" customFormat="1" ht="15" customHeight="1">
      <c r="A81" s="63" t="str">
        <f t="array" ref="A81">IF(C81&lt;&gt;0,SUM(($C$11:C81&lt;&gt;0)*1),"")</f>
        <v/>
      </c>
      <c r="B81" s="290"/>
      <c r="C81" s="290"/>
      <c r="D81" s="290"/>
      <c r="E81" s="396"/>
      <c r="F81" s="345"/>
      <c r="G81" s="347"/>
      <c r="H81" s="347"/>
      <c r="I81" s="63" t="str">
        <f t="shared" ref="I81:I144" si="90">A81</f>
        <v/>
      </c>
      <c r="J81" s="292">
        <f t="shared" si="46"/>
        <v>0</v>
      </c>
      <c r="K81" s="292">
        <f t="shared" si="47"/>
        <v>0</v>
      </c>
      <c r="L81" s="292">
        <f t="shared" si="48"/>
        <v>0</v>
      </c>
      <c r="M81" s="292">
        <f t="shared" si="49"/>
        <v>0</v>
      </c>
      <c r="N81" s="292">
        <f t="shared" si="84"/>
        <v>0</v>
      </c>
      <c r="O81" s="292">
        <f t="shared" si="85"/>
        <v>0</v>
      </c>
      <c r="P81" s="292">
        <f t="shared" si="50"/>
        <v>0</v>
      </c>
      <c r="Q81" s="292">
        <f t="shared" si="51"/>
        <v>0</v>
      </c>
      <c r="R81" s="292">
        <f t="shared" si="52"/>
        <v>0</v>
      </c>
      <c r="S81" s="292">
        <f t="shared" si="53"/>
        <v>0</v>
      </c>
      <c r="T81" s="292">
        <f t="shared" si="86"/>
        <v>0</v>
      </c>
      <c r="U81" s="292">
        <f t="shared" si="87"/>
        <v>0</v>
      </c>
      <c r="V81" s="292">
        <f t="shared" si="54"/>
        <v>0</v>
      </c>
      <c r="W81" s="292">
        <f t="shared" si="55"/>
        <v>0</v>
      </c>
      <c r="X81" s="292">
        <f t="shared" si="56"/>
        <v>0</v>
      </c>
      <c r="Y81" s="292">
        <f t="shared" si="57"/>
        <v>0</v>
      </c>
      <c r="Z81" s="292">
        <f t="shared" si="58"/>
        <v>0</v>
      </c>
      <c r="AA81" s="292">
        <f t="shared" si="59"/>
        <v>0</v>
      </c>
      <c r="AB81" s="292">
        <f t="shared" si="60"/>
        <v>0</v>
      </c>
      <c r="AC81" s="292">
        <f t="shared" si="61"/>
        <v>0</v>
      </c>
      <c r="AD81" s="292">
        <f t="shared" si="62"/>
        <v>0</v>
      </c>
      <c r="AE81" s="292">
        <f t="shared" si="63"/>
        <v>0</v>
      </c>
      <c r="AF81" s="292">
        <f t="shared" si="88"/>
        <v>0</v>
      </c>
      <c r="AG81" s="292">
        <f t="shared" si="89"/>
        <v>0</v>
      </c>
      <c r="AH81" s="292">
        <f t="shared" si="64"/>
        <v>0</v>
      </c>
      <c r="AI81" s="292">
        <f t="shared" si="65"/>
        <v>0</v>
      </c>
      <c r="AJ81" s="292">
        <f t="shared" si="66"/>
        <v>0</v>
      </c>
      <c r="AK81" s="292">
        <f t="shared" si="67"/>
        <v>0</v>
      </c>
      <c r="AL81" s="292">
        <f t="shared" si="68"/>
        <v>0</v>
      </c>
      <c r="AM81" s="292">
        <f t="shared" si="69"/>
        <v>0</v>
      </c>
      <c r="AN81" s="292">
        <f t="shared" si="70"/>
        <v>0</v>
      </c>
      <c r="AO81" s="292">
        <f t="shared" si="71"/>
        <v>0</v>
      </c>
      <c r="AP81" s="292">
        <f t="shared" si="72"/>
        <v>0</v>
      </c>
      <c r="AQ81" s="292">
        <f t="shared" si="73"/>
        <v>0</v>
      </c>
      <c r="AR81" s="292">
        <f t="shared" si="74"/>
        <v>0</v>
      </c>
      <c r="AS81" s="292">
        <f t="shared" si="75"/>
        <v>0</v>
      </c>
      <c r="AT81" s="292">
        <f t="shared" si="76"/>
        <v>0</v>
      </c>
      <c r="AU81" s="292">
        <f t="shared" si="77"/>
        <v>0</v>
      </c>
      <c r="AV81" s="292">
        <f t="shared" si="78"/>
        <v>0</v>
      </c>
      <c r="AW81" s="292">
        <f t="shared" si="79"/>
        <v>0</v>
      </c>
      <c r="AX81" s="292">
        <f t="shared" si="80"/>
        <v>0</v>
      </c>
      <c r="AY81" s="292">
        <f t="shared" si="81"/>
        <v>0</v>
      </c>
      <c r="AZ81" s="292">
        <f t="shared" si="82"/>
        <v>0</v>
      </c>
      <c r="BA81" s="292">
        <f t="shared" si="83"/>
        <v>0</v>
      </c>
    </row>
    <row r="82" spans="1:53" s="289" customFormat="1" ht="15" customHeight="1">
      <c r="A82" s="63" t="str">
        <f t="array" ref="A82">IF(C82&lt;&gt;0,SUM(($C$11:C82&lt;&gt;0)*1),"")</f>
        <v/>
      </c>
      <c r="B82" s="290"/>
      <c r="C82" s="290"/>
      <c r="D82" s="290"/>
      <c r="E82" s="396"/>
      <c r="F82" s="345"/>
      <c r="G82" s="347"/>
      <c r="H82" s="347"/>
      <c r="I82" s="63" t="str">
        <f t="shared" si="90"/>
        <v/>
      </c>
      <c r="J82" s="292">
        <f t="shared" si="46"/>
        <v>0</v>
      </c>
      <c r="K82" s="292">
        <f t="shared" si="47"/>
        <v>0</v>
      </c>
      <c r="L82" s="292">
        <f t="shared" si="48"/>
        <v>0</v>
      </c>
      <c r="M82" s="292">
        <f t="shared" si="49"/>
        <v>0</v>
      </c>
      <c r="N82" s="292">
        <f t="shared" si="84"/>
        <v>0</v>
      </c>
      <c r="O82" s="292">
        <f t="shared" si="85"/>
        <v>0</v>
      </c>
      <c r="P82" s="292">
        <f t="shared" si="50"/>
        <v>0</v>
      </c>
      <c r="Q82" s="292">
        <f t="shared" si="51"/>
        <v>0</v>
      </c>
      <c r="R82" s="292">
        <f t="shared" si="52"/>
        <v>0</v>
      </c>
      <c r="S82" s="292">
        <f t="shared" si="53"/>
        <v>0</v>
      </c>
      <c r="T82" s="292">
        <f t="shared" si="86"/>
        <v>0</v>
      </c>
      <c r="U82" s="292">
        <f t="shared" si="87"/>
        <v>0</v>
      </c>
      <c r="V82" s="292">
        <f t="shared" si="54"/>
        <v>0</v>
      </c>
      <c r="W82" s="292">
        <f t="shared" si="55"/>
        <v>0</v>
      </c>
      <c r="X82" s="292">
        <f t="shared" si="56"/>
        <v>0</v>
      </c>
      <c r="Y82" s="292">
        <f t="shared" si="57"/>
        <v>0</v>
      </c>
      <c r="Z82" s="292">
        <f t="shared" si="58"/>
        <v>0</v>
      </c>
      <c r="AA82" s="292">
        <f t="shared" si="59"/>
        <v>0</v>
      </c>
      <c r="AB82" s="292">
        <f t="shared" si="60"/>
        <v>0</v>
      </c>
      <c r="AC82" s="292">
        <f t="shared" si="61"/>
        <v>0</v>
      </c>
      <c r="AD82" s="292">
        <f t="shared" si="62"/>
        <v>0</v>
      </c>
      <c r="AE82" s="292">
        <f t="shared" si="63"/>
        <v>0</v>
      </c>
      <c r="AF82" s="292">
        <f t="shared" si="88"/>
        <v>0</v>
      </c>
      <c r="AG82" s="292">
        <f t="shared" si="89"/>
        <v>0</v>
      </c>
      <c r="AH82" s="292">
        <f t="shared" si="64"/>
        <v>0</v>
      </c>
      <c r="AI82" s="292">
        <f t="shared" si="65"/>
        <v>0</v>
      </c>
      <c r="AJ82" s="292">
        <f t="shared" si="66"/>
        <v>0</v>
      </c>
      <c r="AK82" s="292">
        <f t="shared" si="67"/>
        <v>0</v>
      </c>
      <c r="AL82" s="292">
        <f t="shared" si="68"/>
        <v>0</v>
      </c>
      <c r="AM82" s="292">
        <f t="shared" si="69"/>
        <v>0</v>
      </c>
      <c r="AN82" s="292">
        <f t="shared" si="70"/>
        <v>0</v>
      </c>
      <c r="AO82" s="292">
        <f t="shared" si="71"/>
        <v>0</v>
      </c>
      <c r="AP82" s="292">
        <f t="shared" si="72"/>
        <v>0</v>
      </c>
      <c r="AQ82" s="292">
        <f t="shared" si="73"/>
        <v>0</v>
      </c>
      <c r="AR82" s="292">
        <f t="shared" si="74"/>
        <v>0</v>
      </c>
      <c r="AS82" s="292">
        <f t="shared" si="75"/>
        <v>0</v>
      </c>
      <c r="AT82" s="292">
        <f t="shared" si="76"/>
        <v>0</v>
      </c>
      <c r="AU82" s="292">
        <f t="shared" si="77"/>
        <v>0</v>
      </c>
      <c r="AV82" s="292">
        <f t="shared" si="78"/>
        <v>0</v>
      </c>
      <c r="AW82" s="292">
        <f t="shared" si="79"/>
        <v>0</v>
      </c>
      <c r="AX82" s="292">
        <f t="shared" si="80"/>
        <v>0</v>
      </c>
      <c r="AY82" s="292">
        <f t="shared" si="81"/>
        <v>0</v>
      </c>
      <c r="AZ82" s="292">
        <f t="shared" si="82"/>
        <v>0</v>
      </c>
      <c r="BA82" s="292">
        <f t="shared" si="83"/>
        <v>0</v>
      </c>
    </row>
    <row r="83" spans="1:53" s="289" customFormat="1" ht="15" customHeight="1">
      <c r="A83" s="63" t="str">
        <f t="array" ref="A83">IF(C83&lt;&gt;0,SUM(($C$11:C83&lt;&gt;0)*1),"")</f>
        <v/>
      </c>
      <c r="B83" s="290"/>
      <c r="C83" s="290"/>
      <c r="D83" s="290"/>
      <c r="E83" s="396"/>
      <c r="F83" s="345"/>
      <c r="G83" s="347"/>
      <c r="H83" s="347"/>
      <c r="I83" s="63" t="str">
        <f t="shared" si="90"/>
        <v/>
      </c>
      <c r="J83" s="292">
        <f t="shared" si="46"/>
        <v>0</v>
      </c>
      <c r="K83" s="292">
        <f t="shared" si="47"/>
        <v>0</v>
      </c>
      <c r="L83" s="292">
        <f t="shared" si="48"/>
        <v>0</v>
      </c>
      <c r="M83" s="292">
        <f t="shared" si="49"/>
        <v>0</v>
      </c>
      <c r="N83" s="292">
        <f t="shared" si="84"/>
        <v>0</v>
      </c>
      <c r="O83" s="292">
        <f t="shared" si="85"/>
        <v>0</v>
      </c>
      <c r="P83" s="292">
        <f t="shared" si="50"/>
        <v>0</v>
      </c>
      <c r="Q83" s="292">
        <f t="shared" si="51"/>
        <v>0</v>
      </c>
      <c r="R83" s="292">
        <f t="shared" si="52"/>
        <v>0</v>
      </c>
      <c r="S83" s="292">
        <f t="shared" si="53"/>
        <v>0</v>
      </c>
      <c r="T83" s="292">
        <f t="shared" si="86"/>
        <v>0</v>
      </c>
      <c r="U83" s="292">
        <f t="shared" si="87"/>
        <v>0</v>
      </c>
      <c r="V83" s="292">
        <f t="shared" si="54"/>
        <v>0</v>
      </c>
      <c r="W83" s="292">
        <f t="shared" si="55"/>
        <v>0</v>
      </c>
      <c r="X83" s="292">
        <f t="shared" si="56"/>
        <v>0</v>
      </c>
      <c r="Y83" s="292">
        <f t="shared" si="57"/>
        <v>0</v>
      </c>
      <c r="Z83" s="292">
        <f t="shared" si="58"/>
        <v>0</v>
      </c>
      <c r="AA83" s="292">
        <f t="shared" si="59"/>
        <v>0</v>
      </c>
      <c r="AB83" s="292">
        <f t="shared" si="60"/>
        <v>0</v>
      </c>
      <c r="AC83" s="292">
        <f t="shared" si="61"/>
        <v>0</v>
      </c>
      <c r="AD83" s="292">
        <f t="shared" si="62"/>
        <v>0</v>
      </c>
      <c r="AE83" s="292">
        <f t="shared" si="63"/>
        <v>0</v>
      </c>
      <c r="AF83" s="292">
        <f t="shared" si="88"/>
        <v>0</v>
      </c>
      <c r="AG83" s="292">
        <f t="shared" si="89"/>
        <v>0</v>
      </c>
      <c r="AH83" s="292">
        <f t="shared" si="64"/>
        <v>0</v>
      </c>
      <c r="AI83" s="292">
        <f t="shared" si="65"/>
        <v>0</v>
      </c>
      <c r="AJ83" s="292">
        <f t="shared" si="66"/>
        <v>0</v>
      </c>
      <c r="AK83" s="292">
        <f t="shared" si="67"/>
        <v>0</v>
      </c>
      <c r="AL83" s="292">
        <f t="shared" si="68"/>
        <v>0</v>
      </c>
      <c r="AM83" s="292">
        <f t="shared" si="69"/>
        <v>0</v>
      </c>
      <c r="AN83" s="292">
        <f t="shared" si="70"/>
        <v>0</v>
      </c>
      <c r="AO83" s="292">
        <f t="shared" si="71"/>
        <v>0</v>
      </c>
      <c r="AP83" s="292">
        <f t="shared" si="72"/>
        <v>0</v>
      </c>
      <c r="AQ83" s="292">
        <f t="shared" si="73"/>
        <v>0</v>
      </c>
      <c r="AR83" s="292">
        <f t="shared" si="74"/>
        <v>0</v>
      </c>
      <c r="AS83" s="292">
        <f t="shared" si="75"/>
        <v>0</v>
      </c>
      <c r="AT83" s="292">
        <f t="shared" si="76"/>
        <v>0</v>
      </c>
      <c r="AU83" s="292">
        <f t="shared" si="77"/>
        <v>0</v>
      </c>
      <c r="AV83" s="292">
        <f t="shared" si="78"/>
        <v>0</v>
      </c>
      <c r="AW83" s="292">
        <f t="shared" si="79"/>
        <v>0</v>
      </c>
      <c r="AX83" s="292">
        <f t="shared" si="80"/>
        <v>0</v>
      </c>
      <c r="AY83" s="292">
        <f t="shared" si="81"/>
        <v>0</v>
      </c>
      <c r="AZ83" s="292">
        <f t="shared" si="82"/>
        <v>0</v>
      </c>
      <c r="BA83" s="292">
        <f t="shared" si="83"/>
        <v>0</v>
      </c>
    </row>
    <row r="84" spans="1:53" s="289" customFormat="1" ht="15" customHeight="1">
      <c r="A84" s="63" t="str">
        <f t="array" ref="A84">IF(C84&lt;&gt;0,SUM(($C$11:C84&lt;&gt;0)*1),"")</f>
        <v/>
      </c>
      <c r="B84" s="290"/>
      <c r="C84" s="290"/>
      <c r="D84" s="290"/>
      <c r="E84" s="396"/>
      <c r="F84" s="345"/>
      <c r="G84" s="347"/>
      <c r="H84" s="347"/>
      <c r="I84" s="63" t="str">
        <f t="shared" si="90"/>
        <v/>
      </c>
      <c r="J84" s="292">
        <f t="shared" si="46"/>
        <v>0</v>
      </c>
      <c r="K84" s="292">
        <f t="shared" si="47"/>
        <v>0</v>
      </c>
      <c r="L84" s="292">
        <f t="shared" si="48"/>
        <v>0</v>
      </c>
      <c r="M84" s="292">
        <f t="shared" si="49"/>
        <v>0</v>
      </c>
      <c r="N84" s="292">
        <f t="shared" si="84"/>
        <v>0</v>
      </c>
      <c r="O84" s="292">
        <f t="shared" si="85"/>
        <v>0</v>
      </c>
      <c r="P84" s="292">
        <f t="shared" si="50"/>
        <v>0</v>
      </c>
      <c r="Q84" s="292">
        <f t="shared" si="51"/>
        <v>0</v>
      </c>
      <c r="R84" s="292">
        <f t="shared" si="52"/>
        <v>0</v>
      </c>
      <c r="S84" s="292">
        <f t="shared" si="53"/>
        <v>0</v>
      </c>
      <c r="T84" s="292">
        <f t="shared" si="86"/>
        <v>0</v>
      </c>
      <c r="U84" s="292">
        <f t="shared" si="87"/>
        <v>0</v>
      </c>
      <c r="V84" s="292">
        <f t="shared" si="54"/>
        <v>0</v>
      </c>
      <c r="W84" s="292">
        <f t="shared" si="55"/>
        <v>0</v>
      </c>
      <c r="X84" s="292">
        <f t="shared" si="56"/>
        <v>0</v>
      </c>
      <c r="Y84" s="292">
        <f t="shared" si="57"/>
        <v>0</v>
      </c>
      <c r="Z84" s="292">
        <f t="shared" si="58"/>
        <v>0</v>
      </c>
      <c r="AA84" s="292">
        <f t="shared" si="59"/>
        <v>0</v>
      </c>
      <c r="AB84" s="292">
        <f t="shared" si="60"/>
        <v>0</v>
      </c>
      <c r="AC84" s="292">
        <f t="shared" si="61"/>
        <v>0</v>
      </c>
      <c r="AD84" s="292">
        <f t="shared" si="62"/>
        <v>0</v>
      </c>
      <c r="AE84" s="292">
        <f t="shared" si="63"/>
        <v>0</v>
      </c>
      <c r="AF84" s="292">
        <f t="shared" si="88"/>
        <v>0</v>
      </c>
      <c r="AG84" s="292">
        <f t="shared" si="89"/>
        <v>0</v>
      </c>
      <c r="AH84" s="292">
        <f t="shared" si="64"/>
        <v>0</v>
      </c>
      <c r="AI84" s="292">
        <f t="shared" si="65"/>
        <v>0</v>
      </c>
      <c r="AJ84" s="292">
        <f t="shared" si="66"/>
        <v>0</v>
      </c>
      <c r="AK84" s="292">
        <f t="shared" si="67"/>
        <v>0</v>
      </c>
      <c r="AL84" s="292">
        <f t="shared" si="68"/>
        <v>0</v>
      </c>
      <c r="AM84" s="292">
        <f t="shared" si="69"/>
        <v>0</v>
      </c>
      <c r="AN84" s="292">
        <f t="shared" si="70"/>
        <v>0</v>
      </c>
      <c r="AO84" s="292">
        <f t="shared" si="71"/>
        <v>0</v>
      </c>
      <c r="AP84" s="292">
        <f t="shared" si="72"/>
        <v>0</v>
      </c>
      <c r="AQ84" s="292">
        <f t="shared" si="73"/>
        <v>0</v>
      </c>
      <c r="AR84" s="292">
        <f t="shared" si="74"/>
        <v>0</v>
      </c>
      <c r="AS84" s="292">
        <f t="shared" si="75"/>
        <v>0</v>
      </c>
      <c r="AT84" s="292">
        <f t="shared" si="76"/>
        <v>0</v>
      </c>
      <c r="AU84" s="292">
        <f t="shared" si="77"/>
        <v>0</v>
      </c>
      <c r="AV84" s="292">
        <f t="shared" si="78"/>
        <v>0</v>
      </c>
      <c r="AW84" s="292">
        <f t="shared" si="79"/>
        <v>0</v>
      </c>
      <c r="AX84" s="292">
        <f t="shared" si="80"/>
        <v>0</v>
      </c>
      <c r="AY84" s="292">
        <f t="shared" si="81"/>
        <v>0</v>
      </c>
      <c r="AZ84" s="292">
        <f t="shared" si="82"/>
        <v>0</v>
      </c>
      <c r="BA84" s="292">
        <f t="shared" si="83"/>
        <v>0</v>
      </c>
    </row>
    <row r="85" spans="1:53" s="289" customFormat="1" ht="15" customHeight="1">
      <c r="A85" s="63" t="str">
        <f t="array" ref="A85">IF(C85&lt;&gt;0,SUM(($C$11:C85&lt;&gt;0)*1),"")</f>
        <v/>
      </c>
      <c r="B85" s="290"/>
      <c r="C85" s="290"/>
      <c r="D85" s="290"/>
      <c r="E85" s="396"/>
      <c r="F85" s="345"/>
      <c r="G85" s="347"/>
      <c r="H85" s="347"/>
      <c r="I85" s="63" t="str">
        <f t="shared" si="90"/>
        <v/>
      </c>
      <c r="J85" s="292">
        <f t="shared" si="46"/>
        <v>0</v>
      </c>
      <c r="K85" s="292">
        <f t="shared" si="47"/>
        <v>0</v>
      </c>
      <c r="L85" s="292">
        <f t="shared" si="48"/>
        <v>0</v>
      </c>
      <c r="M85" s="292">
        <f t="shared" si="49"/>
        <v>0</v>
      </c>
      <c r="N85" s="292">
        <f t="shared" si="84"/>
        <v>0</v>
      </c>
      <c r="O85" s="292">
        <f t="shared" si="85"/>
        <v>0</v>
      </c>
      <c r="P85" s="292">
        <f t="shared" si="50"/>
        <v>0</v>
      </c>
      <c r="Q85" s="292">
        <f t="shared" si="51"/>
        <v>0</v>
      </c>
      <c r="R85" s="292">
        <f t="shared" si="52"/>
        <v>0</v>
      </c>
      <c r="S85" s="292">
        <f t="shared" si="53"/>
        <v>0</v>
      </c>
      <c r="T85" s="292">
        <f t="shared" si="86"/>
        <v>0</v>
      </c>
      <c r="U85" s="292">
        <f t="shared" si="87"/>
        <v>0</v>
      </c>
      <c r="V85" s="292">
        <f t="shared" si="54"/>
        <v>0</v>
      </c>
      <c r="W85" s="292">
        <f t="shared" si="55"/>
        <v>0</v>
      </c>
      <c r="X85" s="292">
        <f t="shared" si="56"/>
        <v>0</v>
      </c>
      <c r="Y85" s="292">
        <f t="shared" si="57"/>
        <v>0</v>
      </c>
      <c r="Z85" s="292">
        <f t="shared" si="58"/>
        <v>0</v>
      </c>
      <c r="AA85" s="292">
        <f t="shared" si="59"/>
        <v>0</v>
      </c>
      <c r="AB85" s="292">
        <f t="shared" si="60"/>
        <v>0</v>
      </c>
      <c r="AC85" s="292">
        <f t="shared" si="61"/>
        <v>0</v>
      </c>
      <c r="AD85" s="292">
        <f t="shared" si="62"/>
        <v>0</v>
      </c>
      <c r="AE85" s="292">
        <f t="shared" si="63"/>
        <v>0</v>
      </c>
      <c r="AF85" s="292">
        <f t="shared" si="88"/>
        <v>0</v>
      </c>
      <c r="AG85" s="292">
        <f t="shared" si="89"/>
        <v>0</v>
      </c>
      <c r="AH85" s="292">
        <f t="shared" si="64"/>
        <v>0</v>
      </c>
      <c r="AI85" s="292">
        <f t="shared" si="65"/>
        <v>0</v>
      </c>
      <c r="AJ85" s="292">
        <f t="shared" si="66"/>
        <v>0</v>
      </c>
      <c r="AK85" s="292">
        <f t="shared" si="67"/>
        <v>0</v>
      </c>
      <c r="AL85" s="292">
        <f t="shared" si="68"/>
        <v>0</v>
      </c>
      <c r="AM85" s="292">
        <f t="shared" si="69"/>
        <v>0</v>
      </c>
      <c r="AN85" s="292">
        <f t="shared" si="70"/>
        <v>0</v>
      </c>
      <c r="AO85" s="292">
        <f t="shared" si="71"/>
        <v>0</v>
      </c>
      <c r="AP85" s="292">
        <f t="shared" si="72"/>
        <v>0</v>
      </c>
      <c r="AQ85" s="292">
        <f t="shared" si="73"/>
        <v>0</v>
      </c>
      <c r="AR85" s="292">
        <f t="shared" si="74"/>
        <v>0</v>
      </c>
      <c r="AS85" s="292">
        <f t="shared" si="75"/>
        <v>0</v>
      </c>
      <c r="AT85" s="292">
        <f t="shared" si="76"/>
        <v>0</v>
      </c>
      <c r="AU85" s="292">
        <f t="shared" si="77"/>
        <v>0</v>
      </c>
      <c r="AV85" s="292">
        <f t="shared" si="78"/>
        <v>0</v>
      </c>
      <c r="AW85" s="292">
        <f t="shared" si="79"/>
        <v>0</v>
      </c>
      <c r="AX85" s="292">
        <f t="shared" si="80"/>
        <v>0</v>
      </c>
      <c r="AY85" s="292">
        <f t="shared" si="81"/>
        <v>0</v>
      </c>
      <c r="AZ85" s="292">
        <f t="shared" si="82"/>
        <v>0</v>
      </c>
      <c r="BA85" s="292">
        <f t="shared" si="83"/>
        <v>0</v>
      </c>
    </row>
    <row r="86" spans="1:53" s="289" customFormat="1" ht="15" customHeight="1">
      <c r="A86" s="63" t="str">
        <f t="array" ref="A86">IF(C86&lt;&gt;0,SUM(($C$11:C86&lt;&gt;0)*1),"")</f>
        <v/>
      </c>
      <c r="B86" s="290"/>
      <c r="C86" s="290"/>
      <c r="D86" s="290"/>
      <c r="E86" s="396"/>
      <c r="F86" s="345"/>
      <c r="G86" s="347"/>
      <c r="H86" s="347"/>
      <c r="I86" s="63" t="str">
        <f t="shared" si="90"/>
        <v/>
      </c>
      <c r="J86" s="292">
        <f t="shared" si="46"/>
        <v>0</v>
      </c>
      <c r="K86" s="292">
        <f t="shared" si="47"/>
        <v>0</v>
      </c>
      <c r="L86" s="292">
        <f t="shared" si="48"/>
        <v>0</v>
      </c>
      <c r="M86" s="292">
        <f t="shared" si="49"/>
        <v>0</v>
      </c>
      <c r="N86" s="292">
        <f t="shared" si="84"/>
        <v>0</v>
      </c>
      <c r="O86" s="292">
        <f t="shared" si="85"/>
        <v>0</v>
      </c>
      <c r="P86" s="292">
        <f t="shared" si="50"/>
        <v>0</v>
      </c>
      <c r="Q86" s="292">
        <f t="shared" si="51"/>
        <v>0</v>
      </c>
      <c r="R86" s="292">
        <f t="shared" si="52"/>
        <v>0</v>
      </c>
      <c r="S86" s="292">
        <f t="shared" si="53"/>
        <v>0</v>
      </c>
      <c r="T86" s="292">
        <f t="shared" si="86"/>
        <v>0</v>
      </c>
      <c r="U86" s="292">
        <f t="shared" si="87"/>
        <v>0</v>
      </c>
      <c r="V86" s="292">
        <f t="shared" si="54"/>
        <v>0</v>
      </c>
      <c r="W86" s="292">
        <f t="shared" si="55"/>
        <v>0</v>
      </c>
      <c r="X86" s="292">
        <f t="shared" si="56"/>
        <v>0</v>
      </c>
      <c r="Y86" s="292">
        <f t="shared" si="57"/>
        <v>0</v>
      </c>
      <c r="Z86" s="292">
        <f t="shared" si="58"/>
        <v>0</v>
      </c>
      <c r="AA86" s="292">
        <f t="shared" si="59"/>
        <v>0</v>
      </c>
      <c r="AB86" s="292">
        <f t="shared" si="60"/>
        <v>0</v>
      </c>
      <c r="AC86" s="292">
        <f t="shared" si="61"/>
        <v>0</v>
      </c>
      <c r="AD86" s="292">
        <f t="shared" si="62"/>
        <v>0</v>
      </c>
      <c r="AE86" s="292">
        <f t="shared" si="63"/>
        <v>0</v>
      </c>
      <c r="AF86" s="292">
        <f t="shared" si="88"/>
        <v>0</v>
      </c>
      <c r="AG86" s="292">
        <f t="shared" si="89"/>
        <v>0</v>
      </c>
      <c r="AH86" s="292">
        <f t="shared" si="64"/>
        <v>0</v>
      </c>
      <c r="AI86" s="292">
        <f t="shared" si="65"/>
        <v>0</v>
      </c>
      <c r="AJ86" s="292">
        <f t="shared" si="66"/>
        <v>0</v>
      </c>
      <c r="AK86" s="292">
        <f t="shared" si="67"/>
        <v>0</v>
      </c>
      <c r="AL86" s="292">
        <f t="shared" si="68"/>
        <v>0</v>
      </c>
      <c r="AM86" s="292">
        <f t="shared" si="69"/>
        <v>0</v>
      </c>
      <c r="AN86" s="292">
        <f t="shared" si="70"/>
        <v>0</v>
      </c>
      <c r="AO86" s="292">
        <f t="shared" si="71"/>
        <v>0</v>
      </c>
      <c r="AP86" s="292">
        <f t="shared" si="72"/>
        <v>0</v>
      </c>
      <c r="AQ86" s="292">
        <f t="shared" si="73"/>
        <v>0</v>
      </c>
      <c r="AR86" s="292">
        <f t="shared" si="74"/>
        <v>0</v>
      </c>
      <c r="AS86" s="292">
        <f t="shared" si="75"/>
        <v>0</v>
      </c>
      <c r="AT86" s="292">
        <f t="shared" si="76"/>
        <v>0</v>
      </c>
      <c r="AU86" s="292">
        <f t="shared" si="77"/>
        <v>0</v>
      </c>
      <c r="AV86" s="292">
        <f t="shared" si="78"/>
        <v>0</v>
      </c>
      <c r="AW86" s="292">
        <f t="shared" si="79"/>
        <v>0</v>
      </c>
      <c r="AX86" s="292">
        <f t="shared" si="80"/>
        <v>0</v>
      </c>
      <c r="AY86" s="292">
        <f t="shared" si="81"/>
        <v>0</v>
      </c>
      <c r="AZ86" s="292">
        <f t="shared" si="82"/>
        <v>0</v>
      </c>
      <c r="BA86" s="292">
        <f t="shared" si="83"/>
        <v>0</v>
      </c>
    </row>
    <row r="87" spans="1:53" s="289" customFormat="1" ht="15" customHeight="1">
      <c r="A87" s="63" t="str">
        <f t="array" ref="A87">IF(C87&lt;&gt;0,SUM(($C$11:C87&lt;&gt;0)*1),"")</f>
        <v/>
      </c>
      <c r="B87" s="290"/>
      <c r="C87" s="290"/>
      <c r="D87" s="290"/>
      <c r="E87" s="396"/>
      <c r="F87" s="345"/>
      <c r="G87" s="347"/>
      <c r="H87" s="347"/>
      <c r="I87" s="63" t="str">
        <f t="shared" si="90"/>
        <v/>
      </c>
      <c r="J87" s="292">
        <f t="shared" si="46"/>
        <v>0</v>
      </c>
      <c r="K87" s="292">
        <f t="shared" si="47"/>
        <v>0</v>
      </c>
      <c r="L87" s="292">
        <f t="shared" si="48"/>
        <v>0</v>
      </c>
      <c r="M87" s="292">
        <f t="shared" si="49"/>
        <v>0</v>
      </c>
      <c r="N87" s="292">
        <f t="shared" si="84"/>
        <v>0</v>
      </c>
      <c r="O87" s="292">
        <f t="shared" si="85"/>
        <v>0</v>
      </c>
      <c r="P87" s="292">
        <f t="shared" si="50"/>
        <v>0</v>
      </c>
      <c r="Q87" s="292">
        <f t="shared" si="51"/>
        <v>0</v>
      </c>
      <c r="R87" s="292">
        <f t="shared" si="52"/>
        <v>0</v>
      </c>
      <c r="S87" s="292">
        <f t="shared" si="53"/>
        <v>0</v>
      </c>
      <c r="T87" s="292">
        <f t="shared" si="86"/>
        <v>0</v>
      </c>
      <c r="U87" s="292">
        <f t="shared" si="87"/>
        <v>0</v>
      </c>
      <c r="V87" s="292">
        <f t="shared" si="54"/>
        <v>0</v>
      </c>
      <c r="W87" s="292">
        <f t="shared" si="55"/>
        <v>0</v>
      </c>
      <c r="X87" s="292">
        <f t="shared" si="56"/>
        <v>0</v>
      </c>
      <c r="Y87" s="292">
        <f t="shared" si="57"/>
        <v>0</v>
      </c>
      <c r="Z87" s="292">
        <f t="shared" si="58"/>
        <v>0</v>
      </c>
      <c r="AA87" s="292">
        <f t="shared" si="59"/>
        <v>0</v>
      </c>
      <c r="AB87" s="292">
        <f t="shared" si="60"/>
        <v>0</v>
      </c>
      <c r="AC87" s="292">
        <f t="shared" si="61"/>
        <v>0</v>
      </c>
      <c r="AD87" s="292">
        <f t="shared" si="62"/>
        <v>0</v>
      </c>
      <c r="AE87" s="292">
        <f t="shared" si="63"/>
        <v>0</v>
      </c>
      <c r="AF87" s="292">
        <f t="shared" si="88"/>
        <v>0</v>
      </c>
      <c r="AG87" s="292">
        <f t="shared" si="89"/>
        <v>0</v>
      </c>
      <c r="AH87" s="292">
        <f t="shared" si="64"/>
        <v>0</v>
      </c>
      <c r="AI87" s="292">
        <f t="shared" si="65"/>
        <v>0</v>
      </c>
      <c r="AJ87" s="292">
        <f t="shared" si="66"/>
        <v>0</v>
      </c>
      <c r="AK87" s="292">
        <f t="shared" si="67"/>
        <v>0</v>
      </c>
      <c r="AL87" s="292">
        <f t="shared" si="68"/>
        <v>0</v>
      </c>
      <c r="AM87" s="292">
        <f t="shared" si="69"/>
        <v>0</v>
      </c>
      <c r="AN87" s="292">
        <f t="shared" si="70"/>
        <v>0</v>
      </c>
      <c r="AO87" s="292">
        <f t="shared" si="71"/>
        <v>0</v>
      </c>
      <c r="AP87" s="292">
        <f t="shared" si="72"/>
        <v>0</v>
      </c>
      <c r="AQ87" s="292">
        <f t="shared" si="73"/>
        <v>0</v>
      </c>
      <c r="AR87" s="292">
        <f t="shared" si="74"/>
        <v>0</v>
      </c>
      <c r="AS87" s="292">
        <f t="shared" si="75"/>
        <v>0</v>
      </c>
      <c r="AT87" s="292">
        <f t="shared" si="76"/>
        <v>0</v>
      </c>
      <c r="AU87" s="292">
        <f t="shared" si="77"/>
        <v>0</v>
      </c>
      <c r="AV87" s="292">
        <f t="shared" si="78"/>
        <v>0</v>
      </c>
      <c r="AW87" s="292">
        <f t="shared" si="79"/>
        <v>0</v>
      </c>
      <c r="AX87" s="292">
        <f t="shared" si="80"/>
        <v>0</v>
      </c>
      <c r="AY87" s="292">
        <f t="shared" si="81"/>
        <v>0</v>
      </c>
      <c r="AZ87" s="292">
        <f t="shared" si="82"/>
        <v>0</v>
      </c>
      <c r="BA87" s="292">
        <f t="shared" si="83"/>
        <v>0</v>
      </c>
    </row>
    <row r="88" spans="1:53" s="289" customFormat="1" ht="15" customHeight="1">
      <c r="A88" s="63" t="str">
        <f t="array" ref="A88">IF(C88&lt;&gt;0,SUM(($C$11:C88&lt;&gt;0)*1),"")</f>
        <v/>
      </c>
      <c r="B88" s="290"/>
      <c r="C88" s="290"/>
      <c r="D88" s="290"/>
      <c r="E88" s="396"/>
      <c r="F88" s="345"/>
      <c r="G88" s="347"/>
      <c r="H88" s="347"/>
      <c r="I88" s="63" t="str">
        <f t="shared" si="90"/>
        <v/>
      </c>
      <c r="J88" s="292">
        <f t="shared" si="46"/>
        <v>0</v>
      </c>
      <c r="K88" s="292">
        <f t="shared" si="47"/>
        <v>0</v>
      </c>
      <c r="L88" s="292">
        <f t="shared" si="48"/>
        <v>0</v>
      </c>
      <c r="M88" s="292">
        <f t="shared" si="49"/>
        <v>0</v>
      </c>
      <c r="N88" s="292">
        <f t="shared" si="84"/>
        <v>0</v>
      </c>
      <c r="O88" s="292">
        <f t="shared" si="85"/>
        <v>0</v>
      </c>
      <c r="P88" s="292">
        <f t="shared" si="50"/>
        <v>0</v>
      </c>
      <c r="Q88" s="292">
        <f t="shared" si="51"/>
        <v>0</v>
      </c>
      <c r="R88" s="292">
        <f t="shared" si="52"/>
        <v>0</v>
      </c>
      <c r="S88" s="292">
        <f t="shared" si="53"/>
        <v>0</v>
      </c>
      <c r="T88" s="292">
        <f t="shared" si="86"/>
        <v>0</v>
      </c>
      <c r="U88" s="292">
        <f t="shared" si="87"/>
        <v>0</v>
      </c>
      <c r="V88" s="292">
        <f t="shared" si="54"/>
        <v>0</v>
      </c>
      <c r="W88" s="292">
        <f t="shared" si="55"/>
        <v>0</v>
      </c>
      <c r="X88" s="292">
        <f t="shared" si="56"/>
        <v>0</v>
      </c>
      <c r="Y88" s="292">
        <f t="shared" si="57"/>
        <v>0</v>
      </c>
      <c r="Z88" s="292">
        <f t="shared" si="58"/>
        <v>0</v>
      </c>
      <c r="AA88" s="292">
        <f t="shared" si="59"/>
        <v>0</v>
      </c>
      <c r="AB88" s="292">
        <f t="shared" si="60"/>
        <v>0</v>
      </c>
      <c r="AC88" s="292">
        <f t="shared" si="61"/>
        <v>0</v>
      </c>
      <c r="AD88" s="292">
        <f t="shared" si="62"/>
        <v>0</v>
      </c>
      <c r="AE88" s="292">
        <f t="shared" si="63"/>
        <v>0</v>
      </c>
      <c r="AF88" s="292">
        <f t="shared" si="88"/>
        <v>0</v>
      </c>
      <c r="AG88" s="292">
        <f t="shared" si="89"/>
        <v>0</v>
      </c>
      <c r="AH88" s="292">
        <f t="shared" si="64"/>
        <v>0</v>
      </c>
      <c r="AI88" s="292">
        <f t="shared" si="65"/>
        <v>0</v>
      </c>
      <c r="AJ88" s="292">
        <f t="shared" si="66"/>
        <v>0</v>
      </c>
      <c r="AK88" s="292">
        <f t="shared" si="67"/>
        <v>0</v>
      </c>
      <c r="AL88" s="292">
        <f t="shared" si="68"/>
        <v>0</v>
      </c>
      <c r="AM88" s="292">
        <f t="shared" si="69"/>
        <v>0</v>
      </c>
      <c r="AN88" s="292">
        <f t="shared" si="70"/>
        <v>0</v>
      </c>
      <c r="AO88" s="292">
        <f t="shared" si="71"/>
        <v>0</v>
      </c>
      <c r="AP88" s="292">
        <f t="shared" si="72"/>
        <v>0</v>
      </c>
      <c r="AQ88" s="292">
        <f t="shared" si="73"/>
        <v>0</v>
      </c>
      <c r="AR88" s="292">
        <f t="shared" si="74"/>
        <v>0</v>
      </c>
      <c r="AS88" s="292">
        <f t="shared" si="75"/>
        <v>0</v>
      </c>
      <c r="AT88" s="292">
        <f t="shared" si="76"/>
        <v>0</v>
      </c>
      <c r="AU88" s="292">
        <f t="shared" si="77"/>
        <v>0</v>
      </c>
      <c r="AV88" s="292">
        <f t="shared" si="78"/>
        <v>0</v>
      </c>
      <c r="AW88" s="292">
        <f t="shared" si="79"/>
        <v>0</v>
      </c>
      <c r="AX88" s="292">
        <f t="shared" si="80"/>
        <v>0</v>
      </c>
      <c r="AY88" s="292">
        <f t="shared" si="81"/>
        <v>0</v>
      </c>
      <c r="AZ88" s="292">
        <f t="shared" si="82"/>
        <v>0</v>
      </c>
      <c r="BA88" s="292">
        <f t="shared" si="83"/>
        <v>0</v>
      </c>
    </row>
    <row r="89" spans="1:53" s="289" customFormat="1" ht="15" customHeight="1">
      <c r="A89" s="63" t="str">
        <f t="array" ref="A89">IF(C89&lt;&gt;0,SUM(($C$11:C89&lt;&gt;0)*1),"")</f>
        <v/>
      </c>
      <c r="B89" s="290"/>
      <c r="C89" s="290"/>
      <c r="D89" s="290"/>
      <c r="E89" s="396"/>
      <c r="F89" s="345"/>
      <c r="G89" s="347"/>
      <c r="H89" s="347"/>
      <c r="I89" s="63" t="str">
        <f t="shared" si="90"/>
        <v/>
      </c>
      <c r="J89" s="292">
        <f t="shared" si="46"/>
        <v>0</v>
      </c>
      <c r="K89" s="292">
        <f t="shared" si="47"/>
        <v>0</v>
      </c>
      <c r="L89" s="292">
        <f t="shared" si="48"/>
        <v>0</v>
      </c>
      <c r="M89" s="292">
        <f t="shared" si="49"/>
        <v>0</v>
      </c>
      <c r="N89" s="292">
        <f t="shared" si="84"/>
        <v>0</v>
      </c>
      <c r="O89" s="292">
        <f t="shared" si="85"/>
        <v>0</v>
      </c>
      <c r="P89" s="292">
        <f t="shared" si="50"/>
        <v>0</v>
      </c>
      <c r="Q89" s="292">
        <f t="shared" si="51"/>
        <v>0</v>
      </c>
      <c r="R89" s="292">
        <f t="shared" si="52"/>
        <v>0</v>
      </c>
      <c r="S89" s="292">
        <f t="shared" si="53"/>
        <v>0</v>
      </c>
      <c r="T89" s="292">
        <f t="shared" si="86"/>
        <v>0</v>
      </c>
      <c r="U89" s="292">
        <f t="shared" si="87"/>
        <v>0</v>
      </c>
      <c r="V89" s="292">
        <f t="shared" si="54"/>
        <v>0</v>
      </c>
      <c r="W89" s="292">
        <f t="shared" si="55"/>
        <v>0</v>
      </c>
      <c r="X89" s="292">
        <f t="shared" si="56"/>
        <v>0</v>
      </c>
      <c r="Y89" s="292">
        <f t="shared" si="57"/>
        <v>0</v>
      </c>
      <c r="Z89" s="292">
        <f t="shared" si="58"/>
        <v>0</v>
      </c>
      <c r="AA89" s="292">
        <f t="shared" si="59"/>
        <v>0</v>
      </c>
      <c r="AB89" s="292">
        <f t="shared" si="60"/>
        <v>0</v>
      </c>
      <c r="AC89" s="292">
        <f t="shared" si="61"/>
        <v>0</v>
      </c>
      <c r="AD89" s="292">
        <f t="shared" si="62"/>
        <v>0</v>
      </c>
      <c r="AE89" s="292">
        <f t="shared" si="63"/>
        <v>0</v>
      </c>
      <c r="AF89" s="292">
        <f t="shared" si="88"/>
        <v>0</v>
      </c>
      <c r="AG89" s="292">
        <f t="shared" si="89"/>
        <v>0</v>
      </c>
      <c r="AH89" s="292">
        <f t="shared" si="64"/>
        <v>0</v>
      </c>
      <c r="AI89" s="292">
        <f t="shared" si="65"/>
        <v>0</v>
      </c>
      <c r="AJ89" s="292">
        <f t="shared" si="66"/>
        <v>0</v>
      </c>
      <c r="AK89" s="292">
        <f t="shared" si="67"/>
        <v>0</v>
      </c>
      <c r="AL89" s="292">
        <f t="shared" si="68"/>
        <v>0</v>
      </c>
      <c r="AM89" s="292">
        <f t="shared" si="69"/>
        <v>0</v>
      </c>
      <c r="AN89" s="292">
        <f t="shared" si="70"/>
        <v>0</v>
      </c>
      <c r="AO89" s="292">
        <f t="shared" si="71"/>
        <v>0</v>
      </c>
      <c r="AP89" s="292">
        <f t="shared" si="72"/>
        <v>0</v>
      </c>
      <c r="AQ89" s="292">
        <f t="shared" si="73"/>
        <v>0</v>
      </c>
      <c r="AR89" s="292">
        <f t="shared" si="74"/>
        <v>0</v>
      </c>
      <c r="AS89" s="292">
        <f t="shared" si="75"/>
        <v>0</v>
      </c>
      <c r="AT89" s="292">
        <f t="shared" si="76"/>
        <v>0</v>
      </c>
      <c r="AU89" s="292">
        <f t="shared" si="77"/>
        <v>0</v>
      </c>
      <c r="AV89" s="292">
        <f t="shared" si="78"/>
        <v>0</v>
      </c>
      <c r="AW89" s="292">
        <f t="shared" si="79"/>
        <v>0</v>
      </c>
      <c r="AX89" s="292">
        <f t="shared" si="80"/>
        <v>0</v>
      </c>
      <c r="AY89" s="292">
        <f t="shared" si="81"/>
        <v>0</v>
      </c>
      <c r="AZ89" s="292">
        <f t="shared" si="82"/>
        <v>0</v>
      </c>
      <c r="BA89" s="292">
        <f t="shared" si="83"/>
        <v>0</v>
      </c>
    </row>
    <row r="90" spans="1:53" s="289" customFormat="1" ht="15" customHeight="1">
      <c r="A90" s="63" t="str">
        <f t="array" ref="A90">IF(C90&lt;&gt;0,SUM(($C$11:C90&lt;&gt;0)*1),"")</f>
        <v/>
      </c>
      <c r="B90" s="290"/>
      <c r="C90" s="290"/>
      <c r="D90" s="290"/>
      <c r="E90" s="396"/>
      <c r="F90" s="345"/>
      <c r="G90" s="347"/>
      <c r="H90" s="347"/>
      <c r="I90" s="63" t="str">
        <f t="shared" si="90"/>
        <v/>
      </c>
      <c r="J90" s="292">
        <f t="shared" si="46"/>
        <v>0</v>
      </c>
      <c r="K90" s="292">
        <f t="shared" si="47"/>
        <v>0</v>
      </c>
      <c r="L90" s="292">
        <f t="shared" si="48"/>
        <v>0</v>
      </c>
      <c r="M90" s="292">
        <f t="shared" si="49"/>
        <v>0</v>
      </c>
      <c r="N90" s="292">
        <f t="shared" si="84"/>
        <v>0</v>
      </c>
      <c r="O90" s="292">
        <f t="shared" si="85"/>
        <v>0</v>
      </c>
      <c r="P90" s="292">
        <f t="shared" si="50"/>
        <v>0</v>
      </c>
      <c r="Q90" s="292">
        <f t="shared" si="51"/>
        <v>0</v>
      </c>
      <c r="R90" s="292">
        <f t="shared" si="52"/>
        <v>0</v>
      </c>
      <c r="S90" s="292">
        <f t="shared" si="53"/>
        <v>0</v>
      </c>
      <c r="T90" s="292">
        <f t="shared" si="86"/>
        <v>0</v>
      </c>
      <c r="U90" s="292">
        <f t="shared" si="87"/>
        <v>0</v>
      </c>
      <c r="V90" s="292">
        <f t="shared" si="54"/>
        <v>0</v>
      </c>
      <c r="W90" s="292">
        <f t="shared" si="55"/>
        <v>0</v>
      </c>
      <c r="X90" s="292">
        <f t="shared" si="56"/>
        <v>0</v>
      </c>
      <c r="Y90" s="292">
        <f t="shared" si="57"/>
        <v>0</v>
      </c>
      <c r="Z90" s="292">
        <f t="shared" si="58"/>
        <v>0</v>
      </c>
      <c r="AA90" s="292">
        <f t="shared" si="59"/>
        <v>0</v>
      </c>
      <c r="AB90" s="292">
        <f t="shared" si="60"/>
        <v>0</v>
      </c>
      <c r="AC90" s="292">
        <f t="shared" si="61"/>
        <v>0</v>
      </c>
      <c r="AD90" s="292">
        <f t="shared" si="62"/>
        <v>0</v>
      </c>
      <c r="AE90" s="292">
        <f t="shared" si="63"/>
        <v>0</v>
      </c>
      <c r="AF90" s="292">
        <f t="shared" si="88"/>
        <v>0</v>
      </c>
      <c r="AG90" s="292">
        <f t="shared" si="89"/>
        <v>0</v>
      </c>
      <c r="AH90" s="292">
        <f t="shared" si="64"/>
        <v>0</v>
      </c>
      <c r="AI90" s="292">
        <f t="shared" si="65"/>
        <v>0</v>
      </c>
      <c r="AJ90" s="292">
        <f t="shared" si="66"/>
        <v>0</v>
      </c>
      <c r="AK90" s="292">
        <f t="shared" si="67"/>
        <v>0</v>
      </c>
      <c r="AL90" s="292">
        <f t="shared" si="68"/>
        <v>0</v>
      </c>
      <c r="AM90" s="292">
        <f t="shared" si="69"/>
        <v>0</v>
      </c>
      <c r="AN90" s="292">
        <f t="shared" si="70"/>
        <v>0</v>
      </c>
      <c r="AO90" s="292">
        <f t="shared" si="71"/>
        <v>0</v>
      </c>
      <c r="AP90" s="292">
        <f t="shared" si="72"/>
        <v>0</v>
      </c>
      <c r="AQ90" s="292">
        <f t="shared" si="73"/>
        <v>0</v>
      </c>
      <c r="AR90" s="292">
        <f t="shared" si="74"/>
        <v>0</v>
      </c>
      <c r="AS90" s="292">
        <f t="shared" si="75"/>
        <v>0</v>
      </c>
      <c r="AT90" s="292">
        <f t="shared" si="76"/>
        <v>0</v>
      </c>
      <c r="AU90" s="292">
        <f t="shared" si="77"/>
        <v>0</v>
      </c>
      <c r="AV90" s="292">
        <f t="shared" si="78"/>
        <v>0</v>
      </c>
      <c r="AW90" s="292">
        <f t="shared" si="79"/>
        <v>0</v>
      </c>
      <c r="AX90" s="292">
        <f t="shared" si="80"/>
        <v>0</v>
      </c>
      <c r="AY90" s="292">
        <f t="shared" si="81"/>
        <v>0</v>
      </c>
      <c r="AZ90" s="292">
        <f t="shared" si="82"/>
        <v>0</v>
      </c>
      <c r="BA90" s="292">
        <f t="shared" si="83"/>
        <v>0</v>
      </c>
    </row>
    <row r="91" spans="1:53" s="289" customFormat="1" ht="15" customHeight="1">
      <c r="A91" s="63" t="str">
        <f t="array" ref="A91">IF(C91&lt;&gt;0,SUM(($C$11:C91&lt;&gt;0)*1),"")</f>
        <v/>
      </c>
      <c r="B91" s="290"/>
      <c r="C91" s="290"/>
      <c r="D91" s="290"/>
      <c r="E91" s="396"/>
      <c r="F91" s="345"/>
      <c r="G91" s="347"/>
      <c r="H91" s="347"/>
      <c r="I91" s="63" t="str">
        <f t="shared" si="90"/>
        <v/>
      </c>
      <c r="J91" s="292">
        <f t="shared" si="46"/>
        <v>0</v>
      </c>
      <c r="K91" s="292">
        <f t="shared" si="47"/>
        <v>0</v>
      </c>
      <c r="L91" s="292">
        <f t="shared" si="48"/>
        <v>0</v>
      </c>
      <c r="M91" s="292">
        <f t="shared" si="49"/>
        <v>0</v>
      </c>
      <c r="N91" s="292">
        <f t="shared" si="84"/>
        <v>0</v>
      </c>
      <c r="O91" s="292">
        <f t="shared" si="85"/>
        <v>0</v>
      </c>
      <c r="P91" s="292">
        <f t="shared" si="50"/>
        <v>0</v>
      </c>
      <c r="Q91" s="292">
        <f t="shared" si="51"/>
        <v>0</v>
      </c>
      <c r="R91" s="292">
        <f t="shared" si="52"/>
        <v>0</v>
      </c>
      <c r="S91" s="292">
        <f t="shared" si="53"/>
        <v>0</v>
      </c>
      <c r="T91" s="292">
        <f t="shared" si="86"/>
        <v>0</v>
      </c>
      <c r="U91" s="292">
        <f t="shared" si="87"/>
        <v>0</v>
      </c>
      <c r="V91" s="292">
        <f t="shared" si="54"/>
        <v>0</v>
      </c>
      <c r="W91" s="292">
        <f t="shared" si="55"/>
        <v>0</v>
      </c>
      <c r="X91" s="292">
        <f t="shared" si="56"/>
        <v>0</v>
      </c>
      <c r="Y91" s="292">
        <f t="shared" si="57"/>
        <v>0</v>
      </c>
      <c r="Z91" s="292">
        <f t="shared" si="58"/>
        <v>0</v>
      </c>
      <c r="AA91" s="292">
        <f t="shared" si="59"/>
        <v>0</v>
      </c>
      <c r="AB91" s="292">
        <f t="shared" si="60"/>
        <v>0</v>
      </c>
      <c r="AC91" s="292">
        <f t="shared" si="61"/>
        <v>0</v>
      </c>
      <c r="AD91" s="292">
        <f t="shared" si="62"/>
        <v>0</v>
      </c>
      <c r="AE91" s="292">
        <f t="shared" si="63"/>
        <v>0</v>
      </c>
      <c r="AF91" s="292">
        <f t="shared" si="88"/>
        <v>0</v>
      </c>
      <c r="AG91" s="292">
        <f t="shared" si="89"/>
        <v>0</v>
      </c>
      <c r="AH91" s="292">
        <f t="shared" si="64"/>
        <v>0</v>
      </c>
      <c r="AI91" s="292">
        <f t="shared" si="65"/>
        <v>0</v>
      </c>
      <c r="AJ91" s="292">
        <f t="shared" si="66"/>
        <v>0</v>
      </c>
      <c r="AK91" s="292">
        <f t="shared" si="67"/>
        <v>0</v>
      </c>
      <c r="AL91" s="292">
        <f t="shared" si="68"/>
        <v>0</v>
      </c>
      <c r="AM91" s="292">
        <f t="shared" si="69"/>
        <v>0</v>
      </c>
      <c r="AN91" s="292">
        <f t="shared" si="70"/>
        <v>0</v>
      </c>
      <c r="AO91" s="292">
        <f t="shared" si="71"/>
        <v>0</v>
      </c>
      <c r="AP91" s="292">
        <f t="shared" si="72"/>
        <v>0</v>
      </c>
      <c r="AQ91" s="292">
        <f t="shared" si="73"/>
        <v>0</v>
      </c>
      <c r="AR91" s="292">
        <f t="shared" si="74"/>
        <v>0</v>
      </c>
      <c r="AS91" s="292">
        <f t="shared" si="75"/>
        <v>0</v>
      </c>
      <c r="AT91" s="292">
        <f t="shared" si="76"/>
        <v>0</v>
      </c>
      <c r="AU91" s="292">
        <f t="shared" si="77"/>
        <v>0</v>
      </c>
      <c r="AV91" s="292">
        <f t="shared" si="78"/>
        <v>0</v>
      </c>
      <c r="AW91" s="292">
        <f t="shared" si="79"/>
        <v>0</v>
      </c>
      <c r="AX91" s="292">
        <f t="shared" si="80"/>
        <v>0</v>
      </c>
      <c r="AY91" s="292">
        <f t="shared" si="81"/>
        <v>0</v>
      </c>
      <c r="AZ91" s="292">
        <f t="shared" si="82"/>
        <v>0</v>
      </c>
      <c r="BA91" s="292">
        <f t="shared" si="83"/>
        <v>0</v>
      </c>
    </row>
    <row r="92" spans="1:53" s="289" customFormat="1" ht="15" customHeight="1">
      <c r="A92" s="63" t="str">
        <f t="array" ref="A92">IF(C92&lt;&gt;0,SUM(($C$11:C92&lt;&gt;0)*1),"")</f>
        <v/>
      </c>
      <c r="B92" s="290"/>
      <c r="C92" s="290"/>
      <c r="D92" s="290"/>
      <c r="E92" s="396"/>
      <c r="F92" s="345"/>
      <c r="G92" s="347"/>
      <c r="H92" s="347"/>
      <c r="I92" s="63" t="str">
        <f t="shared" si="90"/>
        <v/>
      </c>
      <c r="J92" s="292">
        <f t="shared" si="46"/>
        <v>0</v>
      </c>
      <c r="K92" s="292">
        <f t="shared" si="47"/>
        <v>0</v>
      </c>
      <c r="L92" s="292">
        <f t="shared" si="48"/>
        <v>0</v>
      </c>
      <c r="M92" s="292">
        <f t="shared" si="49"/>
        <v>0</v>
      </c>
      <c r="N92" s="292">
        <f t="shared" si="84"/>
        <v>0</v>
      </c>
      <c r="O92" s="292">
        <f t="shared" si="85"/>
        <v>0</v>
      </c>
      <c r="P92" s="292">
        <f t="shared" si="50"/>
        <v>0</v>
      </c>
      <c r="Q92" s="292">
        <f t="shared" si="51"/>
        <v>0</v>
      </c>
      <c r="R92" s="292">
        <f t="shared" si="52"/>
        <v>0</v>
      </c>
      <c r="S92" s="292">
        <f t="shared" si="53"/>
        <v>0</v>
      </c>
      <c r="T92" s="292">
        <f t="shared" si="86"/>
        <v>0</v>
      </c>
      <c r="U92" s="292">
        <f t="shared" si="87"/>
        <v>0</v>
      </c>
      <c r="V92" s="292">
        <f t="shared" si="54"/>
        <v>0</v>
      </c>
      <c r="W92" s="292">
        <f t="shared" si="55"/>
        <v>0</v>
      </c>
      <c r="X92" s="292">
        <f t="shared" si="56"/>
        <v>0</v>
      </c>
      <c r="Y92" s="292">
        <f t="shared" si="57"/>
        <v>0</v>
      </c>
      <c r="Z92" s="292">
        <f t="shared" si="58"/>
        <v>0</v>
      </c>
      <c r="AA92" s="292">
        <f t="shared" si="59"/>
        <v>0</v>
      </c>
      <c r="AB92" s="292">
        <f t="shared" si="60"/>
        <v>0</v>
      </c>
      <c r="AC92" s="292">
        <f t="shared" si="61"/>
        <v>0</v>
      </c>
      <c r="AD92" s="292">
        <f t="shared" si="62"/>
        <v>0</v>
      </c>
      <c r="AE92" s="292">
        <f t="shared" si="63"/>
        <v>0</v>
      </c>
      <c r="AF92" s="292">
        <f t="shared" si="88"/>
        <v>0</v>
      </c>
      <c r="AG92" s="292">
        <f t="shared" si="89"/>
        <v>0</v>
      </c>
      <c r="AH92" s="292">
        <f t="shared" si="64"/>
        <v>0</v>
      </c>
      <c r="AI92" s="292">
        <f t="shared" si="65"/>
        <v>0</v>
      </c>
      <c r="AJ92" s="292">
        <f t="shared" si="66"/>
        <v>0</v>
      </c>
      <c r="AK92" s="292">
        <f t="shared" si="67"/>
        <v>0</v>
      </c>
      <c r="AL92" s="292">
        <f t="shared" si="68"/>
        <v>0</v>
      </c>
      <c r="AM92" s="292">
        <f t="shared" si="69"/>
        <v>0</v>
      </c>
      <c r="AN92" s="292">
        <f t="shared" si="70"/>
        <v>0</v>
      </c>
      <c r="AO92" s="292">
        <f t="shared" si="71"/>
        <v>0</v>
      </c>
      <c r="AP92" s="292">
        <f t="shared" si="72"/>
        <v>0</v>
      </c>
      <c r="AQ92" s="292">
        <f t="shared" si="73"/>
        <v>0</v>
      </c>
      <c r="AR92" s="292">
        <f t="shared" si="74"/>
        <v>0</v>
      </c>
      <c r="AS92" s="292">
        <f t="shared" si="75"/>
        <v>0</v>
      </c>
      <c r="AT92" s="292">
        <f t="shared" si="76"/>
        <v>0</v>
      </c>
      <c r="AU92" s="292">
        <f t="shared" si="77"/>
        <v>0</v>
      </c>
      <c r="AV92" s="292">
        <f t="shared" si="78"/>
        <v>0</v>
      </c>
      <c r="AW92" s="292">
        <f t="shared" si="79"/>
        <v>0</v>
      </c>
      <c r="AX92" s="292">
        <f t="shared" si="80"/>
        <v>0</v>
      </c>
      <c r="AY92" s="292">
        <f t="shared" si="81"/>
        <v>0</v>
      </c>
      <c r="AZ92" s="292">
        <f t="shared" si="82"/>
        <v>0</v>
      </c>
      <c r="BA92" s="292">
        <f t="shared" si="83"/>
        <v>0</v>
      </c>
    </row>
    <row r="93" spans="1:53" s="289" customFormat="1" ht="15" customHeight="1">
      <c r="A93" s="63" t="str">
        <f t="array" ref="A93">IF(C93&lt;&gt;0,SUM(($C$11:C93&lt;&gt;0)*1),"")</f>
        <v/>
      </c>
      <c r="B93" s="290"/>
      <c r="C93" s="290"/>
      <c r="D93" s="290"/>
      <c r="E93" s="396"/>
      <c r="F93" s="345"/>
      <c r="G93" s="347"/>
      <c r="H93" s="347"/>
      <c r="I93" s="63" t="str">
        <f t="shared" si="90"/>
        <v/>
      </c>
      <c r="J93" s="292">
        <f t="shared" si="46"/>
        <v>0</v>
      </c>
      <c r="K93" s="292">
        <f t="shared" si="47"/>
        <v>0</v>
      </c>
      <c r="L93" s="292">
        <f t="shared" si="48"/>
        <v>0</v>
      </c>
      <c r="M93" s="292">
        <f t="shared" si="49"/>
        <v>0</v>
      </c>
      <c r="N93" s="292">
        <f t="shared" si="84"/>
        <v>0</v>
      </c>
      <c r="O93" s="292">
        <f t="shared" si="85"/>
        <v>0</v>
      </c>
      <c r="P93" s="292">
        <f t="shared" si="50"/>
        <v>0</v>
      </c>
      <c r="Q93" s="292">
        <f t="shared" si="51"/>
        <v>0</v>
      </c>
      <c r="R93" s="292">
        <f t="shared" si="52"/>
        <v>0</v>
      </c>
      <c r="S93" s="292">
        <f t="shared" si="53"/>
        <v>0</v>
      </c>
      <c r="T93" s="292">
        <f t="shared" si="86"/>
        <v>0</v>
      </c>
      <c r="U93" s="292">
        <f t="shared" si="87"/>
        <v>0</v>
      </c>
      <c r="V93" s="292">
        <f t="shared" si="54"/>
        <v>0</v>
      </c>
      <c r="W93" s="292">
        <f t="shared" si="55"/>
        <v>0</v>
      </c>
      <c r="X93" s="292">
        <f t="shared" si="56"/>
        <v>0</v>
      </c>
      <c r="Y93" s="292">
        <f t="shared" si="57"/>
        <v>0</v>
      </c>
      <c r="Z93" s="292">
        <f t="shared" si="58"/>
        <v>0</v>
      </c>
      <c r="AA93" s="292">
        <f t="shared" si="59"/>
        <v>0</v>
      </c>
      <c r="AB93" s="292">
        <f t="shared" si="60"/>
        <v>0</v>
      </c>
      <c r="AC93" s="292">
        <f t="shared" si="61"/>
        <v>0</v>
      </c>
      <c r="AD93" s="292">
        <f t="shared" si="62"/>
        <v>0</v>
      </c>
      <c r="AE93" s="292">
        <f t="shared" si="63"/>
        <v>0</v>
      </c>
      <c r="AF93" s="292">
        <f t="shared" si="88"/>
        <v>0</v>
      </c>
      <c r="AG93" s="292">
        <f t="shared" si="89"/>
        <v>0</v>
      </c>
      <c r="AH93" s="292">
        <f t="shared" si="64"/>
        <v>0</v>
      </c>
      <c r="AI93" s="292">
        <f t="shared" si="65"/>
        <v>0</v>
      </c>
      <c r="AJ93" s="292">
        <f t="shared" si="66"/>
        <v>0</v>
      </c>
      <c r="AK93" s="292">
        <f t="shared" si="67"/>
        <v>0</v>
      </c>
      <c r="AL93" s="292">
        <f t="shared" si="68"/>
        <v>0</v>
      </c>
      <c r="AM93" s="292">
        <f t="shared" si="69"/>
        <v>0</v>
      </c>
      <c r="AN93" s="292">
        <f t="shared" si="70"/>
        <v>0</v>
      </c>
      <c r="AO93" s="292">
        <f t="shared" si="71"/>
        <v>0</v>
      </c>
      <c r="AP93" s="292">
        <f t="shared" si="72"/>
        <v>0</v>
      </c>
      <c r="AQ93" s="292">
        <f t="shared" si="73"/>
        <v>0</v>
      </c>
      <c r="AR93" s="292">
        <f t="shared" si="74"/>
        <v>0</v>
      </c>
      <c r="AS93" s="292">
        <f t="shared" si="75"/>
        <v>0</v>
      </c>
      <c r="AT93" s="292">
        <f t="shared" si="76"/>
        <v>0</v>
      </c>
      <c r="AU93" s="292">
        <f t="shared" si="77"/>
        <v>0</v>
      </c>
      <c r="AV93" s="292">
        <f t="shared" si="78"/>
        <v>0</v>
      </c>
      <c r="AW93" s="292">
        <f t="shared" si="79"/>
        <v>0</v>
      </c>
      <c r="AX93" s="292">
        <f t="shared" si="80"/>
        <v>0</v>
      </c>
      <c r="AY93" s="292">
        <f t="shared" si="81"/>
        <v>0</v>
      </c>
      <c r="AZ93" s="292">
        <f t="shared" si="82"/>
        <v>0</v>
      </c>
      <c r="BA93" s="292">
        <f t="shared" si="83"/>
        <v>0</v>
      </c>
    </row>
    <row r="94" spans="1:53" s="289" customFormat="1" ht="15" customHeight="1">
      <c r="A94" s="63" t="str">
        <f t="array" ref="A94">IF(C94&lt;&gt;0,SUM(($C$11:C94&lt;&gt;0)*1),"")</f>
        <v/>
      </c>
      <c r="B94" s="290"/>
      <c r="C94" s="290"/>
      <c r="D94" s="290"/>
      <c r="E94" s="396"/>
      <c r="F94" s="345"/>
      <c r="G94" s="347"/>
      <c r="H94" s="347"/>
      <c r="I94" s="63" t="str">
        <f t="shared" si="90"/>
        <v/>
      </c>
      <c r="J94" s="292">
        <f t="shared" si="46"/>
        <v>0</v>
      </c>
      <c r="K94" s="292">
        <f t="shared" si="47"/>
        <v>0</v>
      </c>
      <c r="L94" s="292">
        <f t="shared" si="48"/>
        <v>0</v>
      </c>
      <c r="M94" s="292">
        <f t="shared" si="49"/>
        <v>0</v>
      </c>
      <c r="N94" s="292">
        <f t="shared" si="84"/>
        <v>0</v>
      </c>
      <c r="O94" s="292">
        <f t="shared" si="85"/>
        <v>0</v>
      </c>
      <c r="P94" s="292">
        <f t="shared" si="50"/>
        <v>0</v>
      </c>
      <c r="Q94" s="292">
        <f t="shared" si="51"/>
        <v>0</v>
      </c>
      <c r="R94" s="292">
        <f t="shared" si="52"/>
        <v>0</v>
      </c>
      <c r="S94" s="292">
        <f t="shared" si="53"/>
        <v>0</v>
      </c>
      <c r="T94" s="292">
        <f t="shared" si="86"/>
        <v>0</v>
      </c>
      <c r="U94" s="292">
        <f t="shared" si="87"/>
        <v>0</v>
      </c>
      <c r="V94" s="292">
        <f t="shared" si="54"/>
        <v>0</v>
      </c>
      <c r="W94" s="292">
        <f t="shared" si="55"/>
        <v>0</v>
      </c>
      <c r="X94" s="292">
        <f t="shared" si="56"/>
        <v>0</v>
      </c>
      <c r="Y94" s="292">
        <f t="shared" si="57"/>
        <v>0</v>
      </c>
      <c r="Z94" s="292">
        <f t="shared" si="58"/>
        <v>0</v>
      </c>
      <c r="AA94" s="292">
        <f t="shared" si="59"/>
        <v>0</v>
      </c>
      <c r="AB94" s="292">
        <f t="shared" si="60"/>
        <v>0</v>
      </c>
      <c r="AC94" s="292">
        <f t="shared" si="61"/>
        <v>0</v>
      </c>
      <c r="AD94" s="292">
        <f t="shared" si="62"/>
        <v>0</v>
      </c>
      <c r="AE94" s="292">
        <f t="shared" si="63"/>
        <v>0</v>
      </c>
      <c r="AF94" s="292">
        <f t="shared" si="88"/>
        <v>0</v>
      </c>
      <c r="AG94" s="292">
        <f t="shared" si="89"/>
        <v>0</v>
      </c>
      <c r="AH94" s="292">
        <f t="shared" si="64"/>
        <v>0</v>
      </c>
      <c r="AI94" s="292">
        <f t="shared" si="65"/>
        <v>0</v>
      </c>
      <c r="AJ94" s="292">
        <f t="shared" si="66"/>
        <v>0</v>
      </c>
      <c r="AK94" s="292">
        <f t="shared" si="67"/>
        <v>0</v>
      </c>
      <c r="AL94" s="292">
        <f t="shared" si="68"/>
        <v>0</v>
      </c>
      <c r="AM94" s="292">
        <f t="shared" si="69"/>
        <v>0</v>
      </c>
      <c r="AN94" s="292">
        <f t="shared" si="70"/>
        <v>0</v>
      </c>
      <c r="AO94" s="292">
        <f t="shared" si="71"/>
        <v>0</v>
      </c>
      <c r="AP94" s="292">
        <f t="shared" si="72"/>
        <v>0</v>
      </c>
      <c r="AQ94" s="292">
        <f t="shared" si="73"/>
        <v>0</v>
      </c>
      <c r="AR94" s="292">
        <f t="shared" si="74"/>
        <v>0</v>
      </c>
      <c r="AS94" s="292">
        <f t="shared" si="75"/>
        <v>0</v>
      </c>
      <c r="AT94" s="292">
        <f t="shared" si="76"/>
        <v>0</v>
      </c>
      <c r="AU94" s="292">
        <f t="shared" si="77"/>
        <v>0</v>
      </c>
      <c r="AV94" s="292">
        <f t="shared" si="78"/>
        <v>0</v>
      </c>
      <c r="AW94" s="292">
        <f t="shared" si="79"/>
        <v>0</v>
      </c>
      <c r="AX94" s="292">
        <f t="shared" si="80"/>
        <v>0</v>
      </c>
      <c r="AY94" s="292">
        <f t="shared" si="81"/>
        <v>0</v>
      </c>
      <c r="AZ94" s="292">
        <f t="shared" si="82"/>
        <v>0</v>
      </c>
      <c r="BA94" s="292">
        <f t="shared" si="83"/>
        <v>0</v>
      </c>
    </row>
    <row r="95" spans="1:53" s="289" customFormat="1" ht="15" customHeight="1">
      <c r="A95" s="63" t="str">
        <f t="array" ref="A95">IF(C95&lt;&gt;0,SUM(($C$11:C95&lt;&gt;0)*1),"")</f>
        <v/>
      </c>
      <c r="B95" s="290"/>
      <c r="C95" s="290"/>
      <c r="D95" s="290"/>
      <c r="E95" s="396"/>
      <c r="F95" s="345"/>
      <c r="G95" s="347"/>
      <c r="H95" s="347"/>
      <c r="I95" s="63" t="str">
        <f t="shared" si="90"/>
        <v/>
      </c>
      <c r="J95" s="292">
        <f t="shared" si="46"/>
        <v>0</v>
      </c>
      <c r="K95" s="292">
        <f t="shared" si="47"/>
        <v>0</v>
      </c>
      <c r="L95" s="292">
        <f t="shared" si="48"/>
        <v>0</v>
      </c>
      <c r="M95" s="292">
        <f t="shared" si="49"/>
        <v>0</v>
      </c>
      <c r="N95" s="292">
        <f t="shared" si="84"/>
        <v>0</v>
      </c>
      <c r="O95" s="292">
        <f t="shared" si="85"/>
        <v>0</v>
      </c>
      <c r="P95" s="292">
        <f t="shared" si="50"/>
        <v>0</v>
      </c>
      <c r="Q95" s="292">
        <f t="shared" si="51"/>
        <v>0</v>
      </c>
      <c r="R95" s="292">
        <f t="shared" si="52"/>
        <v>0</v>
      </c>
      <c r="S95" s="292">
        <f t="shared" si="53"/>
        <v>0</v>
      </c>
      <c r="T95" s="292">
        <f t="shared" si="86"/>
        <v>0</v>
      </c>
      <c r="U95" s="292">
        <f t="shared" si="87"/>
        <v>0</v>
      </c>
      <c r="V95" s="292">
        <f t="shared" si="54"/>
        <v>0</v>
      </c>
      <c r="W95" s="292">
        <f t="shared" si="55"/>
        <v>0</v>
      </c>
      <c r="X95" s="292">
        <f t="shared" si="56"/>
        <v>0</v>
      </c>
      <c r="Y95" s="292">
        <f t="shared" si="57"/>
        <v>0</v>
      </c>
      <c r="Z95" s="292">
        <f t="shared" si="58"/>
        <v>0</v>
      </c>
      <c r="AA95" s="292">
        <f t="shared" si="59"/>
        <v>0</v>
      </c>
      <c r="AB95" s="292">
        <f t="shared" si="60"/>
        <v>0</v>
      </c>
      <c r="AC95" s="292">
        <f t="shared" si="61"/>
        <v>0</v>
      </c>
      <c r="AD95" s="292">
        <f t="shared" si="62"/>
        <v>0</v>
      </c>
      <c r="AE95" s="292">
        <f t="shared" si="63"/>
        <v>0</v>
      </c>
      <c r="AF95" s="292">
        <f t="shared" si="88"/>
        <v>0</v>
      </c>
      <c r="AG95" s="292">
        <f t="shared" si="89"/>
        <v>0</v>
      </c>
      <c r="AH95" s="292">
        <f t="shared" si="64"/>
        <v>0</v>
      </c>
      <c r="AI95" s="292">
        <f t="shared" si="65"/>
        <v>0</v>
      </c>
      <c r="AJ95" s="292">
        <f t="shared" si="66"/>
        <v>0</v>
      </c>
      <c r="AK95" s="292">
        <f t="shared" si="67"/>
        <v>0</v>
      </c>
      <c r="AL95" s="292">
        <f t="shared" si="68"/>
        <v>0</v>
      </c>
      <c r="AM95" s="292">
        <f t="shared" si="69"/>
        <v>0</v>
      </c>
      <c r="AN95" s="292">
        <f t="shared" si="70"/>
        <v>0</v>
      </c>
      <c r="AO95" s="292">
        <f t="shared" si="71"/>
        <v>0</v>
      </c>
      <c r="AP95" s="292">
        <f t="shared" si="72"/>
        <v>0</v>
      </c>
      <c r="AQ95" s="292">
        <f t="shared" si="73"/>
        <v>0</v>
      </c>
      <c r="AR95" s="292">
        <f t="shared" si="74"/>
        <v>0</v>
      </c>
      <c r="AS95" s="292">
        <f t="shared" si="75"/>
        <v>0</v>
      </c>
      <c r="AT95" s="292">
        <f t="shared" si="76"/>
        <v>0</v>
      </c>
      <c r="AU95" s="292">
        <f t="shared" si="77"/>
        <v>0</v>
      </c>
      <c r="AV95" s="292">
        <f t="shared" si="78"/>
        <v>0</v>
      </c>
      <c r="AW95" s="292">
        <f t="shared" si="79"/>
        <v>0</v>
      </c>
      <c r="AX95" s="292">
        <f t="shared" si="80"/>
        <v>0</v>
      </c>
      <c r="AY95" s="292">
        <f t="shared" si="81"/>
        <v>0</v>
      </c>
      <c r="AZ95" s="292">
        <f t="shared" si="82"/>
        <v>0</v>
      </c>
      <c r="BA95" s="292">
        <f t="shared" si="83"/>
        <v>0</v>
      </c>
    </row>
    <row r="96" spans="1:53" s="289" customFormat="1" ht="15" customHeight="1">
      <c r="A96" s="63" t="str">
        <f t="array" ref="A96">IF(C96&lt;&gt;0,SUM(($C$11:C96&lt;&gt;0)*1),"")</f>
        <v/>
      </c>
      <c r="B96" s="290"/>
      <c r="C96" s="290"/>
      <c r="D96" s="290"/>
      <c r="E96" s="396"/>
      <c r="F96" s="345"/>
      <c r="G96" s="347"/>
      <c r="H96" s="347"/>
      <c r="I96" s="63" t="str">
        <f t="shared" si="90"/>
        <v/>
      </c>
      <c r="J96" s="292">
        <f t="shared" si="46"/>
        <v>0</v>
      </c>
      <c r="K96" s="292">
        <f t="shared" si="47"/>
        <v>0</v>
      </c>
      <c r="L96" s="292">
        <f t="shared" si="48"/>
        <v>0</v>
      </c>
      <c r="M96" s="292">
        <f t="shared" si="49"/>
        <v>0</v>
      </c>
      <c r="N96" s="292">
        <f t="shared" si="84"/>
        <v>0</v>
      </c>
      <c r="O96" s="292">
        <f t="shared" si="85"/>
        <v>0</v>
      </c>
      <c r="P96" s="292">
        <f t="shared" si="50"/>
        <v>0</v>
      </c>
      <c r="Q96" s="292">
        <f t="shared" si="51"/>
        <v>0</v>
      </c>
      <c r="R96" s="292">
        <f t="shared" si="52"/>
        <v>0</v>
      </c>
      <c r="S96" s="292">
        <f t="shared" si="53"/>
        <v>0</v>
      </c>
      <c r="T96" s="292">
        <f t="shared" si="86"/>
        <v>0</v>
      </c>
      <c r="U96" s="292">
        <f t="shared" si="87"/>
        <v>0</v>
      </c>
      <c r="V96" s="292">
        <f t="shared" si="54"/>
        <v>0</v>
      </c>
      <c r="W96" s="292">
        <f t="shared" si="55"/>
        <v>0</v>
      </c>
      <c r="X96" s="292">
        <f t="shared" si="56"/>
        <v>0</v>
      </c>
      <c r="Y96" s="292">
        <f t="shared" si="57"/>
        <v>0</v>
      </c>
      <c r="Z96" s="292">
        <f t="shared" si="58"/>
        <v>0</v>
      </c>
      <c r="AA96" s="292">
        <f t="shared" si="59"/>
        <v>0</v>
      </c>
      <c r="AB96" s="292">
        <f t="shared" si="60"/>
        <v>0</v>
      </c>
      <c r="AC96" s="292">
        <f t="shared" si="61"/>
        <v>0</v>
      </c>
      <c r="AD96" s="292">
        <f t="shared" si="62"/>
        <v>0</v>
      </c>
      <c r="AE96" s="292">
        <f t="shared" si="63"/>
        <v>0</v>
      </c>
      <c r="AF96" s="292">
        <f t="shared" si="88"/>
        <v>0</v>
      </c>
      <c r="AG96" s="292">
        <f t="shared" si="89"/>
        <v>0</v>
      </c>
      <c r="AH96" s="292">
        <f t="shared" si="64"/>
        <v>0</v>
      </c>
      <c r="AI96" s="292">
        <f t="shared" si="65"/>
        <v>0</v>
      </c>
      <c r="AJ96" s="292">
        <f t="shared" si="66"/>
        <v>0</v>
      </c>
      <c r="AK96" s="292">
        <f t="shared" si="67"/>
        <v>0</v>
      </c>
      <c r="AL96" s="292">
        <f t="shared" si="68"/>
        <v>0</v>
      </c>
      <c r="AM96" s="292">
        <f t="shared" si="69"/>
        <v>0</v>
      </c>
      <c r="AN96" s="292">
        <f t="shared" si="70"/>
        <v>0</v>
      </c>
      <c r="AO96" s="292">
        <f t="shared" si="71"/>
        <v>0</v>
      </c>
      <c r="AP96" s="292">
        <f t="shared" si="72"/>
        <v>0</v>
      </c>
      <c r="AQ96" s="292">
        <f t="shared" si="73"/>
        <v>0</v>
      </c>
      <c r="AR96" s="292">
        <f t="shared" si="74"/>
        <v>0</v>
      </c>
      <c r="AS96" s="292">
        <f t="shared" si="75"/>
        <v>0</v>
      </c>
      <c r="AT96" s="292">
        <f t="shared" si="76"/>
        <v>0</v>
      </c>
      <c r="AU96" s="292">
        <f t="shared" si="77"/>
        <v>0</v>
      </c>
      <c r="AV96" s="292">
        <f t="shared" si="78"/>
        <v>0</v>
      </c>
      <c r="AW96" s="292">
        <f t="shared" si="79"/>
        <v>0</v>
      </c>
      <c r="AX96" s="292">
        <f t="shared" si="80"/>
        <v>0</v>
      </c>
      <c r="AY96" s="292">
        <f t="shared" si="81"/>
        <v>0</v>
      </c>
      <c r="AZ96" s="292">
        <f t="shared" si="82"/>
        <v>0</v>
      </c>
      <c r="BA96" s="292">
        <f t="shared" si="83"/>
        <v>0</v>
      </c>
    </row>
    <row r="97" spans="1:53" s="289" customFormat="1" ht="15" customHeight="1">
      <c r="A97" s="63" t="str">
        <f t="array" ref="A97">IF(C97&lt;&gt;0,SUM(($C$11:C97&lt;&gt;0)*1),"")</f>
        <v/>
      </c>
      <c r="B97" s="290"/>
      <c r="C97" s="290"/>
      <c r="D97" s="290"/>
      <c r="E97" s="396"/>
      <c r="F97" s="345"/>
      <c r="G97" s="347"/>
      <c r="H97" s="347"/>
      <c r="I97" s="63" t="str">
        <f t="shared" si="90"/>
        <v/>
      </c>
      <c r="J97" s="292">
        <f t="shared" si="46"/>
        <v>0</v>
      </c>
      <c r="K97" s="292">
        <f t="shared" si="47"/>
        <v>0</v>
      </c>
      <c r="L97" s="292">
        <f t="shared" si="48"/>
        <v>0</v>
      </c>
      <c r="M97" s="292">
        <f t="shared" si="49"/>
        <v>0</v>
      </c>
      <c r="N97" s="292">
        <f t="shared" si="84"/>
        <v>0</v>
      </c>
      <c r="O97" s="292">
        <f t="shared" si="85"/>
        <v>0</v>
      </c>
      <c r="P97" s="292">
        <f t="shared" si="50"/>
        <v>0</v>
      </c>
      <c r="Q97" s="292">
        <f t="shared" si="51"/>
        <v>0</v>
      </c>
      <c r="R97" s="292">
        <f t="shared" si="52"/>
        <v>0</v>
      </c>
      <c r="S97" s="292">
        <f t="shared" si="53"/>
        <v>0</v>
      </c>
      <c r="T97" s="292">
        <f t="shared" si="86"/>
        <v>0</v>
      </c>
      <c r="U97" s="292">
        <f t="shared" si="87"/>
        <v>0</v>
      </c>
      <c r="V97" s="292">
        <f t="shared" si="54"/>
        <v>0</v>
      </c>
      <c r="W97" s="292">
        <f t="shared" si="55"/>
        <v>0</v>
      </c>
      <c r="X97" s="292">
        <f t="shared" si="56"/>
        <v>0</v>
      </c>
      <c r="Y97" s="292">
        <f t="shared" si="57"/>
        <v>0</v>
      </c>
      <c r="Z97" s="292">
        <f t="shared" si="58"/>
        <v>0</v>
      </c>
      <c r="AA97" s="292">
        <f t="shared" si="59"/>
        <v>0</v>
      </c>
      <c r="AB97" s="292">
        <f t="shared" si="60"/>
        <v>0</v>
      </c>
      <c r="AC97" s="292">
        <f t="shared" si="61"/>
        <v>0</v>
      </c>
      <c r="AD97" s="292">
        <f t="shared" si="62"/>
        <v>0</v>
      </c>
      <c r="AE97" s="292">
        <f t="shared" si="63"/>
        <v>0</v>
      </c>
      <c r="AF97" s="292">
        <f t="shared" si="88"/>
        <v>0</v>
      </c>
      <c r="AG97" s="292">
        <f t="shared" si="89"/>
        <v>0</v>
      </c>
      <c r="AH97" s="292">
        <f t="shared" si="64"/>
        <v>0</v>
      </c>
      <c r="AI97" s="292">
        <f t="shared" si="65"/>
        <v>0</v>
      </c>
      <c r="AJ97" s="292">
        <f t="shared" si="66"/>
        <v>0</v>
      </c>
      <c r="AK97" s="292">
        <f t="shared" si="67"/>
        <v>0</v>
      </c>
      <c r="AL97" s="292">
        <f t="shared" si="68"/>
        <v>0</v>
      </c>
      <c r="AM97" s="292">
        <f t="shared" si="69"/>
        <v>0</v>
      </c>
      <c r="AN97" s="292">
        <f t="shared" si="70"/>
        <v>0</v>
      </c>
      <c r="AO97" s="292">
        <f t="shared" si="71"/>
        <v>0</v>
      </c>
      <c r="AP97" s="292">
        <f t="shared" si="72"/>
        <v>0</v>
      </c>
      <c r="AQ97" s="292">
        <f t="shared" si="73"/>
        <v>0</v>
      </c>
      <c r="AR97" s="292">
        <f t="shared" si="74"/>
        <v>0</v>
      </c>
      <c r="AS97" s="292">
        <f t="shared" si="75"/>
        <v>0</v>
      </c>
      <c r="AT97" s="292">
        <f t="shared" si="76"/>
        <v>0</v>
      </c>
      <c r="AU97" s="292">
        <f t="shared" si="77"/>
        <v>0</v>
      </c>
      <c r="AV97" s="292">
        <f t="shared" si="78"/>
        <v>0</v>
      </c>
      <c r="AW97" s="292">
        <f t="shared" si="79"/>
        <v>0</v>
      </c>
      <c r="AX97" s="292">
        <f t="shared" si="80"/>
        <v>0</v>
      </c>
      <c r="AY97" s="292">
        <f t="shared" si="81"/>
        <v>0</v>
      </c>
      <c r="AZ97" s="292">
        <f t="shared" si="82"/>
        <v>0</v>
      </c>
      <c r="BA97" s="292">
        <f t="shared" si="83"/>
        <v>0</v>
      </c>
    </row>
    <row r="98" spans="1:53" s="289" customFormat="1" ht="15" customHeight="1">
      <c r="A98" s="63" t="str">
        <f t="array" ref="A98">IF(C98&lt;&gt;0,SUM(($C$11:C98&lt;&gt;0)*1),"")</f>
        <v/>
      </c>
      <c r="B98" s="290"/>
      <c r="C98" s="290"/>
      <c r="D98" s="290"/>
      <c r="E98" s="396"/>
      <c r="F98" s="345"/>
      <c r="G98" s="347"/>
      <c r="H98" s="347"/>
      <c r="I98" s="63" t="str">
        <f t="shared" si="90"/>
        <v/>
      </c>
      <c r="J98" s="292">
        <f t="shared" si="46"/>
        <v>0</v>
      </c>
      <c r="K98" s="292">
        <f t="shared" si="47"/>
        <v>0</v>
      </c>
      <c r="L98" s="292">
        <f t="shared" si="48"/>
        <v>0</v>
      </c>
      <c r="M98" s="292">
        <f t="shared" si="49"/>
        <v>0</v>
      </c>
      <c r="N98" s="292">
        <f t="shared" si="84"/>
        <v>0</v>
      </c>
      <c r="O98" s="292">
        <f t="shared" si="85"/>
        <v>0</v>
      </c>
      <c r="P98" s="292">
        <f t="shared" si="50"/>
        <v>0</v>
      </c>
      <c r="Q98" s="292">
        <f t="shared" si="51"/>
        <v>0</v>
      </c>
      <c r="R98" s="292">
        <f t="shared" si="52"/>
        <v>0</v>
      </c>
      <c r="S98" s="292">
        <f t="shared" si="53"/>
        <v>0</v>
      </c>
      <c r="T98" s="292">
        <f t="shared" si="86"/>
        <v>0</v>
      </c>
      <c r="U98" s="292">
        <f t="shared" si="87"/>
        <v>0</v>
      </c>
      <c r="V98" s="292">
        <f t="shared" si="54"/>
        <v>0</v>
      </c>
      <c r="W98" s="292">
        <f t="shared" si="55"/>
        <v>0</v>
      </c>
      <c r="X98" s="292">
        <f t="shared" si="56"/>
        <v>0</v>
      </c>
      <c r="Y98" s="292">
        <f t="shared" si="57"/>
        <v>0</v>
      </c>
      <c r="Z98" s="292">
        <f t="shared" si="58"/>
        <v>0</v>
      </c>
      <c r="AA98" s="292">
        <f t="shared" si="59"/>
        <v>0</v>
      </c>
      <c r="AB98" s="292">
        <f t="shared" si="60"/>
        <v>0</v>
      </c>
      <c r="AC98" s="292">
        <f t="shared" si="61"/>
        <v>0</v>
      </c>
      <c r="AD98" s="292">
        <f t="shared" si="62"/>
        <v>0</v>
      </c>
      <c r="AE98" s="292">
        <f t="shared" si="63"/>
        <v>0</v>
      </c>
      <c r="AF98" s="292">
        <f t="shared" si="88"/>
        <v>0</v>
      </c>
      <c r="AG98" s="292">
        <f t="shared" si="89"/>
        <v>0</v>
      </c>
      <c r="AH98" s="292">
        <f t="shared" si="64"/>
        <v>0</v>
      </c>
      <c r="AI98" s="292">
        <f t="shared" si="65"/>
        <v>0</v>
      </c>
      <c r="AJ98" s="292">
        <f t="shared" si="66"/>
        <v>0</v>
      </c>
      <c r="AK98" s="292">
        <f t="shared" si="67"/>
        <v>0</v>
      </c>
      <c r="AL98" s="292">
        <f t="shared" si="68"/>
        <v>0</v>
      </c>
      <c r="AM98" s="292">
        <f t="shared" si="69"/>
        <v>0</v>
      </c>
      <c r="AN98" s="292">
        <f t="shared" si="70"/>
        <v>0</v>
      </c>
      <c r="AO98" s="292">
        <f t="shared" si="71"/>
        <v>0</v>
      </c>
      <c r="AP98" s="292">
        <f t="shared" si="72"/>
        <v>0</v>
      </c>
      <c r="AQ98" s="292">
        <f t="shared" si="73"/>
        <v>0</v>
      </c>
      <c r="AR98" s="292">
        <f t="shared" si="74"/>
        <v>0</v>
      </c>
      <c r="AS98" s="292">
        <f t="shared" si="75"/>
        <v>0</v>
      </c>
      <c r="AT98" s="292">
        <f t="shared" si="76"/>
        <v>0</v>
      </c>
      <c r="AU98" s="292">
        <f t="shared" si="77"/>
        <v>0</v>
      </c>
      <c r="AV98" s="292">
        <f t="shared" si="78"/>
        <v>0</v>
      </c>
      <c r="AW98" s="292">
        <f t="shared" si="79"/>
        <v>0</v>
      </c>
      <c r="AX98" s="292">
        <f t="shared" si="80"/>
        <v>0</v>
      </c>
      <c r="AY98" s="292">
        <f t="shared" si="81"/>
        <v>0</v>
      </c>
      <c r="AZ98" s="292">
        <f t="shared" si="82"/>
        <v>0</v>
      </c>
      <c r="BA98" s="292">
        <f t="shared" si="83"/>
        <v>0</v>
      </c>
    </row>
    <row r="99" spans="1:53" s="289" customFormat="1" ht="15" customHeight="1">
      <c r="A99" s="63" t="str">
        <f t="array" ref="A99">IF(C99&lt;&gt;0,SUM(($C$11:C99&lt;&gt;0)*1),"")</f>
        <v/>
      </c>
      <c r="B99" s="290"/>
      <c r="C99" s="290"/>
      <c r="D99" s="290"/>
      <c r="E99" s="396"/>
      <c r="F99" s="345"/>
      <c r="G99" s="347"/>
      <c r="H99" s="347"/>
      <c r="I99" s="63" t="str">
        <f t="shared" si="90"/>
        <v/>
      </c>
      <c r="J99" s="292">
        <f t="shared" si="46"/>
        <v>0</v>
      </c>
      <c r="K99" s="292">
        <f t="shared" si="47"/>
        <v>0</v>
      </c>
      <c r="L99" s="292">
        <f t="shared" si="48"/>
        <v>0</v>
      </c>
      <c r="M99" s="292">
        <f t="shared" si="49"/>
        <v>0</v>
      </c>
      <c r="N99" s="292">
        <f t="shared" si="84"/>
        <v>0</v>
      </c>
      <c r="O99" s="292">
        <f t="shared" si="85"/>
        <v>0</v>
      </c>
      <c r="P99" s="292">
        <f t="shared" si="50"/>
        <v>0</v>
      </c>
      <c r="Q99" s="292">
        <f t="shared" si="51"/>
        <v>0</v>
      </c>
      <c r="R99" s="292">
        <f t="shared" si="52"/>
        <v>0</v>
      </c>
      <c r="S99" s="292">
        <f t="shared" si="53"/>
        <v>0</v>
      </c>
      <c r="T99" s="292">
        <f t="shared" si="86"/>
        <v>0</v>
      </c>
      <c r="U99" s="292">
        <f t="shared" si="87"/>
        <v>0</v>
      </c>
      <c r="V99" s="292">
        <f t="shared" si="54"/>
        <v>0</v>
      </c>
      <c r="W99" s="292">
        <f t="shared" si="55"/>
        <v>0</v>
      </c>
      <c r="X99" s="292">
        <f t="shared" si="56"/>
        <v>0</v>
      </c>
      <c r="Y99" s="292">
        <f t="shared" si="57"/>
        <v>0</v>
      </c>
      <c r="Z99" s="292">
        <f t="shared" si="58"/>
        <v>0</v>
      </c>
      <c r="AA99" s="292">
        <f t="shared" si="59"/>
        <v>0</v>
      </c>
      <c r="AB99" s="292">
        <f t="shared" si="60"/>
        <v>0</v>
      </c>
      <c r="AC99" s="292">
        <f t="shared" si="61"/>
        <v>0</v>
      </c>
      <c r="AD99" s="292">
        <f t="shared" si="62"/>
        <v>0</v>
      </c>
      <c r="AE99" s="292">
        <f t="shared" si="63"/>
        <v>0</v>
      </c>
      <c r="AF99" s="292">
        <f t="shared" si="88"/>
        <v>0</v>
      </c>
      <c r="AG99" s="292">
        <f t="shared" si="89"/>
        <v>0</v>
      </c>
      <c r="AH99" s="292">
        <f t="shared" si="64"/>
        <v>0</v>
      </c>
      <c r="AI99" s="292">
        <f t="shared" si="65"/>
        <v>0</v>
      </c>
      <c r="AJ99" s="292">
        <f t="shared" si="66"/>
        <v>0</v>
      </c>
      <c r="AK99" s="292">
        <f t="shared" si="67"/>
        <v>0</v>
      </c>
      <c r="AL99" s="292">
        <f t="shared" si="68"/>
        <v>0</v>
      </c>
      <c r="AM99" s="292">
        <f t="shared" si="69"/>
        <v>0</v>
      </c>
      <c r="AN99" s="292">
        <f t="shared" si="70"/>
        <v>0</v>
      </c>
      <c r="AO99" s="292">
        <f t="shared" si="71"/>
        <v>0</v>
      </c>
      <c r="AP99" s="292">
        <f t="shared" si="72"/>
        <v>0</v>
      </c>
      <c r="AQ99" s="292">
        <f t="shared" si="73"/>
        <v>0</v>
      </c>
      <c r="AR99" s="292">
        <f t="shared" si="74"/>
        <v>0</v>
      </c>
      <c r="AS99" s="292">
        <f t="shared" si="75"/>
        <v>0</v>
      </c>
      <c r="AT99" s="292">
        <f t="shared" si="76"/>
        <v>0</v>
      </c>
      <c r="AU99" s="292">
        <f t="shared" si="77"/>
        <v>0</v>
      </c>
      <c r="AV99" s="292">
        <f t="shared" si="78"/>
        <v>0</v>
      </c>
      <c r="AW99" s="292">
        <f t="shared" si="79"/>
        <v>0</v>
      </c>
      <c r="AX99" s="292">
        <f t="shared" si="80"/>
        <v>0</v>
      </c>
      <c r="AY99" s="292">
        <f t="shared" si="81"/>
        <v>0</v>
      </c>
      <c r="AZ99" s="292">
        <f t="shared" si="82"/>
        <v>0</v>
      </c>
      <c r="BA99" s="292">
        <f t="shared" si="83"/>
        <v>0</v>
      </c>
    </row>
    <row r="100" spans="1:53" s="289" customFormat="1" ht="15" customHeight="1">
      <c r="A100" s="63" t="str">
        <f t="array" ref="A100">IF(C100&lt;&gt;0,SUM(($C$11:C100&lt;&gt;0)*1),"")</f>
        <v/>
      </c>
      <c r="B100" s="290"/>
      <c r="C100" s="290"/>
      <c r="D100" s="290"/>
      <c r="E100" s="396"/>
      <c r="F100" s="345"/>
      <c r="G100" s="347"/>
      <c r="H100" s="347"/>
      <c r="I100" s="63" t="str">
        <f t="shared" si="90"/>
        <v/>
      </c>
      <c r="J100" s="292">
        <f t="shared" si="46"/>
        <v>0</v>
      </c>
      <c r="K100" s="292">
        <f t="shared" si="47"/>
        <v>0</v>
      </c>
      <c r="L100" s="292">
        <f t="shared" si="48"/>
        <v>0</v>
      </c>
      <c r="M100" s="292">
        <f t="shared" si="49"/>
        <v>0</v>
      </c>
      <c r="N100" s="292">
        <f t="shared" si="84"/>
        <v>0</v>
      </c>
      <c r="O100" s="292">
        <f t="shared" si="85"/>
        <v>0</v>
      </c>
      <c r="P100" s="292">
        <f t="shared" si="50"/>
        <v>0</v>
      </c>
      <c r="Q100" s="292">
        <f t="shared" si="51"/>
        <v>0</v>
      </c>
      <c r="R100" s="292">
        <f t="shared" si="52"/>
        <v>0</v>
      </c>
      <c r="S100" s="292">
        <f t="shared" si="53"/>
        <v>0</v>
      </c>
      <c r="T100" s="292">
        <f t="shared" si="86"/>
        <v>0</v>
      </c>
      <c r="U100" s="292">
        <f t="shared" si="87"/>
        <v>0</v>
      </c>
      <c r="V100" s="292">
        <f t="shared" si="54"/>
        <v>0</v>
      </c>
      <c r="W100" s="292">
        <f t="shared" si="55"/>
        <v>0</v>
      </c>
      <c r="X100" s="292">
        <f t="shared" si="56"/>
        <v>0</v>
      </c>
      <c r="Y100" s="292">
        <f t="shared" si="57"/>
        <v>0</v>
      </c>
      <c r="Z100" s="292">
        <f t="shared" si="58"/>
        <v>0</v>
      </c>
      <c r="AA100" s="292">
        <f t="shared" si="59"/>
        <v>0</v>
      </c>
      <c r="AB100" s="292">
        <f t="shared" si="60"/>
        <v>0</v>
      </c>
      <c r="AC100" s="292">
        <f t="shared" si="61"/>
        <v>0</v>
      </c>
      <c r="AD100" s="292">
        <f t="shared" si="62"/>
        <v>0</v>
      </c>
      <c r="AE100" s="292">
        <f t="shared" si="63"/>
        <v>0</v>
      </c>
      <c r="AF100" s="292">
        <f t="shared" si="88"/>
        <v>0</v>
      </c>
      <c r="AG100" s="292">
        <f t="shared" si="89"/>
        <v>0</v>
      </c>
      <c r="AH100" s="292">
        <f t="shared" si="64"/>
        <v>0</v>
      </c>
      <c r="AI100" s="292">
        <f t="shared" si="65"/>
        <v>0</v>
      </c>
      <c r="AJ100" s="292">
        <f t="shared" si="66"/>
        <v>0</v>
      </c>
      <c r="AK100" s="292">
        <f t="shared" si="67"/>
        <v>0</v>
      </c>
      <c r="AL100" s="292">
        <f t="shared" si="68"/>
        <v>0</v>
      </c>
      <c r="AM100" s="292">
        <f t="shared" si="69"/>
        <v>0</v>
      </c>
      <c r="AN100" s="292">
        <f t="shared" si="70"/>
        <v>0</v>
      </c>
      <c r="AO100" s="292">
        <f t="shared" si="71"/>
        <v>0</v>
      </c>
      <c r="AP100" s="292">
        <f t="shared" si="72"/>
        <v>0</v>
      </c>
      <c r="AQ100" s="292">
        <f t="shared" si="73"/>
        <v>0</v>
      </c>
      <c r="AR100" s="292">
        <f t="shared" si="74"/>
        <v>0</v>
      </c>
      <c r="AS100" s="292">
        <f t="shared" si="75"/>
        <v>0</v>
      </c>
      <c r="AT100" s="292">
        <f t="shared" si="76"/>
        <v>0</v>
      </c>
      <c r="AU100" s="292">
        <f t="shared" si="77"/>
        <v>0</v>
      </c>
      <c r="AV100" s="292">
        <f t="shared" si="78"/>
        <v>0</v>
      </c>
      <c r="AW100" s="292">
        <f t="shared" si="79"/>
        <v>0</v>
      </c>
      <c r="AX100" s="292">
        <f t="shared" si="80"/>
        <v>0</v>
      </c>
      <c r="AY100" s="292">
        <f t="shared" si="81"/>
        <v>0</v>
      </c>
      <c r="AZ100" s="292">
        <f t="shared" si="82"/>
        <v>0</v>
      </c>
      <c r="BA100" s="292">
        <f t="shared" si="83"/>
        <v>0</v>
      </c>
    </row>
    <row r="101" spans="1:53" s="289" customFormat="1" ht="15" customHeight="1">
      <c r="A101" s="63" t="str">
        <f t="array" ref="A101">IF(C101&lt;&gt;0,SUM(($C$11:C101&lt;&gt;0)*1),"")</f>
        <v/>
      </c>
      <c r="B101" s="290"/>
      <c r="C101" s="290"/>
      <c r="D101" s="290"/>
      <c r="E101" s="396"/>
      <c r="F101" s="345"/>
      <c r="G101" s="347"/>
      <c r="H101" s="347"/>
      <c r="I101" s="63" t="str">
        <f t="shared" si="90"/>
        <v/>
      </c>
      <c r="J101" s="292">
        <f t="shared" si="46"/>
        <v>0</v>
      </c>
      <c r="K101" s="292">
        <f t="shared" si="47"/>
        <v>0</v>
      </c>
      <c r="L101" s="292">
        <f t="shared" si="48"/>
        <v>0</v>
      </c>
      <c r="M101" s="292">
        <f t="shared" si="49"/>
        <v>0</v>
      </c>
      <c r="N101" s="292">
        <f t="shared" si="84"/>
        <v>0</v>
      </c>
      <c r="O101" s="292">
        <f t="shared" si="85"/>
        <v>0</v>
      </c>
      <c r="P101" s="292">
        <f t="shared" si="50"/>
        <v>0</v>
      </c>
      <c r="Q101" s="292">
        <f t="shared" si="51"/>
        <v>0</v>
      </c>
      <c r="R101" s="292">
        <f t="shared" si="52"/>
        <v>0</v>
      </c>
      <c r="S101" s="292">
        <f t="shared" si="53"/>
        <v>0</v>
      </c>
      <c r="T101" s="292">
        <f t="shared" si="86"/>
        <v>0</v>
      </c>
      <c r="U101" s="292">
        <f t="shared" si="87"/>
        <v>0</v>
      </c>
      <c r="V101" s="292">
        <f t="shared" si="54"/>
        <v>0</v>
      </c>
      <c r="W101" s="292">
        <f t="shared" si="55"/>
        <v>0</v>
      </c>
      <c r="X101" s="292">
        <f t="shared" si="56"/>
        <v>0</v>
      </c>
      <c r="Y101" s="292">
        <f t="shared" si="57"/>
        <v>0</v>
      </c>
      <c r="Z101" s="292">
        <f t="shared" si="58"/>
        <v>0</v>
      </c>
      <c r="AA101" s="292">
        <f t="shared" si="59"/>
        <v>0</v>
      </c>
      <c r="AB101" s="292">
        <f t="shared" si="60"/>
        <v>0</v>
      </c>
      <c r="AC101" s="292">
        <f t="shared" si="61"/>
        <v>0</v>
      </c>
      <c r="AD101" s="292">
        <f t="shared" si="62"/>
        <v>0</v>
      </c>
      <c r="AE101" s="292">
        <f t="shared" si="63"/>
        <v>0</v>
      </c>
      <c r="AF101" s="292">
        <f t="shared" si="88"/>
        <v>0</v>
      </c>
      <c r="AG101" s="292">
        <f t="shared" si="89"/>
        <v>0</v>
      </c>
      <c r="AH101" s="292">
        <f t="shared" si="64"/>
        <v>0</v>
      </c>
      <c r="AI101" s="292">
        <f t="shared" si="65"/>
        <v>0</v>
      </c>
      <c r="AJ101" s="292">
        <f t="shared" si="66"/>
        <v>0</v>
      </c>
      <c r="AK101" s="292">
        <f t="shared" si="67"/>
        <v>0</v>
      </c>
      <c r="AL101" s="292">
        <f t="shared" si="68"/>
        <v>0</v>
      </c>
      <c r="AM101" s="292">
        <f t="shared" si="69"/>
        <v>0</v>
      </c>
      <c r="AN101" s="292">
        <f t="shared" si="70"/>
        <v>0</v>
      </c>
      <c r="AO101" s="292">
        <f t="shared" si="71"/>
        <v>0</v>
      </c>
      <c r="AP101" s="292">
        <f t="shared" si="72"/>
        <v>0</v>
      </c>
      <c r="AQ101" s="292">
        <f t="shared" si="73"/>
        <v>0</v>
      </c>
      <c r="AR101" s="292">
        <f t="shared" si="74"/>
        <v>0</v>
      </c>
      <c r="AS101" s="292">
        <f t="shared" si="75"/>
        <v>0</v>
      </c>
      <c r="AT101" s="292">
        <f t="shared" si="76"/>
        <v>0</v>
      </c>
      <c r="AU101" s="292">
        <f t="shared" si="77"/>
        <v>0</v>
      </c>
      <c r="AV101" s="292">
        <f t="shared" si="78"/>
        <v>0</v>
      </c>
      <c r="AW101" s="292">
        <f t="shared" si="79"/>
        <v>0</v>
      </c>
      <c r="AX101" s="292">
        <f t="shared" si="80"/>
        <v>0</v>
      </c>
      <c r="AY101" s="292">
        <f t="shared" si="81"/>
        <v>0</v>
      </c>
      <c r="AZ101" s="292">
        <f t="shared" si="82"/>
        <v>0</v>
      </c>
      <c r="BA101" s="292">
        <f t="shared" si="83"/>
        <v>0</v>
      </c>
    </row>
    <row r="102" spans="1:53" s="289" customFormat="1" ht="15" customHeight="1">
      <c r="A102" s="63" t="str">
        <f t="array" ref="A102">IF(C102&lt;&gt;0,SUM(($C$11:C102&lt;&gt;0)*1),"")</f>
        <v/>
      </c>
      <c r="B102" s="290"/>
      <c r="C102" s="290"/>
      <c r="D102" s="290"/>
      <c r="E102" s="396"/>
      <c r="F102" s="345"/>
      <c r="G102" s="347"/>
      <c r="H102" s="347"/>
      <c r="I102" s="63" t="str">
        <f t="shared" si="90"/>
        <v/>
      </c>
      <c r="J102" s="292">
        <f t="shared" si="46"/>
        <v>0</v>
      </c>
      <c r="K102" s="292">
        <f t="shared" si="47"/>
        <v>0</v>
      </c>
      <c r="L102" s="292">
        <f t="shared" si="48"/>
        <v>0</v>
      </c>
      <c r="M102" s="292">
        <f t="shared" si="49"/>
        <v>0</v>
      </c>
      <c r="N102" s="292">
        <f t="shared" si="84"/>
        <v>0</v>
      </c>
      <c r="O102" s="292">
        <f t="shared" si="85"/>
        <v>0</v>
      </c>
      <c r="P102" s="292">
        <f t="shared" si="50"/>
        <v>0</v>
      </c>
      <c r="Q102" s="292">
        <f t="shared" si="51"/>
        <v>0</v>
      </c>
      <c r="R102" s="292">
        <f t="shared" si="52"/>
        <v>0</v>
      </c>
      <c r="S102" s="292">
        <f t="shared" si="53"/>
        <v>0</v>
      </c>
      <c r="T102" s="292">
        <f t="shared" si="86"/>
        <v>0</v>
      </c>
      <c r="U102" s="292">
        <f t="shared" si="87"/>
        <v>0</v>
      </c>
      <c r="V102" s="292">
        <f t="shared" si="54"/>
        <v>0</v>
      </c>
      <c r="W102" s="292">
        <f t="shared" si="55"/>
        <v>0</v>
      </c>
      <c r="X102" s="292">
        <f t="shared" si="56"/>
        <v>0</v>
      </c>
      <c r="Y102" s="292">
        <f t="shared" si="57"/>
        <v>0</v>
      </c>
      <c r="Z102" s="292">
        <f t="shared" si="58"/>
        <v>0</v>
      </c>
      <c r="AA102" s="292">
        <f t="shared" si="59"/>
        <v>0</v>
      </c>
      <c r="AB102" s="292">
        <f t="shared" si="60"/>
        <v>0</v>
      </c>
      <c r="AC102" s="292">
        <f t="shared" si="61"/>
        <v>0</v>
      </c>
      <c r="AD102" s="292">
        <f t="shared" si="62"/>
        <v>0</v>
      </c>
      <c r="AE102" s="292">
        <f t="shared" si="63"/>
        <v>0</v>
      </c>
      <c r="AF102" s="292">
        <f t="shared" si="88"/>
        <v>0</v>
      </c>
      <c r="AG102" s="292">
        <f t="shared" si="89"/>
        <v>0</v>
      </c>
      <c r="AH102" s="292">
        <f t="shared" si="64"/>
        <v>0</v>
      </c>
      <c r="AI102" s="292">
        <f t="shared" si="65"/>
        <v>0</v>
      </c>
      <c r="AJ102" s="292">
        <f t="shared" si="66"/>
        <v>0</v>
      </c>
      <c r="AK102" s="292">
        <f t="shared" si="67"/>
        <v>0</v>
      </c>
      <c r="AL102" s="292">
        <f t="shared" si="68"/>
        <v>0</v>
      </c>
      <c r="AM102" s="292">
        <f t="shared" si="69"/>
        <v>0</v>
      </c>
      <c r="AN102" s="292">
        <f t="shared" si="70"/>
        <v>0</v>
      </c>
      <c r="AO102" s="292">
        <f t="shared" si="71"/>
        <v>0</v>
      </c>
      <c r="AP102" s="292">
        <f t="shared" si="72"/>
        <v>0</v>
      </c>
      <c r="AQ102" s="292">
        <f t="shared" si="73"/>
        <v>0</v>
      </c>
      <c r="AR102" s="292">
        <f t="shared" si="74"/>
        <v>0</v>
      </c>
      <c r="AS102" s="292">
        <f t="shared" si="75"/>
        <v>0</v>
      </c>
      <c r="AT102" s="292">
        <f t="shared" si="76"/>
        <v>0</v>
      </c>
      <c r="AU102" s="292">
        <f t="shared" si="77"/>
        <v>0</v>
      </c>
      <c r="AV102" s="292">
        <f t="shared" si="78"/>
        <v>0</v>
      </c>
      <c r="AW102" s="292">
        <f t="shared" si="79"/>
        <v>0</v>
      </c>
      <c r="AX102" s="292">
        <f t="shared" si="80"/>
        <v>0</v>
      </c>
      <c r="AY102" s="292">
        <f t="shared" si="81"/>
        <v>0</v>
      </c>
      <c r="AZ102" s="292">
        <f t="shared" si="82"/>
        <v>0</v>
      </c>
      <c r="BA102" s="292">
        <f t="shared" si="83"/>
        <v>0</v>
      </c>
    </row>
    <row r="103" spans="1:53" s="289" customFormat="1" ht="15" customHeight="1">
      <c r="A103" s="63" t="str">
        <f t="array" ref="A103">IF(C103&lt;&gt;0,SUM(($C$11:C103&lt;&gt;0)*1),"")</f>
        <v/>
      </c>
      <c r="B103" s="290"/>
      <c r="C103" s="290"/>
      <c r="D103" s="290"/>
      <c r="E103" s="396"/>
      <c r="F103" s="345"/>
      <c r="G103" s="347"/>
      <c r="H103" s="347"/>
      <c r="I103" s="63" t="str">
        <f t="shared" si="90"/>
        <v/>
      </c>
      <c r="J103" s="292">
        <f t="shared" si="46"/>
        <v>0</v>
      </c>
      <c r="K103" s="292">
        <f t="shared" si="47"/>
        <v>0</v>
      </c>
      <c r="L103" s="292">
        <f t="shared" si="48"/>
        <v>0</v>
      </c>
      <c r="M103" s="292">
        <f t="shared" si="49"/>
        <v>0</v>
      </c>
      <c r="N103" s="292">
        <f t="shared" si="84"/>
        <v>0</v>
      </c>
      <c r="O103" s="292">
        <f t="shared" si="85"/>
        <v>0</v>
      </c>
      <c r="P103" s="292">
        <f t="shared" si="50"/>
        <v>0</v>
      </c>
      <c r="Q103" s="292">
        <f t="shared" si="51"/>
        <v>0</v>
      </c>
      <c r="R103" s="292">
        <f t="shared" si="52"/>
        <v>0</v>
      </c>
      <c r="S103" s="292">
        <f t="shared" si="53"/>
        <v>0</v>
      </c>
      <c r="T103" s="292">
        <f t="shared" si="86"/>
        <v>0</v>
      </c>
      <c r="U103" s="292">
        <f t="shared" si="87"/>
        <v>0</v>
      </c>
      <c r="V103" s="292">
        <f t="shared" si="54"/>
        <v>0</v>
      </c>
      <c r="W103" s="292">
        <f t="shared" si="55"/>
        <v>0</v>
      </c>
      <c r="X103" s="292">
        <f t="shared" si="56"/>
        <v>0</v>
      </c>
      <c r="Y103" s="292">
        <f t="shared" si="57"/>
        <v>0</v>
      </c>
      <c r="Z103" s="292">
        <f t="shared" si="58"/>
        <v>0</v>
      </c>
      <c r="AA103" s="292">
        <f t="shared" si="59"/>
        <v>0</v>
      </c>
      <c r="AB103" s="292">
        <f t="shared" si="60"/>
        <v>0</v>
      </c>
      <c r="AC103" s="292">
        <f t="shared" si="61"/>
        <v>0</v>
      </c>
      <c r="AD103" s="292">
        <f t="shared" si="62"/>
        <v>0</v>
      </c>
      <c r="AE103" s="292">
        <f t="shared" si="63"/>
        <v>0</v>
      </c>
      <c r="AF103" s="292">
        <f t="shared" si="88"/>
        <v>0</v>
      </c>
      <c r="AG103" s="292">
        <f t="shared" si="89"/>
        <v>0</v>
      </c>
      <c r="AH103" s="292">
        <f t="shared" si="64"/>
        <v>0</v>
      </c>
      <c r="AI103" s="292">
        <f t="shared" si="65"/>
        <v>0</v>
      </c>
      <c r="AJ103" s="292">
        <f t="shared" si="66"/>
        <v>0</v>
      </c>
      <c r="AK103" s="292">
        <f t="shared" si="67"/>
        <v>0</v>
      </c>
      <c r="AL103" s="292">
        <f t="shared" si="68"/>
        <v>0</v>
      </c>
      <c r="AM103" s="292">
        <f t="shared" si="69"/>
        <v>0</v>
      </c>
      <c r="AN103" s="292">
        <f t="shared" si="70"/>
        <v>0</v>
      </c>
      <c r="AO103" s="292">
        <f t="shared" si="71"/>
        <v>0</v>
      </c>
      <c r="AP103" s="292">
        <f t="shared" si="72"/>
        <v>0</v>
      </c>
      <c r="AQ103" s="292">
        <f t="shared" si="73"/>
        <v>0</v>
      </c>
      <c r="AR103" s="292">
        <f t="shared" si="74"/>
        <v>0</v>
      </c>
      <c r="AS103" s="292">
        <f t="shared" si="75"/>
        <v>0</v>
      </c>
      <c r="AT103" s="292">
        <f t="shared" si="76"/>
        <v>0</v>
      </c>
      <c r="AU103" s="292">
        <f t="shared" si="77"/>
        <v>0</v>
      </c>
      <c r="AV103" s="292">
        <f t="shared" si="78"/>
        <v>0</v>
      </c>
      <c r="AW103" s="292">
        <f t="shared" si="79"/>
        <v>0</v>
      </c>
      <c r="AX103" s="292">
        <f t="shared" si="80"/>
        <v>0</v>
      </c>
      <c r="AY103" s="292">
        <f t="shared" si="81"/>
        <v>0</v>
      </c>
      <c r="AZ103" s="292">
        <f t="shared" si="82"/>
        <v>0</v>
      </c>
      <c r="BA103" s="292">
        <f t="shared" si="83"/>
        <v>0</v>
      </c>
    </row>
    <row r="104" spans="1:53" s="289" customFormat="1" ht="15" customHeight="1">
      <c r="A104" s="63" t="str">
        <f t="array" ref="A104">IF(C104&lt;&gt;0,SUM(($C$11:C104&lt;&gt;0)*1),"")</f>
        <v/>
      </c>
      <c r="B104" s="290"/>
      <c r="C104" s="290"/>
      <c r="D104" s="290"/>
      <c r="E104" s="396"/>
      <c r="F104" s="345"/>
      <c r="G104" s="347"/>
      <c r="H104" s="347"/>
      <c r="I104" s="63" t="str">
        <f t="shared" si="90"/>
        <v/>
      </c>
      <c r="J104" s="292">
        <f t="shared" si="46"/>
        <v>0</v>
      </c>
      <c r="K104" s="292">
        <f t="shared" si="47"/>
        <v>0</v>
      </c>
      <c r="L104" s="292">
        <f t="shared" si="48"/>
        <v>0</v>
      </c>
      <c r="M104" s="292">
        <f t="shared" si="49"/>
        <v>0</v>
      </c>
      <c r="N104" s="292">
        <f t="shared" si="84"/>
        <v>0</v>
      </c>
      <c r="O104" s="292">
        <f t="shared" si="85"/>
        <v>0</v>
      </c>
      <c r="P104" s="292">
        <f t="shared" si="50"/>
        <v>0</v>
      </c>
      <c r="Q104" s="292">
        <f t="shared" si="51"/>
        <v>0</v>
      </c>
      <c r="R104" s="292">
        <f t="shared" si="52"/>
        <v>0</v>
      </c>
      <c r="S104" s="292">
        <f t="shared" si="53"/>
        <v>0</v>
      </c>
      <c r="T104" s="292">
        <f t="shared" si="86"/>
        <v>0</v>
      </c>
      <c r="U104" s="292">
        <f t="shared" si="87"/>
        <v>0</v>
      </c>
      <c r="V104" s="292">
        <f t="shared" si="54"/>
        <v>0</v>
      </c>
      <c r="W104" s="292">
        <f t="shared" si="55"/>
        <v>0</v>
      </c>
      <c r="X104" s="292">
        <f t="shared" si="56"/>
        <v>0</v>
      </c>
      <c r="Y104" s="292">
        <f t="shared" si="57"/>
        <v>0</v>
      </c>
      <c r="Z104" s="292">
        <f t="shared" si="58"/>
        <v>0</v>
      </c>
      <c r="AA104" s="292">
        <f t="shared" si="59"/>
        <v>0</v>
      </c>
      <c r="AB104" s="292">
        <f t="shared" si="60"/>
        <v>0</v>
      </c>
      <c r="AC104" s="292">
        <f t="shared" si="61"/>
        <v>0</v>
      </c>
      <c r="AD104" s="292">
        <f t="shared" si="62"/>
        <v>0</v>
      </c>
      <c r="AE104" s="292">
        <f t="shared" si="63"/>
        <v>0</v>
      </c>
      <c r="AF104" s="292">
        <f t="shared" si="88"/>
        <v>0</v>
      </c>
      <c r="AG104" s="292">
        <f t="shared" si="89"/>
        <v>0</v>
      </c>
      <c r="AH104" s="292">
        <f t="shared" si="64"/>
        <v>0</v>
      </c>
      <c r="AI104" s="292">
        <f t="shared" si="65"/>
        <v>0</v>
      </c>
      <c r="AJ104" s="292">
        <f t="shared" si="66"/>
        <v>0</v>
      </c>
      <c r="AK104" s="292">
        <f t="shared" si="67"/>
        <v>0</v>
      </c>
      <c r="AL104" s="292">
        <f t="shared" si="68"/>
        <v>0</v>
      </c>
      <c r="AM104" s="292">
        <f t="shared" si="69"/>
        <v>0</v>
      </c>
      <c r="AN104" s="292">
        <f t="shared" si="70"/>
        <v>0</v>
      </c>
      <c r="AO104" s="292">
        <f t="shared" si="71"/>
        <v>0</v>
      </c>
      <c r="AP104" s="292">
        <f t="shared" si="72"/>
        <v>0</v>
      </c>
      <c r="AQ104" s="292">
        <f t="shared" si="73"/>
        <v>0</v>
      </c>
      <c r="AR104" s="292">
        <f t="shared" si="74"/>
        <v>0</v>
      </c>
      <c r="AS104" s="292">
        <f t="shared" si="75"/>
        <v>0</v>
      </c>
      <c r="AT104" s="292">
        <f t="shared" si="76"/>
        <v>0</v>
      </c>
      <c r="AU104" s="292">
        <f t="shared" si="77"/>
        <v>0</v>
      </c>
      <c r="AV104" s="292">
        <f t="shared" si="78"/>
        <v>0</v>
      </c>
      <c r="AW104" s="292">
        <f t="shared" si="79"/>
        <v>0</v>
      </c>
      <c r="AX104" s="292">
        <f t="shared" si="80"/>
        <v>0</v>
      </c>
      <c r="AY104" s="292">
        <f t="shared" si="81"/>
        <v>0</v>
      </c>
      <c r="AZ104" s="292">
        <f t="shared" si="82"/>
        <v>0</v>
      </c>
      <c r="BA104" s="292">
        <f t="shared" si="83"/>
        <v>0</v>
      </c>
    </row>
    <row r="105" spans="1:53" s="289" customFormat="1" ht="15" customHeight="1">
      <c r="A105" s="63" t="str">
        <f t="array" ref="A105">IF(C105&lt;&gt;0,SUM(($C$11:C105&lt;&gt;0)*1),"")</f>
        <v/>
      </c>
      <c r="B105" s="290"/>
      <c r="C105" s="290"/>
      <c r="D105" s="290"/>
      <c r="E105" s="396"/>
      <c r="F105" s="345"/>
      <c r="G105" s="347"/>
      <c r="H105" s="347"/>
      <c r="I105" s="63" t="str">
        <f t="shared" si="90"/>
        <v/>
      </c>
      <c r="J105" s="292">
        <f t="shared" si="46"/>
        <v>0</v>
      </c>
      <c r="K105" s="292">
        <f t="shared" si="47"/>
        <v>0</v>
      </c>
      <c r="L105" s="292">
        <f t="shared" si="48"/>
        <v>0</v>
      </c>
      <c r="M105" s="292">
        <f t="shared" si="49"/>
        <v>0</v>
      </c>
      <c r="N105" s="292">
        <f t="shared" si="84"/>
        <v>0</v>
      </c>
      <c r="O105" s="292">
        <f t="shared" si="85"/>
        <v>0</v>
      </c>
      <c r="P105" s="292">
        <f t="shared" si="50"/>
        <v>0</v>
      </c>
      <c r="Q105" s="292">
        <f t="shared" si="51"/>
        <v>0</v>
      </c>
      <c r="R105" s="292">
        <f t="shared" si="52"/>
        <v>0</v>
      </c>
      <c r="S105" s="292">
        <f t="shared" si="53"/>
        <v>0</v>
      </c>
      <c r="T105" s="292">
        <f t="shared" si="86"/>
        <v>0</v>
      </c>
      <c r="U105" s="292">
        <f t="shared" si="87"/>
        <v>0</v>
      </c>
      <c r="V105" s="292">
        <f t="shared" si="54"/>
        <v>0</v>
      </c>
      <c r="W105" s="292">
        <f t="shared" si="55"/>
        <v>0</v>
      </c>
      <c r="X105" s="292">
        <f t="shared" si="56"/>
        <v>0</v>
      </c>
      <c r="Y105" s="292">
        <f t="shared" si="57"/>
        <v>0</v>
      </c>
      <c r="Z105" s="292">
        <f t="shared" si="58"/>
        <v>0</v>
      </c>
      <c r="AA105" s="292">
        <f t="shared" si="59"/>
        <v>0</v>
      </c>
      <c r="AB105" s="292">
        <f t="shared" si="60"/>
        <v>0</v>
      </c>
      <c r="AC105" s="292">
        <f t="shared" si="61"/>
        <v>0</v>
      </c>
      <c r="AD105" s="292">
        <f t="shared" si="62"/>
        <v>0</v>
      </c>
      <c r="AE105" s="292">
        <f t="shared" si="63"/>
        <v>0</v>
      </c>
      <c r="AF105" s="292">
        <f t="shared" si="88"/>
        <v>0</v>
      </c>
      <c r="AG105" s="292">
        <f t="shared" si="89"/>
        <v>0</v>
      </c>
      <c r="AH105" s="292">
        <f t="shared" si="64"/>
        <v>0</v>
      </c>
      <c r="AI105" s="292">
        <f t="shared" si="65"/>
        <v>0</v>
      </c>
      <c r="AJ105" s="292">
        <f t="shared" si="66"/>
        <v>0</v>
      </c>
      <c r="AK105" s="292">
        <f t="shared" si="67"/>
        <v>0</v>
      </c>
      <c r="AL105" s="292">
        <f t="shared" si="68"/>
        <v>0</v>
      </c>
      <c r="AM105" s="292">
        <f t="shared" si="69"/>
        <v>0</v>
      </c>
      <c r="AN105" s="292">
        <f t="shared" si="70"/>
        <v>0</v>
      </c>
      <c r="AO105" s="292">
        <f t="shared" si="71"/>
        <v>0</v>
      </c>
      <c r="AP105" s="292">
        <f t="shared" si="72"/>
        <v>0</v>
      </c>
      <c r="AQ105" s="292">
        <f t="shared" si="73"/>
        <v>0</v>
      </c>
      <c r="AR105" s="292">
        <f t="shared" si="74"/>
        <v>0</v>
      </c>
      <c r="AS105" s="292">
        <f t="shared" si="75"/>
        <v>0</v>
      </c>
      <c r="AT105" s="292">
        <f t="shared" si="76"/>
        <v>0</v>
      </c>
      <c r="AU105" s="292">
        <f t="shared" si="77"/>
        <v>0</v>
      </c>
      <c r="AV105" s="292">
        <f t="shared" si="78"/>
        <v>0</v>
      </c>
      <c r="AW105" s="292">
        <f t="shared" si="79"/>
        <v>0</v>
      </c>
      <c r="AX105" s="292">
        <f t="shared" si="80"/>
        <v>0</v>
      </c>
      <c r="AY105" s="292">
        <f t="shared" si="81"/>
        <v>0</v>
      </c>
      <c r="AZ105" s="292">
        <f t="shared" si="82"/>
        <v>0</v>
      </c>
      <c r="BA105" s="292">
        <f t="shared" si="83"/>
        <v>0</v>
      </c>
    </row>
    <row r="106" spans="1:53" s="289" customFormat="1" ht="15" customHeight="1">
      <c r="A106" s="63" t="str">
        <f t="array" ref="A106">IF(C106&lt;&gt;0,SUM(($C$11:C106&lt;&gt;0)*1),"")</f>
        <v/>
      </c>
      <c r="B106" s="290"/>
      <c r="C106" s="290"/>
      <c r="D106" s="290"/>
      <c r="E106" s="396"/>
      <c r="F106" s="345"/>
      <c r="G106" s="347"/>
      <c r="H106" s="347"/>
      <c r="I106" s="63" t="str">
        <f t="shared" si="90"/>
        <v/>
      </c>
      <c r="J106" s="292">
        <f t="shared" si="46"/>
        <v>0</v>
      </c>
      <c r="K106" s="292">
        <f t="shared" si="47"/>
        <v>0</v>
      </c>
      <c r="L106" s="292">
        <f t="shared" si="48"/>
        <v>0</v>
      </c>
      <c r="M106" s="292">
        <f t="shared" si="49"/>
        <v>0</v>
      </c>
      <c r="N106" s="292">
        <f t="shared" si="84"/>
        <v>0</v>
      </c>
      <c r="O106" s="292">
        <f t="shared" si="85"/>
        <v>0</v>
      </c>
      <c r="P106" s="292">
        <f t="shared" si="50"/>
        <v>0</v>
      </c>
      <c r="Q106" s="292">
        <f t="shared" si="51"/>
        <v>0</v>
      </c>
      <c r="R106" s="292">
        <f t="shared" si="52"/>
        <v>0</v>
      </c>
      <c r="S106" s="292">
        <f t="shared" si="53"/>
        <v>0</v>
      </c>
      <c r="T106" s="292">
        <f t="shared" si="86"/>
        <v>0</v>
      </c>
      <c r="U106" s="292">
        <f t="shared" si="87"/>
        <v>0</v>
      </c>
      <c r="V106" s="292">
        <f t="shared" si="54"/>
        <v>0</v>
      </c>
      <c r="W106" s="292">
        <f t="shared" si="55"/>
        <v>0</v>
      </c>
      <c r="X106" s="292">
        <f t="shared" si="56"/>
        <v>0</v>
      </c>
      <c r="Y106" s="292">
        <f t="shared" si="57"/>
        <v>0</v>
      </c>
      <c r="Z106" s="292">
        <f t="shared" si="58"/>
        <v>0</v>
      </c>
      <c r="AA106" s="292">
        <f t="shared" si="59"/>
        <v>0</v>
      </c>
      <c r="AB106" s="292">
        <f t="shared" si="60"/>
        <v>0</v>
      </c>
      <c r="AC106" s="292">
        <f t="shared" si="61"/>
        <v>0</v>
      </c>
      <c r="AD106" s="292">
        <f t="shared" si="62"/>
        <v>0</v>
      </c>
      <c r="AE106" s="292">
        <f t="shared" si="63"/>
        <v>0</v>
      </c>
      <c r="AF106" s="292">
        <f t="shared" si="88"/>
        <v>0</v>
      </c>
      <c r="AG106" s="292">
        <f t="shared" si="89"/>
        <v>0</v>
      </c>
      <c r="AH106" s="292">
        <f t="shared" si="64"/>
        <v>0</v>
      </c>
      <c r="AI106" s="292">
        <f t="shared" si="65"/>
        <v>0</v>
      </c>
      <c r="AJ106" s="292">
        <f t="shared" si="66"/>
        <v>0</v>
      </c>
      <c r="AK106" s="292">
        <f t="shared" si="67"/>
        <v>0</v>
      </c>
      <c r="AL106" s="292">
        <f t="shared" si="68"/>
        <v>0</v>
      </c>
      <c r="AM106" s="292">
        <f t="shared" si="69"/>
        <v>0</v>
      </c>
      <c r="AN106" s="292">
        <f t="shared" si="70"/>
        <v>0</v>
      </c>
      <c r="AO106" s="292">
        <f t="shared" si="71"/>
        <v>0</v>
      </c>
      <c r="AP106" s="292">
        <f t="shared" si="72"/>
        <v>0</v>
      </c>
      <c r="AQ106" s="292">
        <f t="shared" si="73"/>
        <v>0</v>
      </c>
      <c r="AR106" s="292">
        <f t="shared" si="74"/>
        <v>0</v>
      </c>
      <c r="AS106" s="292">
        <f t="shared" si="75"/>
        <v>0</v>
      </c>
      <c r="AT106" s="292">
        <f t="shared" si="76"/>
        <v>0</v>
      </c>
      <c r="AU106" s="292">
        <f t="shared" si="77"/>
        <v>0</v>
      </c>
      <c r="AV106" s="292">
        <f t="shared" si="78"/>
        <v>0</v>
      </c>
      <c r="AW106" s="292">
        <f t="shared" si="79"/>
        <v>0</v>
      </c>
      <c r="AX106" s="292">
        <f t="shared" si="80"/>
        <v>0</v>
      </c>
      <c r="AY106" s="292">
        <f t="shared" si="81"/>
        <v>0</v>
      </c>
      <c r="AZ106" s="292">
        <f t="shared" si="82"/>
        <v>0</v>
      </c>
      <c r="BA106" s="292">
        <f t="shared" si="83"/>
        <v>0</v>
      </c>
    </row>
    <row r="107" spans="1:53" s="289" customFormat="1" ht="15" customHeight="1">
      <c r="A107" s="63" t="str">
        <f t="array" ref="A107">IF(C107&lt;&gt;0,SUM(($C$11:C107&lt;&gt;0)*1),"")</f>
        <v/>
      </c>
      <c r="B107" s="290"/>
      <c r="C107" s="290"/>
      <c r="D107" s="290"/>
      <c r="E107" s="396"/>
      <c r="F107" s="345"/>
      <c r="G107" s="347"/>
      <c r="H107" s="347"/>
      <c r="I107" s="63" t="str">
        <f t="shared" si="90"/>
        <v/>
      </c>
      <c r="J107" s="292">
        <f t="shared" si="46"/>
        <v>0</v>
      </c>
      <c r="K107" s="292">
        <f t="shared" si="47"/>
        <v>0</v>
      </c>
      <c r="L107" s="292">
        <f t="shared" si="48"/>
        <v>0</v>
      </c>
      <c r="M107" s="292">
        <f t="shared" si="49"/>
        <v>0</v>
      </c>
      <c r="N107" s="292">
        <f t="shared" si="84"/>
        <v>0</v>
      </c>
      <c r="O107" s="292">
        <f t="shared" si="85"/>
        <v>0</v>
      </c>
      <c r="P107" s="292">
        <f t="shared" si="50"/>
        <v>0</v>
      </c>
      <c r="Q107" s="292">
        <f t="shared" si="51"/>
        <v>0</v>
      </c>
      <c r="R107" s="292">
        <f t="shared" si="52"/>
        <v>0</v>
      </c>
      <c r="S107" s="292">
        <f t="shared" si="53"/>
        <v>0</v>
      </c>
      <c r="T107" s="292">
        <f t="shared" si="86"/>
        <v>0</v>
      </c>
      <c r="U107" s="292">
        <f t="shared" si="87"/>
        <v>0</v>
      </c>
      <c r="V107" s="292">
        <f t="shared" si="54"/>
        <v>0</v>
      </c>
      <c r="W107" s="292">
        <f t="shared" si="55"/>
        <v>0</v>
      </c>
      <c r="X107" s="292">
        <f t="shared" si="56"/>
        <v>0</v>
      </c>
      <c r="Y107" s="292">
        <f t="shared" si="57"/>
        <v>0</v>
      </c>
      <c r="Z107" s="292">
        <f t="shared" si="58"/>
        <v>0</v>
      </c>
      <c r="AA107" s="292">
        <f t="shared" si="59"/>
        <v>0</v>
      </c>
      <c r="AB107" s="292">
        <f t="shared" si="60"/>
        <v>0</v>
      </c>
      <c r="AC107" s="292">
        <f t="shared" si="61"/>
        <v>0</v>
      </c>
      <c r="AD107" s="292">
        <f t="shared" si="62"/>
        <v>0</v>
      </c>
      <c r="AE107" s="292">
        <f t="shared" si="63"/>
        <v>0</v>
      </c>
      <c r="AF107" s="292">
        <f t="shared" si="88"/>
        <v>0</v>
      </c>
      <c r="AG107" s="292">
        <f t="shared" si="89"/>
        <v>0</v>
      </c>
      <c r="AH107" s="292">
        <f t="shared" si="64"/>
        <v>0</v>
      </c>
      <c r="AI107" s="292">
        <f t="shared" si="65"/>
        <v>0</v>
      </c>
      <c r="AJ107" s="292">
        <f t="shared" si="66"/>
        <v>0</v>
      </c>
      <c r="AK107" s="292">
        <f t="shared" si="67"/>
        <v>0</v>
      </c>
      <c r="AL107" s="292">
        <f t="shared" si="68"/>
        <v>0</v>
      </c>
      <c r="AM107" s="292">
        <f t="shared" si="69"/>
        <v>0</v>
      </c>
      <c r="AN107" s="292">
        <f t="shared" si="70"/>
        <v>0</v>
      </c>
      <c r="AO107" s="292">
        <f t="shared" si="71"/>
        <v>0</v>
      </c>
      <c r="AP107" s="292">
        <f t="shared" si="72"/>
        <v>0</v>
      </c>
      <c r="AQ107" s="292">
        <f t="shared" si="73"/>
        <v>0</v>
      </c>
      <c r="AR107" s="292">
        <f t="shared" si="74"/>
        <v>0</v>
      </c>
      <c r="AS107" s="292">
        <f t="shared" si="75"/>
        <v>0</v>
      </c>
      <c r="AT107" s="292">
        <f t="shared" si="76"/>
        <v>0</v>
      </c>
      <c r="AU107" s="292">
        <f t="shared" si="77"/>
        <v>0</v>
      </c>
      <c r="AV107" s="292">
        <f t="shared" si="78"/>
        <v>0</v>
      </c>
      <c r="AW107" s="292">
        <f t="shared" si="79"/>
        <v>0</v>
      </c>
      <c r="AX107" s="292">
        <f t="shared" si="80"/>
        <v>0</v>
      </c>
      <c r="AY107" s="292">
        <f t="shared" si="81"/>
        <v>0</v>
      </c>
      <c r="AZ107" s="292">
        <f t="shared" si="82"/>
        <v>0</v>
      </c>
      <c r="BA107" s="292">
        <f t="shared" si="83"/>
        <v>0</v>
      </c>
    </row>
    <row r="108" spans="1:53" s="289" customFormat="1" ht="15" customHeight="1">
      <c r="A108" s="63" t="str">
        <f t="array" ref="A108">IF(C108&lt;&gt;0,SUM(($C$11:C108&lt;&gt;0)*1),"")</f>
        <v/>
      </c>
      <c r="B108" s="290"/>
      <c r="C108" s="290"/>
      <c r="D108" s="290"/>
      <c r="E108" s="396"/>
      <c r="F108" s="345"/>
      <c r="G108" s="347"/>
      <c r="H108" s="347"/>
      <c r="I108" s="63" t="str">
        <f t="shared" si="90"/>
        <v/>
      </c>
      <c r="J108" s="292">
        <f t="shared" si="46"/>
        <v>0</v>
      </c>
      <c r="K108" s="292">
        <f t="shared" si="47"/>
        <v>0</v>
      </c>
      <c r="L108" s="292">
        <f t="shared" si="48"/>
        <v>0</v>
      </c>
      <c r="M108" s="292">
        <f t="shared" si="49"/>
        <v>0</v>
      </c>
      <c r="N108" s="292">
        <f t="shared" si="84"/>
        <v>0</v>
      </c>
      <c r="O108" s="292">
        <f t="shared" si="85"/>
        <v>0</v>
      </c>
      <c r="P108" s="292">
        <f t="shared" si="50"/>
        <v>0</v>
      </c>
      <c r="Q108" s="292">
        <f t="shared" si="51"/>
        <v>0</v>
      </c>
      <c r="R108" s="292">
        <f t="shared" si="52"/>
        <v>0</v>
      </c>
      <c r="S108" s="292">
        <f t="shared" si="53"/>
        <v>0</v>
      </c>
      <c r="T108" s="292">
        <f t="shared" si="86"/>
        <v>0</v>
      </c>
      <c r="U108" s="292">
        <f t="shared" si="87"/>
        <v>0</v>
      </c>
      <c r="V108" s="292">
        <f t="shared" si="54"/>
        <v>0</v>
      </c>
      <c r="W108" s="292">
        <f t="shared" si="55"/>
        <v>0</v>
      </c>
      <c r="X108" s="292">
        <f t="shared" si="56"/>
        <v>0</v>
      </c>
      <c r="Y108" s="292">
        <f t="shared" si="57"/>
        <v>0</v>
      </c>
      <c r="Z108" s="292">
        <f t="shared" si="58"/>
        <v>0</v>
      </c>
      <c r="AA108" s="292">
        <f t="shared" si="59"/>
        <v>0</v>
      </c>
      <c r="AB108" s="292">
        <f t="shared" si="60"/>
        <v>0</v>
      </c>
      <c r="AC108" s="292">
        <f t="shared" si="61"/>
        <v>0</v>
      </c>
      <c r="AD108" s="292">
        <f t="shared" si="62"/>
        <v>0</v>
      </c>
      <c r="AE108" s="292">
        <f t="shared" si="63"/>
        <v>0</v>
      </c>
      <c r="AF108" s="292">
        <f t="shared" si="88"/>
        <v>0</v>
      </c>
      <c r="AG108" s="292">
        <f t="shared" si="89"/>
        <v>0</v>
      </c>
      <c r="AH108" s="292">
        <f t="shared" si="64"/>
        <v>0</v>
      </c>
      <c r="AI108" s="292">
        <f t="shared" si="65"/>
        <v>0</v>
      </c>
      <c r="AJ108" s="292">
        <f t="shared" si="66"/>
        <v>0</v>
      </c>
      <c r="AK108" s="292">
        <f t="shared" si="67"/>
        <v>0</v>
      </c>
      <c r="AL108" s="292">
        <f t="shared" si="68"/>
        <v>0</v>
      </c>
      <c r="AM108" s="292">
        <f t="shared" si="69"/>
        <v>0</v>
      </c>
      <c r="AN108" s="292">
        <f t="shared" si="70"/>
        <v>0</v>
      </c>
      <c r="AO108" s="292">
        <f t="shared" si="71"/>
        <v>0</v>
      </c>
      <c r="AP108" s="292">
        <f t="shared" si="72"/>
        <v>0</v>
      </c>
      <c r="AQ108" s="292">
        <f t="shared" si="73"/>
        <v>0</v>
      </c>
      <c r="AR108" s="292">
        <f t="shared" si="74"/>
        <v>0</v>
      </c>
      <c r="AS108" s="292">
        <f t="shared" si="75"/>
        <v>0</v>
      </c>
      <c r="AT108" s="292">
        <f t="shared" si="76"/>
        <v>0</v>
      </c>
      <c r="AU108" s="292">
        <f t="shared" si="77"/>
        <v>0</v>
      </c>
      <c r="AV108" s="292">
        <f t="shared" si="78"/>
        <v>0</v>
      </c>
      <c r="AW108" s="292">
        <f t="shared" si="79"/>
        <v>0</v>
      </c>
      <c r="AX108" s="292">
        <f t="shared" si="80"/>
        <v>0</v>
      </c>
      <c r="AY108" s="292">
        <f t="shared" si="81"/>
        <v>0</v>
      </c>
      <c r="AZ108" s="292">
        <f t="shared" si="82"/>
        <v>0</v>
      </c>
      <c r="BA108" s="292">
        <f t="shared" si="83"/>
        <v>0</v>
      </c>
    </row>
    <row r="109" spans="1:53" s="289" customFormat="1" ht="15" customHeight="1">
      <c r="A109" s="63" t="str">
        <f t="array" ref="A109">IF(C109&lt;&gt;0,SUM(($C$11:C109&lt;&gt;0)*1),"")</f>
        <v/>
      </c>
      <c r="B109" s="290"/>
      <c r="C109" s="290"/>
      <c r="D109" s="290"/>
      <c r="E109" s="396"/>
      <c r="F109" s="345"/>
      <c r="G109" s="347"/>
      <c r="H109" s="347"/>
      <c r="I109" s="63" t="str">
        <f t="shared" si="90"/>
        <v/>
      </c>
      <c r="J109" s="292">
        <f t="shared" si="46"/>
        <v>0</v>
      </c>
      <c r="K109" s="292">
        <f t="shared" si="47"/>
        <v>0</v>
      </c>
      <c r="L109" s="292">
        <f t="shared" si="48"/>
        <v>0</v>
      </c>
      <c r="M109" s="292">
        <f t="shared" si="49"/>
        <v>0</v>
      </c>
      <c r="N109" s="292">
        <f t="shared" si="84"/>
        <v>0</v>
      </c>
      <c r="O109" s="292">
        <f t="shared" si="85"/>
        <v>0</v>
      </c>
      <c r="P109" s="292">
        <f t="shared" si="50"/>
        <v>0</v>
      </c>
      <c r="Q109" s="292">
        <f t="shared" si="51"/>
        <v>0</v>
      </c>
      <c r="R109" s="292">
        <f t="shared" si="52"/>
        <v>0</v>
      </c>
      <c r="S109" s="292">
        <f t="shared" si="53"/>
        <v>0</v>
      </c>
      <c r="T109" s="292">
        <f t="shared" si="86"/>
        <v>0</v>
      </c>
      <c r="U109" s="292">
        <f t="shared" si="87"/>
        <v>0</v>
      </c>
      <c r="V109" s="292">
        <f t="shared" si="54"/>
        <v>0</v>
      </c>
      <c r="W109" s="292">
        <f t="shared" si="55"/>
        <v>0</v>
      </c>
      <c r="X109" s="292">
        <f t="shared" si="56"/>
        <v>0</v>
      </c>
      <c r="Y109" s="292">
        <f t="shared" si="57"/>
        <v>0</v>
      </c>
      <c r="Z109" s="292">
        <f t="shared" si="58"/>
        <v>0</v>
      </c>
      <c r="AA109" s="292">
        <f t="shared" si="59"/>
        <v>0</v>
      </c>
      <c r="AB109" s="292">
        <f t="shared" si="60"/>
        <v>0</v>
      </c>
      <c r="AC109" s="292">
        <f t="shared" si="61"/>
        <v>0</v>
      </c>
      <c r="AD109" s="292">
        <f t="shared" si="62"/>
        <v>0</v>
      </c>
      <c r="AE109" s="292">
        <f t="shared" si="63"/>
        <v>0</v>
      </c>
      <c r="AF109" s="292">
        <f t="shared" si="88"/>
        <v>0</v>
      </c>
      <c r="AG109" s="292">
        <f t="shared" si="89"/>
        <v>0</v>
      </c>
      <c r="AH109" s="292">
        <f t="shared" si="64"/>
        <v>0</v>
      </c>
      <c r="AI109" s="292">
        <f t="shared" si="65"/>
        <v>0</v>
      </c>
      <c r="AJ109" s="292">
        <f t="shared" si="66"/>
        <v>0</v>
      </c>
      <c r="AK109" s="292">
        <f t="shared" si="67"/>
        <v>0</v>
      </c>
      <c r="AL109" s="292">
        <f t="shared" si="68"/>
        <v>0</v>
      </c>
      <c r="AM109" s="292">
        <f t="shared" si="69"/>
        <v>0</v>
      </c>
      <c r="AN109" s="292">
        <f t="shared" si="70"/>
        <v>0</v>
      </c>
      <c r="AO109" s="292">
        <f t="shared" si="71"/>
        <v>0</v>
      </c>
      <c r="AP109" s="292">
        <f t="shared" si="72"/>
        <v>0</v>
      </c>
      <c r="AQ109" s="292">
        <f t="shared" si="73"/>
        <v>0</v>
      </c>
      <c r="AR109" s="292">
        <f t="shared" si="74"/>
        <v>0</v>
      </c>
      <c r="AS109" s="292">
        <f t="shared" si="75"/>
        <v>0</v>
      </c>
      <c r="AT109" s="292">
        <f t="shared" si="76"/>
        <v>0</v>
      </c>
      <c r="AU109" s="292">
        <f t="shared" si="77"/>
        <v>0</v>
      </c>
      <c r="AV109" s="292">
        <f t="shared" si="78"/>
        <v>0</v>
      </c>
      <c r="AW109" s="292">
        <f t="shared" si="79"/>
        <v>0</v>
      </c>
      <c r="AX109" s="292">
        <f t="shared" si="80"/>
        <v>0</v>
      </c>
      <c r="AY109" s="292">
        <f t="shared" si="81"/>
        <v>0</v>
      </c>
      <c r="AZ109" s="292">
        <f t="shared" si="82"/>
        <v>0</v>
      </c>
      <c r="BA109" s="292">
        <f t="shared" si="83"/>
        <v>0</v>
      </c>
    </row>
    <row r="110" spans="1:53" s="289" customFormat="1" ht="15" customHeight="1">
      <c r="A110" s="63" t="str">
        <f t="array" ref="A110">IF(C110&lt;&gt;0,SUM(($C$11:C110&lt;&gt;0)*1),"")</f>
        <v/>
      </c>
      <c r="B110" s="290"/>
      <c r="C110" s="290"/>
      <c r="D110" s="290"/>
      <c r="E110" s="396"/>
      <c r="F110" s="345"/>
      <c r="G110" s="347"/>
      <c r="H110" s="347"/>
      <c r="I110" s="63" t="str">
        <f t="shared" si="90"/>
        <v/>
      </c>
      <c r="J110" s="292">
        <f t="shared" si="46"/>
        <v>0</v>
      </c>
      <c r="K110" s="292">
        <f t="shared" si="47"/>
        <v>0</v>
      </c>
      <c r="L110" s="292">
        <f t="shared" si="48"/>
        <v>0</v>
      </c>
      <c r="M110" s="292">
        <f t="shared" si="49"/>
        <v>0</v>
      </c>
      <c r="N110" s="292">
        <f t="shared" si="84"/>
        <v>0</v>
      </c>
      <c r="O110" s="292">
        <f t="shared" si="85"/>
        <v>0</v>
      </c>
      <c r="P110" s="292">
        <f t="shared" si="50"/>
        <v>0</v>
      </c>
      <c r="Q110" s="292">
        <f t="shared" si="51"/>
        <v>0</v>
      </c>
      <c r="R110" s="292">
        <f t="shared" si="52"/>
        <v>0</v>
      </c>
      <c r="S110" s="292">
        <f t="shared" si="53"/>
        <v>0</v>
      </c>
      <c r="T110" s="292">
        <f t="shared" si="86"/>
        <v>0</v>
      </c>
      <c r="U110" s="292">
        <f t="shared" si="87"/>
        <v>0</v>
      </c>
      <c r="V110" s="292">
        <f t="shared" si="54"/>
        <v>0</v>
      </c>
      <c r="W110" s="292">
        <f t="shared" si="55"/>
        <v>0</v>
      </c>
      <c r="X110" s="292">
        <f t="shared" si="56"/>
        <v>0</v>
      </c>
      <c r="Y110" s="292">
        <f t="shared" si="57"/>
        <v>0</v>
      </c>
      <c r="Z110" s="292">
        <f t="shared" si="58"/>
        <v>0</v>
      </c>
      <c r="AA110" s="292">
        <f t="shared" si="59"/>
        <v>0</v>
      </c>
      <c r="AB110" s="292">
        <f t="shared" si="60"/>
        <v>0</v>
      </c>
      <c r="AC110" s="292">
        <f t="shared" si="61"/>
        <v>0</v>
      </c>
      <c r="AD110" s="292">
        <f t="shared" si="62"/>
        <v>0</v>
      </c>
      <c r="AE110" s="292">
        <f t="shared" si="63"/>
        <v>0</v>
      </c>
      <c r="AF110" s="292">
        <f t="shared" si="88"/>
        <v>0</v>
      </c>
      <c r="AG110" s="292">
        <f t="shared" si="89"/>
        <v>0</v>
      </c>
      <c r="AH110" s="292">
        <f t="shared" si="64"/>
        <v>0</v>
      </c>
      <c r="AI110" s="292">
        <f t="shared" si="65"/>
        <v>0</v>
      </c>
      <c r="AJ110" s="292">
        <f t="shared" si="66"/>
        <v>0</v>
      </c>
      <c r="AK110" s="292">
        <f t="shared" si="67"/>
        <v>0</v>
      </c>
      <c r="AL110" s="292">
        <f t="shared" si="68"/>
        <v>0</v>
      </c>
      <c r="AM110" s="292">
        <f t="shared" si="69"/>
        <v>0</v>
      </c>
      <c r="AN110" s="292">
        <f t="shared" si="70"/>
        <v>0</v>
      </c>
      <c r="AO110" s="292">
        <f t="shared" si="71"/>
        <v>0</v>
      </c>
      <c r="AP110" s="292">
        <f t="shared" si="72"/>
        <v>0</v>
      </c>
      <c r="AQ110" s="292">
        <f t="shared" si="73"/>
        <v>0</v>
      </c>
      <c r="AR110" s="292">
        <f t="shared" si="74"/>
        <v>0</v>
      </c>
      <c r="AS110" s="292">
        <f t="shared" si="75"/>
        <v>0</v>
      </c>
      <c r="AT110" s="292">
        <f t="shared" si="76"/>
        <v>0</v>
      </c>
      <c r="AU110" s="292">
        <f t="shared" si="77"/>
        <v>0</v>
      </c>
      <c r="AV110" s="292">
        <f t="shared" si="78"/>
        <v>0</v>
      </c>
      <c r="AW110" s="292">
        <f t="shared" si="79"/>
        <v>0</v>
      </c>
      <c r="AX110" s="292">
        <f t="shared" si="80"/>
        <v>0</v>
      </c>
      <c r="AY110" s="292">
        <f t="shared" si="81"/>
        <v>0</v>
      </c>
      <c r="AZ110" s="292">
        <f t="shared" si="82"/>
        <v>0</v>
      </c>
      <c r="BA110" s="292">
        <f t="shared" si="83"/>
        <v>0</v>
      </c>
    </row>
    <row r="111" spans="1:53" s="289" customFormat="1" ht="15" customHeight="1">
      <c r="A111" s="63" t="str">
        <f t="array" ref="A111">IF(C111&lt;&gt;0,SUM(($C$11:C111&lt;&gt;0)*1),"")</f>
        <v/>
      </c>
      <c r="B111" s="290"/>
      <c r="C111" s="290"/>
      <c r="D111" s="290"/>
      <c r="E111" s="396"/>
      <c r="F111" s="345"/>
      <c r="G111" s="347"/>
      <c r="H111" s="347"/>
      <c r="I111" s="63" t="str">
        <f t="shared" si="90"/>
        <v/>
      </c>
      <c r="J111" s="292">
        <f t="shared" si="46"/>
        <v>0</v>
      </c>
      <c r="K111" s="292">
        <f t="shared" si="47"/>
        <v>0</v>
      </c>
      <c r="L111" s="292">
        <f t="shared" si="48"/>
        <v>0</v>
      </c>
      <c r="M111" s="292">
        <f t="shared" si="49"/>
        <v>0</v>
      </c>
      <c r="N111" s="292">
        <f t="shared" si="84"/>
        <v>0</v>
      </c>
      <c r="O111" s="292">
        <f t="shared" si="85"/>
        <v>0</v>
      </c>
      <c r="P111" s="292">
        <f t="shared" si="50"/>
        <v>0</v>
      </c>
      <c r="Q111" s="292">
        <f t="shared" si="51"/>
        <v>0</v>
      </c>
      <c r="R111" s="292">
        <f t="shared" si="52"/>
        <v>0</v>
      </c>
      <c r="S111" s="292">
        <f t="shared" si="53"/>
        <v>0</v>
      </c>
      <c r="T111" s="292">
        <f t="shared" si="86"/>
        <v>0</v>
      </c>
      <c r="U111" s="292">
        <f t="shared" si="87"/>
        <v>0</v>
      </c>
      <c r="V111" s="292">
        <f t="shared" si="54"/>
        <v>0</v>
      </c>
      <c r="W111" s="292">
        <f t="shared" si="55"/>
        <v>0</v>
      </c>
      <c r="X111" s="292">
        <f t="shared" si="56"/>
        <v>0</v>
      </c>
      <c r="Y111" s="292">
        <f t="shared" si="57"/>
        <v>0</v>
      </c>
      <c r="Z111" s="292">
        <f t="shared" si="58"/>
        <v>0</v>
      </c>
      <c r="AA111" s="292">
        <f t="shared" si="59"/>
        <v>0</v>
      </c>
      <c r="AB111" s="292">
        <f t="shared" si="60"/>
        <v>0</v>
      </c>
      <c r="AC111" s="292">
        <f t="shared" si="61"/>
        <v>0</v>
      </c>
      <c r="AD111" s="292">
        <f t="shared" si="62"/>
        <v>0</v>
      </c>
      <c r="AE111" s="292">
        <f t="shared" si="63"/>
        <v>0</v>
      </c>
      <c r="AF111" s="292">
        <f t="shared" si="88"/>
        <v>0</v>
      </c>
      <c r="AG111" s="292">
        <f t="shared" si="89"/>
        <v>0</v>
      </c>
      <c r="AH111" s="292">
        <f t="shared" si="64"/>
        <v>0</v>
      </c>
      <c r="AI111" s="292">
        <f t="shared" si="65"/>
        <v>0</v>
      </c>
      <c r="AJ111" s="292">
        <f t="shared" si="66"/>
        <v>0</v>
      </c>
      <c r="AK111" s="292">
        <f t="shared" si="67"/>
        <v>0</v>
      </c>
      <c r="AL111" s="292">
        <f t="shared" si="68"/>
        <v>0</v>
      </c>
      <c r="AM111" s="292">
        <f t="shared" si="69"/>
        <v>0</v>
      </c>
      <c r="AN111" s="292">
        <f t="shared" si="70"/>
        <v>0</v>
      </c>
      <c r="AO111" s="292">
        <f t="shared" si="71"/>
        <v>0</v>
      </c>
      <c r="AP111" s="292">
        <f t="shared" si="72"/>
        <v>0</v>
      </c>
      <c r="AQ111" s="292">
        <f t="shared" si="73"/>
        <v>0</v>
      </c>
      <c r="AR111" s="292">
        <f t="shared" si="74"/>
        <v>0</v>
      </c>
      <c r="AS111" s="292">
        <f t="shared" si="75"/>
        <v>0</v>
      </c>
      <c r="AT111" s="292">
        <f t="shared" si="76"/>
        <v>0</v>
      </c>
      <c r="AU111" s="292">
        <f t="shared" si="77"/>
        <v>0</v>
      </c>
      <c r="AV111" s="292">
        <f t="shared" si="78"/>
        <v>0</v>
      </c>
      <c r="AW111" s="292">
        <f t="shared" si="79"/>
        <v>0</v>
      </c>
      <c r="AX111" s="292">
        <f t="shared" si="80"/>
        <v>0</v>
      </c>
      <c r="AY111" s="292">
        <f t="shared" si="81"/>
        <v>0</v>
      </c>
      <c r="AZ111" s="292">
        <f t="shared" si="82"/>
        <v>0</v>
      </c>
      <c r="BA111" s="292">
        <f t="shared" si="83"/>
        <v>0</v>
      </c>
    </row>
    <row r="112" spans="1:53" s="289" customFormat="1" ht="15" customHeight="1">
      <c r="A112" s="63" t="str">
        <f t="array" ref="A112">IF(C112&lt;&gt;0,SUM(($C$11:C112&lt;&gt;0)*1),"")</f>
        <v/>
      </c>
      <c r="B112" s="290"/>
      <c r="C112" s="290"/>
      <c r="D112" s="290"/>
      <c r="E112" s="396"/>
      <c r="F112" s="345"/>
      <c r="G112" s="347"/>
      <c r="H112" s="347"/>
      <c r="I112" s="63" t="str">
        <f t="shared" si="90"/>
        <v/>
      </c>
      <c r="J112" s="292">
        <f t="shared" si="46"/>
        <v>0</v>
      </c>
      <c r="K112" s="292">
        <f t="shared" si="47"/>
        <v>0</v>
      </c>
      <c r="L112" s="292">
        <f t="shared" si="48"/>
        <v>0</v>
      </c>
      <c r="M112" s="292">
        <f t="shared" si="49"/>
        <v>0</v>
      </c>
      <c r="N112" s="292">
        <f t="shared" si="84"/>
        <v>0</v>
      </c>
      <c r="O112" s="292">
        <f t="shared" si="85"/>
        <v>0</v>
      </c>
      <c r="P112" s="292">
        <f t="shared" si="50"/>
        <v>0</v>
      </c>
      <c r="Q112" s="292">
        <f t="shared" si="51"/>
        <v>0</v>
      </c>
      <c r="R112" s="292">
        <f t="shared" si="52"/>
        <v>0</v>
      </c>
      <c r="S112" s="292">
        <f t="shared" si="53"/>
        <v>0</v>
      </c>
      <c r="T112" s="292">
        <f t="shared" si="86"/>
        <v>0</v>
      </c>
      <c r="U112" s="292">
        <f t="shared" si="87"/>
        <v>0</v>
      </c>
      <c r="V112" s="292">
        <f t="shared" si="54"/>
        <v>0</v>
      </c>
      <c r="W112" s="292">
        <f t="shared" si="55"/>
        <v>0</v>
      </c>
      <c r="X112" s="292">
        <f t="shared" si="56"/>
        <v>0</v>
      </c>
      <c r="Y112" s="292">
        <f t="shared" si="57"/>
        <v>0</v>
      </c>
      <c r="Z112" s="292">
        <f t="shared" si="58"/>
        <v>0</v>
      </c>
      <c r="AA112" s="292">
        <f t="shared" si="59"/>
        <v>0</v>
      </c>
      <c r="AB112" s="292">
        <f t="shared" si="60"/>
        <v>0</v>
      </c>
      <c r="AC112" s="292">
        <f t="shared" si="61"/>
        <v>0</v>
      </c>
      <c r="AD112" s="292">
        <f t="shared" si="62"/>
        <v>0</v>
      </c>
      <c r="AE112" s="292">
        <f t="shared" si="63"/>
        <v>0</v>
      </c>
      <c r="AF112" s="292">
        <f t="shared" si="88"/>
        <v>0</v>
      </c>
      <c r="AG112" s="292">
        <f t="shared" si="89"/>
        <v>0</v>
      </c>
      <c r="AH112" s="292">
        <f t="shared" si="64"/>
        <v>0</v>
      </c>
      <c r="AI112" s="292">
        <f t="shared" si="65"/>
        <v>0</v>
      </c>
      <c r="AJ112" s="292">
        <f t="shared" si="66"/>
        <v>0</v>
      </c>
      <c r="AK112" s="292">
        <f t="shared" si="67"/>
        <v>0</v>
      </c>
      <c r="AL112" s="292">
        <f t="shared" si="68"/>
        <v>0</v>
      </c>
      <c r="AM112" s="292">
        <f t="shared" si="69"/>
        <v>0</v>
      </c>
      <c r="AN112" s="292">
        <f t="shared" si="70"/>
        <v>0</v>
      </c>
      <c r="AO112" s="292">
        <f t="shared" si="71"/>
        <v>0</v>
      </c>
      <c r="AP112" s="292">
        <f t="shared" si="72"/>
        <v>0</v>
      </c>
      <c r="AQ112" s="292">
        <f t="shared" si="73"/>
        <v>0</v>
      </c>
      <c r="AR112" s="292">
        <f t="shared" si="74"/>
        <v>0</v>
      </c>
      <c r="AS112" s="292">
        <f t="shared" si="75"/>
        <v>0</v>
      </c>
      <c r="AT112" s="292">
        <f t="shared" si="76"/>
        <v>0</v>
      </c>
      <c r="AU112" s="292">
        <f t="shared" si="77"/>
        <v>0</v>
      </c>
      <c r="AV112" s="292">
        <f t="shared" si="78"/>
        <v>0</v>
      </c>
      <c r="AW112" s="292">
        <f t="shared" si="79"/>
        <v>0</v>
      </c>
      <c r="AX112" s="292">
        <f t="shared" si="80"/>
        <v>0</v>
      </c>
      <c r="AY112" s="292">
        <f t="shared" si="81"/>
        <v>0</v>
      </c>
      <c r="AZ112" s="292">
        <f t="shared" si="82"/>
        <v>0</v>
      </c>
      <c r="BA112" s="292">
        <f t="shared" si="83"/>
        <v>0</v>
      </c>
    </row>
    <row r="113" spans="1:53" s="289" customFormat="1" ht="15" customHeight="1">
      <c r="A113" s="63" t="str">
        <f t="array" ref="A113">IF(C113&lt;&gt;0,SUM(($C$11:C113&lt;&gt;0)*1),"")</f>
        <v/>
      </c>
      <c r="B113" s="290"/>
      <c r="C113" s="290"/>
      <c r="D113" s="290"/>
      <c r="E113" s="396"/>
      <c r="F113" s="345"/>
      <c r="G113" s="347"/>
      <c r="H113" s="347"/>
      <c r="I113" s="63" t="str">
        <f t="shared" si="90"/>
        <v/>
      </c>
      <c r="J113" s="292">
        <f t="shared" si="46"/>
        <v>0</v>
      </c>
      <c r="K113" s="292">
        <f t="shared" si="47"/>
        <v>0</v>
      </c>
      <c r="L113" s="292">
        <f t="shared" si="48"/>
        <v>0</v>
      </c>
      <c r="M113" s="292">
        <f t="shared" si="49"/>
        <v>0</v>
      </c>
      <c r="N113" s="292">
        <f t="shared" si="84"/>
        <v>0</v>
      </c>
      <c r="O113" s="292">
        <f t="shared" si="85"/>
        <v>0</v>
      </c>
      <c r="P113" s="292">
        <f t="shared" si="50"/>
        <v>0</v>
      </c>
      <c r="Q113" s="292">
        <f t="shared" si="51"/>
        <v>0</v>
      </c>
      <c r="R113" s="292">
        <f t="shared" si="52"/>
        <v>0</v>
      </c>
      <c r="S113" s="292">
        <f t="shared" si="53"/>
        <v>0</v>
      </c>
      <c r="T113" s="292">
        <f t="shared" si="86"/>
        <v>0</v>
      </c>
      <c r="U113" s="292">
        <f t="shared" si="87"/>
        <v>0</v>
      </c>
      <c r="V113" s="292">
        <f t="shared" si="54"/>
        <v>0</v>
      </c>
      <c r="W113" s="292">
        <f t="shared" si="55"/>
        <v>0</v>
      </c>
      <c r="X113" s="292">
        <f t="shared" si="56"/>
        <v>0</v>
      </c>
      <c r="Y113" s="292">
        <f t="shared" si="57"/>
        <v>0</v>
      </c>
      <c r="Z113" s="292">
        <f t="shared" si="58"/>
        <v>0</v>
      </c>
      <c r="AA113" s="292">
        <f t="shared" si="59"/>
        <v>0</v>
      </c>
      <c r="AB113" s="292">
        <f t="shared" si="60"/>
        <v>0</v>
      </c>
      <c r="AC113" s="292">
        <f t="shared" si="61"/>
        <v>0</v>
      </c>
      <c r="AD113" s="292">
        <f t="shared" si="62"/>
        <v>0</v>
      </c>
      <c r="AE113" s="292">
        <f t="shared" si="63"/>
        <v>0</v>
      </c>
      <c r="AF113" s="292">
        <f t="shared" si="88"/>
        <v>0</v>
      </c>
      <c r="AG113" s="292">
        <f t="shared" si="89"/>
        <v>0</v>
      </c>
      <c r="AH113" s="292">
        <f t="shared" si="64"/>
        <v>0</v>
      </c>
      <c r="AI113" s="292">
        <f t="shared" si="65"/>
        <v>0</v>
      </c>
      <c r="AJ113" s="292">
        <f t="shared" si="66"/>
        <v>0</v>
      </c>
      <c r="AK113" s="292">
        <f t="shared" si="67"/>
        <v>0</v>
      </c>
      <c r="AL113" s="292">
        <f t="shared" si="68"/>
        <v>0</v>
      </c>
      <c r="AM113" s="292">
        <f t="shared" si="69"/>
        <v>0</v>
      </c>
      <c r="AN113" s="292">
        <f t="shared" si="70"/>
        <v>0</v>
      </c>
      <c r="AO113" s="292">
        <f t="shared" si="71"/>
        <v>0</v>
      </c>
      <c r="AP113" s="292">
        <f t="shared" si="72"/>
        <v>0</v>
      </c>
      <c r="AQ113" s="292">
        <f t="shared" si="73"/>
        <v>0</v>
      </c>
      <c r="AR113" s="292">
        <f t="shared" si="74"/>
        <v>0</v>
      </c>
      <c r="AS113" s="292">
        <f t="shared" si="75"/>
        <v>0</v>
      </c>
      <c r="AT113" s="292">
        <f t="shared" si="76"/>
        <v>0</v>
      </c>
      <c r="AU113" s="292">
        <f t="shared" si="77"/>
        <v>0</v>
      </c>
      <c r="AV113" s="292">
        <f t="shared" si="78"/>
        <v>0</v>
      </c>
      <c r="AW113" s="292">
        <f t="shared" si="79"/>
        <v>0</v>
      </c>
      <c r="AX113" s="292">
        <f t="shared" si="80"/>
        <v>0</v>
      </c>
      <c r="AY113" s="292">
        <f t="shared" si="81"/>
        <v>0</v>
      </c>
      <c r="AZ113" s="292">
        <f t="shared" si="82"/>
        <v>0</v>
      </c>
      <c r="BA113" s="292">
        <f t="shared" si="83"/>
        <v>0</v>
      </c>
    </row>
    <row r="114" spans="1:53" s="289" customFormat="1" ht="15" customHeight="1">
      <c r="A114" s="63" t="str">
        <f t="array" ref="A114">IF(C114&lt;&gt;0,SUM(($C$11:C114&lt;&gt;0)*1),"")</f>
        <v/>
      </c>
      <c r="B114" s="290"/>
      <c r="C114" s="290"/>
      <c r="D114" s="290"/>
      <c r="E114" s="396"/>
      <c r="F114" s="345"/>
      <c r="G114" s="347"/>
      <c r="H114" s="347"/>
      <c r="I114" s="63" t="str">
        <f t="shared" si="90"/>
        <v/>
      </c>
      <c r="J114" s="292">
        <f t="shared" si="46"/>
        <v>0</v>
      </c>
      <c r="K114" s="292">
        <f t="shared" si="47"/>
        <v>0</v>
      </c>
      <c r="L114" s="292">
        <f t="shared" si="48"/>
        <v>0</v>
      </c>
      <c r="M114" s="292">
        <f t="shared" si="49"/>
        <v>0</v>
      </c>
      <c r="N114" s="292">
        <f t="shared" si="84"/>
        <v>0</v>
      </c>
      <c r="O114" s="292">
        <f t="shared" si="85"/>
        <v>0</v>
      </c>
      <c r="P114" s="292">
        <f t="shared" si="50"/>
        <v>0</v>
      </c>
      <c r="Q114" s="292">
        <f t="shared" si="51"/>
        <v>0</v>
      </c>
      <c r="R114" s="292">
        <f t="shared" si="52"/>
        <v>0</v>
      </c>
      <c r="S114" s="292">
        <f t="shared" si="53"/>
        <v>0</v>
      </c>
      <c r="T114" s="292">
        <f t="shared" si="86"/>
        <v>0</v>
      </c>
      <c r="U114" s="292">
        <f t="shared" si="87"/>
        <v>0</v>
      </c>
      <c r="V114" s="292">
        <f t="shared" si="54"/>
        <v>0</v>
      </c>
      <c r="W114" s="292">
        <f t="shared" si="55"/>
        <v>0</v>
      </c>
      <c r="X114" s="292">
        <f t="shared" si="56"/>
        <v>0</v>
      </c>
      <c r="Y114" s="292">
        <f t="shared" si="57"/>
        <v>0</v>
      </c>
      <c r="Z114" s="292">
        <f t="shared" si="58"/>
        <v>0</v>
      </c>
      <c r="AA114" s="292">
        <f t="shared" si="59"/>
        <v>0</v>
      </c>
      <c r="AB114" s="292">
        <f t="shared" si="60"/>
        <v>0</v>
      </c>
      <c r="AC114" s="292">
        <f t="shared" si="61"/>
        <v>0</v>
      </c>
      <c r="AD114" s="292">
        <f t="shared" si="62"/>
        <v>0</v>
      </c>
      <c r="AE114" s="292">
        <f t="shared" si="63"/>
        <v>0</v>
      </c>
      <c r="AF114" s="292">
        <f t="shared" si="88"/>
        <v>0</v>
      </c>
      <c r="AG114" s="292">
        <f t="shared" si="89"/>
        <v>0</v>
      </c>
      <c r="AH114" s="292">
        <f t="shared" si="64"/>
        <v>0</v>
      </c>
      <c r="AI114" s="292">
        <f t="shared" si="65"/>
        <v>0</v>
      </c>
      <c r="AJ114" s="292">
        <f t="shared" si="66"/>
        <v>0</v>
      </c>
      <c r="AK114" s="292">
        <f t="shared" si="67"/>
        <v>0</v>
      </c>
      <c r="AL114" s="292">
        <f t="shared" si="68"/>
        <v>0</v>
      </c>
      <c r="AM114" s="292">
        <f t="shared" si="69"/>
        <v>0</v>
      </c>
      <c r="AN114" s="292">
        <f t="shared" si="70"/>
        <v>0</v>
      </c>
      <c r="AO114" s="292">
        <f t="shared" si="71"/>
        <v>0</v>
      </c>
      <c r="AP114" s="292">
        <f t="shared" si="72"/>
        <v>0</v>
      </c>
      <c r="AQ114" s="292">
        <f t="shared" si="73"/>
        <v>0</v>
      </c>
      <c r="AR114" s="292">
        <f t="shared" si="74"/>
        <v>0</v>
      </c>
      <c r="AS114" s="292">
        <f t="shared" si="75"/>
        <v>0</v>
      </c>
      <c r="AT114" s="292">
        <f t="shared" si="76"/>
        <v>0</v>
      </c>
      <c r="AU114" s="292">
        <f t="shared" si="77"/>
        <v>0</v>
      </c>
      <c r="AV114" s="292">
        <f t="shared" si="78"/>
        <v>0</v>
      </c>
      <c r="AW114" s="292">
        <f t="shared" si="79"/>
        <v>0</v>
      </c>
      <c r="AX114" s="292">
        <f t="shared" si="80"/>
        <v>0</v>
      </c>
      <c r="AY114" s="292">
        <f t="shared" si="81"/>
        <v>0</v>
      </c>
      <c r="AZ114" s="292">
        <f t="shared" si="82"/>
        <v>0</v>
      </c>
      <c r="BA114" s="292">
        <f t="shared" si="83"/>
        <v>0</v>
      </c>
    </row>
    <row r="115" spans="1:53" s="289" customFormat="1" ht="15" customHeight="1">
      <c r="A115" s="63" t="str">
        <f t="array" ref="A115">IF(C115&lt;&gt;0,SUM(($C$11:C115&lt;&gt;0)*1),"")</f>
        <v/>
      </c>
      <c r="B115" s="290"/>
      <c r="C115" s="290"/>
      <c r="D115" s="290"/>
      <c r="E115" s="396"/>
      <c r="F115" s="345"/>
      <c r="G115" s="347"/>
      <c r="H115" s="347"/>
      <c r="I115" s="63" t="str">
        <f t="shared" si="90"/>
        <v/>
      </c>
      <c r="J115" s="292">
        <f t="shared" si="46"/>
        <v>0</v>
      </c>
      <c r="K115" s="292">
        <f t="shared" si="47"/>
        <v>0</v>
      </c>
      <c r="L115" s="292">
        <f t="shared" si="48"/>
        <v>0</v>
      </c>
      <c r="M115" s="292">
        <f t="shared" si="49"/>
        <v>0</v>
      </c>
      <c r="N115" s="292">
        <f t="shared" si="84"/>
        <v>0</v>
      </c>
      <c r="O115" s="292">
        <f t="shared" si="85"/>
        <v>0</v>
      </c>
      <c r="P115" s="292">
        <f t="shared" si="50"/>
        <v>0</v>
      </c>
      <c r="Q115" s="292">
        <f t="shared" si="51"/>
        <v>0</v>
      </c>
      <c r="R115" s="292">
        <f t="shared" si="52"/>
        <v>0</v>
      </c>
      <c r="S115" s="292">
        <f t="shared" si="53"/>
        <v>0</v>
      </c>
      <c r="T115" s="292">
        <f t="shared" si="86"/>
        <v>0</v>
      </c>
      <c r="U115" s="292">
        <f t="shared" si="87"/>
        <v>0</v>
      </c>
      <c r="V115" s="292">
        <f t="shared" si="54"/>
        <v>0</v>
      </c>
      <c r="W115" s="292">
        <f t="shared" si="55"/>
        <v>0</v>
      </c>
      <c r="X115" s="292">
        <f t="shared" si="56"/>
        <v>0</v>
      </c>
      <c r="Y115" s="292">
        <f t="shared" si="57"/>
        <v>0</v>
      </c>
      <c r="Z115" s="292">
        <f t="shared" si="58"/>
        <v>0</v>
      </c>
      <c r="AA115" s="292">
        <f t="shared" si="59"/>
        <v>0</v>
      </c>
      <c r="AB115" s="292">
        <f t="shared" si="60"/>
        <v>0</v>
      </c>
      <c r="AC115" s="292">
        <f t="shared" si="61"/>
        <v>0</v>
      </c>
      <c r="AD115" s="292">
        <f t="shared" si="62"/>
        <v>0</v>
      </c>
      <c r="AE115" s="292">
        <f t="shared" si="63"/>
        <v>0</v>
      </c>
      <c r="AF115" s="292">
        <f t="shared" si="88"/>
        <v>0</v>
      </c>
      <c r="AG115" s="292">
        <f t="shared" si="89"/>
        <v>0</v>
      </c>
      <c r="AH115" s="292">
        <f t="shared" si="64"/>
        <v>0</v>
      </c>
      <c r="AI115" s="292">
        <f t="shared" si="65"/>
        <v>0</v>
      </c>
      <c r="AJ115" s="292">
        <f t="shared" si="66"/>
        <v>0</v>
      </c>
      <c r="AK115" s="292">
        <f t="shared" si="67"/>
        <v>0</v>
      </c>
      <c r="AL115" s="292">
        <f t="shared" si="68"/>
        <v>0</v>
      </c>
      <c r="AM115" s="292">
        <f t="shared" si="69"/>
        <v>0</v>
      </c>
      <c r="AN115" s="292">
        <f t="shared" si="70"/>
        <v>0</v>
      </c>
      <c r="AO115" s="292">
        <f t="shared" si="71"/>
        <v>0</v>
      </c>
      <c r="AP115" s="292">
        <f t="shared" si="72"/>
        <v>0</v>
      </c>
      <c r="AQ115" s="292">
        <f t="shared" si="73"/>
        <v>0</v>
      </c>
      <c r="AR115" s="292">
        <f t="shared" si="74"/>
        <v>0</v>
      </c>
      <c r="AS115" s="292">
        <f t="shared" si="75"/>
        <v>0</v>
      </c>
      <c r="AT115" s="292">
        <f t="shared" si="76"/>
        <v>0</v>
      </c>
      <c r="AU115" s="292">
        <f t="shared" si="77"/>
        <v>0</v>
      </c>
      <c r="AV115" s="292">
        <f t="shared" si="78"/>
        <v>0</v>
      </c>
      <c r="AW115" s="292">
        <f t="shared" si="79"/>
        <v>0</v>
      </c>
      <c r="AX115" s="292">
        <f t="shared" si="80"/>
        <v>0</v>
      </c>
      <c r="AY115" s="292">
        <f t="shared" si="81"/>
        <v>0</v>
      </c>
      <c r="AZ115" s="292">
        <f t="shared" si="82"/>
        <v>0</v>
      </c>
      <c r="BA115" s="292">
        <f t="shared" si="83"/>
        <v>0</v>
      </c>
    </row>
    <row r="116" spans="1:53" s="289" customFormat="1" ht="15" customHeight="1">
      <c r="A116" s="63" t="str">
        <f t="array" ref="A116">IF(C116&lt;&gt;0,SUM(($C$11:C116&lt;&gt;0)*1),"")</f>
        <v/>
      </c>
      <c r="B116" s="290"/>
      <c r="C116" s="290"/>
      <c r="D116" s="290"/>
      <c r="E116" s="396"/>
      <c r="F116" s="345"/>
      <c r="G116" s="347"/>
      <c r="H116" s="347"/>
      <c r="I116" s="63" t="str">
        <f t="shared" si="90"/>
        <v/>
      </c>
      <c r="J116" s="292">
        <f t="shared" si="46"/>
        <v>0</v>
      </c>
      <c r="K116" s="292">
        <f t="shared" si="47"/>
        <v>0</v>
      </c>
      <c r="L116" s="292">
        <f t="shared" si="48"/>
        <v>0</v>
      </c>
      <c r="M116" s="292">
        <f t="shared" si="49"/>
        <v>0</v>
      </c>
      <c r="N116" s="292">
        <f t="shared" si="84"/>
        <v>0</v>
      </c>
      <c r="O116" s="292">
        <f t="shared" si="85"/>
        <v>0</v>
      </c>
      <c r="P116" s="292">
        <f t="shared" si="50"/>
        <v>0</v>
      </c>
      <c r="Q116" s="292">
        <f t="shared" si="51"/>
        <v>0</v>
      </c>
      <c r="R116" s="292">
        <f t="shared" si="52"/>
        <v>0</v>
      </c>
      <c r="S116" s="292">
        <f t="shared" si="53"/>
        <v>0</v>
      </c>
      <c r="T116" s="292">
        <f t="shared" si="86"/>
        <v>0</v>
      </c>
      <c r="U116" s="292">
        <f t="shared" si="87"/>
        <v>0</v>
      </c>
      <c r="V116" s="292">
        <f t="shared" si="54"/>
        <v>0</v>
      </c>
      <c r="W116" s="292">
        <f t="shared" si="55"/>
        <v>0</v>
      </c>
      <c r="X116" s="292">
        <f t="shared" si="56"/>
        <v>0</v>
      </c>
      <c r="Y116" s="292">
        <f t="shared" si="57"/>
        <v>0</v>
      </c>
      <c r="Z116" s="292">
        <f t="shared" si="58"/>
        <v>0</v>
      </c>
      <c r="AA116" s="292">
        <f t="shared" si="59"/>
        <v>0</v>
      </c>
      <c r="AB116" s="292">
        <f t="shared" si="60"/>
        <v>0</v>
      </c>
      <c r="AC116" s="292">
        <f t="shared" si="61"/>
        <v>0</v>
      </c>
      <c r="AD116" s="292">
        <f t="shared" si="62"/>
        <v>0</v>
      </c>
      <c r="AE116" s="292">
        <f t="shared" si="63"/>
        <v>0</v>
      </c>
      <c r="AF116" s="292">
        <f t="shared" si="88"/>
        <v>0</v>
      </c>
      <c r="AG116" s="292">
        <f t="shared" si="89"/>
        <v>0</v>
      </c>
      <c r="AH116" s="292">
        <f t="shared" si="64"/>
        <v>0</v>
      </c>
      <c r="AI116" s="292">
        <f t="shared" si="65"/>
        <v>0</v>
      </c>
      <c r="AJ116" s="292">
        <f t="shared" si="66"/>
        <v>0</v>
      </c>
      <c r="AK116" s="292">
        <f t="shared" si="67"/>
        <v>0</v>
      </c>
      <c r="AL116" s="292">
        <f t="shared" si="68"/>
        <v>0</v>
      </c>
      <c r="AM116" s="292">
        <f t="shared" si="69"/>
        <v>0</v>
      </c>
      <c r="AN116" s="292">
        <f t="shared" si="70"/>
        <v>0</v>
      </c>
      <c r="AO116" s="292">
        <f t="shared" si="71"/>
        <v>0</v>
      </c>
      <c r="AP116" s="292">
        <f t="shared" si="72"/>
        <v>0</v>
      </c>
      <c r="AQ116" s="292">
        <f t="shared" si="73"/>
        <v>0</v>
      </c>
      <c r="AR116" s="292">
        <f t="shared" si="74"/>
        <v>0</v>
      </c>
      <c r="AS116" s="292">
        <f t="shared" si="75"/>
        <v>0</v>
      </c>
      <c r="AT116" s="292">
        <f t="shared" si="76"/>
        <v>0</v>
      </c>
      <c r="AU116" s="292">
        <f t="shared" si="77"/>
        <v>0</v>
      </c>
      <c r="AV116" s="292">
        <f t="shared" si="78"/>
        <v>0</v>
      </c>
      <c r="AW116" s="292">
        <f t="shared" si="79"/>
        <v>0</v>
      </c>
      <c r="AX116" s="292">
        <f t="shared" si="80"/>
        <v>0</v>
      </c>
      <c r="AY116" s="292">
        <f t="shared" si="81"/>
        <v>0</v>
      </c>
      <c r="AZ116" s="292">
        <f t="shared" si="82"/>
        <v>0</v>
      </c>
      <c r="BA116" s="292">
        <f t="shared" si="83"/>
        <v>0</v>
      </c>
    </row>
    <row r="117" spans="1:53" s="289" customFormat="1" ht="15" customHeight="1">
      <c r="A117" s="63" t="str">
        <f t="array" ref="A117">IF(C117&lt;&gt;0,SUM(($C$11:C117&lt;&gt;0)*1),"")</f>
        <v/>
      </c>
      <c r="B117" s="290"/>
      <c r="C117" s="290"/>
      <c r="D117" s="290"/>
      <c r="E117" s="396"/>
      <c r="F117" s="345"/>
      <c r="G117" s="347"/>
      <c r="H117" s="347"/>
      <c r="I117" s="63" t="str">
        <f t="shared" si="90"/>
        <v/>
      </c>
      <c r="J117" s="292">
        <f t="shared" si="46"/>
        <v>0</v>
      </c>
      <c r="K117" s="292">
        <f t="shared" si="47"/>
        <v>0</v>
      </c>
      <c r="L117" s="292">
        <f t="shared" si="48"/>
        <v>0</v>
      </c>
      <c r="M117" s="292">
        <f t="shared" si="49"/>
        <v>0</v>
      </c>
      <c r="N117" s="292">
        <f t="shared" si="84"/>
        <v>0</v>
      </c>
      <c r="O117" s="292">
        <f t="shared" si="85"/>
        <v>0</v>
      </c>
      <c r="P117" s="292">
        <f t="shared" si="50"/>
        <v>0</v>
      </c>
      <c r="Q117" s="292">
        <f t="shared" si="51"/>
        <v>0</v>
      </c>
      <c r="R117" s="292">
        <f t="shared" si="52"/>
        <v>0</v>
      </c>
      <c r="S117" s="292">
        <f t="shared" si="53"/>
        <v>0</v>
      </c>
      <c r="T117" s="292">
        <f t="shared" si="86"/>
        <v>0</v>
      </c>
      <c r="U117" s="292">
        <f t="shared" si="87"/>
        <v>0</v>
      </c>
      <c r="V117" s="292">
        <f t="shared" si="54"/>
        <v>0</v>
      </c>
      <c r="W117" s="292">
        <f t="shared" si="55"/>
        <v>0</v>
      </c>
      <c r="X117" s="292">
        <f t="shared" si="56"/>
        <v>0</v>
      </c>
      <c r="Y117" s="292">
        <f t="shared" si="57"/>
        <v>0</v>
      </c>
      <c r="Z117" s="292">
        <f t="shared" si="58"/>
        <v>0</v>
      </c>
      <c r="AA117" s="292">
        <f t="shared" si="59"/>
        <v>0</v>
      </c>
      <c r="AB117" s="292">
        <f t="shared" si="60"/>
        <v>0</v>
      </c>
      <c r="AC117" s="292">
        <f t="shared" si="61"/>
        <v>0</v>
      </c>
      <c r="AD117" s="292">
        <f t="shared" si="62"/>
        <v>0</v>
      </c>
      <c r="AE117" s="292">
        <f t="shared" si="63"/>
        <v>0</v>
      </c>
      <c r="AF117" s="292">
        <f t="shared" si="88"/>
        <v>0</v>
      </c>
      <c r="AG117" s="292">
        <f t="shared" si="89"/>
        <v>0</v>
      </c>
      <c r="AH117" s="292">
        <f t="shared" si="64"/>
        <v>0</v>
      </c>
      <c r="AI117" s="292">
        <f t="shared" si="65"/>
        <v>0</v>
      </c>
      <c r="AJ117" s="292">
        <f t="shared" si="66"/>
        <v>0</v>
      </c>
      <c r="AK117" s="292">
        <f t="shared" si="67"/>
        <v>0</v>
      </c>
      <c r="AL117" s="292">
        <f t="shared" si="68"/>
        <v>0</v>
      </c>
      <c r="AM117" s="292">
        <f t="shared" si="69"/>
        <v>0</v>
      </c>
      <c r="AN117" s="292">
        <f t="shared" si="70"/>
        <v>0</v>
      </c>
      <c r="AO117" s="292">
        <f t="shared" si="71"/>
        <v>0</v>
      </c>
      <c r="AP117" s="292">
        <f t="shared" si="72"/>
        <v>0</v>
      </c>
      <c r="AQ117" s="292">
        <f t="shared" si="73"/>
        <v>0</v>
      </c>
      <c r="AR117" s="292">
        <f t="shared" si="74"/>
        <v>0</v>
      </c>
      <c r="AS117" s="292">
        <f t="shared" si="75"/>
        <v>0</v>
      </c>
      <c r="AT117" s="292">
        <f t="shared" si="76"/>
        <v>0</v>
      </c>
      <c r="AU117" s="292">
        <f t="shared" si="77"/>
        <v>0</v>
      </c>
      <c r="AV117" s="292">
        <f t="shared" si="78"/>
        <v>0</v>
      </c>
      <c r="AW117" s="292">
        <f t="shared" si="79"/>
        <v>0</v>
      </c>
      <c r="AX117" s="292">
        <f t="shared" si="80"/>
        <v>0</v>
      </c>
      <c r="AY117" s="292">
        <f t="shared" si="81"/>
        <v>0</v>
      </c>
      <c r="AZ117" s="292">
        <f t="shared" si="82"/>
        <v>0</v>
      </c>
      <c r="BA117" s="292">
        <f t="shared" si="83"/>
        <v>0</v>
      </c>
    </row>
    <row r="118" spans="1:53" s="289" customFormat="1" ht="15" customHeight="1">
      <c r="A118" s="63" t="str">
        <f t="array" ref="A118">IF(C118&lt;&gt;0,SUM(($C$11:C118&lt;&gt;0)*1),"")</f>
        <v/>
      </c>
      <c r="B118" s="290"/>
      <c r="C118" s="290"/>
      <c r="D118" s="290"/>
      <c r="E118" s="396"/>
      <c r="F118" s="345"/>
      <c r="G118" s="347"/>
      <c r="H118" s="347"/>
      <c r="I118" s="63" t="str">
        <f t="shared" si="90"/>
        <v/>
      </c>
      <c r="J118" s="292">
        <f t="shared" si="46"/>
        <v>0</v>
      </c>
      <c r="K118" s="292">
        <f t="shared" si="47"/>
        <v>0</v>
      </c>
      <c r="L118" s="292">
        <f t="shared" si="48"/>
        <v>0</v>
      </c>
      <c r="M118" s="292">
        <f t="shared" si="49"/>
        <v>0</v>
      </c>
      <c r="N118" s="292">
        <f t="shared" si="84"/>
        <v>0</v>
      </c>
      <c r="O118" s="292">
        <f t="shared" si="85"/>
        <v>0</v>
      </c>
      <c r="P118" s="292">
        <f t="shared" si="50"/>
        <v>0</v>
      </c>
      <c r="Q118" s="292">
        <f t="shared" si="51"/>
        <v>0</v>
      </c>
      <c r="R118" s="292">
        <f t="shared" si="52"/>
        <v>0</v>
      </c>
      <c r="S118" s="292">
        <f t="shared" si="53"/>
        <v>0</v>
      </c>
      <c r="T118" s="292">
        <f t="shared" si="86"/>
        <v>0</v>
      </c>
      <c r="U118" s="292">
        <f t="shared" si="87"/>
        <v>0</v>
      </c>
      <c r="V118" s="292">
        <f t="shared" si="54"/>
        <v>0</v>
      </c>
      <c r="W118" s="292">
        <f t="shared" si="55"/>
        <v>0</v>
      </c>
      <c r="X118" s="292">
        <f t="shared" si="56"/>
        <v>0</v>
      </c>
      <c r="Y118" s="292">
        <f t="shared" si="57"/>
        <v>0</v>
      </c>
      <c r="Z118" s="292">
        <f t="shared" si="58"/>
        <v>0</v>
      </c>
      <c r="AA118" s="292">
        <f t="shared" si="59"/>
        <v>0</v>
      </c>
      <c r="AB118" s="292">
        <f t="shared" si="60"/>
        <v>0</v>
      </c>
      <c r="AC118" s="292">
        <f t="shared" si="61"/>
        <v>0</v>
      </c>
      <c r="AD118" s="292">
        <f t="shared" si="62"/>
        <v>0</v>
      </c>
      <c r="AE118" s="292">
        <f t="shared" si="63"/>
        <v>0</v>
      </c>
      <c r="AF118" s="292">
        <f t="shared" si="88"/>
        <v>0</v>
      </c>
      <c r="AG118" s="292">
        <f t="shared" si="89"/>
        <v>0</v>
      </c>
      <c r="AH118" s="292">
        <f t="shared" si="64"/>
        <v>0</v>
      </c>
      <c r="AI118" s="292">
        <f t="shared" si="65"/>
        <v>0</v>
      </c>
      <c r="AJ118" s="292">
        <f t="shared" si="66"/>
        <v>0</v>
      </c>
      <c r="AK118" s="292">
        <f t="shared" si="67"/>
        <v>0</v>
      </c>
      <c r="AL118" s="292">
        <f t="shared" si="68"/>
        <v>0</v>
      </c>
      <c r="AM118" s="292">
        <f t="shared" si="69"/>
        <v>0</v>
      </c>
      <c r="AN118" s="292">
        <f t="shared" si="70"/>
        <v>0</v>
      </c>
      <c r="AO118" s="292">
        <f t="shared" si="71"/>
        <v>0</v>
      </c>
      <c r="AP118" s="292">
        <f t="shared" si="72"/>
        <v>0</v>
      </c>
      <c r="AQ118" s="292">
        <f t="shared" si="73"/>
        <v>0</v>
      </c>
      <c r="AR118" s="292">
        <f t="shared" si="74"/>
        <v>0</v>
      </c>
      <c r="AS118" s="292">
        <f t="shared" si="75"/>
        <v>0</v>
      </c>
      <c r="AT118" s="292">
        <f t="shared" si="76"/>
        <v>0</v>
      </c>
      <c r="AU118" s="292">
        <f t="shared" si="77"/>
        <v>0</v>
      </c>
      <c r="AV118" s="292">
        <f t="shared" si="78"/>
        <v>0</v>
      </c>
      <c r="AW118" s="292">
        <f t="shared" si="79"/>
        <v>0</v>
      </c>
      <c r="AX118" s="292">
        <f t="shared" si="80"/>
        <v>0</v>
      </c>
      <c r="AY118" s="292">
        <f t="shared" si="81"/>
        <v>0</v>
      </c>
      <c r="AZ118" s="292">
        <f t="shared" si="82"/>
        <v>0</v>
      </c>
      <c r="BA118" s="292">
        <f t="shared" si="83"/>
        <v>0</v>
      </c>
    </row>
    <row r="119" spans="1:53" s="289" customFormat="1" ht="15" customHeight="1">
      <c r="A119" s="63" t="str">
        <f t="array" ref="A119">IF(C119&lt;&gt;0,SUM(($C$11:C119&lt;&gt;0)*1),"")</f>
        <v/>
      </c>
      <c r="B119" s="290"/>
      <c r="C119" s="290"/>
      <c r="D119" s="290"/>
      <c r="E119" s="396"/>
      <c r="F119" s="345"/>
      <c r="G119" s="347"/>
      <c r="H119" s="347"/>
      <c r="I119" s="63" t="str">
        <f t="shared" si="90"/>
        <v/>
      </c>
      <c r="J119" s="292">
        <f t="shared" si="46"/>
        <v>0</v>
      </c>
      <c r="K119" s="292">
        <f t="shared" si="47"/>
        <v>0</v>
      </c>
      <c r="L119" s="292">
        <f t="shared" si="48"/>
        <v>0</v>
      </c>
      <c r="M119" s="292">
        <f t="shared" si="49"/>
        <v>0</v>
      </c>
      <c r="N119" s="292">
        <f t="shared" si="84"/>
        <v>0</v>
      </c>
      <c r="O119" s="292">
        <f t="shared" si="85"/>
        <v>0</v>
      </c>
      <c r="P119" s="292">
        <f t="shared" si="50"/>
        <v>0</v>
      </c>
      <c r="Q119" s="292">
        <f t="shared" si="51"/>
        <v>0</v>
      </c>
      <c r="R119" s="292">
        <f t="shared" si="52"/>
        <v>0</v>
      </c>
      <c r="S119" s="292">
        <f t="shared" si="53"/>
        <v>0</v>
      </c>
      <c r="T119" s="292">
        <f t="shared" si="86"/>
        <v>0</v>
      </c>
      <c r="U119" s="292">
        <f t="shared" si="87"/>
        <v>0</v>
      </c>
      <c r="V119" s="292">
        <f t="shared" si="54"/>
        <v>0</v>
      </c>
      <c r="W119" s="292">
        <f t="shared" si="55"/>
        <v>0</v>
      </c>
      <c r="X119" s="292">
        <f t="shared" si="56"/>
        <v>0</v>
      </c>
      <c r="Y119" s="292">
        <f t="shared" si="57"/>
        <v>0</v>
      </c>
      <c r="Z119" s="292">
        <f t="shared" si="58"/>
        <v>0</v>
      </c>
      <c r="AA119" s="292">
        <f t="shared" si="59"/>
        <v>0</v>
      </c>
      <c r="AB119" s="292">
        <f t="shared" si="60"/>
        <v>0</v>
      </c>
      <c r="AC119" s="292">
        <f t="shared" si="61"/>
        <v>0</v>
      </c>
      <c r="AD119" s="292">
        <f t="shared" si="62"/>
        <v>0</v>
      </c>
      <c r="AE119" s="292">
        <f t="shared" si="63"/>
        <v>0</v>
      </c>
      <c r="AF119" s="292">
        <f t="shared" si="88"/>
        <v>0</v>
      </c>
      <c r="AG119" s="292">
        <f t="shared" si="89"/>
        <v>0</v>
      </c>
      <c r="AH119" s="292">
        <f t="shared" si="64"/>
        <v>0</v>
      </c>
      <c r="AI119" s="292">
        <f t="shared" si="65"/>
        <v>0</v>
      </c>
      <c r="AJ119" s="292">
        <f t="shared" si="66"/>
        <v>0</v>
      </c>
      <c r="AK119" s="292">
        <f t="shared" si="67"/>
        <v>0</v>
      </c>
      <c r="AL119" s="292">
        <f t="shared" si="68"/>
        <v>0</v>
      </c>
      <c r="AM119" s="292">
        <f t="shared" si="69"/>
        <v>0</v>
      </c>
      <c r="AN119" s="292">
        <f t="shared" si="70"/>
        <v>0</v>
      </c>
      <c r="AO119" s="292">
        <f t="shared" si="71"/>
        <v>0</v>
      </c>
      <c r="AP119" s="292">
        <f t="shared" si="72"/>
        <v>0</v>
      </c>
      <c r="AQ119" s="292">
        <f t="shared" si="73"/>
        <v>0</v>
      </c>
      <c r="AR119" s="292">
        <f t="shared" si="74"/>
        <v>0</v>
      </c>
      <c r="AS119" s="292">
        <f t="shared" si="75"/>
        <v>0</v>
      </c>
      <c r="AT119" s="292">
        <f t="shared" si="76"/>
        <v>0</v>
      </c>
      <c r="AU119" s="292">
        <f t="shared" si="77"/>
        <v>0</v>
      </c>
      <c r="AV119" s="292">
        <f t="shared" si="78"/>
        <v>0</v>
      </c>
      <c r="AW119" s="292">
        <f t="shared" si="79"/>
        <v>0</v>
      </c>
      <c r="AX119" s="292">
        <f t="shared" si="80"/>
        <v>0</v>
      </c>
      <c r="AY119" s="292">
        <f t="shared" si="81"/>
        <v>0</v>
      </c>
      <c r="AZ119" s="292">
        <f t="shared" si="82"/>
        <v>0</v>
      </c>
      <c r="BA119" s="292">
        <f t="shared" si="83"/>
        <v>0</v>
      </c>
    </row>
    <row r="120" spans="1:53" s="289" customFormat="1" ht="15" customHeight="1">
      <c r="A120" s="63" t="str">
        <f t="array" ref="A120">IF(C120&lt;&gt;0,SUM(($C$11:C120&lt;&gt;0)*1),"")</f>
        <v/>
      </c>
      <c r="B120" s="290"/>
      <c r="C120" s="290"/>
      <c r="D120" s="290"/>
      <c r="E120" s="396"/>
      <c r="F120" s="345"/>
      <c r="G120" s="347"/>
      <c r="H120" s="347"/>
      <c r="I120" s="63" t="str">
        <f t="shared" si="90"/>
        <v/>
      </c>
      <c r="J120" s="292">
        <f t="shared" si="46"/>
        <v>0</v>
      </c>
      <c r="K120" s="292">
        <f t="shared" si="47"/>
        <v>0</v>
      </c>
      <c r="L120" s="292">
        <f t="shared" si="48"/>
        <v>0</v>
      </c>
      <c r="M120" s="292">
        <f t="shared" si="49"/>
        <v>0</v>
      </c>
      <c r="N120" s="292">
        <f t="shared" si="84"/>
        <v>0</v>
      </c>
      <c r="O120" s="292">
        <f t="shared" si="85"/>
        <v>0</v>
      </c>
      <c r="P120" s="292">
        <f t="shared" si="50"/>
        <v>0</v>
      </c>
      <c r="Q120" s="292">
        <f t="shared" si="51"/>
        <v>0</v>
      </c>
      <c r="R120" s="292">
        <f t="shared" si="52"/>
        <v>0</v>
      </c>
      <c r="S120" s="292">
        <f t="shared" si="53"/>
        <v>0</v>
      </c>
      <c r="T120" s="292">
        <f t="shared" si="86"/>
        <v>0</v>
      </c>
      <c r="U120" s="292">
        <f t="shared" si="87"/>
        <v>0</v>
      </c>
      <c r="V120" s="292">
        <f t="shared" si="54"/>
        <v>0</v>
      </c>
      <c r="W120" s="292">
        <f t="shared" si="55"/>
        <v>0</v>
      </c>
      <c r="X120" s="292">
        <f t="shared" si="56"/>
        <v>0</v>
      </c>
      <c r="Y120" s="292">
        <f t="shared" si="57"/>
        <v>0</v>
      </c>
      <c r="Z120" s="292">
        <f t="shared" si="58"/>
        <v>0</v>
      </c>
      <c r="AA120" s="292">
        <f t="shared" si="59"/>
        <v>0</v>
      </c>
      <c r="AB120" s="292">
        <f t="shared" si="60"/>
        <v>0</v>
      </c>
      <c r="AC120" s="292">
        <f t="shared" si="61"/>
        <v>0</v>
      </c>
      <c r="AD120" s="292">
        <f t="shared" si="62"/>
        <v>0</v>
      </c>
      <c r="AE120" s="292">
        <f t="shared" si="63"/>
        <v>0</v>
      </c>
      <c r="AF120" s="292">
        <f t="shared" si="88"/>
        <v>0</v>
      </c>
      <c r="AG120" s="292">
        <f t="shared" si="89"/>
        <v>0</v>
      </c>
      <c r="AH120" s="292">
        <f t="shared" si="64"/>
        <v>0</v>
      </c>
      <c r="AI120" s="292">
        <f t="shared" si="65"/>
        <v>0</v>
      </c>
      <c r="AJ120" s="292">
        <f t="shared" si="66"/>
        <v>0</v>
      </c>
      <c r="AK120" s="292">
        <f t="shared" si="67"/>
        <v>0</v>
      </c>
      <c r="AL120" s="292">
        <f t="shared" si="68"/>
        <v>0</v>
      </c>
      <c r="AM120" s="292">
        <f t="shared" si="69"/>
        <v>0</v>
      </c>
      <c r="AN120" s="292">
        <f t="shared" si="70"/>
        <v>0</v>
      </c>
      <c r="AO120" s="292">
        <f t="shared" si="71"/>
        <v>0</v>
      </c>
      <c r="AP120" s="292">
        <f t="shared" si="72"/>
        <v>0</v>
      </c>
      <c r="AQ120" s="292">
        <f t="shared" si="73"/>
        <v>0</v>
      </c>
      <c r="AR120" s="292">
        <f t="shared" si="74"/>
        <v>0</v>
      </c>
      <c r="AS120" s="292">
        <f t="shared" si="75"/>
        <v>0</v>
      </c>
      <c r="AT120" s="292">
        <f t="shared" si="76"/>
        <v>0</v>
      </c>
      <c r="AU120" s="292">
        <f t="shared" si="77"/>
        <v>0</v>
      </c>
      <c r="AV120" s="292">
        <f t="shared" si="78"/>
        <v>0</v>
      </c>
      <c r="AW120" s="292">
        <f t="shared" si="79"/>
        <v>0</v>
      </c>
      <c r="AX120" s="292">
        <f t="shared" si="80"/>
        <v>0</v>
      </c>
      <c r="AY120" s="292">
        <f t="shared" si="81"/>
        <v>0</v>
      </c>
      <c r="AZ120" s="292">
        <f t="shared" si="82"/>
        <v>0</v>
      </c>
      <c r="BA120" s="292">
        <f t="shared" si="83"/>
        <v>0</v>
      </c>
    </row>
    <row r="121" spans="1:53" s="289" customFormat="1" ht="15" customHeight="1">
      <c r="A121" s="63" t="str">
        <f t="array" ref="A121">IF(C121&lt;&gt;0,SUM(($C$11:C121&lt;&gt;0)*1),"")</f>
        <v/>
      </c>
      <c r="B121" s="290"/>
      <c r="C121" s="290"/>
      <c r="D121" s="290"/>
      <c r="E121" s="396"/>
      <c r="F121" s="345"/>
      <c r="G121" s="347"/>
      <c r="H121" s="347"/>
      <c r="I121" s="63" t="str">
        <f t="shared" si="90"/>
        <v/>
      </c>
      <c r="J121" s="292">
        <f t="shared" si="46"/>
        <v>0</v>
      </c>
      <c r="K121" s="292">
        <f t="shared" si="47"/>
        <v>0</v>
      </c>
      <c r="L121" s="292">
        <f t="shared" si="48"/>
        <v>0</v>
      </c>
      <c r="M121" s="292">
        <f t="shared" si="49"/>
        <v>0</v>
      </c>
      <c r="N121" s="292">
        <f t="shared" si="84"/>
        <v>0</v>
      </c>
      <c r="O121" s="292">
        <f t="shared" si="85"/>
        <v>0</v>
      </c>
      <c r="P121" s="292">
        <f t="shared" si="50"/>
        <v>0</v>
      </c>
      <c r="Q121" s="292">
        <f t="shared" si="51"/>
        <v>0</v>
      </c>
      <c r="R121" s="292">
        <f t="shared" si="52"/>
        <v>0</v>
      </c>
      <c r="S121" s="292">
        <f t="shared" si="53"/>
        <v>0</v>
      </c>
      <c r="T121" s="292">
        <f t="shared" si="86"/>
        <v>0</v>
      </c>
      <c r="U121" s="292">
        <f t="shared" si="87"/>
        <v>0</v>
      </c>
      <c r="V121" s="292">
        <f t="shared" si="54"/>
        <v>0</v>
      </c>
      <c r="W121" s="292">
        <f t="shared" si="55"/>
        <v>0</v>
      </c>
      <c r="X121" s="292">
        <f t="shared" si="56"/>
        <v>0</v>
      </c>
      <c r="Y121" s="292">
        <f t="shared" si="57"/>
        <v>0</v>
      </c>
      <c r="Z121" s="292">
        <f t="shared" si="58"/>
        <v>0</v>
      </c>
      <c r="AA121" s="292">
        <f t="shared" si="59"/>
        <v>0</v>
      </c>
      <c r="AB121" s="292">
        <f t="shared" si="60"/>
        <v>0</v>
      </c>
      <c r="AC121" s="292">
        <f t="shared" si="61"/>
        <v>0</v>
      </c>
      <c r="AD121" s="292">
        <f t="shared" si="62"/>
        <v>0</v>
      </c>
      <c r="AE121" s="292">
        <f t="shared" si="63"/>
        <v>0</v>
      </c>
      <c r="AF121" s="292">
        <f t="shared" si="88"/>
        <v>0</v>
      </c>
      <c r="AG121" s="292">
        <f t="shared" si="89"/>
        <v>0</v>
      </c>
      <c r="AH121" s="292">
        <f t="shared" si="64"/>
        <v>0</v>
      </c>
      <c r="AI121" s="292">
        <f t="shared" si="65"/>
        <v>0</v>
      </c>
      <c r="AJ121" s="292">
        <f t="shared" si="66"/>
        <v>0</v>
      </c>
      <c r="AK121" s="292">
        <f t="shared" si="67"/>
        <v>0</v>
      </c>
      <c r="AL121" s="292">
        <f t="shared" si="68"/>
        <v>0</v>
      </c>
      <c r="AM121" s="292">
        <f t="shared" si="69"/>
        <v>0</v>
      </c>
      <c r="AN121" s="292">
        <f t="shared" si="70"/>
        <v>0</v>
      </c>
      <c r="AO121" s="292">
        <f t="shared" si="71"/>
        <v>0</v>
      </c>
      <c r="AP121" s="292">
        <f t="shared" si="72"/>
        <v>0</v>
      </c>
      <c r="AQ121" s="292">
        <f t="shared" si="73"/>
        <v>0</v>
      </c>
      <c r="AR121" s="292">
        <f t="shared" si="74"/>
        <v>0</v>
      </c>
      <c r="AS121" s="292">
        <f t="shared" si="75"/>
        <v>0</v>
      </c>
      <c r="AT121" s="292">
        <f t="shared" si="76"/>
        <v>0</v>
      </c>
      <c r="AU121" s="292">
        <f t="shared" si="77"/>
        <v>0</v>
      </c>
      <c r="AV121" s="292">
        <f t="shared" si="78"/>
        <v>0</v>
      </c>
      <c r="AW121" s="292">
        <f t="shared" si="79"/>
        <v>0</v>
      </c>
      <c r="AX121" s="292">
        <f t="shared" si="80"/>
        <v>0</v>
      </c>
      <c r="AY121" s="292">
        <f t="shared" si="81"/>
        <v>0</v>
      </c>
      <c r="AZ121" s="292">
        <f t="shared" si="82"/>
        <v>0</v>
      </c>
      <c r="BA121" s="292">
        <f t="shared" si="83"/>
        <v>0</v>
      </c>
    </row>
    <row r="122" spans="1:53" s="289" customFormat="1" ht="15" customHeight="1">
      <c r="A122" s="63" t="str">
        <f t="array" ref="A122">IF(C122&lt;&gt;0,SUM(($C$11:C122&lt;&gt;0)*1),"")</f>
        <v/>
      </c>
      <c r="B122" s="290"/>
      <c r="C122" s="290"/>
      <c r="D122" s="290"/>
      <c r="E122" s="396"/>
      <c r="F122" s="345"/>
      <c r="G122" s="347"/>
      <c r="H122" s="347"/>
      <c r="I122" s="63" t="str">
        <f t="shared" si="90"/>
        <v/>
      </c>
      <c r="J122" s="292">
        <f t="shared" si="46"/>
        <v>0</v>
      </c>
      <c r="K122" s="292">
        <f t="shared" si="47"/>
        <v>0</v>
      </c>
      <c r="L122" s="292">
        <f t="shared" si="48"/>
        <v>0</v>
      </c>
      <c r="M122" s="292">
        <f t="shared" si="49"/>
        <v>0</v>
      </c>
      <c r="N122" s="292">
        <f t="shared" si="84"/>
        <v>0</v>
      </c>
      <c r="O122" s="292">
        <f t="shared" si="85"/>
        <v>0</v>
      </c>
      <c r="P122" s="292">
        <f t="shared" si="50"/>
        <v>0</v>
      </c>
      <c r="Q122" s="292">
        <f t="shared" si="51"/>
        <v>0</v>
      </c>
      <c r="R122" s="292">
        <f t="shared" si="52"/>
        <v>0</v>
      </c>
      <c r="S122" s="292">
        <f t="shared" si="53"/>
        <v>0</v>
      </c>
      <c r="T122" s="292">
        <f t="shared" si="86"/>
        <v>0</v>
      </c>
      <c r="U122" s="292">
        <f t="shared" si="87"/>
        <v>0</v>
      </c>
      <c r="V122" s="292">
        <f t="shared" si="54"/>
        <v>0</v>
      </c>
      <c r="W122" s="292">
        <f t="shared" si="55"/>
        <v>0</v>
      </c>
      <c r="X122" s="292">
        <f t="shared" si="56"/>
        <v>0</v>
      </c>
      <c r="Y122" s="292">
        <f t="shared" si="57"/>
        <v>0</v>
      </c>
      <c r="Z122" s="292">
        <f t="shared" si="58"/>
        <v>0</v>
      </c>
      <c r="AA122" s="292">
        <f t="shared" si="59"/>
        <v>0</v>
      </c>
      <c r="AB122" s="292">
        <f t="shared" si="60"/>
        <v>0</v>
      </c>
      <c r="AC122" s="292">
        <f t="shared" si="61"/>
        <v>0</v>
      </c>
      <c r="AD122" s="292">
        <f t="shared" si="62"/>
        <v>0</v>
      </c>
      <c r="AE122" s="292">
        <f t="shared" si="63"/>
        <v>0</v>
      </c>
      <c r="AF122" s="292">
        <f t="shared" si="88"/>
        <v>0</v>
      </c>
      <c r="AG122" s="292">
        <f t="shared" si="89"/>
        <v>0</v>
      </c>
      <c r="AH122" s="292">
        <f t="shared" si="64"/>
        <v>0</v>
      </c>
      <c r="AI122" s="292">
        <f t="shared" si="65"/>
        <v>0</v>
      </c>
      <c r="AJ122" s="292">
        <f t="shared" si="66"/>
        <v>0</v>
      </c>
      <c r="AK122" s="292">
        <f t="shared" si="67"/>
        <v>0</v>
      </c>
      <c r="AL122" s="292">
        <f t="shared" si="68"/>
        <v>0</v>
      </c>
      <c r="AM122" s="292">
        <f t="shared" si="69"/>
        <v>0</v>
      </c>
      <c r="AN122" s="292">
        <f t="shared" si="70"/>
        <v>0</v>
      </c>
      <c r="AO122" s="292">
        <f t="shared" si="71"/>
        <v>0</v>
      </c>
      <c r="AP122" s="292">
        <f t="shared" si="72"/>
        <v>0</v>
      </c>
      <c r="AQ122" s="292">
        <f t="shared" si="73"/>
        <v>0</v>
      </c>
      <c r="AR122" s="292">
        <f t="shared" si="74"/>
        <v>0</v>
      </c>
      <c r="AS122" s="292">
        <f t="shared" si="75"/>
        <v>0</v>
      </c>
      <c r="AT122" s="292">
        <f t="shared" si="76"/>
        <v>0</v>
      </c>
      <c r="AU122" s="292">
        <f t="shared" si="77"/>
        <v>0</v>
      </c>
      <c r="AV122" s="292">
        <f t="shared" si="78"/>
        <v>0</v>
      </c>
      <c r="AW122" s="292">
        <f t="shared" si="79"/>
        <v>0</v>
      </c>
      <c r="AX122" s="292">
        <f t="shared" si="80"/>
        <v>0</v>
      </c>
      <c r="AY122" s="292">
        <f t="shared" si="81"/>
        <v>0</v>
      </c>
      <c r="AZ122" s="292">
        <f t="shared" si="82"/>
        <v>0</v>
      </c>
      <c r="BA122" s="292">
        <f t="shared" si="83"/>
        <v>0</v>
      </c>
    </row>
    <row r="123" spans="1:53" s="289" customFormat="1" ht="15" customHeight="1">
      <c r="A123" s="63" t="str">
        <f t="array" ref="A123">IF(C123&lt;&gt;0,SUM(($C$11:C123&lt;&gt;0)*1),"")</f>
        <v/>
      </c>
      <c r="B123" s="290"/>
      <c r="C123" s="290"/>
      <c r="D123" s="290"/>
      <c r="E123" s="396"/>
      <c r="F123" s="345"/>
      <c r="G123" s="347"/>
      <c r="H123" s="347"/>
      <c r="I123" s="63" t="str">
        <f t="shared" si="90"/>
        <v/>
      </c>
      <c r="J123" s="292">
        <f t="shared" si="46"/>
        <v>0</v>
      </c>
      <c r="K123" s="292">
        <f t="shared" si="47"/>
        <v>0</v>
      </c>
      <c r="L123" s="292">
        <f t="shared" si="48"/>
        <v>0</v>
      </c>
      <c r="M123" s="292">
        <f t="shared" si="49"/>
        <v>0</v>
      </c>
      <c r="N123" s="292">
        <f t="shared" si="84"/>
        <v>0</v>
      </c>
      <c r="O123" s="292">
        <f t="shared" si="85"/>
        <v>0</v>
      </c>
      <c r="P123" s="292">
        <f t="shared" si="50"/>
        <v>0</v>
      </c>
      <c r="Q123" s="292">
        <f t="shared" si="51"/>
        <v>0</v>
      </c>
      <c r="R123" s="292">
        <f t="shared" si="52"/>
        <v>0</v>
      </c>
      <c r="S123" s="292">
        <f t="shared" si="53"/>
        <v>0</v>
      </c>
      <c r="T123" s="292">
        <f t="shared" si="86"/>
        <v>0</v>
      </c>
      <c r="U123" s="292">
        <f t="shared" si="87"/>
        <v>0</v>
      </c>
      <c r="V123" s="292">
        <f t="shared" si="54"/>
        <v>0</v>
      </c>
      <c r="W123" s="292">
        <f t="shared" si="55"/>
        <v>0</v>
      </c>
      <c r="X123" s="292">
        <f t="shared" si="56"/>
        <v>0</v>
      </c>
      <c r="Y123" s="292">
        <f t="shared" si="57"/>
        <v>0</v>
      </c>
      <c r="Z123" s="292">
        <f t="shared" si="58"/>
        <v>0</v>
      </c>
      <c r="AA123" s="292">
        <f t="shared" si="59"/>
        <v>0</v>
      </c>
      <c r="AB123" s="292">
        <f t="shared" si="60"/>
        <v>0</v>
      </c>
      <c r="AC123" s="292">
        <f t="shared" si="61"/>
        <v>0</v>
      </c>
      <c r="AD123" s="292">
        <f t="shared" si="62"/>
        <v>0</v>
      </c>
      <c r="AE123" s="292">
        <f t="shared" si="63"/>
        <v>0</v>
      </c>
      <c r="AF123" s="292">
        <f t="shared" si="88"/>
        <v>0</v>
      </c>
      <c r="AG123" s="292">
        <f t="shared" si="89"/>
        <v>0</v>
      </c>
      <c r="AH123" s="292">
        <f t="shared" si="64"/>
        <v>0</v>
      </c>
      <c r="AI123" s="292">
        <f t="shared" si="65"/>
        <v>0</v>
      </c>
      <c r="AJ123" s="292">
        <f t="shared" si="66"/>
        <v>0</v>
      </c>
      <c r="AK123" s="292">
        <f t="shared" si="67"/>
        <v>0</v>
      </c>
      <c r="AL123" s="292">
        <f t="shared" si="68"/>
        <v>0</v>
      </c>
      <c r="AM123" s="292">
        <f t="shared" si="69"/>
        <v>0</v>
      </c>
      <c r="AN123" s="292">
        <f t="shared" si="70"/>
        <v>0</v>
      </c>
      <c r="AO123" s="292">
        <f t="shared" si="71"/>
        <v>0</v>
      </c>
      <c r="AP123" s="292">
        <f t="shared" si="72"/>
        <v>0</v>
      </c>
      <c r="AQ123" s="292">
        <f t="shared" si="73"/>
        <v>0</v>
      </c>
      <c r="AR123" s="292">
        <f t="shared" si="74"/>
        <v>0</v>
      </c>
      <c r="AS123" s="292">
        <f t="shared" si="75"/>
        <v>0</v>
      </c>
      <c r="AT123" s="292">
        <f t="shared" si="76"/>
        <v>0</v>
      </c>
      <c r="AU123" s="292">
        <f t="shared" si="77"/>
        <v>0</v>
      </c>
      <c r="AV123" s="292">
        <f t="shared" si="78"/>
        <v>0</v>
      </c>
      <c r="AW123" s="292">
        <f t="shared" si="79"/>
        <v>0</v>
      </c>
      <c r="AX123" s="292">
        <f t="shared" si="80"/>
        <v>0</v>
      </c>
      <c r="AY123" s="292">
        <f t="shared" si="81"/>
        <v>0</v>
      </c>
      <c r="AZ123" s="292">
        <f t="shared" si="82"/>
        <v>0</v>
      </c>
      <c r="BA123" s="292">
        <f t="shared" si="83"/>
        <v>0</v>
      </c>
    </row>
    <row r="124" spans="1:53" s="289" customFormat="1" ht="15" customHeight="1">
      <c r="A124" s="63" t="str">
        <f t="array" ref="A124">IF(C124&lt;&gt;0,SUM(($C$11:C124&lt;&gt;0)*1),"")</f>
        <v/>
      </c>
      <c r="B124" s="290"/>
      <c r="C124" s="290"/>
      <c r="D124" s="290"/>
      <c r="E124" s="396"/>
      <c r="F124" s="345"/>
      <c r="G124" s="347"/>
      <c r="H124" s="347"/>
      <c r="I124" s="63" t="str">
        <f t="shared" si="90"/>
        <v/>
      </c>
      <c r="J124" s="292">
        <f t="shared" si="46"/>
        <v>0</v>
      </c>
      <c r="K124" s="292">
        <f t="shared" si="47"/>
        <v>0</v>
      </c>
      <c r="L124" s="292">
        <f t="shared" si="48"/>
        <v>0</v>
      </c>
      <c r="M124" s="292">
        <f t="shared" si="49"/>
        <v>0</v>
      </c>
      <c r="N124" s="292">
        <f t="shared" si="84"/>
        <v>0</v>
      </c>
      <c r="O124" s="292">
        <f t="shared" si="85"/>
        <v>0</v>
      </c>
      <c r="P124" s="292">
        <f t="shared" si="50"/>
        <v>0</v>
      </c>
      <c r="Q124" s="292">
        <f t="shared" si="51"/>
        <v>0</v>
      </c>
      <c r="R124" s="292">
        <f t="shared" si="52"/>
        <v>0</v>
      </c>
      <c r="S124" s="292">
        <f t="shared" si="53"/>
        <v>0</v>
      </c>
      <c r="T124" s="292">
        <f t="shared" si="86"/>
        <v>0</v>
      </c>
      <c r="U124" s="292">
        <f t="shared" si="87"/>
        <v>0</v>
      </c>
      <c r="V124" s="292">
        <f t="shared" si="54"/>
        <v>0</v>
      </c>
      <c r="W124" s="292">
        <f t="shared" si="55"/>
        <v>0</v>
      </c>
      <c r="X124" s="292">
        <f t="shared" si="56"/>
        <v>0</v>
      </c>
      <c r="Y124" s="292">
        <f t="shared" si="57"/>
        <v>0</v>
      </c>
      <c r="Z124" s="292">
        <f t="shared" si="58"/>
        <v>0</v>
      </c>
      <c r="AA124" s="292">
        <f t="shared" si="59"/>
        <v>0</v>
      </c>
      <c r="AB124" s="292">
        <f t="shared" si="60"/>
        <v>0</v>
      </c>
      <c r="AC124" s="292">
        <f t="shared" si="61"/>
        <v>0</v>
      </c>
      <c r="AD124" s="292">
        <f t="shared" si="62"/>
        <v>0</v>
      </c>
      <c r="AE124" s="292">
        <f t="shared" si="63"/>
        <v>0</v>
      </c>
      <c r="AF124" s="292">
        <f t="shared" si="88"/>
        <v>0</v>
      </c>
      <c r="AG124" s="292">
        <f t="shared" si="89"/>
        <v>0</v>
      </c>
      <c r="AH124" s="292">
        <f t="shared" si="64"/>
        <v>0</v>
      </c>
      <c r="AI124" s="292">
        <f t="shared" si="65"/>
        <v>0</v>
      </c>
      <c r="AJ124" s="292">
        <f t="shared" si="66"/>
        <v>0</v>
      </c>
      <c r="AK124" s="292">
        <f t="shared" si="67"/>
        <v>0</v>
      </c>
      <c r="AL124" s="292">
        <f t="shared" si="68"/>
        <v>0</v>
      </c>
      <c r="AM124" s="292">
        <f t="shared" si="69"/>
        <v>0</v>
      </c>
      <c r="AN124" s="292">
        <f t="shared" si="70"/>
        <v>0</v>
      </c>
      <c r="AO124" s="292">
        <f t="shared" si="71"/>
        <v>0</v>
      </c>
      <c r="AP124" s="292">
        <f t="shared" si="72"/>
        <v>0</v>
      </c>
      <c r="AQ124" s="292">
        <f t="shared" si="73"/>
        <v>0</v>
      </c>
      <c r="AR124" s="292">
        <f t="shared" si="74"/>
        <v>0</v>
      </c>
      <c r="AS124" s="292">
        <f t="shared" si="75"/>
        <v>0</v>
      </c>
      <c r="AT124" s="292">
        <f t="shared" si="76"/>
        <v>0</v>
      </c>
      <c r="AU124" s="292">
        <f t="shared" si="77"/>
        <v>0</v>
      </c>
      <c r="AV124" s="292">
        <f t="shared" si="78"/>
        <v>0</v>
      </c>
      <c r="AW124" s="292">
        <f t="shared" si="79"/>
        <v>0</v>
      </c>
      <c r="AX124" s="292">
        <f t="shared" si="80"/>
        <v>0</v>
      </c>
      <c r="AY124" s="292">
        <f t="shared" si="81"/>
        <v>0</v>
      </c>
      <c r="AZ124" s="292">
        <f t="shared" si="82"/>
        <v>0</v>
      </c>
      <c r="BA124" s="292">
        <f t="shared" si="83"/>
        <v>0</v>
      </c>
    </row>
    <row r="125" spans="1:53" s="289" customFormat="1" ht="15" customHeight="1">
      <c r="A125" s="63" t="str">
        <f t="array" ref="A125">IF(C125&lt;&gt;0,SUM(($C$11:C125&lt;&gt;0)*1),"")</f>
        <v/>
      </c>
      <c r="B125" s="290"/>
      <c r="C125" s="290"/>
      <c r="D125" s="290"/>
      <c r="E125" s="396"/>
      <c r="F125" s="345"/>
      <c r="G125" s="347"/>
      <c r="H125" s="347"/>
      <c r="I125" s="63" t="str">
        <f t="shared" si="90"/>
        <v/>
      </c>
      <c r="J125" s="292">
        <f t="shared" si="46"/>
        <v>0</v>
      </c>
      <c r="K125" s="292">
        <f t="shared" si="47"/>
        <v>0</v>
      </c>
      <c r="L125" s="292">
        <f t="shared" si="48"/>
        <v>0</v>
      </c>
      <c r="M125" s="292">
        <f t="shared" si="49"/>
        <v>0</v>
      </c>
      <c r="N125" s="292">
        <f t="shared" si="84"/>
        <v>0</v>
      </c>
      <c r="O125" s="292">
        <f t="shared" si="85"/>
        <v>0</v>
      </c>
      <c r="P125" s="292">
        <f t="shared" si="50"/>
        <v>0</v>
      </c>
      <c r="Q125" s="292">
        <f t="shared" si="51"/>
        <v>0</v>
      </c>
      <c r="R125" s="292">
        <f t="shared" si="52"/>
        <v>0</v>
      </c>
      <c r="S125" s="292">
        <f t="shared" si="53"/>
        <v>0</v>
      </c>
      <c r="T125" s="292">
        <f t="shared" si="86"/>
        <v>0</v>
      </c>
      <c r="U125" s="292">
        <f t="shared" si="87"/>
        <v>0</v>
      </c>
      <c r="V125" s="292">
        <f t="shared" si="54"/>
        <v>0</v>
      </c>
      <c r="W125" s="292">
        <f t="shared" si="55"/>
        <v>0</v>
      </c>
      <c r="X125" s="292">
        <f t="shared" si="56"/>
        <v>0</v>
      </c>
      <c r="Y125" s="292">
        <f t="shared" si="57"/>
        <v>0</v>
      </c>
      <c r="Z125" s="292">
        <f t="shared" si="58"/>
        <v>0</v>
      </c>
      <c r="AA125" s="292">
        <f t="shared" si="59"/>
        <v>0</v>
      </c>
      <c r="AB125" s="292">
        <f t="shared" si="60"/>
        <v>0</v>
      </c>
      <c r="AC125" s="292">
        <f t="shared" si="61"/>
        <v>0</v>
      </c>
      <c r="AD125" s="292">
        <f t="shared" si="62"/>
        <v>0</v>
      </c>
      <c r="AE125" s="292">
        <f t="shared" si="63"/>
        <v>0</v>
      </c>
      <c r="AF125" s="292">
        <f t="shared" si="88"/>
        <v>0</v>
      </c>
      <c r="AG125" s="292">
        <f t="shared" si="89"/>
        <v>0</v>
      </c>
      <c r="AH125" s="292">
        <f t="shared" si="64"/>
        <v>0</v>
      </c>
      <c r="AI125" s="292">
        <f t="shared" si="65"/>
        <v>0</v>
      </c>
      <c r="AJ125" s="292">
        <f t="shared" si="66"/>
        <v>0</v>
      </c>
      <c r="AK125" s="292">
        <f t="shared" si="67"/>
        <v>0</v>
      </c>
      <c r="AL125" s="292">
        <f t="shared" si="68"/>
        <v>0</v>
      </c>
      <c r="AM125" s="292">
        <f t="shared" si="69"/>
        <v>0</v>
      </c>
      <c r="AN125" s="292">
        <f t="shared" si="70"/>
        <v>0</v>
      </c>
      <c r="AO125" s="292">
        <f t="shared" si="71"/>
        <v>0</v>
      </c>
      <c r="AP125" s="292">
        <f t="shared" si="72"/>
        <v>0</v>
      </c>
      <c r="AQ125" s="292">
        <f t="shared" si="73"/>
        <v>0</v>
      </c>
      <c r="AR125" s="292">
        <f t="shared" si="74"/>
        <v>0</v>
      </c>
      <c r="AS125" s="292">
        <f t="shared" si="75"/>
        <v>0</v>
      </c>
      <c r="AT125" s="292">
        <f t="shared" si="76"/>
        <v>0</v>
      </c>
      <c r="AU125" s="292">
        <f t="shared" si="77"/>
        <v>0</v>
      </c>
      <c r="AV125" s="292">
        <f t="shared" si="78"/>
        <v>0</v>
      </c>
      <c r="AW125" s="292">
        <f t="shared" si="79"/>
        <v>0</v>
      </c>
      <c r="AX125" s="292">
        <f t="shared" si="80"/>
        <v>0</v>
      </c>
      <c r="AY125" s="292">
        <f t="shared" si="81"/>
        <v>0</v>
      </c>
      <c r="AZ125" s="292">
        <f t="shared" si="82"/>
        <v>0</v>
      </c>
      <c r="BA125" s="292">
        <f t="shared" si="83"/>
        <v>0</v>
      </c>
    </row>
    <row r="126" spans="1:53" s="289" customFormat="1" ht="15" customHeight="1">
      <c r="A126" s="63" t="str">
        <f t="array" ref="A126">IF(C126&lt;&gt;0,SUM(($C$11:C126&lt;&gt;0)*1),"")</f>
        <v/>
      </c>
      <c r="B126" s="290"/>
      <c r="C126" s="290"/>
      <c r="D126" s="290"/>
      <c r="E126" s="396"/>
      <c r="F126" s="345"/>
      <c r="G126" s="347"/>
      <c r="H126" s="347"/>
      <c r="I126" s="63" t="str">
        <f t="shared" si="90"/>
        <v/>
      </c>
      <c r="J126" s="292">
        <f t="shared" si="46"/>
        <v>0</v>
      </c>
      <c r="K126" s="292">
        <f t="shared" si="47"/>
        <v>0</v>
      </c>
      <c r="L126" s="292">
        <f t="shared" si="48"/>
        <v>0</v>
      </c>
      <c r="M126" s="292">
        <f t="shared" si="49"/>
        <v>0</v>
      </c>
      <c r="N126" s="292">
        <f t="shared" si="84"/>
        <v>0</v>
      </c>
      <c r="O126" s="292">
        <f t="shared" si="85"/>
        <v>0</v>
      </c>
      <c r="P126" s="292">
        <f t="shared" si="50"/>
        <v>0</v>
      </c>
      <c r="Q126" s="292">
        <f t="shared" si="51"/>
        <v>0</v>
      </c>
      <c r="R126" s="292">
        <f t="shared" si="52"/>
        <v>0</v>
      </c>
      <c r="S126" s="292">
        <f t="shared" si="53"/>
        <v>0</v>
      </c>
      <c r="T126" s="292">
        <f t="shared" si="86"/>
        <v>0</v>
      </c>
      <c r="U126" s="292">
        <f t="shared" si="87"/>
        <v>0</v>
      </c>
      <c r="V126" s="292">
        <f t="shared" si="54"/>
        <v>0</v>
      </c>
      <c r="W126" s="292">
        <f t="shared" si="55"/>
        <v>0</v>
      </c>
      <c r="X126" s="292">
        <f t="shared" si="56"/>
        <v>0</v>
      </c>
      <c r="Y126" s="292">
        <f t="shared" si="57"/>
        <v>0</v>
      </c>
      <c r="Z126" s="292">
        <f t="shared" si="58"/>
        <v>0</v>
      </c>
      <c r="AA126" s="292">
        <f t="shared" si="59"/>
        <v>0</v>
      </c>
      <c r="AB126" s="292">
        <f t="shared" si="60"/>
        <v>0</v>
      </c>
      <c r="AC126" s="292">
        <f t="shared" si="61"/>
        <v>0</v>
      </c>
      <c r="AD126" s="292">
        <f t="shared" si="62"/>
        <v>0</v>
      </c>
      <c r="AE126" s="292">
        <f t="shared" si="63"/>
        <v>0</v>
      </c>
      <c r="AF126" s="292">
        <f t="shared" si="88"/>
        <v>0</v>
      </c>
      <c r="AG126" s="292">
        <f t="shared" si="89"/>
        <v>0</v>
      </c>
      <c r="AH126" s="292">
        <f t="shared" si="64"/>
        <v>0</v>
      </c>
      <c r="AI126" s="292">
        <f t="shared" si="65"/>
        <v>0</v>
      </c>
      <c r="AJ126" s="292">
        <f t="shared" si="66"/>
        <v>0</v>
      </c>
      <c r="AK126" s="292">
        <f t="shared" si="67"/>
        <v>0</v>
      </c>
      <c r="AL126" s="292">
        <f t="shared" si="68"/>
        <v>0</v>
      </c>
      <c r="AM126" s="292">
        <f t="shared" si="69"/>
        <v>0</v>
      </c>
      <c r="AN126" s="292">
        <f t="shared" si="70"/>
        <v>0</v>
      </c>
      <c r="AO126" s="292">
        <f t="shared" si="71"/>
        <v>0</v>
      </c>
      <c r="AP126" s="292">
        <f t="shared" si="72"/>
        <v>0</v>
      </c>
      <c r="AQ126" s="292">
        <f t="shared" si="73"/>
        <v>0</v>
      </c>
      <c r="AR126" s="292">
        <f t="shared" si="74"/>
        <v>0</v>
      </c>
      <c r="AS126" s="292">
        <f t="shared" si="75"/>
        <v>0</v>
      </c>
      <c r="AT126" s="292">
        <f t="shared" si="76"/>
        <v>0</v>
      </c>
      <c r="AU126" s="292">
        <f t="shared" si="77"/>
        <v>0</v>
      </c>
      <c r="AV126" s="292">
        <f t="shared" si="78"/>
        <v>0</v>
      </c>
      <c r="AW126" s="292">
        <f t="shared" si="79"/>
        <v>0</v>
      </c>
      <c r="AX126" s="292">
        <f t="shared" si="80"/>
        <v>0</v>
      </c>
      <c r="AY126" s="292">
        <f t="shared" si="81"/>
        <v>0</v>
      </c>
      <c r="AZ126" s="292">
        <f t="shared" si="82"/>
        <v>0</v>
      </c>
      <c r="BA126" s="292">
        <f t="shared" si="83"/>
        <v>0</v>
      </c>
    </row>
    <row r="127" spans="1:53" s="289" customFormat="1" ht="15" customHeight="1">
      <c r="A127" s="63" t="str">
        <f t="array" ref="A127">IF(C127&lt;&gt;0,SUM(($C$11:C127&lt;&gt;0)*1),"")</f>
        <v/>
      </c>
      <c r="B127" s="290"/>
      <c r="C127" s="290"/>
      <c r="D127" s="290"/>
      <c r="E127" s="396"/>
      <c r="F127" s="345"/>
      <c r="G127" s="347"/>
      <c r="H127" s="347"/>
      <c r="I127" s="63" t="str">
        <f t="shared" si="90"/>
        <v/>
      </c>
      <c r="J127" s="292">
        <f t="shared" si="46"/>
        <v>0</v>
      </c>
      <c r="K127" s="292">
        <f t="shared" si="47"/>
        <v>0</v>
      </c>
      <c r="L127" s="292">
        <f t="shared" si="48"/>
        <v>0</v>
      </c>
      <c r="M127" s="292">
        <f t="shared" si="49"/>
        <v>0</v>
      </c>
      <c r="N127" s="292">
        <f t="shared" si="84"/>
        <v>0</v>
      </c>
      <c r="O127" s="292">
        <f t="shared" si="85"/>
        <v>0</v>
      </c>
      <c r="P127" s="292">
        <f t="shared" si="50"/>
        <v>0</v>
      </c>
      <c r="Q127" s="292">
        <f t="shared" si="51"/>
        <v>0</v>
      </c>
      <c r="R127" s="292">
        <f t="shared" si="52"/>
        <v>0</v>
      </c>
      <c r="S127" s="292">
        <f t="shared" si="53"/>
        <v>0</v>
      </c>
      <c r="T127" s="292">
        <f t="shared" si="86"/>
        <v>0</v>
      </c>
      <c r="U127" s="292">
        <f t="shared" si="87"/>
        <v>0</v>
      </c>
      <c r="V127" s="292">
        <f t="shared" si="54"/>
        <v>0</v>
      </c>
      <c r="W127" s="292">
        <f t="shared" si="55"/>
        <v>0</v>
      </c>
      <c r="X127" s="292">
        <f t="shared" si="56"/>
        <v>0</v>
      </c>
      <c r="Y127" s="292">
        <f t="shared" si="57"/>
        <v>0</v>
      </c>
      <c r="Z127" s="292">
        <f t="shared" si="58"/>
        <v>0</v>
      </c>
      <c r="AA127" s="292">
        <f t="shared" si="59"/>
        <v>0</v>
      </c>
      <c r="AB127" s="292">
        <f t="shared" si="60"/>
        <v>0</v>
      </c>
      <c r="AC127" s="292">
        <f t="shared" si="61"/>
        <v>0</v>
      </c>
      <c r="AD127" s="292">
        <f t="shared" si="62"/>
        <v>0</v>
      </c>
      <c r="AE127" s="292">
        <f t="shared" si="63"/>
        <v>0</v>
      </c>
      <c r="AF127" s="292">
        <f t="shared" si="88"/>
        <v>0</v>
      </c>
      <c r="AG127" s="292">
        <f t="shared" si="89"/>
        <v>0</v>
      </c>
      <c r="AH127" s="292">
        <f t="shared" si="64"/>
        <v>0</v>
      </c>
      <c r="AI127" s="292">
        <f t="shared" si="65"/>
        <v>0</v>
      </c>
      <c r="AJ127" s="292">
        <f t="shared" si="66"/>
        <v>0</v>
      </c>
      <c r="AK127" s="292">
        <f t="shared" si="67"/>
        <v>0</v>
      </c>
      <c r="AL127" s="292">
        <f t="shared" si="68"/>
        <v>0</v>
      </c>
      <c r="AM127" s="292">
        <f t="shared" si="69"/>
        <v>0</v>
      </c>
      <c r="AN127" s="292">
        <f t="shared" si="70"/>
        <v>0</v>
      </c>
      <c r="AO127" s="292">
        <f t="shared" si="71"/>
        <v>0</v>
      </c>
      <c r="AP127" s="292">
        <f t="shared" si="72"/>
        <v>0</v>
      </c>
      <c r="AQ127" s="292">
        <f t="shared" si="73"/>
        <v>0</v>
      </c>
      <c r="AR127" s="292">
        <f t="shared" si="74"/>
        <v>0</v>
      </c>
      <c r="AS127" s="292">
        <f t="shared" si="75"/>
        <v>0</v>
      </c>
      <c r="AT127" s="292">
        <f t="shared" si="76"/>
        <v>0</v>
      </c>
      <c r="AU127" s="292">
        <f t="shared" si="77"/>
        <v>0</v>
      </c>
      <c r="AV127" s="292">
        <f t="shared" si="78"/>
        <v>0</v>
      </c>
      <c r="AW127" s="292">
        <f t="shared" si="79"/>
        <v>0</v>
      </c>
      <c r="AX127" s="292">
        <f t="shared" si="80"/>
        <v>0</v>
      </c>
      <c r="AY127" s="292">
        <f t="shared" si="81"/>
        <v>0</v>
      </c>
      <c r="AZ127" s="292">
        <f t="shared" si="82"/>
        <v>0</v>
      </c>
      <c r="BA127" s="292">
        <f t="shared" si="83"/>
        <v>0</v>
      </c>
    </row>
    <row r="128" spans="1:53" s="289" customFormat="1" ht="15" customHeight="1">
      <c r="A128" s="63" t="str">
        <f t="array" ref="A128">IF(C128&lt;&gt;0,SUM(($C$11:C128&lt;&gt;0)*1),"")</f>
        <v/>
      </c>
      <c r="B128" s="290"/>
      <c r="C128" s="290"/>
      <c r="D128" s="290"/>
      <c r="E128" s="396"/>
      <c r="F128" s="345"/>
      <c r="G128" s="347"/>
      <c r="H128" s="347"/>
      <c r="I128" s="63" t="str">
        <f t="shared" si="90"/>
        <v/>
      </c>
      <c r="J128" s="292">
        <f t="shared" si="46"/>
        <v>0</v>
      </c>
      <c r="K128" s="292">
        <f t="shared" si="47"/>
        <v>0</v>
      </c>
      <c r="L128" s="292">
        <f t="shared" si="48"/>
        <v>0</v>
      </c>
      <c r="M128" s="292">
        <f t="shared" si="49"/>
        <v>0</v>
      </c>
      <c r="N128" s="292">
        <f t="shared" si="84"/>
        <v>0</v>
      </c>
      <c r="O128" s="292">
        <f t="shared" si="85"/>
        <v>0</v>
      </c>
      <c r="P128" s="292">
        <f t="shared" si="50"/>
        <v>0</v>
      </c>
      <c r="Q128" s="292">
        <f t="shared" si="51"/>
        <v>0</v>
      </c>
      <c r="R128" s="292">
        <f t="shared" si="52"/>
        <v>0</v>
      </c>
      <c r="S128" s="292">
        <f t="shared" si="53"/>
        <v>0</v>
      </c>
      <c r="T128" s="292">
        <f t="shared" si="86"/>
        <v>0</v>
      </c>
      <c r="U128" s="292">
        <f t="shared" si="87"/>
        <v>0</v>
      </c>
      <c r="V128" s="292">
        <f t="shared" si="54"/>
        <v>0</v>
      </c>
      <c r="W128" s="292">
        <f t="shared" si="55"/>
        <v>0</v>
      </c>
      <c r="X128" s="292">
        <f t="shared" si="56"/>
        <v>0</v>
      </c>
      <c r="Y128" s="292">
        <f t="shared" si="57"/>
        <v>0</v>
      </c>
      <c r="Z128" s="292">
        <f t="shared" si="58"/>
        <v>0</v>
      </c>
      <c r="AA128" s="292">
        <f t="shared" si="59"/>
        <v>0</v>
      </c>
      <c r="AB128" s="292">
        <f t="shared" si="60"/>
        <v>0</v>
      </c>
      <c r="AC128" s="292">
        <f t="shared" si="61"/>
        <v>0</v>
      </c>
      <c r="AD128" s="292">
        <f t="shared" si="62"/>
        <v>0</v>
      </c>
      <c r="AE128" s="292">
        <f t="shared" si="63"/>
        <v>0</v>
      </c>
      <c r="AF128" s="292">
        <f t="shared" si="88"/>
        <v>0</v>
      </c>
      <c r="AG128" s="292">
        <f t="shared" si="89"/>
        <v>0</v>
      </c>
      <c r="AH128" s="292">
        <f t="shared" si="64"/>
        <v>0</v>
      </c>
      <c r="AI128" s="292">
        <f t="shared" si="65"/>
        <v>0</v>
      </c>
      <c r="AJ128" s="292">
        <f t="shared" si="66"/>
        <v>0</v>
      </c>
      <c r="AK128" s="292">
        <f t="shared" si="67"/>
        <v>0</v>
      </c>
      <c r="AL128" s="292">
        <f t="shared" si="68"/>
        <v>0</v>
      </c>
      <c r="AM128" s="292">
        <f t="shared" si="69"/>
        <v>0</v>
      </c>
      <c r="AN128" s="292">
        <f t="shared" si="70"/>
        <v>0</v>
      </c>
      <c r="AO128" s="292">
        <f t="shared" si="71"/>
        <v>0</v>
      </c>
      <c r="AP128" s="292">
        <f t="shared" si="72"/>
        <v>0</v>
      </c>
      <c r="AQ128" s="292">
        <f t="shared" si="73"/>
        <v>0</v>
      </c>
      <c r="AR128" s="292">
        <f t="shared" si="74"/>
        <v>0</v>
      </c>
      <c r="AS128" s="292">
        <f t="shared" si="75"/>
        <v>0</v>
      </c>
      <c r="AT128" s="292">
        <f t="shared" si="76"/>
        <v>0</v>
      </c>
      <c r="AU128" s="292">
        <f t="shared" si="77"/>
        <v>0</v>
      </c>
      <c r="AV128" s="292">
        <f t="shared" si="78"/>
        <v>0</v>
      </c>
      <c r="AW128" s="292">
        <f t="shared" si="79"/>
        <v>0</v>
      </c>
      <c r="AX128" s="292">
        <f t="shared" si="80"/>
        <v>0</v>
      </c>
      <c r="AY128" s="292">
        <f t="shared" si="81"/>
        <v>0</v>
      </c>
      <c r="AZ128" s="292">
        <f t="shared" si="82"/>
        <v>0</v>
      </c>
      <c r="BA128" s="292">
        <f t="shared" si="83"/>
        <v>0</v>
      </c>
    </row>
    <row r="129" spans="1:53" s="289" customFormat="1" ht="15" customHeight="1">
      <c r="A129" s="63" t="str">
        <f t="array" ref="A129">IF(C129&lt;&gt;0,SUM(($C$11:C129&lt;&gt;0)*1),"")</f>
        <v/>
      </c>
      <c r="B129" s="290"/>
      <c r="C129" s="290"/>
      <c r="D129" s="290"/>
      <c r="E129" s="396"/>
      <c r="F129" s="345"/>
      <c r="G129" s="347"/>
      <c r="H129" s="347"/>
      <c r="I129" s="63" t="str">
        <f t="shared" si="90"/>
        <v/>
      </c>
      <c r="J129" s="292">
        <f t="shared" si="46"/>
        <v>0</v>
      </c>
      <c r="K129" s="292">
        <f t="shared" si="47"/>
        <v>0</v>
      </c>
      <c r="L129" s="292">
        <f t="shared" si="48"/>
        <v>0</v>
      </c>
      <c r="M129" s="292">
        <f t="shared" si="49"/>
        <v>0</v>
      </c>
      <c r="N129" s="292">
        <f t="shared" si="84"/>
        <v>0</v>
      </c>
      <c r="O129" s="292">
        <f t="shared" si="85"/>
        <v>0</v>
      </c>
      <c r="P129" s="292">
        <f t="shared" si="50"/>
        <v>0</v>
      </c>
      <c r="Q129" s="292">
        <f t="shared" si="51"/>
        <v>0</v>
      </c>
      <c r="R129" s="292">
        <f t="shared" si="52"/>
        <v>0</v>
      </c>
      <c r="S129" s="292">
        <f t="shared" si="53"/>
        <v>0</v>
      </c>
      <c r="T129" s="292">
        <f t="shared" si="86"/>
        <v>0</v>
      </c>
      <c r="U129" s="292">
        <f t="shared" si="87"/>
        <v>0</v>
      </c>
      <c r="V129" s="292">
        <f t="shared" si="54"/>
        <v>0</v>
      </c>
      <c r="W129" s="292">
        <f t="shared" si="55"/>
        <v>0</v>
      </c>
      <c r="X129" s="292">
        <f t="shared" si="56"/>
        <v>0</v>
      </c>
      <c r="Y129" s="292">
        <f t="shared" si="57"/>
        <v>0</v>
      </c>
      <c r="Z129" s="292">
        <f t="shared" si="58"/>
        <v>0</v>
      </c>
      <c r="AA129" s="292">
        <f t="shared" si="59"/>
        <v>0</v>
      </c>
      <c r="AB129" s="292">
        <f t="shared" si="60"/>
        <v>0</v>
      </c>
      <c r="AC129" s="292">
        <f t="shared" si="61"/>
        <v>0</v>
      </c>
      <c r="AD129" s="292">
        <f t="shared" si="62"/>
        <v>0</v>
      </c>
      <c r="AE129" s="292">
        <f t="shared" si="63"/>
        <v>0</v>
      </c>
      <c r="AF129" s="292">
        <f t="shared" si="88"/>
        <v>0</v>
      </c>
      <c r="AG129" s="292">
        <f t="shared" si="89"/>
        <v>0</v>
      </c>
      <c r="AH129" s="292">
        <f t="shared" si="64"/>
        <v>0</v>
      </c>
      <c r="AI129" s="292">
        <f t="shared" si="65"/>
        <v>0</v>
      </c>
      <c r="AJ129" s="292">
        <f t="shared" si="66"/>
        <v>0</v>
      </c>
      <c r="AK129" s="292">
        <f t="shared" si="67"/>
        <v>0</v>
      </c>
      <c r="AL129" s="292">
        <f t="shared" si="68"/>
        <v>0</v>
      </c>
      <c r="AM129" s="292">
        <f t="shared" si="69"/>
        <v>0</v>
      </c>
      <c r="AN129" s="292">
        <f t="shared" si="70"/>
        <v>0</v>
      </c>
      <c r="AO129" s="292">
        <f t="shared" si="71"/>
        <v>0</v>
      </c>
      <c r="AP129" s="292">
        <f t="shared" si="72"/>
        <v>0</v>
      </c>
      <c r="AQ129" s="292">
        <f t="shared" si="73"/>
        <v>0</v>
      </c>
      <c r="AR129" s="292">
        <f t="shared" si="74"/>
        <v>0</v>
      </c>
      <c r="AS129" s="292">
        <f t="shared" si="75"/>
        <v>0</v>
      </c>
      <c r="AT129" s="292">
        <f t="shared" si="76"/>
        <v>0</v>
      </c>
      <c r="AU129" s="292">
        <f t="shared" si="77"/>
        <v>0</v>
      </c>
      <c r="AV129" s="292">
        <f t="shared" si="78"/>
        <v>0</v>
      </c>
      <c r="AW129" s="292">
        <f t="shared" si="79"/>
        <v>0</v>
      </c>
      <c r="AX129" s="292">
        <f t="shared" si="80"/>
        <v>0</v>
      </c>
      <c r="AY129" s="292">
        <f t="shared" si="81"/>
        <v>0</v>
      </c>
      <c r="AZ129" s="292">
        <f t="shared" si="82"/>
        <v>0</v>
      </c>
      <c r="BA129" s="292">
        <f t="shared" si="83"/>
        <v>0</v>
      </c>
    </row>
    <row r="130" spans="1:53" s="289" customFormat="1" ht="15" customHeight="1">
      <c r="A130" s="63" t="str">
        <f t="array" ref="A130">IF(C130&lt;&gt;0,SUM(($C$11:C130&lt;&gt;0)*1),"")</f>
        <v/>
      </c>
      <c r="B130" s="290"/>
      <c r="C130" s="290"/>
      <c r="D130" s="290"/>
      <c r="E130" s="396"/>
      <c r="F130" s="345"/>
      <c r="G130" s="347"/>
      <c r="H130" s="347"/>
      <c r="I130" s="63" t="str">
        <f t="shared" si="90"/>
        <v/>
      </c>
      <c r="J130" s="292">
        <f t="shared" si="46"/>
        <v>0</v>
      </c>
      <c r="K130" s="292">
        <f t="shared" si="47"/>
        <v>0</v>
      </c>
      <c r="L130" s="292">
        <f t="shared" si="48"/>
        <v>0</v>
      </c>
      <c r="M130" s="292">
        <f t="shared" si="49"/>
        <v>0</v>
      </c>
      <c r="N130" s="292">
        <f t="shared" si="84"/>
        <v>0</v>
      </c>
      <c r="O130" s="292">
        <f t="shared" si="85"/>
        <v>0</v>
      </c>
      <c r="P130" s="292">
        <f t="shared" si="50"/>
        <v>0</v>
      </c>
      <c r="Q130" s="292">
        <f t="shared" si="51"/>
        <v>0</v>
      </c>
      <c r="R130" s="292">
        <f t="shared" si="52"/>
        <v>0</v>
      </c>
      <c r="S130" s="292">
        <f t="shared" si="53"/>
        <v>0</v>
      </c>
      <c r="T130" s="292">
        <f t="shared" si="86"/>
        <v>0</v>
      </c>
      <c r="U130" s="292">
        <f t="shared" si="87"/>
        <v>0</v>
      </c>
      <c r="V130" s="292">
        <f t="shared" si="54"/>
        <v>0</v>
      </c>
      <c r="W130" s="292">
        <f t="shared" si="55"/>
        <v>0</v>
      </c>
      <c r="X130" s="292">
        <f t="shared" si="56"/>
        <v>0</v>
      </c>
      <c r="Y130" s="292">
        <f t="shared" si="57"/>
        <v>0</v>
      </c>
      <c r="Z130" s="292">
        <f t="shared" si="58"/>
        <v>0</v>
      </c>
      <c r="AA130" s="292">
        <f t="shared" si="59"/>
        <v>0</v>
      </c>
      <c r="AB130" s="292">
        <f t="shared" si="60"/>
        <v>0</v>
      </c>
      <c r="AC130" s="292">
        <f t="shared" si="61"/>
        <v>0</v>
      </c>
      <c r="AD130" s="292">
        <f t="shared" si="62"/>
        <v>0</v>
      </c>
      <c r="AE130" s="292">
        <f t="shared" si="63"/>
        <v>0</v>
      </c>
      <c r="AF130" s="292">
        <f t="shared" si="88"/>
        <v>0</v>
      </c>
      <c r="AG130" s="292">
        <f t="shared" si="89"/>
        <v>0</v>
      </c>
      <c r="AH130" s="292">
        <f t="shared" si="64"/>
        <v>0</v>
      </c>
      <c r="AI130" s="292">
        <f t="shared" si="65"/>
        <v>0</v>
      </c>
      <c r="AJ130" s="292">
        <f t="shared" si="66"/>
        <v>0</v>
      </c>
      <c r="AK130" s="292">
        <f t="shared" si="67"/>
        <v>0</v>
      </c>
      <c r="AL130" s="292">
        <f t="shared" si="68"/>
        <v>0</v>
      </c>
      <c r="AM130" s="292">
        <f t="shared" si="69"/>
        <v>0</v>
      </c>
      <c r="AN130" s="292">
        <f t="shared" si="70"/>
        <v>0</v>
      </c>
      <c r="AO130" s="292">
        <f t="shared" si="71"/>
        <v>0</v>
      </c>
      <c r="AP130" s="292">
        <f t="shared" si="72"/>
        <v>0</v>
      </c>
      <c r="AQ130" s="292">
        <f t="shared" si="73"/>
        <v>0</v>
      </c>
      <c r="AR130" s="292">
        <f t="shared" si="74"/>
        <v>0</v>
      </c>
      <c r="AS130" s="292">
        <f t="shared" si="75"/>
        <v>0</v>
      </c>
      <c r="AT130" s="292">
        <f t="shared" si="76"/>
        <v>0</v>
      </c>
      <c r="AU130" s="292">
        <f t="shared" si="77"/>
        <v>0</v>
      </c>
      <c r="AV130" s="292">
        <f t="shared" si="78"/>
        <v>0</v>
      </c>
      <c r="AW130" s="292">
        <f t="shared" si="79"/>
        <v>0</v>
      </c>
      <c r="AX130" s="292">
        <f t="shared" si="80"/>
        <v>0</v>
      </c>
      <c r="AY130" s="292">
        <f t="shared" si="81"/>
        <v>0</v>
      </c>
      <c r="AZ130" s="292">
        <f t="shared" si="82"/>
        <v>0</v>
      </c>
      <c r="BA130" s="292">
        <f t="shared" si="83"/>
        <v>0</v>
      </c>
    </row>
    <row r="131" spans="1:53" s="289" customFormat="1" ht="15" customHeight="1">
      <c r="A131" s="63" t="str">
        <f t="array" ref="A131">IF(C131&lt;&gt;0,SUM(($C$11:C131&lt;&gt;0)*1),"")</f>
        <v/>
      </c>
      <c r="B131" s="290"/>
      <c r="C131" s="290"/>
      <c r="D131" s="290"/>
      <c r="E131" s="396"/>
      <c r="F131" s="345"/>
      <c r="G131" s="347"/>
      <c r="H131" s="347"/>
      <c r="I131" s="63" t="str">
        <f t="shared" si="90"/>
        <v/>
      </c>
      <c r="J131" s="292">
        <f t="shared" si="46"/>
        <v>0</v>
      </c>
      <c r="K131" s="292">
        <f t="shared" si="47"/>
        <v>0</v>
      </c>
      <c r="L131" s="292">
        <f t="shared" si="48"/>
        <v>0</v>
      </c>
      <c r="M131" s="292">
        <f t="shared" si="49"/>
        <v>0</v>
      </c>
      <c r="N131" s="292">
        <f t="shared" si="84"/>
        <v>0</v>
      </c>
      <c r="O131" s="292">
        <f t="shared" si="85"/>
        <v>0</v>
      </c>
      <c r="P131" s="292">
        <f t="shared" si="50"/>
        <v>0</v>
      </c>
      <c r="Q131" s="292">
        <f t="shared" si="51"/>
        <v>0</v>
      </c>
      <c r="R131" s="292">
        <f t="shared" si="52"/>
        <v>0</v>
      </c>
      <c r="S131" s="292">
        <f t="shared" si="53"/>
        <v>0</v>
      </c>
      <c r="T131" s="292">
        <f t="shared" si="86"/>
        <v>0</v>
      </c>
      <c r="U131" s="292">
        <f t="shared" si="87"/>
        <v>0</v>
      </c>
      <c r="V131" s="292">
        <f t="shared" si="54"/>
        <v>0</v>
      </c>
      <c r="W131" s="292">
        <f t="shared" si="55"/>
        <v>0</v>
      </c>
      <c r="X131" s="292">
        <f t="shared" si="56"/>
        <v>0</v>
      </c>
      <c r="Y131" s="292">
        <f t="shared" si="57"/>
        <v>0</v>
      </c>
      <c r="Z131" s="292">
        <f t="shared" si="58"/>
        <v>0</v>
      </c>
      <c r="AA131" s="292">
        <f t="shared" si="59"/>
        <v>0</v>
      </c>
      <c r="AB131" s="292">
        <f t="shared" si="60"/>
        <v>0</v>
      </c>
      <c r="AC131" s="292">
        <f t="shared" si="61"/>
        <v>0</v>
      </c>
      <c r="AD131" s="292">
        <f t="shared" si="62"/>
        <v>0</v>
      </c>
      <c r="AE131" s="292">
        <f t="shared" si="63"/>
        <v>0</v>
      </c>
      <c r="AF131" s="292">
        <f t="shared" si="88"/>
        <v>0</v>
      </c>
      <c r="AG131" s="292">
        <f t="shared" si="89"/>
        <v>0</v>
      </c>
      <c r="AH131" s="292">
        <f t="shared" si="64"/>
        <v>0</v>
      </c>
      <c r="AI131" s="292">
        <f t="shared" si="65"/>
        <v>0</v>
      </c>
      <c r="AJ131" s="292">
        <f t="shared" si="66"/>
        <v>0</v>
      </c>
      <c r="AK131" s="292">
        <f t="shared" si="67"/>
        <v>0</v>
      </c>
      <c r="AL131" s="292">
        <f t="shared" si="68"/>
        <v>0</v>
      </c>
      <c r="AM131" s="292">
        <f t="shared" si="69"/>
        <v>0</v>
      </c>
      <c r="AN131" s="292">
        <f t="shared" si="70"/>
        <v>0</v>
      </c>
      <c r="AO131" s="292">
        <f t="shared" si="71"/>
        <v>0</v>
      </c>
      <c r="AP131" s="292">
        <f t="shared" si="72"/>
        <v>0</v>
      </c>
      <c r="AQ131" s="292">
        <f t="shared" si="73"/>
        <v>0</v>
      </c>
      <c r="AR131" s="292">
        <f t="shared" si="74"/>
        <v>0</v>
      </c>
      <c r="AS131" s="292">
        <f t="shared" si="75"/>
        <v>0</v>
      </c>
      <c r="AT131" s="292">
        <f t="shared" si="76"/>
        <v>0</v>
      </c>
      <c r="AU131" s="292">
        <f t="shared" si="77"/>
        <v>0</v>
      </c>
      <c r="AV131" s="292">
        <f t="shared" si="78"/>
        <v>0</v>
      </c>
      <c r="AW131" s="292">
        <f t="shared" si="79"/>
        <v>0</v>
      </c>
      <c r="AX131" s="292">
        <f t="shared" si="80"/>
        <v>0</v>
      </c>
      <c r="AY131" s="292">
        <f t="shared" si="81"/>
        <v>0</v>
      </c>
      <c r="AZ131" s="292">
        <f t="shared" si="82"/>
        <v>0</v>
      </c>
      <c r="BA131" s="292">
        <f t="shared" si="83"/>
        <v>0</v>
      </c>
    </row>
    <row r="132" spans="1:53" s="289" customFormat="1" ht="15" customHeight="1">
      <c r="A132" s="63" t="str">
        <f t="array" ref="A132">IF(C132&lt;&gt;0,SUM(($C$11:C132&lt;&gt;0)*1),"")</f>
        <v/>
      </c>
      <c r="B132" s="290"/>
      <c r="C132" s="290"/>
      <c r="D132" s="290"/>
      <c r="E132" s="396"/>
      <c r="F132" s="345"/>
      <c r="G132" s="347"/>
      <c r="H132" s="347"/>
      <c r="I132" s="63" t="str">
        <f t="shared" si="90"/>
        <v/>
      </c>
      <c r="J132" s="292">
        <f t="shared" si="46"/>
        <v>0</v>
      </c>
      <c r="K132" s="292">
        <f t="shared" si="47"/>
        <v>0</v>
      </c>
      <c r="L132" s="292">
        <f t="shared" si="48"/>
        <v>0</v>
      </c>
      <c r="M132" s="292">
        <f t="shared" si="49"/>
        <v>0</v>
      </c>
      <c r="N132" s="292">
        <f t="shared" si="84"/>
        <v>0</v>
      </c>
      <c r="O132" s="292">
        <f t="shared" si="85"/>
        <v>0</v>
      </c>
      <c r="P132" s="292">
        <f t="shared" si="50"/>
        <v>0</v>
      </c>
      <c r="Q132" s="292">
        <f t="shared" si="51"/>
        <v>0</v>
      </c>
      <c r="R132" s="292">
        <f t="shared" si="52"/>
        <v>0</v>
      </c>
      <c r="S132" s="292">
        <f t="shared" si="53"/>
        <v>0</v>
      </c>
      <c r="T132" s="292">
        <f t="shared" si="86"/>
        <v>0</v>
      </c>
      <c r="U132" s="292">
        <f t="shared" si="87"/>
        <v>0</v>
      </c>
      <c r="V132" s="292">
        <f t="shared" si="54"/>
        <v>0</v>
      </c>
      <c r="W132" s="292">
        <f t="shared" si="55"/>
        <v>0</v>
      </c>
      <c r="X132" s="292">
        <f t="shared" si="56"/>
        <v>0</v>
      </c>
      <c r="Y132" s="292">
        <f t="shared" si="57"/>
        <v>0</v>
      </c>
      <c r="Z132" s="292">
        <f t="shared" si="58"/>
        <v>0</v>
      </c>
      <c r="AA132" s="292">
        <f t="shared" si="59"/>
        <v>0</v>
      </c>
      <c r="AB132" s="292">
        <f t="shared" si="60"/>
        <v>0</v>
      </c>
      <c r="AC132" s="292">
        <f t="shared" si="61"/>
        <v>0</v>
      </c>
      <c r="AD132" s="292">
        <f t="shared" si="62"/>
        <v>0</v>
      </c>
      <c r="AE132" s="292">
        <f t="shared" si="63"/>
        <v>0</v>
      </c>
      <c r="AF132" s="292">
        <f t="shared" si="88"/>
        <v>0</v>
      </c>
      <c r="AG132" s="292">
        <f t="shared" si="89"/>
        <v>0</v>
      </c>
      <c r="AH132" s="292">
        <f t="shared" si="64"/>
        <v>0</v>
      </c>
      <c r="AI132" s="292">
        <f t="shared" si="65"/>
        <v>0</v>
      </c>
      <c r="AJ132" s="292">
        <f t="shared" si="66"/>
        <v>0</v>
      </c>
      <c r="AK132" s="292">
        <f t="shared" si="67"/>
        <v>0</v>
      </c>
      <c r="AL132" s="292">
        <f t="shared" si="68"/>
        <v>0</v>
      </c>
      <c r="AM132" s="292">
        <f t="shared" si="69"/>
        <v>0</v>
      </c>
      <c r="AN132" s="292">
        <f t="shared" si="70"/>
        <v>0</v>
      </c>
      <c r="AO132" s="292">
        <f t="shared" si="71"/>
        <v>0</v>
      </c>
      <c r="AP132" s="292">
        <f t="shared" si="72"/>
        <v>0</v>
      </c>
      <c r="AQ132" s="292">
        <f t="shared" si="73"/>
        <v>0</v>
      </c>
      <c r="AR132" s="292">
        <f t="shared" si="74"/>
        <v>0</v>
      </c>
      <c r="AS132" s="292">
        <f t="shared" si="75"/>
        <v>0</v>
      </c>
      <c r="AT132" s="292">
        <f t="shared" si="76"/>
        <v>0</v>
      </c>
      <c r="AU132" s="292">
        <f t="shared" si="77"/>
        <v>0</v>
      </c>
      <c r="AV132" s="292">
        <f t="shared" si="78"/>
        <v>0</v>
      </c>
      <c r="AW132" s="292">
        <f t="shared" si="79"/>
        <v>0</v>
      </c>
      <c r="AX132" s="292">
        <f t="shared" si="80"/>
        <v>0</v>
      </c>
      <c r="AY132" s="292">
        <f t="shared" si="81"/>
        <v>0</v>
      </c>
      <c r="AZ132" s="292">
        <f t="shared" si="82"/>
        <v>0</v>
      </c>
      <c r="BA132" s="292">
        <f t="shared" si="83"/>
        <v>0</v>
      </c>
    </row>
    <row r="133" spans="1:53" s="289" customFormat="1" ht="15" customHeight="1">
      <c r="A133" s="63" t="str">
        <f t="array" ref="A133">IF(C133&lt;&gt;0,SUM(($C$11:C133&lt;&gt;0)*1),"")</f>
        <v/>
      </c>
      <c r="B133" s="290"/>
      <c r="C133" s="290"/>
      <c r="D133" s="290"/>
      <c r="E133" s="396"/>
      <c r="F133" s="345"/>
      <c r="G133" s="347"/>
      <c r="H133" s="347"/>
      <c r="I133" s="63" t="str">
        <f t="shared" si="90"/>
        <v/>
      </c>
      <c r="J133" s="292">
        <f t="shared" si="46"/>
        <v>0</v>
      </c>
      <c r="K133" s="292">
        <f t="shared" si="47"/>
        <v>0</v>
      </c>
      <c r="L133" s="292">
        <f t="shared" si="48"/>
        <v>0</v>
      </c>
      <c r="M133" s="292">
        <f t="shared" si="49"/>
        <v>0</v>
      </c>
      <c r="N133" s="292">
        <f t="shared" si="84"/>
        <v>0</v>
      </c>
      <c r="O133" s="292">
        <f t="shared" si="85"/>
        <v>0</v>
      </c>
      <c r="P133" s="292">
        <f t="shared" si="50"/>
        <v>0</v>
      </c>
      <c r="Q133" s="292">
        <f t="shared" si="51"/>
        <v>0</v>
      </c>
      <c r="R133" s="292">
        <f t="shared" si="52"/>
        <v>0</v>
      </c>
      <c r="S133" s="292">
        <f t="shared" si="53"/>
        <v>0</v>
      </c>
      <c r="T133" s="292">
        <f t="shared" si="86"/>
        <v>0</v>
      </c>
      <c r="U133" s="292">
        <f t="shared" si="87"/>
        <v>0</v>
      </c>
      <c r="V133" s="292">
        <f t="shared" si="54"/>
        <v>0</v>
      </c>
      <c r="W133" s="292">
        <f t="shared" si="55"/>
        <v>0</v>
      </c>
      <c r="X133" s="292">
        <f t="shared" si="56"/>
        <v>0</v>
      </c>
      <c r="Y133" s="292">
        <f t="shared" si="57"/>
        <v>0</v>
      </c>
      <c r="Z133" s="292">
        <f t="shared" si="58"/>
        <v>0</v>
      </c>
      <c r="AA133" s="292">
        <f t="shared" si="59"/>
        <v>0</v>
      </c>
      <c r="AB133" s="292">
        <f t="shared" si="60"/>
        <v>0</v>
      </c>
      <c r="AC133" s="292">
        <f t="shared" si="61"/>
        <v>0</v>
      </c>
      <c r="AD133" s="292">
        <f t="shared" si="62"/>
        <v>0</v>
      </c>
      <c r="AE133" s="292">
        <f t="shared" si="63"/>
        <v>0</v>
      </c>
      <c r="AF133" s="292">
        <f t="shared" si="88"/>
        <v>0</v>
      </c>
      <c r="AG133" s="292">
        <f t="shared" si="89"/>
        <v>0</v>
      </c>
      <c r="AH133" s="292">
        <f t="shared" si="64"/>
        <v>0</v>
      </c>
      <c r="AI133" s="292">
        <f t="shared" si="65"/>
        <v>0</v>
      </c>
      <c r="AJ133" s="292">
        <f t="shared" si="66"/>
        <v>0</v>
      </c>
      <c r="AK133" s="292">
        <f t="shared" si="67"/>
        <v>0</v>
      </c>
      <c r="AL133" s="292">
        <f t="shared" si="68"/>
        <v>0</v>
      </c>
      <c r="AM133" s="292">
        <f t="shared" si="69"/>
        <v>0</v>
      </c>
      <c r="AN133" s="292">
        <f t="shared" si="70"/>
        <v>0</v>
      </c>
      <c r="AO133" s="292">
        <f t="shared" si="71"/>
        <v>0</v>
      </c>
      <c r="AP133" s="292">
        <f t="shared" si="72"/>
        <v>0</v>
      </c>
      <c r="AQ133" s="292">
        <f t="shared" si="73"/>
        <v>0</v>
      </c>
      <c r="AR133" s="292">
        <f t="shared" si="74"/>
        <v>0</v>
      </c>
      <c r="AS133" s="292">
        <f t="shared" si="75"/>
        <v>0</v>
      </c>
      <c r="AT133" s="292">
        <f t="shared" si="76"/>
        <v>0</v>
      </c>
      <c r="AU133" s="292">
        <f t="shared" si="77"/>
        <v>0</v>
      </c>
      <c r="AV133" s="292">
        <f t="shared" si="78"/>
        <v>0</v>
      </c>
      <c r="AW133" s="292">
        <f t="shared" si="79"/>
        <v>0</v>
      </c>
      <c r="AX133" s="292">
        <f t="shared" si="80"/>
        <v>0</v>
      </c>
      <c r="AY133" s="292">
        <f t="shared" si="81"/>
        <v>0</v>
      </c>
      <c r="AZ133" s="292">
        <f t="shared" si="82"/>
        <v>0</v>
      </c>
      <c r="BA133" s="292">
        <f t="shared" si="83"/>
        <v>0</v>
      </c>
    </row>
    <row r="134" spans="1:53" s="289" customFormat="1" ht="15" customHeight="1">
      <c r="A134" s="63" t="str">
        <f t="array" ref="A134">IF(C134&lt;&gt;0,SUM(($C$11:C134&lt;&gt;0)*1),"")</f>
        <v/>
      </c>
      <c r="B134" s="290"/>
      <c r="C134" s="290"/>
      <c r="D134" s="290"/>
      <c r="E134" s="396"/>
      <c r="F134" s="345"/>
      <c r="G134" s="347"/>
      <c r="H134" s="347"/>
      <c r="I134" s="63" t="str">
        <f t="shared" si="90"/>
        <v/>
      </c>
      <c r="J134" s="292">
        <f t="shared" si="46"/>
        <v>0</v>
      </c>
      <c r="K134" s="292">
        <f t="shared" si="47"/>
        <v>0</v>
      </c>
      <c r="L134" s="292">
        <f t="shared" si="48"/>
        <v>0</v>
      </c>
      <c r="M134" s="292">
        <f t="shared" si="49"/>
        <v>0</v>
      </c>
      <c r="N134" s="292">
        <f t="shared" si="84"/>
        <v>0</v>
      </c>
      <c r="O134" s="292">
        <f t="shared" si="85"/>
        <v>0</v>
      </c>
      <c r="P134" s="292">
        <f t="shared" si="50"/>
        <v>0</v>
      </c>
      <c r="Q134" s="292">
        <f t="shared" si="51"/>
        <v>0</v>
      </c>
      <c r="R134" s="292">
        <f t="shared" si="52"/>
        <v>0</v>
      </c>
      <c r="S134" s="292">
        <f t="shared" si="53"/>
        <v>0</v>
      </c>
      <c r="T134" s="292">
        <f t="shared" si="86"/>
        <v>0</v>
      </c>
      <c r="U134" s="292">
        <f t="shared" si="87"/>
        <v>0</v>
      </c>
      <c r="V134" s="292">
        <f t="shared" si="54"/>
        <v>0</v>
      </c>
      <c r="W134" s="292">
        <f t="shared" si="55"/>
        <v>0</v>
      </c>
      <c r="X134" s="292">
        <f t="shared" si="56"/>
        <v>0</v>
      </c>
      <c r="Y134" s="292">
        <f t="shared" si="57"/>
        <v>0</v>
      </c>
      <c r="Z134" s="292">
        <f t="shared" si="58"/>
        <v>0</v>
      </c>
      <c r="AA134" s="292">
        <f t="shared" si="59"/>
        <v>0</v>
      </c>
      <c r="AB134" s="292">
        <f t="shared" si="60"/>
        <v>0</v>
      </c>
      <c r="AC134" s="292">
        <f t="shared" si="61"/>
        <v>0</v>
      </c>
      <c r="AD134" s="292">
        <f t="shared" si="62"/>
        <v>0</v>
      </c>
      <c r="AE134" s="292">
        <f t="shared" si="63"/>
        <v>0</v>
      </c>
      <c r="AF134" s="292">
        <f t="shared" si="88"/>
        <v>0</v>
      </c>
      <c r="AG134" s="292">
        <f t="shared" si="89"/>
        <v>0</v>
      </c>
      <c r="AH134" s="292">
        <f t="shared" si="64"/>
        <v>0</v>
      </c>
      <c r="AI134" s="292">
        <f t="shared" si="65"/>
        <v>0</v>
      </c>
      <c r="AJ134" s="292">
        <f t="shared" si="66"/>
        <v>0</v>
      </c>
      <c r="AK134" s="292">
        <f t="shared" si="67"/>
        <v>0</v>
      </c>
      <c r="AL134" s="292">
        <f t="shared" si="68"/>
        <v>0</v>
      </c>
      <c r="AM134" s="292">
        <f t="shared" si="69"/>
        <v>0</v>
      </c>
      <c r="AN134" s="292">
        <f t="shared" si="70"/>
        <v>0</v>
      </c>
      <c r="AO134" s="292">
        <f t="shared" si="71"/>
        <v>0</v>
      </c>
      <c r="AP134" s="292">
        <f t="shared" si="72"/>
        <v>0</v>
      </c>
      <c r="AQ134" s="292">
        <f t="shared" si="73"/>
        <v>0</v>
      </c>
      <c r="AR134" s="292">
        <f t="shared" si="74"/>
        <v>0</v>
      </c>
      <c r="AS134" s="292">
        <f t="shared" si="75"/>
        <v>0</v>
      </c>
      <c r="AT134" s="292">
        <f t="shared" si="76"/>
        <v>0</v>
      </c>
      <c r="AU134" s="292">
        <f t="shared" si="77"/>
        <v>0</v>
      </c>
      <c r="AV134" s="292">
        <f t="shared" si="78"/>
        <v>0</v>
      </c>
      <c r="AW134" s="292">
        <f t="shared" si="79"/>
        <v>0</v>
      </c>
      <c r="AX134" s="292">
        <f t="shared" si="80"/>
        <v>0</v>
      </c>
      <c r="AY134" s="292">
        <f t="shared" si="81"/>
        <v>0</v>
      </c>
      <c r="AZ134" s="292">
        <f t="shared" si="82"/>
        <v>0</v>
      </c>
      <c r="BA134" s="292">
        <f t="shared" si="83"/>
        <v>0</v>
      </c>
    </row>
    <row r="135" spans="1:53" s="289" customFormat="1" ht="15" customHeight="1">
      <c r="A135" s="63" t="str">
        <f t="array" ref="A135">IF(C135&lt;&gt;0,SUM(($C$11:C135&lt;&gt;0)*1),"")</f>
        <v/>
      </c>
      <c r="B135" s="290"/>
      <c r="C135" s="290"/>
      <c r="D135" s="290"/>
      <c r="E135" s="396"/>
      <c r="F135" s="345"/>
      <c r="G135" s="347"/>
      <c r="H135" s="347"/>
      <c r="I135" s="63" t="str">
        <f t="shared" si="90"/>
        <v/>
      </c>
      <c r="J135" s="292">
        <f t="shared" si="46"/>
        <v>0</v>
      </c>
      <c r="K135" s="292">
        <f t="shared" si="47"/>
        <v>0</v>
      </c>
      <c r="L135" s="292">
        <f t="shared" si="48"/>
        <v>0</v>
      </c>
      <c r="M135" s="292">
        <f t="shared" si="49"/>
        <v>0</v>
      </c>
      <c r="N135" s="292">
        <f t="shared" si="84"/>
        <v>0</v>
      </c>
      <c r="O135" s="292">
        <f t="shared" si="85"/>
        <v>0</v>
      </c>
      <c r="P135" s="292">
        <f t="shared" si="50"/>
        <v>0</v>
      </c>
      <c r="Q135" s="292">
        <f t="shared" si="51"/>
        <v>0</v>
      </c>
      <c r="R135" s="292">
        <f t="shared" si="52"/>
        <v>0</v>
      </c>
      <c r="S135" s="292">
        <f t="shared" si="53"/>
        <v>0</v>
      </c>
      <c r="T135" s="292">
        <f t="shared" si="86"/>
        <v>0</v>
      </c>
      <c r="U135" s="292">
        <f t="shared" si="87"/>
        <v>0</v>
      </c>
      <c r="V135" s="292">
        <f t="shared" si="54"/>
        <v>0</v>
      </c>
      <c r="W135" s="292">
        <f t="shared" si="55"/>
        <v>0</v>
      </c>
      <c r="X135" s="292">
        <f t="shared" si="56"/>
        <v>0</v>
      </c>
      <c r="Y135" s="292">
        <f t="shared" si="57"/>
        <v>0</v>
      </c>
      <c r="Z135" s="292">
        <f t="shared" si="58"/>
        <v>0</v>
      </c>
      <c r="AA135" s="292">
        <f t="shared" si="59"/>
        <v>0</v>
      </c>
      <c r="AB135" s="292">
        <f t="shared" si="60"/>
        <v>0</v>
      </c>
      <c r="AC135" s="292">
        <f t="shared" si="61"/>
        <v>0</v>
      </c>
      <c r="AD135" s="292">
        <f t="shared" si="62"/>
        <v>0</v>
      </c>
      <c r="AE135" s="292">
        <f t="shared" si="63"/>
        <v>0</v>
      </c>
      <c r="AF135" s="292">
        <f t="shared" si="88"/>
        <v>0</v>
      </c>
      <c r="AG135" s="292">
        <f t="shared" si="89"/>
        <v>0</v>
      </c>
      <c r="AH135" s="292">
        <f t="shared" si="64"/>
        <v>0</v>
      </c>
      <c r="AI135" s="292">
        <f t="shared" si="65"/>
        <v>0</v>
      </c>
      <c r="AJ135" s="292">
        <f t="shared" si="66"/>
        <v>0</v>
      </c>
      <c r="AK135" s="292">
        <f t="shared" si="67"/>
        <v>0</v>
      </c>
      <c r="AL135" s="292">
        <f t="shared" si="68"/>
        <v>0</v>
      </c>
      <c r="AM135" s="292">
        <f t="shared" si="69"/>
        <v>0</v>
      </c>
      <c r="AN135" s="292">
        <f t="shared" si="70"/>
        <v>0</v>
      </c>
      <c r="AO135" s="292">
        <f t="shared" si="71"/>
        <v>0</v>
      </c>
      <c r="AP135" s="292">
        <f t="shared" si="72"/>
        <v>0</v>
      </c>
      <c r="AQ135" s="292">
        <f t="shared" si="73"/>
        <v>0</v>
      </c>
      <c r="AR135" s="292">
        <f t="shared" si="74"/>
        <v>0</v>
      </c>
      <c r="AS135" s="292">
        <f t="shared" si="75"/>
        <v>0</v>
      </c>
      <c r="AT135" s="292">
        <f t="shared" si="76"/>
        <v>0</v>
      </c>
      <c r="AU135" s="292">
        <f t="shared" si="77"/>
        <v>0</v>
      </c>
      <c r="AV135" s="292">
        <f t="shared" si="78"/>
        <v>0</v>
      </c>
      <c r="AW135" s="292">
        <f t="shared" si="79"/>
        <v>0</v>
      </c>
      <c r="AX135" s="292">
        <f t="shared" si="80"/>
        <v>0</v>
      </c>
      <c r="AY135" s="292">
        <f t="shared" si="81"/>
        <v>0</v>
      </c>
      <c r="AZ135" s="292">
        <f t="shared" si="82"/>
        <v>0</v>
      </c>
      <c r="BA135" s="292">
        <f t="shared" si="83"/>
        <v>0</v>
      </c>
    </row>
    <row r="136" spans="1:53" s="289" customFormat="1" ht="15" customHeight="1">
      <c r="A136" s="63" t="str">
        <f t="array" ref="A136">IF(C136&lt;&gt;0,SUM(($C$11:C136&lt;&gt;0)*1),"")</f>
        <v/>
      </c>
      <c r="B136" s="290"/>
      <c r="C136" s="290"/>
      <c r="D136" s="290"/>
      <c r="E136" s="396"/>
      <c r="F136" s="345"/>
      <c r="G136" s="347"/>
      <c r="H136" s="347"/>
      <c r="I136" s="63" t="str">
        <f t="shared" si="90"/>
        <v/>
      </c>
      <c r="J136" s="292">
        <f t="shared" si="46"/>
        <v>0</v>
      </c>
      <c r="K136" s="292">
        <f t="shared" si="47"/>
        <v>0</v>
      </c>
      <c r="L136" s="292">
        <f t="shared" si="48"/>
        <v>0</v>
      </c>
      <c r="M136" s="292">
        <f t="shared" si="49"/>
        <v>0</v>
      </c>
      <c r="N136" s="292">
        <f t="shared" si="84"/>
        <v>0</v>
      </c>
      <c r="O136" s="292">
        <f t="shared" si="85"/>
        <v>0</v>
      </c>
      <c r="P136" s="292">
        <f t="shared" si="50"/>
        <v>0</v>
      </c>
      <c r="Q136" s="292">
        <f t="shared" si="51"/>
        <v>0</v>
      </c>
      <c r="R136" s="292">
        <f t="shared" si="52"/>
        <v>0</v>
      </c>
      <c r="S136" s="292">
        <f t="shared" si="53"/>
        <v>0</v>
      </c>
      <c r="T136" s="292">
        <f t="shared" si="86"/>
        <v>0</v>
      </c>
      <c r="U136" s="292">
        <f t="shared" si="87"/>
        <v>0</v>
      </c>
      <c r="V136" s="292">
        <f t="shared" si="54"/>
        <v>0</v>
      </c>
      <c r="W136" s="292">
        <f t="shared" si="55"/>
        <v>0</v>
      </c>
      <c r="X136" s="292">
        <f t="shared" si="56"/>
        <v>0</v>
      </c>
      <c r="Y136" s="292">
        <f t="shared" si="57"/>
        <v>0</v>
      </c>
      <c r="Z136" s="292">
        <f t="shared" si="58"/>
        <v>0</v>
      </c>
      <c r="AA136" s="292">
        <f t="shared" si="59"/>
        <v>0</v>
      </c>
      <c r="AB136" s="292">
        <f t="shared" si="60"/>
        <v>0</v>
      </c>
      <c r="AC136" s="292">
        <f t="shared" si="61"/>
        <v>0</v>
      </c>
      <c r="AD136" s="292">
        <f t="shared" si="62"/>
        <v>0</v>
      </c>
      <c r="AE136" s="292">
        <f t="shared" si="63"/>
        <v>0</v>
      </c>
      <c r="AF136" s="292">
        <f t="shared" si="88"/>
        <v>0</v>
      </c>
      <c r="AG136" s="292">
        <f t="shared" si="89"/>
        <v>0</v>
      </c>
      <c r="AH136" s="292">
        <f t="shared" si="64"/>
        <v>0</v>
      </c>
      <c r="AI136" s="292">
        <f t="shared" si="65"/>
        <v>0</v>
      </c>
      <c r="AJ136" s="292">
        <f t="shared" si="66"/>
        <v>0</v>
      </c>
      <c r="AK136" s="292">
        <f t="shared" si="67"/>
        <v>0</v>
      </c>
      <c r="AL136" s="292">
        <f t="shared" si="68"/>
        <v>0</v>
      </c>
      <c r="AM136" s="292">
        <f t="shared" si="69"/>
        <v>0</v>
      </c>
      <c r="AN136" s="292">
        <f t="shared" si="70"/>
        <v>0</v>
      </c>
      <c r="AO136" s="292">
        <f t="shared" si="71"/>
        <v>0</v>
      </c>
      <c r="AP136" s="292">
        <f t="shared" si="72"/>
        <v>0</v>
      </c>
      <c r="AQ136" s="292">
        <f t="shared" si="73"/>
        <v>0</v>
      </c>
      <c r="AR136" s="292">
        <f t="shared" si="74"/>
        <v>0</v>
      </c>
      <c r="AS136" s="292">
        <f t="shared" si="75"/>
        <v>0</v>
      </c>
      <c r="AT136" s="292">
        <f t="shared" si="76"/>
        <v>0</v>
      </c>
      <c r="AU136" s="292">
        <f t="shared" si="77"/>
        <v>0</v>
      </c>
      <c r="AV136" s="292">
        <f t="shared" si="78"/>
        <v>0</v>
      </c>
      <c r="AW136" s="292">
        <f t="shared" si="79"/>
        <v>0</v>
      </c>
      <c r="AX136" s="292">
        <f t="shared" si="80"/>
        <v>0</v>
      </c>
      <c r="AY136" s="292">
        <f t="shared" si="81"/>
        <v>0</v>
      </c>
      <c r="AZ136" s="292">
        <f t="shared" si="82"/>
        <v>0</v>
      </c>
      <c r="BA136" s="292">
        <f t="shared" si="83"/>
        <v>0</v>
      </c>
    </row>
    <row r="137" spans="1:53" s="289" customFormat="1" ht="15" customHeight="1">
      <c r="A137" s="63" t="str">
        <f t="array" ref="A137">IF(C137&lt;&gt;0,SUM(($C$11:C137&lt;&gt;0)*1),"")</f>
        <v/>
      </c>
      <c r="B137" s="290"/>
      <c r="C137" s="290"/>
      <c r="D137" s="290"/>
      <c r="E137" s="396"/>
      <c r="F137" s="345"/>
      <c r="G137" s="347"/>
      <c r="H137" s="347"/>
      <c r="I137" s="63" t="str">
        <f t="shared" si="90"/>
        <v/>
      </c>
      <c r="J137" s="292">
        <f t="shared" si="46"/>
        <v>0</v>
      </c>
      <c r="K137" s="292">
        <f t="shared" si="47"/>
        <v>0</v>
      </c>
      <c r="L137" s="292">
        <f t="shared" si="48"/>
        <v>0</v>
      </c>
      <c r="M137" s="292">
        <f t="shared" si="49"/>
        <v>0</v>
      </c>
      <c r="N137" s="292">
        <f t="shared" si="84"/>
        <v>0</v>
      </c>
      <c r="O137" s="292">
        <f t="shared" si="85"/>
        <v>0</v>
      </c>
      <c r="P137" s="292">
        <f t="shared" si="50"/>
        <v>0</v>
      </c>
      <c r="Q137" s="292">
        <f t="shared" si="51"/>
        <v>0</v>
      </c>
      <c r="R137" s="292">
        <f t="shared" si="52"/>
        <v>0</v>
      </c>
      <c r="S137" s="292">
        <f t="shared" si="53"/>
        <v>0</v>
      </c>
      <c r="T137" s="292">
        <f t="shared" si="86"/>
        <v>0</v>
      </c>
      <c r="U137" s="292">
        <f t="shared" si="87"/>
        <v>0</v>
      </c>
      <c r="V137" s="292">
        <f t="shared" si="54"/>
        <v>0</v>
      </c>
      <c r="W137" s="292">
        <f t="shared" si="55"/>
        <v>0</v>
      </c>
      <c r="X137" s="292">
        <f t="shared" si="56"/>
        <v>0</v>
      </c>
      <c r="Y137" s="292">
        <f t="shared" si="57"/>
        <v>0</v>
      </c>
      <c r="Z137" s="292">
        <f t="shared" si="58"/>
        <v>0</v>
      </c>
      <c r="AA137" s="292">
        <f t="shared" si="59"/>
        <v>0</v>
      </c>
      <c r="AB137" s="292">
        <f t="shared" si="60"/>
        <v>0</v>
      </c>
      <c r="AC137" s="292">
        <f t="shared" si="61"/>
        <v>0</v>
      </c>
      <c r="AD137" s="292">
        <f t="shared" si="62"/>
        <v>0</v>
      </c>
      <c r="AE137" s="292">
        <f t="shared" si="63"/>
        <v>0</v>
      </c>
      <c r="AF137" s="292">
        <f t="shared" si="88"/>
        <v>0</v>
      </c>
      <c r="AG137" s="292">
        <f t="shared" si="89"/>
        <v>0</v>
      </c>
      <c r="AH137" s="292">
        <f t="shared" si="64"/>
        <v>0</v>
      </c>
      <c r="AI137" s="292">
        <f t="shared" si="65"/>
        <v>0</v>
      </c>
      <c r="AJ137" s="292">
        <f t="shared" si="66"/>
        <v>0</v>
      </c>
      <c r="AK137" s="292">
        <f t="shared" si="67"/>
        <v>0</v>
      </c>
      <c r="AL137" s="292">
        <f t="shared" si="68"/>
        <v>0</v>
      </c>
      <c r="AM137" s="292">
        <f t="shared" si="69"/>
        <v>0</v>
      </c>
      <c r="AN137" s="292">
        <f t="shared" si="70"/>
        <v>0</v>
      </c>
      <c r="AO137" s="292">
        <f t="shared" si="71"/>
        <v>0</v>
      </c>
      <c r="AP137" s="292">
        <f t="shared" si="72"/>
        <v>0</v>
      </c>
      <c r="AQ137" s="292">
        <f t="shared" si="73"/>
        <v>0</v>
      </c>
      <c r="AR137" s="292">
        <f t="shared" si="74"/>
        <v>0</v>
      </c>
      <c r="AS137" s="292">
        <f t="shared" si="75"/>
        <v>0</v>
      </c>
      <c r="AT137" s="292">
        <f t="shared" si="76"/>
        <v>0</v>
      </c>
      <c r="AU137" s="292">
        <f t="shared" si="77"/>
        <v>0</v>
      </c>
      <c r="AV137" s="292">
        <f t="shared" si="78"/>
        <v>0</v>
      </c>
      <c r="AW137" s="292">
        <f t="shared" si="79"/>
        <v>0</v>
      </c>
      <c r="AX137" s="292">
        <f t="shared" si="80"/>
        <v>0</v>
      </c>
      <c r="AY137" s="292">
        <f t="shared" si="81"/>
        <v>0</v>
      </c>
      <c r="AZ137" s="292">
        <f t="shared" si="82"/>
        <v>0</v>
      </c>
      <c r="BA137" s="292">
        <f t="shared" si="83"/>
        <v>0</v>
      </c>
    </row>
    <row r="138" spans="1:53" s="289" customFormat="1" ht="15" customHeight="1">
      <c r="A138" s="63" t="str">
        <f t="array" ref="A138">IF(C138&lt;&gt;0,SUM(($C$11:C138&lt;&gt;0)*1),"")</f>
        <v/>
      </c>
      <c r="B138" s="290"/>
      <c r="C138" s="290"/>
      <c r="D138" s="290"/>
      <c r="E138" s="396"/>
      <c r="F138" s="345"/>
      <c r="G138" s="347"/>
      <c r="H138" s="347"/>
      <c r="I138" s="63" t="str">
        <f t="shared" si="90"/>
        <v/>
      </c>
      <c r="J138" s="292">
        <f t="shared" si="46"/>
        <v>0</v>
      </c>
      <c r="K138" s="292">
        <f t="shared" si="47"/>
        <v>0</v>
      </c>
      <c r="L138" s="292">
        <f t="shared" si="48"/>
        <v>0</v>
      </c>
      <c r="M138" s="292">
        <f t="shared" si="49"/>
        <v>0</v>
      </c>
      <c r="N138" s="292">
        <f t="shared" si="84"/>
        <v>0</v>
      </c>
      <c r="O138" s="292">
        <f t="shared" si="85"/>
        <v>0</v>
      </c>
      <c r="P138" s="292">
        <f t="shared" si="50"/>
        <v>0</v>
      </c>
      <c r="Q138" s="292">
        <f t="shared" si="51"/>
        <v>0</v>
      </c>
      <c r="R138" s="292">
        <f t="shared" si="52"/>
        <v>0</v>
      </c>
      <c r="S138" s="292">
        <f t="shared" si="53"/>
        <v>0</v>
      </c>
      <c r="T138" s="292">
        <f t="shared" si="86"/>
        <v>0</v>
      </c>
      <c r="U138" s="292">
        <f t="shared" si="87"/>
        <v>0</v>
      </c>
      <c r="V138" s="292">
        <f t="shared" si="54"/>
        <v>0</v>
      </c>
      <c r="W138" s="292">
        <f t="shared" si="55"/>
        <v>0</v>
      </c>
      <c r="X138" s="292">
        <f t="shared" si="56"/>
        <v>0</v>
      </c>
      <c r="Y138" s="292">
        <f t="shared" si="57"/>
        <v>0</v>
      </c>
      <c r="Z138" s="292">
        <f t="shared" si="58"/>
        <v>0</v>
      </c>
      <c r="AA138" s="292">
        <f t="shared" si="59"/>
        <v>0</v>
      </c>
      <c r="AB138" s="292">
        <f t="shared" si="60"/>
        <v>0</v>
      </c>
      <c r="AC138" s="292">
        <f t="shared" si="61"/>
        <v>0</v>
      </c>
      <c r="AD138" s="292">
        <f t="shared" si="62"/>
        <v>0</v>
      </c>
      <c r="AE138" s="292">
        <f t="shared" si="63"/>
        <v>0</v>
      </c>
      <c r="AF138" s="292">
        <f t="shared" si="88"/>
        <v>0</v>
      </c>
      <c r="AG138" s="292">
        <f t="shared" si="89"/>
        <v>0</v>
      </c>
      <c r="AH138" s="292">
        <f t="shared" si="64"/>
        <v>0</v>
      </c>
      <c r="AI138" s="292">
        <f t="shared" si="65"/>
        <v>0</v>
      </c>
      <c r="AJ138" s="292">
        <f t="shared" si="66"/>
        <v>0</v>
      </c>
      <c r="AK138" s="292">
        <f t="shared" si="67"/>
        <v>0</v>
      </c>
      <c r="AL138" s="292">
        <f t="shared" si="68"/>
        <v>0</v>
      </c>
      <c r="AM138" s="292">
        <f t="shared" si="69"/>
        <v>0</v>
      </c>
      <c r="AN138" s="292">
        <f t="shared" si="70"/>
        <v>0</v>
      </c>
      <c r="AO138" s="292">
        <f t="shared" si="71"/>
        <v>0</v>
      </c>
      <c r="AP138" s="292">
        <f t="shared" si="72"/>
        <v>0</v>
      </c>
      <c r="AQ138" s="292">
        <f t="shared" si="73"/>
        <v>0</v>
      </c>
      <c r="AR138" s="292">
        <f t="shared" si="74"/>
        <v>0</v>
      </c>
      <c r="AS138" s="292">
        <f t="shared" si="75"/>
        <v>0</v>
      </c>
      <c r="AT138" s="292">
        <f t="shared" si="76"/>
        <v>0</v>
      </c>
      <c r="AU138" s="292">
        <f t="shared" si="77"/>
        <v>0</v>
      </c>
      <c r="AV138" s="292">
        <f t="shared" si="78"/>
        <v>0</v>
      </c>
      <c r="AW138" s="292">
        <f t="shared" si="79"/>
        <v>0</v>
      </c>
      <c r="AX138" s="292">
        <f t="shared" si="80"/>
        <v>0</v>
      </c>
      <c r="AY138" s="292">
        <f t="shared" si="81"/>
        <v>0</v>
      </c>
      <c r="AZ138" s="292">
        <f t="shared" si="82"/>
        <v>0</v>
      </c>
      <c r="BA138" s="292">
        <f t="shared" si="83"/>
        <v>0</v>
      </c>
    </row>
    <row r="139" spans="1:53" s="289" customFormat="1" ht="15" customHeight="1">
      <c r="A139" s="63" t="str">
        <f t="array" ref="A139">IF(C139&lt;&gt;0,SUM(($C$11:C139&lt;&gt;0)*1),"")</f>
        <v/>
      </c>
      <c r="B139" s="290"/>
      <c r="C139" s="290"/>
      <c r="D139" s="290"/>
      <c r="E139" s="396"/>
      <c r="F139" s="345"/>
      <c r="G139" s="347"/>
      <c r="H139" s="347"/>
      <c r="I139" s="63" t="str">
        <f t="shared" si="90"/>
        <v/>
      </c>
      <c r="J139" s="292">
        <f t="shared" ref="J139:J154" si="91">IF($G139="1111",$F139,0)</f>
        <v>0</v>
      </c>
      <c r="K139" s="292">
        <f t="shared" ref="K139:K154" si="92">IF($H139="1111",$F139,0)</f>
        <v>0</v>
      </c>
      <c r="L139" s="292">
        <f t="shared" ref="L139:L154" si="93">IF($G139="1121",$F139,0)</f>
        <v>0</v>
      </c>
      <c r="M139" s="292">
        <f t="shared" ref="M139:M154" si="94">IF($H139="1121",$F139,0)</f>
        <v>0</v>
      </c>
      <c r="N139" s="292">
        <f t="shared" si="84"/>
        <v>0</v>
      </c>
      <c r="O139" s="292">
        <f t="shared" si="85"/>
        <v>0</v>
      </c>
      <c r="P139" s="292">
        <f t="shared" ref="P139:P154" si="95">IF($G139="1331",$F139,0)</f>
        <v>0</v>
      </c>
      <c r="Q139" s="292">
        <f t="shared" ref="Q139:Q154" si="96">IF($H139="1331",$F139,0)</f>
        <v>0</v>
      </c>
      <c r="R139" s="292">
        <f t="shared" ref="R139:R154" si="97">IF($G139="1388",$F139,0)</f>
        <v>0</v>
      </c>
      <c r="S139" s="292">
        <f t="shared" ref="S139:S154" si="98">IF($H139="1388",$F139,0)</f>
        <v>0</v>
      </c>
      <c r="T139" s="292">
        <f t="shared" si="86"/>
        <v>0</v>
      </c>
      <c r="U139" s="292">
        <f t="shared" si="87"/>
        <v>0</v>
      </c>
      <c r="V139" s="292">
        <f t="shared" ref="V139:V154" si="99">IF($G139="331",$F139,0)</f>
        <v>0</v>
      </c>
      <c r="W139" s="292">
        <f t="shared" ref="W139:W154" si="100">IF($H139="331",$F139,0)</f>
        <v>0</v>
      </c>
      <c r="X139" s="292">
        <f t="shared" ref="X139:X154" si="101">IF($G139="3334",$F139,0)</f>
        <v>0</v>
      </c>
      <c r="Y139" s="292">
        <f t="shared" ref="Y139:Y154" si="102">IF($H139="3334",$F139,0)</f>
        <v>0</v>
      </c>
      <c r="Z139" s="292">
        <f t="shared" ref="Z139:Z154" si="103">IF($G139="33382",$F139,0)</f>
        <v>0</v>
      </c>
      <c r="AA139" s="292">
        <f t="shared" ref="AA139:AA154" si="104">IF($H139="33382",$F139,0)</f>
        <v>0</v>
      </c>
      <c r="AB139" s="292">
        <f t="shared" ref="AB139:AB154" si="105">IF($G139="3388",$F139,0)</f>
        <v>0</v>
      </c>
      <c r="AC139" s="292">
        <f t="shared" ref="AC139:AC154" si="106">IF($H139="3388",$F139,0)</f>
        <v>0</v>
      </c>
      <c r="AD139" s="292">
        <f t="shared" ref="AD139:AD154" si="107">IF($G139="3411",$F139,0)</f>
        <v>0</v>
      </c>
      <c r="AE139" s="292">
        <f t="shared" ref="AE139:AE154" si="108">IF($H139="3411",$F139,0)</f>
        <v>0</v>
      </c>
      <c r="AF139" s="292">
        <f t="shared" si="88"/>
        <v>0</v>
      </c>
      <c r="AG139" s="292">
        <f t="shared" si="89"/>
        <v>0</v>
      </c>
      <c r="AH139" s="292">
        <f t="shared" ref="AH139:AH154" si="109">IF($G139="4111",$F139,0)</f>
        <v>0</v>
      </c>
      <c r="AI139" s="292">
        <f t="shared" ref="AI139:AI154" si="110">IF($H139="4111",$F139,0)</f>
        <v>0</v>
      </c>
      <c r="AJ139" s="292">
        <f t="shared" ref="AJ139:AJ154" si="111">IF($G139="4211",$F139,0)</f>
        <v>0</v>
      </c>
      <c r="AK139" s="292">
        <f t="shared" ref="AK139:AK154" si="112">IF($H139="4211",$F139,0)</f>
        <v>0</v>
      </c>
      <c r="AL139" s="292">
        <f t="shared" ref="AL139:AL154" si="113">IF($G139="4212",$F139,0)</f>
        <v>0</v>
      </c>
      <c r="AM139" s="292">
        <f t="shared" ref="AM139:AM154" si="114">IF($H139="4212",$F139,0)</f>
        <v>0</v>
      </c>
      <c r="AN139" s="292">
        <f t="shared" ref="AN139:AN154" si="115">IF($G139="515",$F139,0)</f>
        <v>0</v>
      </c>
      <c r="AO139" s="292">
        <f t="shared" ref="AO139:AO154" si="116">IF($H139="515",$F139,0)</f>
        <v>0</v>
      </c>
      <c r="AP139" s="292">
        <f t="shared" ref="AP139:AP154" si="117">IF($G139="635",$F139,0)</f>
        <v>0</v>
      </c>
      <c r="AQ139" s="292">
        <f t="shared" ref="AQ139:AQ154" si="118">IF($H139="635",$F139,0)</f>
        <v>0</v>
      </c>
      <c r="AR139" s="292">
        <f t="shared" ref="AR139:AR154" si="119">IF($G139="642",$F139,0)</f>
        <v>0</v>
      </c>
      <c r="AS139" s="292">
        <f t="shared" ref="AS139:AS154" si="120">IF($H139="642",$F139,0)</f>
        <v>0</v>
      </c>
      <c r="AT139" s="292">
        <f t="shared" ref="AT139:AT154" si="121">IF($G139="711",$F139,0)</f>
        <v>0</v>
      </c>
      <c r="AU139" s="292">
        <f t="shared" ref="AU139:AU154" si="122">IF($H139="711",$F139,0)</f>
        <v>0</v>
      </c>
      <c r="AV139" s="292">
        <f t="shared" ref="AV139:AV154" si="123">IF($G139="811",$F139,0)</f>
        <v>0</v>
      </c>
      <c r="AW139" s="292">
        <f t="shared" ref="AW139:AW154" si="124">IF($H139="811",$F139,0)</f>
        <v>0</v>
      </c>
      <c r="AX139" s="292">
        <f t="shared" ref="AX139:AX154" si="125">IF($G139="821",$F139,0)</f>
        <v>0</v>
      </c>
      <c r="AY139" s="292">
        <f t="shared" ref="AY139:AY154" si="126">IF($H139="821",$F139,0)</f>
        <v>0</v>
      </c>
      <c r="AZ139" s="292">
        <f t="shared" ref="AZ139:AZ154" si="127">IF($G139="911",$F139,0)</f>
        <v>0</v>
      </c>
      <c r="BA139" s="292">
        <f t="shared" ref="BA139:BA154" si="128">IF($H139="911",$F139,0)</f>
        <v>0</v>
      </c>
    </row>
    <row r="140" spans="1:53" s="289" customFormat="1" ht="15" customHeight="1">
      <c r="A140" s="63" t="str">
        <f t="array" ref="A140">IF(C140&lt;&gt;0,SUM(($C$11:C140&lt;&gt;0)*1),"")</f>
        <v/>
      </c>
      <c r="B140" s="290"/>
      <c r="C140" s="290"/>
      <c r="D140" s="290"/>
      <c r="E140" s="396"/>
      <c r="F140" s="345"/>
      <c r="G140" s="347"/>
      <c r="H140" s="347"/>
      <c r="I140" s="63" t="str">
        <f t="shared" si="90"/>
        <v/>
      </c>
      <c r="J140" s="292">
        <f t="shared" si="91"/>
        <v>0</v>
      </c>
      <c r="K140" s="292">
        <f t="shared" si="92"/>
        <v>0</v>
      </c>
      <c r="L140" s="292">
        <f t="shared" si="93"/>
        <v>0</v>
      </c>
      <c r="M140" s="292">
        <f t="shared" si="94"/>
        <v>0</v>
      </c>
      <c r="N140" s="292">
        <f t="shared" ref="N140:N154" si="129">IF($G140="1122",$F140,0)</f>
        <v>0</v>
      </c>
      <c r="O140" s="292">
        <f t="shared" ref="O140:O154" si="130">IF($H140="1122",$F140,0)</f>
        <v>0</v>
      </c>
      <c r="P140" s="292">
        <f t="shared" si="95"/>
        <v>0</v>
      </c>
      <c r="Q140" s="292">
        <f t="shared" si="96"/>
        <v>0</v>
      </c>
      <c r="R140" s="292">
        <f t="shared" si="97"/>
        <v>0</v>
      </c>
      <c r="S140" s="292">
        <f t="shared" si="98"/>
        <v>0</v>
      </c>
      <c r="T140" s="292">
        <f t="shared" ref="T140:T154" si="131">IF($G140="2412",$F140,0)</f>
        <v>0</v>
      </c>
      <c r="U140" s="292">
        <f t="shared" ref="U140:U154" si="132">IF($H140="2412",$F140,0)</f>
        <v>0</v>
      </c>
      <c r="V140" s="292">
        <f t="shared" si="99"/>
        <v>0</v>
      </c>
      <c r="W140" s="292">
        <f t="shared" si="100"/>
        <v>0</v>
      </c>
      <c r="X140" s="292">
        <f t="shared" si="101"/>
        <v>0</v>
      </c>
      <c r="Y140" s="292">
        <f t="shared" si="102"/>
        <v>0</v>
      </c>
      <c r="Z140" s="292">
        <f t="shared" si="103"/>
        <v>0</v>
      </c>
      <c r="AA140" s="292">
        <f t="shared" si="104"/>
        <v>0</v>
      </c>
      <c r="AB140" s="292">
        <f t="shared" si="105"/>
        <v>0</v>
      </c>
      <c r="AC140" s="292">
        <f t="shared" si="106"/>
        <v>0</v>
      </c>
      <c r="AD140" s="292">
        <f t="shared" si="107"/>
        <v>0</v>
      </c>
      <c r="AE140" s="292">
        <f t="shared" si="108"/>
        <v>0</v>
      </c>
      <c r="AF140" s="292">
        <f t="shared" ref="AF140:AF154" si="133">IF($G140="3412",$F140,0)</f>
        <v>0</v>
      </c>
      <c r="AG140" s="292">
        <f t="shared" ref="AG140:AG154" si="134">IF($H140="3412",$F140,0)</f>
        <v>0</v>
      </c>
      <c r="AH140" s="292">
        <f t="shared" si="109"/>
        <v>0</v>
      </c>
      <c r="AI140" s="292">
        <f t="shared" si="110"/>
        <v>0</v>
      </c>
      <c r="AJ140" s="292">
        <f t="shared" si="111"/>
        <v>0</v>
      </c>
      <c r="AK140" s="292">
        <f t="shared" si="112"/>
        <v>0</v>
      </c>
      <c r="AL140" s="292">
        <f t="shared" si="113"/>
        <v>0</v>
      </c>
      <c r="AM140" s="292">
        <f t="shared" si="114"/>
        <v>0</v>
      </c>
      <c r="AN140" s="292">
        <f t="shared" si="115"/>
        <v>0</v>
      </c>
      <c r="AO140" s="292">
        <f t="shared" si="116"/>
        <v>0</v>
      </c>
      <c r="AP140" s="292">
        <f t="shared" si="117"/>
        <v>0</v>
      </c>
      <c r="AQ140" s="292">
        <f t="shared" si="118"/>
        <v>0</v>
      </c>
      <c r="AR140" s="292">
        <f t="shared" si="119"/>
        <v>0</v>
      </c>
      <c r="AS140" s="292">
        <f t="shared" si="120"/>
        <v>0</v>
      </c>
      <c r="AT140" s="292">
        <f t="shared" si="121"/>
        <v>0</v>
      </c>
      <c r="AU140" s="292">
        <f t="shared" si="122"/>
        <v>0</v>
      </c>
      <c r="AV140" s="292">
        <f t="shared" si="123"/>
        <v>0</v>
      </c>
      <c r="AW140" s="292">
        <f t="shared" si="124"/>
        <v>0</v>
      </c>
      <c r="AX140" s="292">
        <f t="shared" si="125"/>
        <v>0</v>
      </c>
      <c r="AY140" s="292">
        <f t="shared" si="126"/>
        <v>0</v>
      </c>
      <c r="AZ140" s="292">
        <f t="shared" si="127"/>
        <v>0</v>
      </c>
      <c r="BA140" s="292">
        <f t="shared" si="128"/>
        <v>0</v>
      </c>
    </row>
    <row r="141" spans="1:53" s="289" customFormat="1" ht="15" customHeight="1">
      <c r="A141" s="63" t="str">
        <f t="array" ref="A141">IF(C141&lt;&gt;0,SUM(($C$11:C141&lt;&gt;0)*1),"")</f>
        <v/>
      </c>
      <c r="B141" s="290"/>
      <c r="C141" s="290"/>
      <c r="D141" s="290"/>
      <c r="E141" s="396"/>
      <c r="F141" s="345"/>
      <c r="G141" s="347"/>
      <c r="H141" s="347"/>
      <c r="I141" s="63" t="str">
        <f t="shared" si="90"/>
        <v/>
      </c>
      <c r="J141" s="292">
        <f t="shared" si="91"/>
        <v>0</v>
      </c>
      <c r="K141" s="292">
        <f t="shared" si="92"/>
        <v>0</v>
      </c>
      <c r="L141" s="292">
        <f t="shared" si="93"/>
        <v>0</v>
      </c>
      <c r="M141" s="292">
        <f t="shared" si="94"/>
        <v>0</v>
      </c>
      <c r="N141" s="292">
        <f t="shared" si="129"/>
        <v>0</v>
      </c>
      <c r="O141" s="292">
        <f t="shared" si="130"/>
        <v>0</v>
      </c>
      <c r="P141" s="292">
        <f t="shared" si="95"/>
        <v>0</v>
      </c>
      <c r="Q141" s="292">
        <f t="shared" si="96"/>
        <v>0</v>
      </c>
      <c r="R141" s="292">
        <f t="shared" si="97"/>
        <v>0</v>
      </c>
      <c r="S141" s="292">
        <f t="shared" si="98"/>
        <v>0</v>
      </c>
      <c r="T141" s="292">
        <f t="shared" si="131"/>
        <v>0</v>
      </c>
      <c r="U141" s="292">
        <f t="shared" si="132"/>
        <v>0</v>
      </c>
      <c r="V141" s="292">
        <f t="shared" si="99"/>
        <v>0</v>
      </c>
      <c r="W141" s="292">
        <f t="shared" si="100"/>
        <v>0</v>
      </c>
      <c r="X141" s="292">
        <f t="shared" si="101"/>
        <v>0</v>
      </c>
      <c r="Y141" s="292">
        <f t="shared" si="102"/>
        <v>0</v>
      </c>
      <c r="Z141" s="292">
        <f t="shared" si="103"/>
        <v>0</v>
      </c>
      <c r="AA141" s="292">
        <f t="shared" si="104"/>
        <v>0</v>
      </c>
      <c r="AB141" s="292">
        <f t="shared" si="105"/>
        <v>0</v>
      </c>
      <c r="AC141" s="292">
        <f t="shared" si="106"/>
        <v>0</v>
      </c>
      <c r="AD141" s="292">
        <f t="shared" si="107"/>
        <v>0</v>
      </c>
      <c r="AE141" s="292">
        <f t="shared" si="108"/>
        <v>0</v>
      </c>
      <c r="AF141" s="292">
        <f t="shared" si="133"/>
        <v>0</v>
      </c>
      <c r="AG141" s="292">
        <f t="shared" si="134"/>
        <v>0</v>
      </c>
      <c r="AH141" s="292">
        <f t="shared" si="109"/>
        <v>0</v>
      </c>
      <c r="AI141" s="292">
        <f t="shared" si="110"/>
        <v>0</v>
      </c>
      <c r="AJ141" s="292">
        <f t="shared" si="111"/>
        <v>0</v>
      </c>
      <c r="AK141" s="292">
        <f t="shared" si="112"/>
        <v>0</v>
      </c>
      <c r="AL141" s="292">
        <f t="shared" si="113"/>
        <v>0</v>
      </c>
      <c r="AM141" s="292">
        <f t="shared" si="114"/>
        <v>0</v>
      </c>
      <c r="AN141" s="292">
        <f t="shared" si="115"/>
        <v>0</v>
      </c>
      <c r="AO141" s="292">
        <f t="shared" si="116"/>
        <v>0</v>
      </c>
      <c r="AP141" s="292">
        <f t="shared" si="117"/>
        <v>0</v>
      </c>
      <c r="AQ141" s="292">
        <f t="shared" si="118"/>
        <v>0</v>
      </c>
      <c r="AR141" s="292">
        <f t="shared" si="119"/>
        <v>0</v>
      </c>
      <c r="AS141" s="292">
        <f t="shared" si="120"/>
        <v>0</v>
      </c>
      <c r="AT141" s="292">
        <f t="shared" si="121"/>
        <v>0</v>
      </c>
      <c r="AU141" s="292">
        <f t="shared" si="122"/>
        <v>0</v>
      </c>
      <c r="AV141" s="292">
        <f t="shared" si="123"/>
        <v>0</v>
      </c>
      <c r="AW141" s="292">
        <f t="shared" si="124"/>
        <v>0</v>
      </c>
      <c r="AX141" s="292">
        <f t="shared" si="125"/>
        <v>0</v>
      </c>
      <c r="AY141" s="292">
        <f t="shared" si="126"/>
        <v>0</v>
      </c>
      <c r="AZ141" s="292">
        <f t="shared" si="127"/>
        <v>0</v>
      </c>
      <c r="BA141" s="292">
        <f t="shared" si="128"/>
        <v>0</v>
      </c>
    </row>
    <row r="142" spans="1:53" s="289" customFormat="1" ht="15" customHeight="1">
      <c r="A142" s="63" t="str">
        <f t="array" ref="A142">IF(C142&lt;&gt;0,SUM(($C$11:C142&lt;&gt;0)*1),"")</f>
        <v/>
      </c>
      <c r="B142" s="290"/>
      <c r="C142" s="290"/>
      <c r="D142" s="290"/>
      <c r="E142" s="396"/>
      <c r="F142" s="345"/>
      <c r="G142" s="347"/>
      <c r="H142" s="347"/>
      <c r="I142" s="63" t="str">
        <f t="shared" si="90"/>
        <v/>
      </c>
      <c r="J142" s="292">
        <f t="shared" si="91"/>
        <v>0</v>
      </c>
      <c r="K142" s="292">
        <f t="shared" si="92"/>
        <v>0</v>
      </c>
      <c r="L142" s="292">
        <f t="shared" si="93"/>
        <v>0</v>
      </c>
      <c r="M142" s="292">
        <f t="shared" si="94"/>
        <v>0</v>
      </c>
      <c r="N142" s="292">
        <f t="shared" si="129"/>
        <v>0</v>
      </c>
      <c r="O142" s="292">
        <f t="shared" si="130"/>
        <v>0</v>
      </c>
      <c r="P142" s="292">
        <f t="shared" si="95"/>
        <v>0</v>
      </c>
      <c r="Q142" s="292">
        <f t="shared" si="96"/>
        <v>0</v>
      </c>
      <c r="R142" s="292">
        <f t="shared" si="97"/>
        <v>0</v>
      </c>
      <c r="S142" s="292">
        <f t="shared" si="98"/>
        <v>0</v>
      </c>
      <c r="T142" s="292">
        <f t="shared" si="131"/>
        <v>0</v>
      </c>
      <c r="U142" s="292">
        <f t="shared" si="132"/>
        <v>0</v>
      </c>
      <c r="V142" s="292">
        <f t="shared" si="99"/>
        <v>0</v>
      </c>
      <c r="W142" s="292">
        <f t="shared" si="100"/>
        <v>0</v>
      </c>
      <c r="X142" s="292">
        <f t="shared" si="101"/>
        <v>0</v>
      </c>
      <c r="Y142" s="292">
        <f t="shared" si="102"/>
        <v>0</v>
      </c>
      <c r="Z142" s="292">
        <f t="shared" si="103"/>
        <v>0</v>
      </c>
      <c r="AA142" s="292">
        <f t="shared" si="104"/>
        <v>0</v>
      </c>
      <c r="AB142" s="292">
        <f t="shared" si="105"/>
        <v>0</v>
      </c>
      <c r="AC142" s="292">
        <f t="shared" si="106"/>
        <v>0</v>
      </c>
      <c r="AD142" s="292">
        <f t="shared" si="107"/>
        <v>0</v>
      </c>
      <c r="AE142" s="292">
        <f t="shared" si="108"/>
        <v>0</v>
      </c>
      <c r="AF142" s="292">
        <f t="shared" si="133"/>
        <v>0</v>
      </c>
      <c r="AG142" s="292">
        <f t="shared" si="134"/>
        <v>0</v>
      </c>
      <c r="AH142" s="292">
        <f t="shared" si="109"/>
        <v>0</v>
      </c>
      <c r="AI142" s="292">
        <f t="shared" si="110"/>
        <v>0</v>
      </c>
      <c r="AJ142" s="292">
        <f t="shared" si="111"/>
        <v>0</v>
      </c>
      <c r="AK142" s="292">
        <f t="shared" si="112"/>
        <v>0</v>
      </c>
      <c r="AL142" s="292">
        <f t="shared" si="113"/>
        <v>0</v>
      </c>
      <c r="AM142" s="292">
        <f t="shared" si="114"/>
        <v>0</v>
      </c>
      <c r="AN142" s="292">
        <f t="shared" si="115"/>
        <v>0</v>
      </c>
      <c r="AO142" s="292">
        <f t="shared" si="116"/>
        <v>0</v>
      </c>
      <c r="AP142" s="292">
        <f t="shared" si="117"/>
        <v>0</v>
      </c>
      <c r="AQ142" s="292">
        <f t="shared" si="118"/>
        <v>0</v>
      </c>
      <c r="AR142" s="292">
        <f t="shared" si="119"/>
        <v>0</v>
      </c>
      <c r="AS142" s="292">
        <f t="shared" si="120"/>
        <v>0</v>
      </c>
      <c r="AT142" s="292">
        <f t="shared" si="121"/>
        <v>0</v>
      </c>
      <c r="AU142" s="292">
        <f t="shared" si="122"/>
        <v>0</v>
      </c>
      <c r="AV142" s="292">
        <f t="shared" si="123"/>
        <v>0</v>
      </c>
      <c r="AW142" s="292">
        <f t="shared" si="124"/>
        <v>0</v>
      </c>
      <c r="AX142" s="292">
        <f t="shared" si="125"/>
        <v>0</v>
      </c>
      <c r="AY142" s="292">
        <f t="shared" si="126"/>
        <v>0</v>
      </c>
      <c r="AZ142" s="292">
        <f t="shared" si="127"/>
        <v>0</v>
      </c>
      <c r="BA142" s="292">
        <f t="shared" si="128"/>
        <v>0</v>
      </c>
    </row>
    <row r="143" spans="1:53" s="289" customFormat="1" ht="15" customHeight="1">
      <c r="A143" s="63" t="str">
        <f t="array" ref="A143">IF(C143&lt;&gt;0,SUM(($C$11:C143&lt;&gt;0)*1),"")</f>
        <v/>
      </c>
      <c r="B143" s="290"/>
      <c r="C143" s="290"/>
      <c r="D143" s="290"/>
      <c r="E143" s="396"/>
      <c r="F143" s="345"/>
      <c r="G143" s="347"/>
      <c r="H143" s="347"/>
      <c r="I143" s="63" t="str">
        <f t="shared" si="90"/>
        <v/>
      </c>
      <c r="J143" s="292">
        <f t="shared" si="91"/>
        <v>0</v>
      </c>
      <c r="K143" s="292">
        <f t="shared" si="92"/>
        <v>0</v>
      </c>
      <c r="L143" s="292">
        <f t="shared" si="93"/>
        <v>0</v>
      </c>
      <c r="M143" s="292">
        <f t="shared" si="94"/>
        <v>0</v>
      </c>
      <c r="N143" s="292">
        <f t="shared" si="129"/>
        <v>0</v>
      </c>
      <c r="O143" s="292">
        <f t="shared" si="130"/>
        <v>0</v>
      </c>
      <c r="P143" s="292">
        <f t="shared" si="95"/>
        <v>0</v>
      </c>
      <c r="Q143" s="292">
        <f t="shared" si="96"/>
        <v>0</v>
      </c>
      <c r="R143" s="292">
        <f t="shared" si="97"/>
        <v>0</v>
      </c>
      <c r="S143" s="292">
        <f t="shared" si="98"/>
        <v>0</v>
      </c>
      <c r="T143" s="292">
        <f t="shared" si="131"/>
        <v>0</v>
      </c>
      <c r="U143" s="292">
        <f t="shared" si="132"/>
        <v>0</v>
      </c>
      <c r="V143" s="292">
        <f t="shared" si="99"/>
        <v>0</v>
      </c>
      <c r="W143" s="292">
        <f t="shared" si="100"/>
        <v>0</v>
      </c>
      <c r="X143" s="292">
        <f t="shared" si="101"/>
        <v>0</v>
      </c>
      <c r="Y143" s="292">
        <f t="shared" si="102"/>
        <v>0</v>
      </c>
      <c r="Z143" s="292">
        <f t="shared" si="103"/>
        <v>0</v>
      </c>
      <c r="AA143" s="292">
        <f t="shared" si="104"/>
        <v>0</v>
      </c>
      <c r="AB143" s="292">
        <f t="shared" si="105"/>
        <v>0</v>
      </c>
      <c r="AC143" s="292">
        <f t="shared" si="106"/>
        <v>0</v>
      </c>
      <c r="AD143" s="292">
        <f t="shared" si="107"/>
        <v>0</v>
      </c>
      <c r="AE143" s="292">
        <f t="shared" si="108"/>
        <v>0</v>
      </c>
      <c r="AF143" s="292">
        <f t="shared" si="133"/>
        <v>0</v>
      </c>
      <c r="AG143" s="292">
        <f t="shared" si="134"/>
        <v>0</v>
      </c>
      <c r="AH143" s="292">
        <f t="shared" si="109"/>
        <v>0</v>
      </c>
      <c r="AI143" s="292">
        <f t="shared" si="110"/>
        <v>0</v>
      </c>
      <c r="AJ143" s="292">
        <f t="shared" si="111"/>
        <v>0</v>
      </c>
      <c r="AK143" s="292">
        <f t="shared" si="112"/>
        <v>0</v>
      </c>
      <c r="AL143" s="292">
        <f t="shared" si="113"/>
        <v>0</v>
      </c>
      <c r="AM143" s="292">
        <f t="shared" si="114"/>
        <v>0</v>
      </c>
      <c r="AN143" s="292">
        <f t="shared" si="115"/>
        <v>0</v>
      </c>
      <c r="AO143" s="292">
        <f t="shared" si="116"/>
        <v>0</v>
      </c>
      <c r="AP143" s="292">
        <f t="shared" si="117"/>
        <v>0</v>
      </c>
      <c r="AQ143" s="292">
        <f t="shared" si="118"/>
        <v>0</v>
      </c>
      <c r="AR143" s="292">
        <f t="shared" si="119"/>
        <v>0</v>
      </c>
      <c r="AS143" s="292">
        <f t="shared" si="120"/>
        <v>0</v>
      </c>
      <c r="AT143" s="292">
        <f t="shared" si="121"/>
        <v>0</v>
      </c>
      <c r="AU143" s="292">
        <f t="shared" si="122"/>
        <v>0</v>
      </c>
      <c r="AV143" s="292">
        <f t="shared" si="123"/>
        <v>0</v>
      </c>
      <c r="AW143" s="292">
        <f t="shared" si="124"/>
        <v>0</v>
      </c>
      <c r="AX143" s="292">
        <f t="shared" si="125"/>
        <v>0</v>
      </c>
      <c r="AY143" s="292">
        <f t="shared" si="126"/>
        <v>0</v>
      </c>
      <c r="AZ143" s="292">
        <f t="shared" si="127"/>
        <v>0</v>
      </c>
      <c r="BA143" s="292">
        <f t="shared" si="128"/>
        <v>0</v>
      </c>
    </row>
    <row r="144" spans="1:53" s="289" customFormat="1" ht="15" customHeight="1">
      <c r="A144" s="63" t="str">
        <f t="array" ref="A144">IF(C144&lt;&gt;0,SUM(($C$11:C144&lt;&gt;0)*1),"")</f>
        <v/>
      </c>
      <c r="B144" s="290"/>
      <c r="C144" s="290"/>
      <c r="D144" s="290"/>
      <c r="E144" s="396"/>
      <c r="F144" s="345"/>
      <c r="G144" s="347"/>
      <c r="H144" s="347"/>
      <c r="I144" s="63" t="str">
        <f t="shared" si="90"/>
        <v/>
      </c>
      <c r="J144" s="292">
        <f t="shared" si="91"/>
        <v>0</v>
      </c>
      <c r="K144" s="292">
        <f t="shared" si="92"/>
        <v>0</v>
      </c>
      <c r="L144" s="292">
        <f t="shared" si="93"/>
        <v>0</v>
      </c>
      <c r="M144" s="292">
        <f t="shared" si="94"/>
        <v>0</v>
      </c>
      <c r="N144" s="292">
        <f t="shared" si="129"/>
        <v>0</v>
      </c>
      <c r="O144" s="292">
        <f t="shared" si="130"/>
        <v>0</v>
      </c>
      <c r="P144" s="292">
        <f t="shared" si="95"/>
        <v>0</v>
      </c>
      <c r="Q144" s="292">
        <f t="shared" si="96"/>
        <v>0</v>
      </c>
      <c r="R144" s="292">
        <f t="shared" si="97"/>
        <v>0</v>
      </c>
      <c r="S144" s="292">
        <f t="shared" si="98"/>
        <v>0</v>
      </c>
      <c r="T144" s="292">
        <f t="shared" si="131"/>
        <v>0</v>
      </c>
      <c r="U144" s="292">
        <f t="shared" si="132"/>
        <v>0</v>
      </c>
      <c r="V144" s="292">
        <f t="shared" si="99"/>
        <v>0</v>
      </c>
      <c r="W144" s="292">
        <f t="shared" si="100"/>
        <v>0</v>
      </c>
      <c r="X144" s="292">
        <f t="shared" si="101"/>
        <v>0</v>
      </c>
      <c r="Y144" s="292">
        <f t="shared" si="102"/>
        <v>0</v>
      </c>
      <c r="Z144" s="292">
        <f t="shared" si="103"/>
        <v>0</v>
      </c>
      <c r="AA144" s="292">
        <f t="shared" si="104"/>
        <v>0</v>
      </c>
      <c r="AB144" s="292">
        <f t="shared" si="105"/>
        <v>0</v>
      </c>
      <c r="AC144" s="292">
        <f t="shared" si="106"/>
        <v>0</v>
      </c>
      <c r="AD144" s="292">
        <f t="shared" si="107"/>
        <v>0</v>
      </c>
      <c r="AE144" s="292">
        <f t="shared" si="108"/>
        <v>0</v>
      </c>
      <c r="AF144" s="292">
        <f t="shared" si="133"/>
        <v>0</v>
      </c>
      <c r="AG144" s="292">
        <f t="shared" si="134"/>
        <v>0</v>
      </c>
      <c r="AH144" s="292">
        <f t="shared" si="109"/>
        <v>0</v>
      </c>
      <c r="AI144" s="292">
        <f t="shared" si="110"/>
        <v>0</v>
      </c>
      <c r="AJ144" s="292">
        <f t="shared" si="111"/>
        <v>0</v>
      </c>
      <c r="AK144" s="292">
        <f t="shared" si="112"/>
        <v>0</v>
      </c>
      <c r="AL144" s="292">
        <f t="shared" si="113"/>
        <v>0</v>
      </c>
      <c r="AM144" s="292">
        <f t="shared" si="114"/>
        <v>0</v>
      </c>
      <c r="AN144" s="292">
        <f t="shared" si="115"/>
        <v>0</v>
      </c>
      <c r="AO144" s="292">
        <f t="shared" si="116"/>
        <v>0</v>
      </c>
      <c r="AP144" s="292">
        <f t="shared" si="117"/>
        <v>0</v>
      </c>
      <c r="AQ144" s="292">
        <f t="shared" si="118"/>
        <v>0</v>
      </c>
      <c r="AR144" s="292">
        <f t="shared" si="119"/>
        <v>0</v>
      </c>
      <c r="AS144" s="292">
        <f t="shared" si="120"/>
        <v>0</v>
      </c>
      <c r="AT144" s="292">
        <f t="shared" si="121"/>
        <v>0</v>
      </c>
      <c r="AU144" s="292">
        <f t="shared" si="122"/>
        <v>0</v>
      </c>
      <c r="AV144" s="292">
        <f t="shared" si="123"/>
        <v>0</v>
      </c>
      <c r="AW144" s="292">
        <f t="shared" si="124"/>
        <v>0</v>
      </c>
      <c r="AX144" s="292">
        <f t="shared" si="125"/>
        <v>0</v>
      </c>
      <c r="AY144" s="292">
        <f t="shared" si="126"/>
        <v>0</v>
      </c>
      <c r="AZ144" s="292">
        <f t="shared" si="127"/>
        <v>0</v>
      </c>
      <c r="BA144" s="292">
        <f t="shared" si="128"/>
        <v>0</v>
      </c>
    </row>
    <row r="145" spans="1:53" s="289" customFormat="1" ht="15" customHeight="1">
      <c r="A145" s="63" t="str">
        <f t="array" ref="A145">IF(C145&lt;&gt;0,SUM(($C$11:C145&lt;&gt;0)*1),"")</f>
        <v/>
      </c>
      <c r="B145" s="290"/>
      <c r="C145" s="290"/>
      <c r="D145" s="290"/>
      <c r="E145" s="396"/>
      <c r="F145" s="345"/>
      <c r="G145" s="347"/>
      <c r="H145" s="347"/>
      <c r="I145" s="63" t="str">
        <f t="shared" ref="I145:I153" si="135">A145</f>
        <v/>
      </c>
      <c r="J145" s="292">
        <f t="shared" si="91"/>
        <v>0</v>
      </c>
      <c r="K145" s="292">
        <f t="shared" si="92"/>
        <v>0</v>
      </c>
      <c r="L145" s="292">
        <f t="shared" si="93"/>
        <v>0</v>
      </c>
      <c r="M145" s="292">
        <f t="shared" si="94"/>
        <v>0</v>
      </c>
      <c r="N145" s="292">
        <f t="shared" si="129"/>
        <v>0</v>
      </c>
      <c r="O145" s="292">
        <f t="shared" si="130"/>
        <v>0</v>
      </c>
      <c r="P145" s="292">
        <f t="shared" si="95"/>
        <v>0</v>
      </c>
      <c r="Q145" s="292">
        <f t="shared" si="96"/>
        <v>0</v>
      </c>
      <c r="R145" s="292">
        <f t="shared" si="97"/>
        <v>0</v>
      </c>
      <c r="S145" s="292">
        <f t="shared" si="98"/>
        <v>0</v>
      </c>
      <c r="T145" s="292">
        <f t="shared" si="131"/>
        <v>0</v>
      </c>
      <c r="U145" s="292">
        <f t="shared" si="132"/>
        <v>0</v>
      </c>
      <c r="V145" s="292">
        <f t="shared" si="99"/>
        <v>0</v>
      </c>
      <c r="W145" s="292">
        <f t="shared" si="100"/>
        <v>0</v>
      </c>
      <c r="X145" s="292">
        <f t="shared" si="101"/>
        <v>0</v>
      </c>
      <c r="Y145" s="292">
        <f t="shared" si="102"/>
        <v>0</v>
      </c>
      <c r="Z145" s="292">
        <f t="shared" si="103"/>
        <v>0</v>
      </c>
      <c r="AA145" s="292">
        <f t="shared" si="104"/>
        <v>0</v>
      </c>
      <c r="AB145" s="292">
        <f t="shared" si="105"/>
        <v>0</v>
      </c>
      <c r="AC145" s="292">
        <f t="shared" si="106"/>
        <v>0</v>
      </c>
      <c r="AD145" s="292">
        <f t="shared" si="107"/>
        <v>0</v>
      </c>
      <c r="AE145" s="292">
        <f t="shared" si="108"/>
        <v>0</v>
      </c>
      <c r="AF145" s="292">
        <f t="shared" si="133"/>
        <v>0</v>
      </c>
      <c r="AG145" s="292">
        <f t="shared" si="134"/>
        <v>0</v>
      </c>
      <c r="AH145" s="292">
        <f t="shared" si="109"/>
        <v>0</v>
      </c>
      <c r="AI145" s="292">
        <f t="shared" si="110"/>
        <v>0</v>
      </c>
      <c r="AJ145" s="292">
        <f t="shared" si="111"/>
        <v>0</v>
      </c>
      <c r="AK145" s="292">
        <f t="shared" si="112"/>
        <v>0</v>
      </c>
      <c r="AL145" s="292">
        <f t="shared" si="113"/>
        <v>0</v>
      </c>
      <c r="AM145" s="292">
        <f t="shared" si="114"/>
        <v>0</v>
      </c>
      <c r="AN145" s="292">
        <f t="shared" si="115"/>
        <v>0</v>
      </c>
      <c r="AO145" s="292">
        <f t="shared" si="116"/>
        <v>0</v>
      </c>
      <c r="AP145" s="292">
        <f t="shared" si="117"/>
        <v>0</v>
      </c>
      <c r="AQ145" s="292">
        <f t="shared" si="118"/>
        <v>0</v>
      </c>
      <c r="AR145" s="292">
        <f t="shared" si="119"/>
        <v>0</v>
      </c>
      <c r="AS145" s="292">
        <f t="shared" si="120"/>
        <v>0</v>
      </c>
      <c r="AT145" s="292">
        <f t="shared" si="121"/>
        <v>0</v>
      </c>
      <c r="AU145" s="292">
        <f t="shared" si="122"/>
        <v>0</v>
      </c>
      <c r="AV145" s="292">
        <f t="shared" si="123"/>
        <v>0</v>
      </c>
      <c r="AW145" s="292">
        <f t="shared" si="124"/>
        <v>0</v>
      </c>
      <c r="AX145" s="292">
        <f t="shared" si="125"/>
        <v>0</v>
      </c>
      <c r="AY145" s="292">
        <f t="shared" si="126"/>
        <v>0</v>
      </c>
      <c r="AZ145" s="292">
        <f t="shared" si="127"/>
        <v>0</v>
      </c>
      <c r="BA145" s="292">
        <f t="shared" si="128"/>
        <v>0</v>
      </c>
    </row>
    <row r="146" spans="1:53" s="289" customFormat="1" ht="15" customHeight="1">
      <c r="A146" s="63" t="str">
        <f t="array" ref="A146">IF(C146&lt;&gt;0,SUM(($C$11:C146&lt;&gt;0)*1),"")</f>
        <v/>
      </c>
      <c r="B146" s="290"/>
      <c r="C146" s="290"/>
      <c r="D146" s="290"/>
      <c r="E146" s="396"/>
      <c r="F146" s="345"/>
      <c r="G146" s="347"/>
      <c r="H146" s="347"/>
      <c r="I146" s="63" t="str">
        <f t="shared" si="135"/>
        <v/>
      </c>
      <c r="J146" s="292">
        <f t="shared" si="91"/>
        <v>0</v>
      </c>
      <c r="K146" s="292">
        <f t="shared" si="92"/>
        <v>0</v>
      </c>
      <c r="L146" s="292">
        <f t="shared" si="93"/>
        <v>0</v>
      </c>
      <c r="M146" s="292">
        <f t="shared" si="94"/>
        <v>0</v>
      </c>
      <c r="N146" s="292">
        <f t="shared" si="129"/>
        <v>0</v>
      </c>
      <c r="O146" s="292">
        <f t="shared" si="130"/>
        <v>0</v>
      </c>
      <c r="P146" s="292">
        <f t="shared" si="95"/>
        <v>0</v>
      </c>
      <c r="Q146" s="292">
        <f t="shared" si="96"/>
        <v>0</v>
      </c>
      <c r="R146" s="292">
        <f t="shared" si="97"/>
        <v>0</v>
      </c>
      <c r="S146" s="292">
        <f t="shared" si="98"/>
        <v>0</v>
      </c>
      <c r="T146" s="292">
        <f t="shared" si="131"/>
        <v>0</v>
      </c>
      <c r="U146" s="292">
        <f t="shared" si="132"/>
        <v>0</v>
      </c>
      <c r="V146" s="292">
        <f t="shared" si="99"/>
        <v>0</v>
      </c>
      <c r="W146" s="292">
        <f t="shared" si="100"/>
        <v>0</v>
      </c>
      <c r="X146" s="292">
        <f t="shared" si="101"/>
        <v>0</v>
      </c>
      <c r="Y146" s="292">
        <f t="shared" si="102"/>
        <v>0</v>
      </c>
      <c r="Z146" s="292">
        <f t="shared" si="103"/>
        <v>0</v>
      </c>
      <c r="AA146" s="292">
        <f t="shared" si="104"/>
        <v>0</v>
      </c>
      <c r="AB146" s="292">
        <f t="shared" si="105"/>
        <v>0</v>
      </c>
      <c r="AC146" s="292">
        <f t="shared" si="106"/>
        <v>0</v>
      </c>
      <c r="AD146" s="292">
        <f t="shared" si="107"/>
        <v>0</v>
      </c>
      <c r="AE146" s="292">
        <f t="shared" si="108"/>
        <v>0</v>
      </c>
      <c r="AF146" s="292">
        <f t="shared" si="133"/>
        <v>0</v>
      </c>
      <c r="AG146" s="292">
        <f t="shared" si="134"/>
        <v>0</v>
      </c>
      <c r="AH146" s="292">
        <f t="shared" si="109"/>
        <v>0</v>
      </c>
      <c r="AI146" s="292">
        <f t="shared" si="110"/>
        <v>0</v>
      </c>
      <c r="AJ146" s="292">
        <f t="shared" si="111"/>
        <v>0</v>
      </c>
      <c r="AK146" s="292">
        <f t="shared" si="112"/>
        <v>0</v>
      </c>
      <c r="AL146" s="292">
        <f t="shared" si="113"/>
        <v>0</v>
      </c>
      <c r="AM146" s="292">
        <f t="shared" si="114"/>
        <v>0</v>
      </c>
      <c r="AN146" s="292">
        <f t="shared" si="115"/>
        <v>0</v>
      </c>
      <c r="AO146" s="292">
        <f t="shared" si="116"/>
        <v>0</v>
      </c>
      <c r="AP146" s="292">
        <f t="shared" si="117"/>
        <v>0</v>
      </c>
      <c r="AQ146" s="292">
        <f t="shared" si="118"/>
        <v>0</v>
      </c>
      <c r="AR146" s="292">
        <f t="shared" si="119"/>
        <v>0</v>
      </c>
      <c r="AS146" s="292">
        <f t="shared" si="120"/>
        <v>0</v>
      </c>
      <c r="AT146" s="292">
        <f t="shared" si="121"/>
        <v>0</v>
      </c>
      <c r="AU146" s="292">
        <f t="shared" si="122"/>
        <v>0</v>
      </c>
      <c r="AV146" s="292">
        <f t="shared" si="123"/>
        <v>0</v>
      </c>
      <c r="AW146" s="292">
        <f t="shared" si="124"/>
        <v>0</v>
      </c>
      <c r="AX146" s="292">
        <f t="shared" si="125"/>
        <v>0</v>
      </c>
      <c r="AY146" s="292">
        <f t="shared" si="126"/>
        <v>0</v>
      </c>
      <c r="AZ146" s="292">
        <f t="shared" si="127"/>
        <v>0</v>
      </c>
      <c r="BA146" s="292">
        <f t="shared" si="128"/>
        <v>0</v>
      </c>
    </row>
    <row r="147" spans="1:53" s="289" customFormat="1" ht="15" customHeight="1">
      <c r="A147" s="63" t="str">
        <f t="array" ref="A147">IF(C147&lt;&gt;0,SUM(($C$11:C147&lt;&gt;0)*1),"")</f>
        <v/>
      </c>
      <c r="B147" s="290"/>
      <c r="C147" s="290"/>
      <c r="D147" s="290"/>
      <c r="E147" s="396"/>
      <c r="F147" s="345"/>
      <c r="G147" s="347"/>
      <c r="H147" s="347"/>
      <c r="I147" s="63" t="str">
        <f t="shared" si="135"/>
        <v/>
      </c>
      <c r="J147" s="292">
        <f t="shared" si="91"/>
        <v>0</v>
      </c>
      <c r="K147" s="292">
        <f t="shared" si="92"/>
        <v>0</v>
      </c>
      <c r="L147" s="292">
        <f t="shared" si="93"/>
        <v>0</v>
      </c>
      <c r="M147" s="292">
        <f t="shared" si="94"/>
        <v>0</v>
      </c>
      <c r="N147" s="292">
        <f t="shared" si="129"/>
        <v>0</v>
      </c>
      <c r="O147" s="292">
        <f t="shared" si="130"/>
        <v>0</v>
      </c>
      <c r="P147" s="292">
        <f t="shared" si="95"/>
        <v>0</v>
      </c>
      <c r="Q147" s="292">
        <f t="shared" si="96"/>
        <v>0</v>
      </c>
      <c r="R147" s="292">
        <f t="shared" si="97"/>
        <v>0</v>
      </c>
      <c r="S147" s="292">
        <f t="shared" si="98"/>
        <v>0</v>
      </c>
      <c r="T147" s="292">
        <f t="shared" si="131"/>
        <v>0</v>
      </c>
      <c r="U147" s="292">
        <f t="shared" si="132"/>
        <v>0</v>
      </c>
      <c r="V147" s="292">
        <f t="shared" si="99"/>
        <v>0</v>
      </c>
      <c r="W147" s="292">
        <f t="shared" si="100"/>
        <v>0</v>
      </c>
      <c r="X147" s="292">
        <f t="shared" si="101"/>
        <v>0</v>
      </c>
      <c r="Y147" s="292">
        <f t="shared" si="102"/>
        <v>0</v>
      </c>
      <c r="Z147" s="292">
        <f t="shared" si="103"/>
        <v>0</v>
      </c>
      <c r="AA147" s="292">
        <f t="shared" si="104"/>
        <v>0</v>
      </c>
      <c r="AB147" s="292">
        <f t="shared" si="105"/>
        <v>0</v>
      </c>
      <c r="AC147" s="292">
        <f t="shared" si="106"/>
        <v>0</v>
      </c>
      <c r="AD147" s="292">
        <f t="shared" si="107"/>
        <v>0</v>
      </c>
      <c r="AE147" s="292">
        <f t="shared" si="108"/>
        <v>0</v>
      </c>
      <c r="AF147" s="292">
        <f t="shared" si="133"/>
        <v>0</v>
      </c>
      <c r="AG147" s="292">
        <f t="shared" si="134"/>
        <v>0</v>
      </c>
      <c r="AH147" s="292">
        <f t="shared" si="109"/>
        <v>0</v>
      </c>
      <c r="AI147" s="292">
        <f t="shared" si="110"/>
        <v>0</v>
      </c>
      <c r="AJ147" s="292">
        <f t="shared" si="111"/>
        <v>0</v>
      </c>
      <c r="AK147" s="292">
        <f t="shared" si="112"/>
        <v>0</v>
      </c>
      <c r="AL147" s="292">
        <f t="shared" si="113"/>
        <v>0</v>
      </c>
      <c r="AM147" s="292">
        <f t="shared" si="114"/>
        <v>0</v>
      </c>
      <c r="AN147" s="292">
        <f t="shared" si="115"/>
        <v>0</v>
      </c>
      <c r="AO147" s="292">
        <f t="shared" si="116"/>
        <v>0</v>
      </c>
      <c r="AP147" s="292">
        <f t="shared" si="117"/>
        <v>0</v>
      </c>
      <c r="AQ147" s="292">
        <f t="shared" si="118"/>
        <v>0</v>
      </c>
      <c r="AR147" s="292">
        <f t="shared" si="119"/>
        <v>0</v>
      </c>
      <c r="AS147" s="292">
        <f t="shared" si="120"/>
        <v>0</v>
      </c>
      <c r="AT147" s="292">
        <f t="shared" si="121"/>
        <v>0</v>
      </c>
      <c r="AU147" s="292">
        <f t="shared" si="122"/>
        <v>0</v>
      </c>
      <c r="AV147" s="292">
        <f t="shared" si="123"/>
        <v>0</v>
      </c>
      <c r="AW147" s="292">
        <f t="shared" si="124"/>
        <v>0</v>
      </c>
      <c r="AX147" s="292">
        <f t="shared" si="125"/>
        <v>0</v>
      </c>
      <c r="AY147" s="292">
        <f t="shared" si="126"/>
        <v>0</v>
      </c>
      <c r="AZ147" s="292">
        <f t="shared" si="127"/>
        <v>0</v>
      </c>
      <c r="BA147" s="292">
        <f t="shared" si="128"/>
        <v>0</v>
      </c>
    </row>
    <row r="148" spans="1:53" s="289" customFormat="1" ht="15" customHeight="1">
      <c r="A148" s="63">
        <f t="array" aca="1" ref="A148" ca="1">IF(C148&lt;&gt;0,SUM(($C$11:C148&lt;&gt;0)*1),"")</f>
        <v>2</v>
      </c>
      <c r="B148" s="253">
        <v>42185</v>
      </c>
      <c r="C148" s="293" t="s">
        <v>149</v>
      </c>
      <c r="D148" s="293">
        <f t="shared" ref="D148:D153" si="136">B148</f>
        <v>42185</v>
      </c>
      <c r="E148" s="294" t="s">
        <v>150</v>
      </c>
      <c r="F148" s="79">
        <f ca="1">AP155</f>
        <v>0</v>
      </c>
      <c r="G148" s="295" t="s">
        <v>242</v>
      </c>
      <c r="H148" s="295" t="s">
        <v>133</v>
      </c>
      <c r="I148" s="63">
        <f t="shared" ca="1" si="135"/>
        <v>2</v>
      </c>
      <c r="J148" s="292">
        <f t="shared" si="91"/>
        <v>0</v>
      </c>
      <c r="K148" s="292">
        <f t="shared" si="92"/>
        <v>0</v>
      </c>
      <c r="L148" s="292">
        <f t="shared" si="93"/>
        <v>0</v>
      </c>
      <c r="M148" s="292">
        <f t="shared" si="94"/>
        <v>0</v>
      </c>
      <c r="N148" s="292">
        <f t="shared" si="129"/>
        <v>0</v>
      </c>
      <c r="O148" s="292">
        <f t="shared" si="130"/>
        <v>0</v>
      </c>
      <c r="P148" s="292">
        <f t="shared" si="95"/>
        <v>0</v>
      </c>
      <c r="Q148" s="292">
        <f t="shared" si="96"/>
        <v>0</v>
      </c>
      <c r="R148" s="292">
        <f t="shared" si="97"/>
        <v>0</v>
      </c>
      <c r="S148" s="292">
        <f t="shared" si="98"/>
        <v>0</v>
      </c>
      <c r="T148" s="292">
        <f t="shared" ca="1" si="131"/>
        <v>0</v>
      </c>
      <c r="U148" s="292">
        <f t="shared" si="132"/>
        <v>0</v>
      </c>
      <c r="V148" s="292">
        <f t="shared" si="99"/>
        <v>0</v>
      </c>
      <c r="W148" s="292">
        <f t="shared" si="100"/>
        <v>0</v>
      </c>
      <c r="X148" s="292">
        <f t="shared" si="101"/>
        <v>0</v>
      </c>
      <c r="Y148" s="292">
        <f t="shared" si="102"/>
        <v>0</v>
      </c>
      <c r="Z148" s="292">
        <f t="shared" si="103"/>
        <v>0</v>
      </c>
      <c r="AA148" s="292">
        <f t="shared" si="104"/>
        <v>0</v>
      </c>
      <c r="AB148" s="292">
        <f t="shared" si="105"/>
        <v>0</v>
      </c>
      <c r="AC148" s="292">
        <f t="shared" si="106"/>
        <v>0</v>
      </c>
      <c r="AD148" s="292">
        <f t="shared" si="107"/>
        <v>0</v>
      </c>
      <c r="AE148" s="292">
        <f t="shared" si="108"/>
        <v>0</v>
      </c>
      <c r="AF148" s="292">
        <f t="shared" si="133"/>
        <v>0</v>
      </c>
      <c r="AG148" s="292">
        <f t="shared" si="134"/>
        <v>0</v>
      </c>
      <c r="AH148" s="292">
        <f t="shared" si="109"/>
        <v>0</v>
      </c>
      <c r="AI148" s="292">
        <f t="shared" si="110"/>
        <v>0</v>
      </c>
      <c r="AJ148" s="292">
        <f t="shared" si="111"/>
        <v>0</v>
      </c>
      <c r="AK148" s="292">
        <f t="shared" si="112"/>
        <v>0</v>
      </c>
      <c r="AL148" s="292">
        <f t="shared" si="113"/>
        <v>0</v>
      </c>
      <c r="AM148" s="292">
        <f t="shared" si="114"/>
        <v>0</v>
      </c>
      <c r="AN148" s="292">
        <f t="shared" si="115"/>
        <v>0</v>
      </c>
      <c r="AO148" s="292">
        <f t="shared" si="116"/>
        <v>0</v>
      </c>
      <c r="AP148" s="292">
        <f t="shared" si="117"/>
        <v>0</v>
      </c>
      <c r="AQ148" s="292">
        <f t="shared" ca="1" si="118"/>
        <v>0</v>
      </c>
      <c r="AR148" s="292">
        <f t="shared" si="119"/>
        <v>0</v>
      </c>
      <c r="AS148" s="292">
        <f t="shared" si="120"/>
        <v>0</v>
      </c>
      <c r="AT148" s="292">
        <f t="shared" si="121"/>
        <v>0</v>
      </c>
      <c r="AU148" s="292">
        <f t="shared" si="122"/>
        <v>0</v>
      </c>
      <c r="AV148" s="292">
        <f t="shared" si="123"/>
        <v>0</v>
      </c>
      <c r="AW148" s="292">
        <f t="shared" si="124"/>
        <v>0</v>
      </c>
      <c r="AX148" s="292">
        <f t="shared" si="125"/>
        <v>0</v>
      </c>
      <c r="AY148" s="292">
        <f t="shared" si="126"/>
        <v>0</v>
      </c>
      <c r="AZ148" s="292">
        <f t="shared" si="127"/>
        <v>0</v>
      </c>
      <c r="BA148" s="292">
        <f t="shared" si="128"/>
        <v>0</v>
      </c>
    </row>
    <row r="149" spans="1:53" s="289" customFormat="1" ht="15" customHeight="1">
      <c r="A149" s="63">
        <f t="array" aca="1" ref="A149" ca="1">IF(C149&lt;&gt;0,SUM(($C$11:C149&lt;&gt;0)*1),"")</f>
        <v>3</v>
      </c>
      <c r="B149" s="253">
        <v>42185</v>
      </c>
      <c r="C149" s="293" t="s">
        <v>149</v>
      </c>
      <c r="D149" s="293">
        <f t="shared" si="136"/>
        <v>42185</v>
      </c>
      <c r="E149" s="294" t="s">
        <v>151</v>
      </c>
      <c r="F149" s="79">
        <f ca="1">AR155</f>
        <v>0</v>
      </c>
      <c r="G149" s="295" t="s">
        <v>143</v>
      </c>
      <c r="H149" s="295" t="s">
        <v>135</v>
      </c>
      <c r="I149" s="63">
        <f t="shared" ca="1" si="135"/>
        <v>3</v>
      </c>
      <c r="J149" s="292">
        <f t="shared" si="91"/>
        <v>0</v>
      </c>
      <c r="K149" s="292">
        <f t="shared" si="92"/>
        <v>0</v>
      </c>
      <c r="L149" s="292">
        <f t="shared" si="93"/>
        <v>0</v>
      </c>
      <c r="M149" s="292">
        <f t="shared" si="94"/>
        <v>0</v>
      </c>
      <c r="N149" s="292">
        <f t="shared" si="129"/>
        <v>0</v>
      </c>
      <c r="O149" s="292">
        <f t="shared" si="130"/>
        <v>0</v>
      </c>
      <c r="P149" s="292">
        <f t="shared" si="95"/>
        <v>0</v>
      </c>
      <c r="Q149" s="292">
        <f t="shared" si="96"/>
        <v>0</v>
      </c>
      <c r="R149" s="292">
        <f t="shared" si="97"/>
        <v>0</v>
      </c>
      <c r="S149" s="292">
        <f t="shared" si="98"/>
        <v>0</v>
      </c>
      <c r="T149" s="292">
        <f t="shared" si="131"/>
        <v>0</v>
      </c>
      <c r="U149" s="292">
        <f t="shared" si="132"/>
        <v>0</v>
      </c>
      <c r="V149" s="292">
        <f t="shared" si="99"/>
        <v>0</v>
      </c>
      <c r="W149" s="292">
        <f t="shared" si="100"/>
        <v>0</v>
      </c>
      <c r="X149" s="292">
        <f t="shared" si="101"/>
        <v>0</v>
      </c>
      <c r="Y149" s="292">
        <f t="shared" si="102"/>
        <v>0</v>
      </c>
      <c r="Z149" s="292">
        <f t="shared" si="103"/>
        <v>0</v>
      </c>
      <c r="AA149" s="292">
        <f t="shared" si="104"/>
        <v>0</v>
      </c>
      <c r="AB149" s="292">
        <f t="shared" si="105"/>
        <v>0</v>
      </c>
      <c r="AC149" s="292">
        <f t="shared" si="106"/>
        <v>0</v>
      </c>
      <c r="AD149" s="292">
        <f t="shared" si="107"/>
        <v>0</v>
      </c>
      <c r="AE149" s="292">
        <f t="shared" si="108"/>
        <v>0</v>
      </c>
      <c r="AF149" s="292">
        <f t="shared" si="133"/>
        <v>0</v>
      </c>
      <c r="AG149" s="292">
        <f t="shared" si="134"/>
        <v>0</v>
      </c>
      <c r="AH149" s="292">
        <f t="shared" si="109"/>
        <v>0</v>
      </c>
      <c r="AI149" s="292">
        <f t="shared" si="110"/>
        <v>0</v>
      </c>
      <c r="AJ149" s="292">
        <f t="shared" si="111"/>
        <v>0</v>
      </c>
      <c r="AK149" s="292">
        <f t="shared" si="112"/>
        <v>0</v>
      </c>
      <c r="AL149" s="292">
        <f t="shared" si="113"/>
        <v>0</v>
      </c>
      <c r="AM149" s="292">
        <f t="shared" si="114"/>
        <v>0</v>
      </c>
      <c r="AN149" s="292">
        <f t="shared" si="115"/>
        <v>0</v>
      </c>
      <c r="AO149" s="292">
        <f t="shared" si="116"/>
        <v>0</v>
      </c>
      <c r="AP149" s="292">
        <f t="shared" si="117"/>
        <v>0</v>
      </c>
      <c r="AQ149" s="292">
        <f t="shared" si="118"/>
        <v>0</v>
      </c>
      <c r="AR149" s="292">
        <f t="shared" si="119"/>
        <v>0</v>
      </c>
      <c r="AS149" s="292">
        <f t="shared" ca="1" si="120"/>
        <v>0</v>
      </c>
      <c r="AT149" s="292">
        <f t="shared" si="121"/>
        <v>0</v>
      </c>
      <c r="AU149" s="292">
        <f t="shared" si="122"/>
        <v>0</v>
      </c>
      <c r="AV149" s="292">
        <f t="shared" si="123"/>
        <v>0</v>
      </c>
      <c r="AW149" s="292">
        <f t="shared" si="124"/>
        <v>0</v>
      </c>
      <c r="AX149" s="292">
        <f t="shared" si="125"/>
        <v>0</v>
      </c>
      <c r="AY149" s="292">
        <f t="shared" si="126"/>
        <v>0</v>
      </c>
      <c r="AZ149" s="292">
        <f t="shared" ca="1" si="127"/>
        <v>0</v>
      </c>
      <c r="BA149" s="292">
        <f t="shared" si="128"/>
        <v>0</v>
      </c>
    </row>
    <row r="150" spans="1:53" s="289" customFormat="1" ht="15" customHeight="1">
      <c r="A150" s="63">
        <f t="array" aca="1" ref="A150" ca="1">IF(C150&lt;&gt;0,SUM(($C$11:C150&lt;&gt;0)*1),"")</f>
        <v>4</v>
      </c>
      <c r="B150" s="253">
        <v>42185</v>
      </c>
      <c r="C150" s="293" t="s">
        <v>149</v>
      </c>
      <c r="D150" s="293">
        <f t="shared" si="136"/>
        <v>42185</v>
      </c>
      <c r="E150" s="294" t="s">
        <v>300</v>
      </c>
      <c r="F150" s="79">
        <v>41705364</v>
      </c>
      <c r="G150" s="295" t="s">
        <v>128</v>
      </c>
      <c r="H150" s="295" t="s">
        <v>143</v>
      </c>
      <c r="I150" s="63">
        <f t="shared" ca="1" si="135"/>
        <v>4</v>
      </c>
      <c r="J150" s="292">
        <f t="shared" si="91"/>
        <v>0</v>
      </c>
      <c r="K150" s="292">
        <f t="shared" si="92"/>
        <v>0</v>
      </c>
      <c r="L150" s="292">
        <f t="shared" si="93"/>
        <v>0</v>
      </c>
      <c r="M150" s="292">
        <f t="shared" si="94"/>
        <v>0</v>
      </c>
      <c r="N150" s="292">
        <f t="shared" si="129"/>
        <v>0</v>
      </c>
      <c r="O150" s="292">
        <f t="shared" si="130"/>
        <v>0</v>
      </c>
      <c r="P150" s="292">
        <f t="shared" si="95"/>
        <v>0</v>
      </c>
      <c r="Q150" s="292">
        <f t="shared" si="96"/>
        <v>0</v>
      </c>
      <c r="R150" s="292">
        <f t="shared" si="97"/>
        <v>0</v>
      </c>
      <c r="S150" s="292">
        <f t="shared" si="98"/>
        <v>0</v>
      </c>
      <c r="T150" s="292">
        <f t="shared" si="131"/>
        <v>0</v>
      </c>
      <c r="U150" s="292">
        <f t="shared" si="132"/>
        <v>0</v>
      </c>
      <c r="V150" s="292">
        <f t="shared" si="99"/>
        <v>0</v>
      </c>
      <c r="W150" s="292">
        <f t="shared" si="100"/>
        <v>0</v>
      </c>
      <c r="X150" s="292">
        <f t="shared" si="101"/>
        <v>0</v>
      </c>
      <c r="Y150" s="292">
        <f t="shared" si="102"/>
        <v>0</v>
      </c>
      <c r="Z150" s="292">
        <f t="shared" si="103"/>
        <v>0</v>
      </c>
      <c r="AA150" s="292">
        <f t="shared" si="104"/>
        <v>0</v>
      </c>
      <c r="AB150" s="292">
        <f t="shared" si="105"/>
        <v>0</v>
      </c>
      <c r="AC150" s="292">
        <f t="shared" si="106"/>
        <v>0</v>
      </c>
      <c r="AD150" s="292">
        <f t="shared" si="107"/>
        <v>0</v>
      </c>
      <c r="AE150" s="292">
        <f t="shared" si="108"/>
        <v>0</v>
      </c>
      <c r="AF150" s="292">
        <f t="shared" si="133"/>
        <v>0</v>
      </c>
      <c r="AG150" s="292">
        <f t="shared" si="134"/>
        <v>0</v>
      </c>
      <c r="AH150" s="292">
        <f t="shared" si="109"/>
        <v>0</v>
      </c>
      <c r="AI150" s="292">
        <f t="shared" si="110"/>
        <v>0</v>
      </c>
      <c r="AJ150" s="292">
        <f t="shared" si="111"/>
        <v>0</v>
      </c>
      <c r="AK150" s="292">
        <f t="shared" si="112"/>
        <v>0</v>
      </c>
      <c r="AL150" s="292">
        <f t="shared" si="113"/>
        <v>41705364</v>
      </c>
      <c r="AM150" s="292">
        <f t="shared" si="114"/>
        <v>0</v>
      </c>
      <c r="AN150" s="292">
        <f t="shared" si="115"/>
        <v>0</v>
      </c>
      <c r="AO150" s="292">
        <f t="shared" si="116"/>
        <v>0</v>
      </c>
      <c r="AP150" s="292">
        <f t="shared" si="117"/>
        <v>0</v>
      </c>
      <c r="AQ150" s="292">
        <f t="shared" si="118"/>
        <v>0</v>
      </c>
      <c r="AR150" s="292">
        <f t="shared" si="119"/>
        <v>0</v>
      </c>
      <c r="AS150" s="292">
        <f t="shared" si="120"/>
        <v>0</v>
      </c>
      <c r="AT150" s="292">
        <f t="shared" si="121"/>
        <v>0</v>
      </c>
      <c r="AU150" s="292">
        <f t="shared" si="122"/>
        <v>0</v>
      </c>
      <c r="AV150" s="292">
        <f t="shared" si="123"/>
        <v>0</v>
      </c>
      <c r="AW150" s="292">
        <f t="shared" si="124"/>
        <v>0</v>
      </c>
      <c r="AX150" s="292">
        <f t="shared" si="125"/>
        <v>0</v>
      </c>
      <c r="AY150" s="292">
        <f t="shared" si="126"/>
        <v>0</v>
      </c>
      <c r="AZ150" s="292">
        <f t="shared" si="127"/>
        <v>0</v>
      </c>
      <c r="BA150" s="292">
        <f t="shared" si="128"/>
        <v>41705364</v>
      </c>
    </row>
    <row r="151" spans="1:53" s="289" customFormat="1" ht="15" customHeight="1">
      <c r="A151" s="63">
        <f t="array" aca="1" ref="A151" ca="1">IF(C151&lt;&gt;0,SUM(($C$11:C151&lt;&gt;0)*1),"")</f>
        <v>5</v>
      </c>
      <c r="B151" s="253">
        <v>42185</v>
      </c>
      <c r="C151" s="293" t="s">
        <v>149</v>
      </c>
      <c r="D151" s="293">
        <f t="shared" si="136"/>
        <v>42185</v>
      </c>
      <c r="E151" s="294" t="s">
        <v>153</v>
      </c>
      <c r="F151" s="79">
        <f ca="1">AO155</f>
        <v>0</v>
      </c>
      <c r="G151" s="295" t="s">
        <v>58</v>
      </c>
      <c r="H151" s="295" t="s">
        <v>143</v>
      </c>
      <c r="I151" s="63">
        <f t="shared" ca="1" si="135"/>
        <v>5</v>
      </c>
      <c r="J151" s="292">
        <f t="shared" si="91"/>
        <v>0</v>
      </c>
      <c r="K151" s="292">
        <f t="shared" si="92"/>
        <v>0</v>
      </c>
      <c r="L151" s="292">
        <f t="shared" si="93"/>
        <v>0</v>
      </c>
      <c r="M151" s="292">
        <f t="shared" si="94"/>
        <v>0</v>
      </c>
      <c r="N151" s="292">
        <f t="shared" si="129"/>
        <v>0</v>
      </c>
      <c r="O151" s="292">
        <f t="shared" si="130"/>
        <v>0</v>
      </c>
      <c r="P151" s="292">
        <f t="shared" si="95"/>
        <v>0</v>
      </c>
      <c r="Q151" s="292">
        <f t="shared" si="96"/>
        <v>0</v>
      </c>
      <c r="R151" s="292">
        <f t="shared" si="97"/>
        <v>0</v>
      </c>
      <c r="S151" s="292">
        <f t="shared" si="98"/>
        <v>0</v>
      </c>
      <c r="T151" s="292">
        <f t="shared" si="131"/>
        <v>0</v>
      </c>
      <c r="U151" s="292">
        <f t="shared" si="132"/>
        <v>0</v>
      </c>
      <c r="V151" s="292">
        <f t="shared" si="99"/>
        <v>0</v>
      </c>
      <c r="W151" s="292">
        <f t="shared" si="100"/>
        <v>0</v>
      </c>
      <c r="X151" s="292">
        <f t="shared" si="101"/>
        <v>0</v>
      </c>
      <c r="Y151" s="292">
        <f t="shared" si="102"/>
        <v>0</v>
      </c>
      <c r="Z151" s="292">
        <f t="shared" si="103"/>
        <v>0</v>
      </c>
      <c r="AA151" s="292">
        <f t="shared" si="104"/>
        <v>0</v>
      </c>
      <c r="AB151" s="292">
        <f t="shared" si="105"/>
        <v>0</v>
      </c>
      <c r="AC151" s="292">
        <f t="shared" si="106"/>
        <v>0</v>
      </c>
      <c r="AD151" s="292">
        <f t="shared" si="107"/>
        <v>0</v>
      </c>
      <c r="AE151" s="292">
        <f t="shared" si="108"/>
        <v>0</v>
      </c>
      <c r="AF151" s="292">
        <f t="shared" si="133"/>
        <v>0</v>
      </c>
      <c r="AG151" s="292">
        <f t="shared" si="134"/>
        <v>0</v>
      </c>
      <c r="AH151" s="292">
        <f t="shared" si="109"/>
        <v>0</v>
      </c>
      <c r="AI151" s="292">
        <f t="shared" si="110"/>
        <v>0</v>
      </c>
      <c r="AJ151" s="292">
        <f t="shared" si="111"/>
        <v>0</v>
      </c>
      <c r="AK151" s="292">
        <f t="shared" si="112"/>
        <v>0</v>
      </c>
      <c r="AL151" s="292">
        <f t="shared" si="113"/>
        <v>0</v>
      </c>
      <c r="AM151" s="292">
        <f t="shared" si="114"/>
        <v>0</v>
      </c>
      <c r="AN151" s="292">
        <f t="shared" ca="1" si="115"/>
        <v>0</v>
      </c>
      <c r="AO151" s="292">
        <f t="shared" si="116"/>
        <v>0</v>
      </c>
      <c r="AP151" s="292">
        <f t="shared" si="117"/>
        <v>0</v>
      </c>
      <c r="AQ151" s="292">
        <f t="shared" si="118"/>
        <v>0</v>
      </c>
      <c r="AR151" s="292">
        <f t="shared" si="119"/>
        <v>0</v>
      </c>
      <c r="AS151" s="292">
        <f t="shared" si="120"/>
        <v>0</v>
      </c>
      <c r="AT151" s="292">
        <f t="shared" si="121"/>
        <v>0</v>
      </c>
      <c r="AU151" s="292">
        <f t="shared" si="122"/>
        <v>0</v>
      </c>
      <c r="AV151" s="292">
        <f t="shared" si="123"/>
        <v>0</v>
      </c>
      <c r="AW151" s="292">
        <f t="shared" si="124"/>
        <v>0</v>
      </c>
      <c r="AX151" s="292">
        <f t="shared" si="125"/>
        <v>0</v>
      </c>
      <c r="AY151" s="292">
        <f t="shared" si="126"/>
        <v>0</v>
      </c>
      <c r="AZ151" s="292">
        <f t="shared" si="127"/>
        <v>0</v>
      </c>
      <c r="BA151" s="292">
        <f t="shared" ca="1" si="128"/>
        <v>0</v>
      </c>
    </row>
    <row r="152" spans="1:53" s="289" customFormat="1" ht="15" customHeight="1">
      <c r="A152" s="63">
        <f t="array" aca="1" ref="A152" ca="1">IF(C152&lt;&gt;0,SUM(($C$11:C152&lt;&gt;0)*1),"")</f>
        <v>6</v>
      </c>
      <c r="B152" s="253">
        <v>42185</v>
      </c>
      <c r="C152" s="293" t="s">
        <v>149</v>
      </c>
      <c r="D152" s="293">
        <f t="shared" si="136"/>
        <v>42185</v>
      </c>
      <c r="E152" s="294" t="s">
        <v>154</v>
      </c>
      <c r="F152" s="79">
        <f ca="1">AU155</f>
        <v>0</v>
      </c>
      <c r="G152" s="295" t="s">
        <v>137</v>
      </c>
      <c r="H152" s="295" t="s">
        <v>143</v>
      </c>
      <c r="I152" s="63">
        <f t="shared" ca="1" si="135"/>
        <v>6</v>
      </c>
      <c r="J152" s="292">
        <f t="shared" si="91"/>
        <v>0</v>
      </c>
      <c r="K152" s="292">
        <f t="shared" si="92"/>
        <v>0</v>
      </c>
      <c r="L152" s="292">
        <f t="shared" si="93"/>
        <v>0</v>
      </c>
      <c r="M152" s="292">
        <f t="shared" si="94"/>
        <v>0</v>
      </c>
      <c r="N152" s="292">
        <f t="shared" si="129"/>
        <v>0</v>
      </c>
      <c r="O152" s="292">
        <f t="shared" si="130"/>
        <v>0</v>
      </c>
      <c r="P152" s="292">
        <f t="shared" si="95"/>
        <v>0</v>
      </c>
      <c r="Q152" s="292">
        <f t="shared" si="96"/>
        <v>0</v>
      </c>
      <c r="R152" s="292">
        <f t="shared" si="97"/>
        <v>0</v>
      </c>
      <c r="S152" s="292">
        <f t="shared" si="98"/>
        <v>0</v>
      </c>
      <c r="T152" s="292">
        <f t="shared" si="131"/>
        <v>0</v>
      </c>
      <c r="U152" s="292">
        <f t="shared" si="132"/>
        <v>0</v>
      </c>
      <c r="V152" s="292">
        <f t="shared" si="99"/>
        <v>0</v>
      </c>
      <c r="W152" s="292">
        <f t="shared" si="100"/>
        <v>0</v>
      </c>
      <c r="X152" s="292">
        <f t="shared" si="101"/>
        <v>0</v>
      </c>
      <c r="Y152" s="292">
        <f t="shared" si="102"/>
        <v>0</v>
      </c>
      <c r="Z152" s="292">
        <f t="shared" si="103"/>
        <v>0</v>
      </c>
      <c r="AA152" s="292">
        <f t="shared" si="104"/>
        <v>0</v>
      </c>
      <c r="AB152" s="292">
        <f t="shared" si="105"/>
        <v>0</v>
      </c>
      <c r="AC152" s="292">
        <f t="shared" si="106"/>
        <v>0</v>
      </c>
      <c r="AD152" s="292">
        <f t="shared" si="107"/>
        <v>0</v>
      </c>
      <c r="AE152" s="292">
        <f t="shared" si="108"/>
        <v>0</v>
      </c>
      <c r="AF152" s="292">
        <f t="shared" si="133"/>
        <v>0</v>
      </c>
      <c r="AG152" s="292">
        <f t="shared" si="134"/>
        <v>0</v>
      </c>
      <c r="AH152" s="292">
        <f t="shared" si="109"/>
        <v>0</v>
      </c>
      <c r="AI152" s="292">
        <f t="shared" si="110"/>
        <v>0</v>
      </c>
      <c r="AJ152" s="292">
        <f t="shared" si="111"/>
        <v>0</v>
      </c>
      <c r="AK152" s="292">
        <f t="shared" si="112"/>
        <v>0</v>
      </c>
      <c r="AL152" s="292">
        <f t="shared" si="113"/>
        <v>0</v>
      </c>
      <c r="AM152" s="292">
        <f t="shared" si="114"/>
        <v>0</v>
      </c>
      <c r="AN152" s="292">
        <f t="shared" si="115"/>
        <v>0</v>
      </c>
      <c r="AO152" s="292">
        <f t="shared" si="116"/>
        <v>0</v>
      </c>
      <c r="AP152" s="292">
        <f t="shared" si="117"/>
        <v>0</v>
      </c>
      <c r="AQ152" s="292">
        <f t="shared" si="118"/>
        <v>0</v>
      </c>
      <c r="AR152" s="292">
        <f t="shared" si="119"/>
        <v>0</v>
      </c>
      <c r="AS152" s="292">
        <f t="shared" si="120"/>
        <v>0</v>
      </c>
      <c r="AT152" s="292">
        <f t="shared" ca="1" si="121"/>
        <v>0</v>
      </c>
      <c r="AU152" s="292">
        <f t="shared" si="122"/>
        <v>0</v>
      </c>
      <c r="AV152" s="292">
        <f t="shared" si="123"/>
        <v>0</v>
      </c>
      <c r="AW152" s="292">
        <f t="shared" si="124"/>
        <v>0</v>
      </c>
      <c r="AX152" s="292">
        <f t="shared" si="125"/>
        <v>0</v>
      </c>
      <c r="AY152" s="292">
        <f t="shared" si="126"/>
        <v>0</v>
      </c>
      <c r="AZ152" s="292">
        <f t="shared" si="127"/>
        <v>0</v>
      </c>
      <c r="BA152" s="292">
        <f t="shared" ca="1" si="128"/>
        <v>0</v>
      </c>
    </row>
    <row r="153" spans="1:53" s="289" customFormat="1" ht="15" customHeight="1">
      <c r="A153" s="63">
        <f t="array" aca="1" ref="A153" ca="1">IF(C153&lt;&gt;0,SUM(($C$11:C153&lt;&gt;0)*1),"")</f>
        <v>7</v>
      </c>
      <c r="B153" s="253">
        <v>42185</v>
      </c>
      <c r="C153" s="293" t="s">
        <v>149</v>
      </c>
      <c r="D153" s="293">
        <f t="shared" si="136"/>
        <v>42185</v>
      </c>
      <c r="E153" s="294" t="s">
        <v>155</v>
      </c>
      <c r="F153" s="79">
        <f ca="1">AV155</f>
        <v>0</v>
      </c>
      <c r="G153" s="295" t="s">
        <v>143</v>
      </c>
      <c r="H153" s="295" t="s">
        <v>139</v>
      </c>
      <c r="I153" s="63">
        <f t="shared" ca="1" si="135"/>
        <v>7</v>
      </c>
      <c r="J153" s="292">
        <f t="shared" si="91"/>
        <v>0</v>
      </c>
      <c r="K153" s="292">
        <f t="shared" si="92"/>
        <v>0</v>
      </c>
      <c r="L153" s="292">
        <f t="shared" si="93"/>
        <v>0</v>
      </c>
      <c r="M153" s="292">
        <f t="shared" si="94"/>
        <v>0</v>
      </c>
      <c r="N153" s="292">
        <f t="shared" si="129"/>
        <v>0</v>
      </c>
      <c r="O153" s="292">
        <f t="shared" si="130"/>
        <v>0</v>
      </c>
      <c r="P153" s="292">
        <f t="shared" si="95"/>
        <v>0</v>
      </c>
      <c r="Q153" s="292">
        <f t="shared" si="96"/>
        <v>0</v>
      </c>
      <c r="R153" s="292">
        <f t="shared" si="97"/>
        <v>0</v>
      </c>
      <c r="S153" s="292">
        <f t="shared" si="98"/>
        <v>0</v>
      </c>
      <c r="T153" s="292">
        <f t="shared" si="131"/>
        <v>0</v>
      </c>
      <c r="U153" s="292">
        <f t="shared" si="132"/>
        <v>0</v>
      </c>
      <c r="V153" s="292">
        <f t="shared" si="99"/>
        <v>0</v>
      </c>
      <c r="W153" s="292">
        <f t="shared" si="100"/>
        <v>0</v>
      </c>
      <c r="X153" s="292">
        <f t="shared" si="101"/>
        <v>0</v>
      </c>
      <c r="Y153" s="292">
        <f t="shared" si="102"/>
        <v>0</v>
      </c>
      <c r="Z153" s="292">
        <f t="shared" si="103"/>
        <v>0</v>
      </c>
      <c r="AA153" s="292">
        <f t="shared" si="104"/>
        <v>0</v>
      </c>
      <c r="AB153" s="292">
        <f t="shared" si="105"/>
        <v>0</v>
      </c>
      <c r="AC153" s="292">
        <f t="shared" si="106"/>
        <v>0</v>
      </c>
      <c r="AD153" s="292">
        <f t="shared" si="107"/>
        <v>0</v>
      </c>
      <c r="AE153" s="292">
        <f t="shared" si="108"/>
        <v>0</v>
      </c>
      <c r="AF153" s="292">
        <f t="shared" si="133"/>
        <v>0</v>
      </c>
      <c r="AG153" s="292">
        <f t="shared" si="134"/>
        <v>0</v>
      </c>
      <c r="AH153" s="292">
        <f t="shared" si="109"/>
        <v>0</v>
      </c>
      <c r="AI153" s="292">
        <f t="shared" si="110"/>
        <v>0</v>
      </c>
      <c r="AJ153" s="292">
        <f t="shared" si="111"/>
        <v>0</v>
      </c>
      <c r="AK153" s="292">
        <f t="shared" si="112"/>
        <v>0</v>
      </c>
      <c r="AL153" s="292">
        <f t="shared" si="113"/>
        <v>0</v>
      </c>
      <c r="AM153" s="292">
        <f t="shared" si="114"/>
        <v>0</v>
      </c>
      <c r="AN153" s="292">
        <f t="shared" si="115"/>
        <v>0</v>
      </c>
      <c r="AO153" s="292">
        <f t="shared" si="116"/>
        <v>0</v>
      </c>
      <c r="AP153" s="292">
        <f t="shared" si="117"/>
        <v>0</v>
      </c>
      <c r="AQ153" s="292">
        <f t="shared" si="118"/>
        <v>0</v>
      </c>
      <c r="AR153" s="292">
        <f t="shared" si="119"/>
        <v>0</v>
      </c>
      <c r="AS153" s="292">
        <f t="shared" si="120"/>
        <v>0</v>
      </c>
      <c r="AT153" s="292">
        <f t="shared" si="121"/>
        <v>0</v>
      </c>
      <c r="AU153" s="292">
        <f t="shared" si="122"/>
        <v>0</v>
      </c>
      <c r="AV153" s="292">
        <f t="shared" si="123"/>
        <v>0</v>
      </c>
      <c r="AW153" s="292">
        <f t="shared" ca="1" si="124"/>
        <v>0</v>
      </c>
      <c r="AX153" s="292">
        <f t="shared" si="125"/>
        <v>0</v>
      </c>
      <c r="AY153" s="292">
        <f t="shared" si="126"/>
        <v>0</v>
      </c>
      <c r="AZ153" s="292">
        <f t="shared" ca="1" si="127"/>
        <v>0</v>
      </c>
      <c r="BA153" s="292">
        <f t="shared" si="128"/>
        <v>0</v>
      </c>
    </row>
    <row r="154" spans="1:53" s="289" customFormat="1" ht="15" customHeight="1">
      <c r="A154" s="63" t="str">
        <f t="array" ref="A154">IF(C154&lt;&gt;0,SUM(($C$11:C154&lt;&gt;0)*1),"")</f>
        <v/>
      </c>
      <c r="B154" s="253"/>
      <c r="C154" s="296"/>
      <c r="D154" s="253"/>
      <c r="E154" s="291"/>
      <c r="F154" s="65"/>
      <c r="G154" s="297"/>
      <c r="H154" s="297"/>
      <c r="I154" s="63" t="str">
        <f>A154</f>
        <v/>
      </c>
      <c r="J154" s="292">
        <f t="shared" si="91"/>
        <v>0</v>
      </c>
      <c r="K154" s="292">
        <f t="shared" si="92"/>
        <v>0</v>
      </c>
      <c r="L154" s="292">
        <f t="shared" si="93"/>
        <v>0</v>
      </c>
      <c r="M154" s="292">
        <f t="shared" si="94"/>
        <v>0</v>
      </c>
      <c r="N154" s="292">
        <f t="shared" si="129"/>
        <v>0</v>
      </c>
      <c r="O154" s="292">
        <f t="shared" si="130"/>
        <v>0</v>
      </c>
      <c r="P154" s="292">
        <f t="shared" si="95"/>
        <v>0</v>
      </c>
      <c r="Q154" s="292">
        <f t="shared" si="96"/>
        <v>0</v>
      </c>
      <c r="R154" s="292">
        <f t="shared" si="97"/>
        <v>0</v>
      </c>
      <c r="S154" s="292">
        <f t="shared" si="98"/>
        <v>0</v>
      </c>
      <c r="T154" s="292">
        <f t="shared" si="131"/>
        <v>0</v>
      </c>
      <c r="U154" s="292">
        <f t="shared" si="132"/>
        <v>0</v>
      </c>
      <c r="V154" s="292">
        <f t="shared" si="99"/>
        <v>0</v>
      </c>
      <c r="W154" s="292">
        <f t="shared" si="100"/>
        <v>0</v>
      </c>
      <c r="X154" s="292">
        <f t="shared" si="101"/>
        <v>0</v>
      </c>
      <c r="Y154" s="292">
        <f t="shared" si="102"/>
        <v>0</v>
      </c>
      <c r="Z154" s="292">
        <f t="shared" si="103"/>
        <v>0</v>
      </c>
      <c r="AA154" s="292">
        <f t="shared" si="104"/>
        <v>0</v>
      </c>
      <c r="AB154" s="292">
        <f t="shared" si="105"/>
        <v>0</v>
      </c>
      <c r="AC154" s="292">
        <f t="shared" si="106"/>
        <v>0</v>
      </c>
      <c r="AD154" s="292">
        <f t="shared" si="107"/>
        <v>0</v>
      </c>
      <c r="AE154" s="292">
        <f t="shared" si="108"/>
        <v>0</v>
      </c>
      <c r="AF154" s="292">
        <f t="shared" si="133"/>
        <v>0</v>
      </c>
      <c r="AG154" s="292">
        <f t="shared" si="134"/>
        <v>0</v>
      </c>
      <c r="AH154" s="292">
        <f t="shared" si="109"/>
        <v>0</v>
      </c>
      <c r="AI154" s="292">
        <f t="shared" si="110"/>
        <v>0</v>
      </c>
      <c r="AJ154" s="292">
        <f t="shared" si="111"/>
        <v>0</v>
      </c>
      <c r="AK154" s="292">
        <f t="shared" si="112"/>
        <v>0</v>
      </c>
      <c r="AL154" s="292">
        <f t="shared" si="113"/>
        <v>0</v>
      </c>
      <c r="AM154" s="292">
        <f t="shared" si="114"/>
        <v>0</v>
      </c>
      <c r="AN154" s="292">
        <f t="shared" si="115"/>
        <v>0</v>
      </c>
      <c r="AO154" s="292">
        <f t="shared" si="116"/>
        <v>0</v>
      </c>
      <c r="AP154" s="292">
        <f t="shared" si="117"/>
        <v>0</v>
      </c>
      <c r="AQ154" s="292">
        <f t="shared" si="118"/>
        <v>0</v>
      </c>
      <c r="AR154" s="292">
        <f t="shared" si="119"/>
        <v>0</v>
      </c>
      <c r="AS154" s="292">
        <f t="shared" si="120"/>
        <v>0</v>
      </c>
      <c r="AT154" s="292">
        <f t="shared" si="121"/>
        <v>0</v>
      </c>
      <c r="AU154" s="292">
        <f t="shared" si="122"/>
        <v>0</v>
      </c>
      <c r="AV154" s="292">
        <f t="shared" si="123"/>
        <v>0</v>
      </c>
      <c r="AW154" s="292">
        <f t="shared" si="124"/>
        <v>0</v>
      </c>
      <c r="AX154" s="292">
        <f t="shared" si="125"/>
        <v>0</v>
      </c>
      <c r="AY154" s="292">
        <f t="shared" si="126"/>
        <v>0</v>
      </c>
      <c r="AZ154" s="292">
        <f t="shared" si="127"/>
        <v>0</v>
      </c>
      <c r="BA154" s="292">
        <f t="shared" si="128"/>
        <v>0</v>
      </c>
    </row>
    <row r="155" spans="1:53" s="289" customFormat="1" ht="15" customHeight="1">
      <c r="A155" s="298"/>
      <c r="B155" s="298"/>
      <c r="C155" s="298"/>
      <c r="D155" s="298"/>
      <c r="E155" s="291" t="s">
        <v>260</v>
      </c>
      <c r="F155" s="298"/>
      <c r="G155" s="297"/>
      <c r="H155" s="297"/>
      <c r="I155" s="298"/>
      <c r="J155" s="298">
        <f t="shared" ref="J155:BA155" ca="1" si="137">SUM(J11:J154)</f>
        <v>0</v>
      </c>
      <c r="K155" s="298">
        <f t="shared" ca="1" si="137"/>
        <v>0</v>
      </c>
      <c r="L155" s="298">
        <f t="shared" ca="1" si="137"/>
        <v>0</v>
      </c>
      <c r="M155" s="298">
        <f t="shared" ca="1" si="137"/>
        <v>0</v>
      </c>
      <c r="N155" s="298">
        <f ca="1">SUM(N11:N154)</f>
        <v>0</v>
      </c>
      <c r="O155" s="298">
        <f ca="1">SUM(O11:O154)</f>
        <v>0</v>
      </c>
      <c r="P155" s="298">
        <f t="shared" ca="1" si="137"/>
        <v>0</v>
      </c>
      <c r="Q155" s="298">
        <f t="shared" ca="1" si="137"/>
        <v>0</v>
      </c>
      <c r="R155" s="298">
        <f t="shared" ca="1" si="137"/>
        <v>0</v>
      </c>
      <c r="S155" s="298">
        <f t="shared" ca="1" si="137"/>
        <v>0</v>
      </c>
      <c r="T155" s="298">
        <f t="shared" ca="1" si="137"/>
        <v>0</v>
      </c>
      <c r="U155" s="298">
        <f t="shared" ca="1" si="137"/>
        <v>0</v>
      </c>
      <c r="V155" s="298">
        <f t="shared" ca="1" si="137"/>
        <v>0</v>
      </c>
      <c r="W155" s="298">
        <f t="shared" ca="1" si="137"/>
        <v>0</v>
      </c>
      <c r="X155" s="298">
        <f t="shared" ca="1" si="137"/>
        <v>0</v>
      </c>
      <c r="Y155" s="298">
        <f t="shared" ca="1" si="137"/>
        <v>0</v>
      </c>
      <c r="Z155" s="298">
        <f t="shared" ca="1" si="137"/>
        <v>0</v>
      </c>
      <c r="AA155" s="298">
        <f t="shared" ca="1" si="137"/>
        <v>0</v>
      </c>
      <c r="AB155" s="298">
        <f t="shared" ca="1" si="137"/>
        <v>0</v>
      </c>
      <c r="AC155" s="298">
        <f t="shared" ca="1" si="137"/>
        <v>0</v>
      </c>
      <c r="AD155" s="298">
        <f t="shared" ca="1" si="137"/>
        <v>0</v>
      </c>
      <c r="AE155" s="298">
        <f t="shared" ca="1" si="137"/>
        <v>0</v>
      </c>
      <c r="AF155" s="298">
        <f ca="1">SUM(AF11:AF154)</f>
        <v>0</v>
      </c>
      <c r="AG155" s="298">
        <f ca="1">SUM(AG11:AG154)</f>
        <v>0</v>
      </c>
      <c r="AH155" s="298">
        <f t="shared" ca="1" si="137"/>
        <v>0</v>
      </c>
      <c r="AI155" s="298">
        <f t="shared" ca="1" si="137"/>
        <v>0</v>
      </c>
      <c r="AJ155" s="298">
        <f t="shared" ca="1" si="137"/>
        <v>0</v>
      </c>
      <c r="AK155" s="298">
        <f t="shared" ca="1" si="137"/>
        <v>0</v>
      </c>
      <c r="AL155" s="298">
        <f t="shared" ca="1" si="137"/>
        <v>41705364</v>
      </c>
      <c r="AM155" s="298">
        <f t="shared" ca="1" si="137"/>
        <v>0</v>
      </c>
      <c r="AN155" s="298">
        <f t="shared" ca="1" si="137"/>
        <v>0</v>
      </c>
      <c r="AO155" s="298">
        <f t="shared" ca="1" si="137"/>
        <v>0</v>
      </c>
      <c r="AP155" s="298">
        <f t="shared" ca="1" si="137"/>
        <v>0</v>
      </c>
      <c r="AQ155" s="298">
        <f t="shared" ca="1" si="137"/>
        <v>0</v>
      </c>
      <c r="AR155" s="298">
        <f t="shared" ca="1" si="137"/>
        <v>0</v>
      </c>
      <c r="AS155" s="298">
        <f t="shared" ca="1" si="137"/>
        <v>0</v>
      </c>
      <c r="AT155" s="298">
        <f t="shared" ca="1" si="137"/>
        <v>0</v>
      </c>
      <c r="AU155" s="298">
        <f t="shared" ca="1" si="137"/>
        <v>0</v>
      </c>
      <c r="AV155" s="298">
        <f t="shared" ca="1" si="137"/>
        <v>0</v>
      </c>
      <c r="AW155" s="298">
        <f t="shared" ca="1" si="137"/>
        <v>0</v>
      </c>
      <c r="AX155" s="298">
        <f t="shared" ca="1" si="137"/>
        <v>0</v>
      </c>
      <c r="AY155" s="298">
        <f t="shared" ca="1" si="137"/>
        <v>0</v>
      </c>
      <c r="AZ155" s="298">
        <f t="shared" ca="1" si="137"/>
        <v>0</v>
      </c>
      <c r="BA155" s="298">
        <f t="shared" ca="1" si="137"/>
        <v>41705364</v>
      </c>
    </row>
    <row r="156" spans="1:53" s="289" customFormat="1" ht="15" customHeight="1">
      <c r="A156" s="299"/>
      <c r="B156" s="299"/>
      <c r="C156" s="299"/>
      <c r="D156" s="299"/>
      <c r="E156" s="300" t="s">
        <v>301</v>
      </c>
      <c r="F156" s="299"/>
      <c r="G156" s="301"/>
      <c r="H156" s="301"/>
      <c r="I156" s="299"/>
      <c r="J156" s="321">
        <f ca="1">MAX(J10+J155-K10-K155,0)</f>
        <v>481905579</v>
      </c>
      <c r="K156" s="321">
        <f ca="1">MAX(K10+K155-J10-J155,0)</f>
        <v>0</v>
      </c>
      <c r="L156" s="321">
        <f ca="1">MAX(L10+L155-M10-M155,0)</f>
        <v>1518304</v>
      </c>
      <c r="M156" s="321">
        <f ca="1">MAX(M10+M155-L10-L155,0)</f>
        <v>0</v>
      </c>
      <c r="N156" s="321">
        <f ca="1">MAX(N10+N155-O10-O155,0)</f>
        <v>0</v>
      </c>
      <c r="O156" s="321">
        <f ca="1">MAX(O10+O155-N10-N155,0)</f>
        <v>0</v>
      </c>
      <c r="P156" s="321">
        <f ca="1">MAX(P10+P155-Q10-Q155,0)</f>
        <v>62811209</v>
      </c>
      <c r="Q156" s="321">
        <f ca="1">MAX(Q10+Q155-P10-P155,0)</f>
        <v>0</v>
      </c>
      <c r="R156" s="321">
        <f ca="1">MAX(R10+R155-S10-S155,0)</f>
        <v>1219554047</v>
      </c>
      <c r="S156" s="321">
        <f ca="1">MAX(S10+S155-R10-R155,0)</f>
        <v>0</v>
      </c>
      <c r="T156" s="321">
        <f ca="1">MAX(T10+T155-U10-U155,0)</f>
        <v>31348179853</v>
      </c>
      <c r="U156" s="321">
        <f ca="1">MAX(U10+U155-T10-T155,0)</f>
        <v>0</v>
      </c>
      <c r="V156" s="321">
        <f ca="1">MAX(V10+V155-W10-W155,0)</f>
        <v>0</v>
      </c>
      <c r="W156" s="321">
        <f ca="1">MAX(W10+W155-V10-V155,0)</f>
        <v>1597487431</v>
      </c>
      <c r="X156" s="321">
        <f ca="1">MAX(X10+X155-Y10-Y155,0)</f>
        <v>0</v>
      </c>
      <c r="Y156" s="321">
        <f ca="1">MAX(Y10+Y155-X10-X155,0)</f>
        <v>0</v>
      </c>
      <c r="Z156" s="321">
        <f ca="1">MAX(Z10+Z155-AA10-AA155,0)</f>
        <v>0</v>
      </c>
      <c r="AA156" s="321">
        <f ca="1">MAX(AA10+AA155-Z10-Z155,0)</f>
        <v>0</v>
      </c>
      <c r="AB156" s="321">
        <f ca="1">MAX(AB10+AB155-AC10-AC155,0)</f>
        <v>0</v>
      </c>
      <c r="AC156" s="321">
        <f ca="1">MAX(AC10+AC155-AB10-AB155,0)</f>
        <v>7000000000</v>
      </c>
      <c r="AD156" s="321">
        <f ca="1">MAX(AD10+AD155-AE10-AE155,0)</f>
        <v>0</v>
      </c>
      <c r="AE156" s="321">
        <f ca="1">MAX(AE10+AE155-AD10-AD155,0)</f>
        <v>20000000000</v>
      </c>
      <c r="AF156" s="321">
        <f ca="1">MAX(AF10+AF155-AG10-AG155,0)</f>
        <v>0</v>
      </c>
      <c r="AG156" s="321">
        <f ca="1">MAX(AG10+AG155-AF10-AF155,0)</f>
        <v>1961520000</v>
      </c>
      <c r="AH156" s="321">
        <f ca="1">MAX(AH10+AH155-AI10-AI155,0)</f>
        <v>0</v>
      </c>
      <c r="AI156" s="321">
        <f ca="1">MAX(AI10+AI155-AH10-AH155,0)</f>
        <v>4000000000</v>
      </c>
      <c r="AJ156" s="321">
        <f ca="1">MAX(AJ10+AJ155-AK10-AK155,0)</f>
        <v>583066238</v>
      </c>
      <c r="AK156" s="321">
        <f ca="1">MAX(AK10+AK155-AJ10-AJ155,0)</f>
        <v>0</v>
      </c>
      <c r="AL156" s="321">
        <f ca="1">MAX(AL10+AL155-AM10-AM155,0)</f>
        <v>692639990</v>
      </c>
      <c r="AM156" s="321">
        <f ca="1">MAX(AM10+AM155-AL10-AL155,0)</f>
        <v>0</v>
      </c>
      <c r="AN156" s="321">
        <f ca="1">MAX(AN10+AN155-AO10-AO155,0)</f>
        <v>0</v>
      </c>
      <c r="AO156" s="321">
        <f ca="1">MAX(AO10+AO155-AN10-AN155,0)</f>
        <v>0</v>
      </c>
      <c r="AP156" s="321">
        <f ca="1">MAX(AP10+AP155-AQ10-AQ155,0)</f>
        <v>0</v>
      </c>
      <c r="AQ156" s="321">
        <f ca="1">MAX(AQ10+AQ155-AP10-AP155,0)</f>
        <v>0</v>
      </c>
      <c r="AR156" s="321">
        <f ca="1">MAX(AR10+AR155-AS10-AS155,0)</f>
        <v>0</v>
      </c>
      <c r="AS156" s="321">
        <f ca="1">MAX(AS10+AS155-AR10-AR155,0)</f>
        <v>0</v>
      </c>
      <c r="AT156" s="321">
        <f ca="1">MAX(AT10+AT155-AU10-AU155,0)</f>
        <v>0</v>
      </c>
      <c r="AU156" s="321">
        <f ca="1">MAX(AU10+AU155-AT10-AT155,0)</f>
        <v>0</v>
      </c>
      <c r="AV156" s="321">
        <f ca="1">MAX(AV10+AV155-AW10-AW155,0)</f>
        <v>0</v>
      </c>
      <c r="AW156" s="321">
        <f ca="1">MAX(AW10+AW155-AV10-AV155,0)</f>
        <v>0</v>
      </c>
      <c r="AX156" s="321">
        <f ca="1">MAX(AX10+AX155-AY10-AY155,0)</f>
        <v>0</v>
      </c>
      <c r="AY156" s="321">
        <f ca="1">MAX(AY10+AY155-AX10-AX155,0)</f>
        <v>0</v>
      </c>
      <c r="AZ156" s="321">
        <f ca="1">MAX(AZ10+AZ155-BA10-BA155,0)</f>
        <v>0</v>
      </c>
      <c r="BA156" s="321">
        <f ca="1">MAX(BA10+BA155-AZ10-AZ155,0)</f>
        <v>41705364</v>
      </c>
    </row>
    <row r="157" spans="1:53" s="289" customFormat="1" ht="15" customHeight="1">
      <c r="A157" s="303"/>
      <c r="B157" s="303"/>
      <c r="C157" s="304"/>
      <c r="D157" s="303"/>
      <c r="E157" s="305" t="s">
        <v>302</v>
      </c>
      <c r="F157" s="303"/>
      <c r="G157" s="306"/>
      <c r="H157" s="306"/>
      <c r="I157" s="303"/>
      <c r="J157" s="303">
        <f ca="1">J155+'SC-I'!J453</f>
        <v>4472000000</v>
      </c>
      <c r="K157" s="303">
        <f ca="1">K155+'SC-I'!K453</f>
        <v>5332259831</v>
      </c>
      <c r="L157" s="303">
        <f ca="1">L155+'SC-I'!L453</f>
        <v>6620715947</v>
      </c>
      <c r="M157" s="303">
        <f ca="1">M155+'SC-I'!M453</f>
        <v>8313972335</v>
      </c>
      <c r="N157" s="303">
        <f ca="1">N155+'SC-I'!N453</f>
        <v>1962840000</v>
      </c>
      <c r="O157" s="303">
        <f ca="1">O155+'SC-I'!O453</f>
        <v>1962840000</v>
      </c>
      <c r="P157" s="303">
        <f ca="1">P155+'SC-I'!P453</f>
        <v>62811209</v>
      </c>
      <c r="Q157" s="303">
        <f ca="1">Q155+'SC-I'!Q453</f>
        <v>0</v>
      </c>
      <c r="R157" s="303">
        <f ca="1">R155+'SC-I'!T453</f>
        <v>1219554047</v>
      </c>
      <c r="S157" s="303">
        <f ca="1">S155+'SC-I'!U453</f>
        <v>0</v>
      </c>
      <c r="T157" s="303">
        <f ca="1">T155+'SC-I'!Z453</f>
        <v>8748192551</v>
      </c>
      <c r="U157" s="303">
        <f ca="1">U155+'SC-I'!AA453</f>
        <v>0</v>
      </c>
      <c r="V157" s="303">
        <f ca="1">V155+'SC-I'!AB453</f>
        <v>2854957314</v>
      </c>
      <c r="W157" s="303">
        <f ca="1">W155+'SC-I'!AC453</f>
        <v>8762476509</v>
      </c>
      <c r="X157" s="303">
        <f ca="1">X155+'SC-I'!AD453</f>
        <v>0</v>
      </c>
      <c r="Y157" s="303">
        <f ca="1">Y155+'SC-I'!AE453</f>
        <v>0</v>
      </c>
      <c r="Z157" s="303">
        <f ca="1">Z155+'SC-I'!AF453</f>
        <v>1500000</v>
      </c>
      <c r="AA157" s="303">
        <f ca="1">AA155+'SC-I'!AG453</f>
        <v>1500000</v>
      </c>
      <c r="AB157" s="303">
        <f ca="1">AB155+'SC-I'!AH453</f>
        <v>2405000000</v>
      </c>
      <c r="AC157" s="303">
        <f ca="1">AC155+'SC-I'!AI453</f>
        <v>4405000000</v>
      </c>
      <c r="AD157" s="303">
        <f ca="1">AD155+'SC-I'!AJ453</f>
        <v>0</v>
      </c>
      <c r="AE157" s="303">
        <f ca="1">AE155+'SC-I'!AK453</f>
        <v>0</v>
      </c>
      <c r="AF157" s="303">
        <f ca="1">AF155+'SC-I'!AL453</f>
        <v>1982640000</v>
      </c>
      <c r="AG157" s="303">
        <f ca="1">AG155+'SC-I'!AM453</f>
        <v>1961520000</v>
      </c>
      <c r="AH157" s="303">
        <f ca="1">AH155+'SC-I'!AN453</f>
        <v>0</v>
      </c>
      <c r="AI157" s="303">
        <f ca="1">AI155+'SC-I'!AO453</f>
        <v>0</v>
      </c>
      <c r="AJ157" s="303">
        <f ca="1">AJ155+'SC-I'!AP453</f>
        <v>359476733</v>
      </c>
      <c r="AK157" s="303">
        <f ca="1">AK155+'SC-I'!AQ453</f>
        <v>0</v>
      </c>
      <c r="AL157" s="303">
        <f ca="1">AL155+'SC-I'!AR453</f>
        <v>692639990</v>
      </c>
      <c r="AM157" s="303">
        <f ca="1">AM155+'SC-I'!AS453</f>
        <v>359476733</v>
      </c>
      <c r="AN157" s="303">
        <f ca="1">AN155+'SC-I'!AT453</f>
        <v>19995947</v>
      </c>
      <c r="AO157" s="303">
        <f ca="1">AO155+'SC-I'!AU453</f>
        <v>19995947</v>
      </c>
      <c r="AP157" s="303">
        <f ca="1">AP155+'SC-I'!AV453</f>
        <v>1005486220</v>
      </c>
      <c r="AQ157" s="303">
        <f ca="1">AQ155+'SC-I'!AW453</f>
        <v>1005486220</v>
      </c>
      <c r="AR157" s="303">
        <f ca="1">AR155+'SC-I'!AX453</f>
        <v>670930573</v>
      </c>
      <c r="AS157" s="303">
        <f ca="1">AS155+'SC-I'!AY453</f>
        <v>670930573</v>
      </c>
      <c r="AT157" s="303">
        <f ca="1">AT155+'SC-I'!AZ453</f>
        <v>0</v>
      </c>
      <c r="AU157" s="303">
        <f ca="1">AU155+'SC-I'!BA453</f>
        <v>0</v>
      </c>
      <c r="AV157" s="303">
        <f ca="1">AV155+'SC-I'!BB453</f>
        <v>0</v>
      </c>
      <c r="AW157" s="303">
        <f ca="1">AW155+'SC-I'!BC453</f>
        <v>0</v>
      </c>
      <c r="AX157" s="303">
        <f ca="1">AX155+'SC-I'!BD453</f>
        <v>0</v>
      </c>
      <c r="AY157" s="303">
        <f ca="1">AY155+'SC-I'!BE453</f>
        <v>0</v>
      </c>
      <c r="AZ157" s="303">
        <f ca="1">AZ155+'SC-I'!BF453</f>
        <v>670930573</v>
      </c>
      <c r="BA157" s="303">
        <f ca="1">BA155+'SC-I'!BG453</f>
        <v>712635937</v>
      </c>
    </row>
    <row r="158" spans="1:53" ht="12" customHeight="1">
      <c r="B158" s="308"/>
      <c r="C158" s="309"/>
      <c r="D158" s="309"/>
      <c r="E158" s="309"/>
      <c r="F158" s="309"/>
      <c r="G158" s="310"/>
      <c r="H158" s="310"/>
      <c r="I158" s="309"/>
      <c r="J158" s="309"/>
      <c r="K158" s="309"/>
    </row>
    <row r="159" spans="1:53">
      <c r="M159" s="311"/>
      <c r="O159" s="311"/>
      <c r="Q159" s="311"/>
      <c r="R159" s="311"/>
      <c r="S159" s="311"/>
      <c r="T159" s="311"/>
      <c r="U159" s="311"/>
      <c r="V159" s="311"/>
      <c r="AM159" s="313"/>
      <c r="AN159" s="312" t="s">
        <v>330</v>
      </c>
      <c r="AO159" s="313"/>
      <c r="AP159" s="313"/>
      <c r="AQ159" s="313"/>
      <c r="AR159" s="314"/>
      <c r="AS159" s="314"/>
      <c r="AT159" s="313"/>
    </row>
    <row r="160" spans="1:53">
      <c r="M160" s="311"/>
      <c r="O160" s="311"/>
      <c r="Q160" s="311"/>
      <c r="R160" s="311"/>
      <c r="S160" s="311"/>
      <c r="T160" s="311"/>
      <c r="U160" s="311"/>
      <c r="V160" s="311"/>
      <c r="AM160" s="313"/>
      <c r="AN160" s="315" t="s">
        <v>304</v>
      </c>
      <c r="AO160" s="313"/>
      <c r="AP160" s="313"/>
      <c r="AQ160" s="313"/>
      <c r="AR160" s="314"/>
      <c r="AS160" s="314"/>
      <c r="AT160" s="313"/>
    </row>
    <row r="161" spans="13:52">
      <c r="M161" s="311"/>
      <c r="O161" s="311"/>
      <c r="Q161" s="311"/>
      <c r="R161" s="311"/>
      <c r="S161" s="311"/>
      <c r="T161" s="311"/>
      <c r="U161" s="311"/>
      <c r="V161" s="311"/>
      <c r="AL161" s="313"/>
      <c r="AM161" s="313"/>
      <c r="AN161" s="313"/>
      <c r="AO161" s="313"/>
      <c r="AP161" s="313"/>
      <c r="AQ161" s="313"/>
      <c r="AR161" s="313"/>
      <c r="AS161" s="313"/>
      <c r="AT161" s="314"/>
    </row>
    <row r="162" spans="13:52">
      <c r="M162" s="311"/>
      <c r="O162" s="311"/>
      <c r="Q162" s="311"/>
      <c r="R162" s="311"/>
      <c r="S162" s="311"/>
      <c r="T162" s="311"/>
      <c r="U162" s="311"/>
      <c r="V162" s="311"/>
      <c r="AL162" s="313"/>
      <c r="AM162" s="313"/>
      <c r="AN162" s="313"/>
      <c r="AO162" s="317" t="s">
        <v>14</v>
      </c>
      <c r="AQ162" s="313"/>
      <c r="AR162" s="313"/>
      <c r="AS162" s="313"/>
      <c r="AT162" s="314"/>
      <c r="AZ162" s="316" t="str">
        <f>"Ngày 30 tháng 06 năm 2015 "</f>
        <v xml:space="preserve">Ngày 30 tháng 06 năm 2015 </v>
      </c>
    </row>
    <row r="163" spans="13:52">
      <c r="M163" s="311"/>
      <c r="O163" s="311"/>
      <c r="Q163" s="311"/>
      <c r="R163" s="311"/>
      <c r="S163" s="311"/>
      <c r="T163" s="311"/>
      <c r="U163" s="311"/>
      <c r="V163" s="311"/>
      <c r="AL163" s="313"/>
      <c r="AN163" s="313"/>
      <c r="AO163" s="319" t="s">
        <v>16</v>
      </c>
      <c r="AQ163" s="313"/>
      <c r="AR163" s="313"/>
      <c r="AS163" s="318" t="s">
        <v>15</v>
      </c>
      <c r="AT163" s="314"/>
      <c r="AZ163" s="317" t="s">
        <v>205</v>
      </c>
    </row>
    <row r="164" spans="13:52">
      <c r="M164" s="311"/>
      <c r="O164" s="311"/>
      <c r="Q164" s="311"/>
      <c r="R164" s="311"/>
      <c r="S164" s="311"/>
      <c r="T164" s="311"/>
      <c r="U164" s="311"/>
      <c r="V164" s="311"/>
      <c r="AL164" s="313"/>
      <c r="AN164" s="313"/>
      <c r="AO164" s="313"/>
      <c r="AQ164" s="313"/>
      <c r="AR164" s="313"/>
      <c r="AS164" s="320" t="s">
        <v>16</v>
      </c>
      <c r="AT164" s="314"/>
      <c r="AZ164" s="319" t="s">
        <v>240</v>
      </c>
    </row>
    <row r="165" spans="13:52">
      <c r="M165" s="311"/>
      <c r="O165" s="311"/>
      <c r="Q165" s="311"/>
      <c r="R165" s="311"/>
      <c r="S165" s="311"/>
      <c r="T165" s="311"/>
      <c r="U165" s="311"/>
      <c r="V165" s="311"/>
      <c r="AL165" s="313"/>
      <c r="AN165" s="313"/>
      <c r="AO165" s="313"/>
      <c r="AP165" s="313"/>
      <c r="AQ165" s="313"/>
      <c r="AR165" s="313"/>
      <c r="AS165" s="313"/>
      <c r="AT165" s="314"/>
      <c r="AZ165" s="313"/>
    </row>
    <row r="166" spans="13:52">
      <c r="M166" s="311"/>
      <c r="O166" s="311"/>
      <c r="Q166" s="311"/>
      <c r="R166" s="311"/>
      <c r="S166" s="311"/>
      <c r="T166" s="311"/>
      <c r="U166" s="311"/>
      <c r="V166" s="311"/>
      <c r="AZ166" s="313"/>
    </row>
    <row r="167" spans="13:52">
      <c r="M167" s="311"/>
      <c r="O167" s="311"/>
      <c r="Q167" s="311"/>
      <c r="R167" s="311"/>
      <c r="S167" s="311"/>
      <c r="T167" s="311"/>
      <c r="U167" s="311"/>
      <c r="V167" s="311"/>
    </row>
    <row r="168" spans="13:52">
      <c r="M168" s="311"/>
      <c r="O168" s="311"/>
      <c r="Q168" s="311"/>
      <c r="R168" s="311"/>
      <c r="S168" s="311"/>
      <c r="T168" s="311"/>
      <c r="U168" s="311"/>
      <c r="V168" s="311"/>
    </row>
    <row r="169" spans="13:52">
      <c r="M169" s="311"/>
      <c r="O169" s="311"/>
      <c r="Q169" s="311"/>
      <c r="R169" s="311"/>
      <c r="S169" s="311"/>
      <c r="T169" s="311"/>
      <c r="U169" s="311"/>
      <c r="V169" s="311"/>
    </row>
    <row r="170" spans="13:52">
      <c r="M170" s="311"/>
      <c r="O170" s="311"/>
      <c r="Q170" s="311"/>
      <c r="R170" s="311"/>
      <c r="S170" s="311"/>
      <c r="T170" s="311"/>
      <c r="U170" s="311"/>
      <c r="V170" s="311"/>
    </row>
    <row r="171" spans="13:52">
      <c r="M171" s="311"/>
      <c r="O171" s="311"/>
      <c r="Q171" s="311"/>
      <c r="R171" s="311"/>
      <c r="S171" s="311"/>
      <c r="T171" s="311"/>
      <c r="U171" s="311"/>
      <c r="V171" s="311"/>
    </row>
    <row r="172" spans="13:52">
      <c r="M172" s="311"/>
      <c r="O172" s="311"/>
      <c r="Q172" s="311"/>
      <c r="R172" s="311"/>
      <c r="S172" s="311"/>
      <c r="T172" s="311"/>
      <c r="U172" s="311"/>
      <c r="V172" s="311"/>
    </row>
    <row r="173" spans="13:52">
      <c r="M173" s="311"/>
      <c r="O173" s="311"/>
      <c r="Q173" s="311"/>
      <c r="R173" s="311"/>
      <c r="S173" s="311"/>
      <c r="T173" s="311"/>
      <c r="U173" s="311"/>
      <c r="V173" s="311"/>
    </row>
    <row r="174" spans="13:52">
      <c r="M174" s="311"/>
      <c r="O174" s="311"/>
      <c r="Q174" s="311"/>
      <c r="R174" s="311"/>
      <c r="S174" s="311"/>
      <c r="T174" s="311"/>
      <c r="U174" s="311"/>
      <c r="V174" s="311"/>
    </row>
    <row r="175" spans="13:52">
      <c r="M175" s="311"/>
      <c r="O175" s="311"/>
      <c r="Q175" s="311"/>
      <c r="R175" s="311"/>
      <c r="S175" s="311"/>
      <c r="T175" s="311"/>
      <c r="U175" s="311"/>
      <c r="V175" s="311"/>
    </row>
    <row r="176" spans="13:52">
      <c r="M176" s="311"/>
      <c r="O176" s="311"/>
      <c r="Q176" s="311"/>
      <c r="R176" s="311"/>
      <c r="S176" s="311"/>
      <c r="T176" s="311"/>
      <c r="U176" s="311"/>
      <c r="V176" s="311"/>
    </row>
    <row r="177" spans="13:22">
      <c r="M177" s="311"/>
      <c r="O177" s="311"/>
      <c r="Q177" s="311"/>
      <c r="R177" s="311"/>
      <c r="S177" s="311"/>
      <c r="T177" s="311"/>
      <c r="U177" s="311"/>
      <c r="V177" s="311"/>
    </row>
    <row r="178" spans="13:22">
      <c r="M178" s="311"/>
      <c r="O178" s="311"/>
      <c r="Q178" s="311"/>
      <c r="R178" s="311"/>
      <c r="S178" s="311"/>
      <c r="T178" s="311"/>
      <c r="U178" s="311"/>
      <c r="V178" s="311"/>
    </row>
    <row r="179" spans="13:22">
      <c r="M179" s="311"/>
      <c r="O179" s="311"/>
      <c r="Q179" s="311"/>
      <c r="R179" s="311"/>
      <c r="S179" s="311"/>
      <c r="T179" s="311"/>
      <c r="U179" s="311"/>
      <c r="V179" s="311"/>
    </row>
    <row r="180" spans="13:22">
      <c r="M180" s="311"/>
      <c r="O180" s="311"/>
      <c r="Q180" s="311"/>
      <c r="R180" s="311"/>
      <c r="S180" s="311"/>
      <c r="T180" s="311"/>
      <c r="U180" s="311"/>
      <c r="V180" s="311"/>
    </row>
    <row r="181" spans="13:22">
      <c r="M181" s="311"/>
      <c r="O181" s="311"/>
      <c r="Q181" s="311"/>
      <c r="R181" s="311"/>
      <c r="S181" s="311"/>
      <c r="T181" s="311"/>
      <c r="U181" s="311"/>
      <c r="V181" s="311"/>
    </row>
    <row r="182" spans="13:22">
      <c r="M182" s="311"/>
      <c r="O182" s="311"/>
      <c r="Q182" s="311"/>
      <c r="R182" s="311"/>
      <c r="S182" s="311"/>
      <c r="T182" s="311"/>
      <c r="U182" s="311"/>
      <c r="V182" s="311"/>
    </row>
    <row r="183" spans="13:22">
      <c r="M183" s="311"/>
      <c r="O183" s="311"/>
      <c r="Q183" s="311"/>
      <c r="R183" s="311"/>
      <c r="S183" s="311"/>
      <c r="T183" s="311"/>
      <c r="U183" s="311"/>
      <c r="V183" s="311"/>
    </row>
    <row r="184" spans="13:22">
      <c r="M184" s="311"/>
      <c r="O184" s="311"/>
      <c r="Q184" s="311"/>
      <c r="R184" s="311"/>
      <c r="S184" s="311"/>
      <c r="T184" s="311"/>
      <c r="U184" s="311"/>
      <c r="V184" s="311"/>
    </row>
    <row r="185" spans="13:22">
      <c r="M185" s="311"/>
      <c r="O185" s="311"/>
      <c r="Q185" s="311"/>
      <c r="R185" s="311"/>
      <c r="S185" s="311"/>
      <c r="T185" s="311"/>
      <c r="U185" s="311"/>
      <c r="V185" s="311"/>
    </row>
    <row r="186" spans="13:22">
      <c r="M186" s="311"/>
      <c r="O186" s="311"/>
      <c r="Q186" s="311"/>
      <c r="R186" s="311"/>
      <c r="S186" s="311"/>
      <c r="T186" s="311"/>
      <c r="U186" s="311"/>
      <c r="V186" s="311"/>
    </row>
    <row r="187" spans="13:22">
      <c r="M187" s="311"/>
      <c r="O187" s="311"/>
      <c r="Q187" s="311"/>
      <c r="R187" s="311"/>
      <c r="S187" s="311"/>
      <c r="T187" s="311"/>
      <c r="U187" s="311"/>
      <c r="V187" s="311"/>
    </row>
    <row r="188" spans="13:22">
      <c r="M188" s="311"/>
      <c r="O188" s="311"/>
      <c r="Q188" s="311"/>
      <c r="R188" s="311"/>
      <c r="S188" s="311"/>
      <c r="T188" s="311"/>
      <c r="U188" s="311"/>
      <c r="V188" s="311"/>
    </row>
    <row r="189" spans="13:22">
      <c r="M189" s="311"/>
      <c r="O189" s="311"/>
      <c r="Q189" s="311"/>
      <c r="R189" s="311"/>
      <c r="S189" s="311"/>
      <c r="T189" s="311"/>
      <c r="U189" s="311"/>
      <c r="V189" s="311"/>
    </row>
    <row r="190" spans="13:22">
      <c r="M190" s="311"/>
      <c r="O190" s="311"/>
      <c r="Q190" s="311"/>
      <c r="R190" s="311"/>
      <c r="S190" s="311"/>
      <c r="T190" s="311"/>
      <c r="U190" s="311"/>
      <c r="V190" s="311"/>
    </row>
    <row r="191" spans="13:22">
      <c r="M191" s="311"/>
      <c r="O191" s="311"/>
      <c r="Q191" s="311"/>
      <c r="R191" s="311"/>
      <c r="S191" s="311"/>
      <c r="T191" s="311"/>
      <c r="U191" s="311"/>
      <c r="V191" s="311"/>
    </row>
    <row r="192" spans="13:22">
      <c r="M192" s="311"/>
      <c r="O192" s="311"/>
      <c r="Q192" s="311"/>
      <c r="R192" s="311"/>
      <c r="S192" s="311"/>
      <c r="T192" s="311"/>
      <c r="U192" s="311"/>
      <c r="V192" s="311"/>
    </row>
    <row r="193" spans="13:22">
      <c r="M193" s="311"/>
      <c r="O193" s="311"/>
      <c r="Q193" s="311"/>
      <c r="R193" s="311"/>
      <c r="S193" s="311"/>
      <c r="T193" s="311"/>
      <c r="U193" s="311"/>
      <c r="V193" s="311"/>
    </row>
    <row r="194" spans="13:22">
      <c r="M194" s="311"/>
      <c r="O194" s="311"/>
      <c r="Q194" s="311"/>
      <c r="R194" s="311"/>
      <c r="S194" s="311"/>
      <c r="T194" s="311"/>
      <c r="U194" s="311"/>
      <c r="V194" s="311"/>
    </row>
    <row r="195" spans="13:22">
      <c r="M195" s="311"/>
      <c r="O195" s="311"/>
      <c r="Q195" s="311"/>
      <c r="R195" s="311"/>
      <c r="S195" s="311"/>
      <c r="T195" s="311"/>
      <c r="U195" s="311"/>
      <c r="V195" s="311"/>
    </row>
    <row r="196" spans="13:22">
      <c r="M196" s="311"/>
      <c r="O196" s="311"/>
      <c r="Q196" s="311"/>
      <c r="R196" s="311"/>
      <c r="S196" s="311"/>
      <c r="T196" s="311"/>
      <c r="U196" s="311"/>
      <c r="V196" s="311"/>
    </row>
    <row r="197" spans="13:22">
      <c r="M197" s="311"/>
      <c r="O197" s="311"/>
      <c r="Q197" s="311"/>
      <c r="R197" s="311"/>
      <c r="S197" s="311"/>
      <c r="T197" s="311"/>
      <c r="U197" s="311"/>
      <c r="V197" s="311"/>
    </row>
    <row r="198" spans="13:22">
      <c r="M198" s="311"/>
      <c r="O198" s="311"/>
      <c r="Q198" s="311"/>
      <c r="R198" s="311"/>
      <c r="S198" s="311"/>
      <c r="T198" s="311"/>
      <c r="U198" s="311"/>
      <c r="V198" s="311"/>
    </row>
    <row r="199" spans="13:22">
      <c r="M199" s="311"/>
      <c r="O199" s="311"/>
      <c r="Q199" s="311"/>
      <c r="R199" s="311"/>
      <c r="S199" s="311"/>
      <c r="T199" s="311"/>
      <c r="U199" s="311"/>
      <c r="V199" s="311"/>
    </row>
    <row r="200" spans="13:22">
      <c r="M200" s="311"/>
      <c r="O200" s="311"/>
      <c r="Q200" s="311"/>
      <c r="R200" s="311"/>
      <c r="S200" s="311"/>
      <c r="T200" s="311"/>
      <c r="U200" s="311"/>
      <c r="V200" s="311"/>
    </row>
    <row r="201" spans="13:22">
      <c r="M201" s="311"/>
      <c r="O201" s="311"/>
      <c r="Q201" s="311"/>
      <c r="R201" s="311"/>
      <c r="S201" s="311"/>
      <c r="T201" s="311"/>
      <c r="U201" s="311"/>
      <c r="V201" s="311"/>
    </row>
    <row r="202" spans="13:22">
      <c r="M202" s="311"/>
      <c r="O202" s="311"/>
      <c r="Q202" s="311"/>
      <c r="R202" s="311"/>
      <c r="S202" s="311"/>
      <c r="T202" s="311"/>
      <c r="U202" s="311"/>
      <c r="V202" s="311"/>
    </row>
    <row r="203" spans="13:22">
      <c r="M203" s="311"/>
      <c r="O203" s="311"/>
      <c r="Q203" s="311"/>
      <c r="R203" s="311"/>
      <c r="S203" s="311"/>
      <c r="T203" s="311"/>
      <c r="U203" s="311"/>
      <c r="V203" s="311"/>
    </row>
    <row r="204" spans="13:22">
      <c r="M204" s="311"/>
      <c r="O204" s="311"/>
      <c r="Q204" s="311"/>
      <c r="R204" s="311"/>
      <c r="S204" s="311"/>
      <c r="T204" s="311"/>
      <c r="U204" s="311"/>
      <c r="V204" s="311"/>
    </row>
    <row r="205" spans="13:22">
      <c r="M205" s="311"/>
      <c r="O205" s="311"/>
      <c r="Q205" s="311"/>
      <c r="R205" s="311"/>
      <c r="S205" s="311"/>
      <c r="T205" s="311"/>
      <c r="U205" s="311"/>
      <c r="V205" s="311"/>
    </row>
    <row r="206" spans="13:22">
      <c r="M206" s="311"/>
      <c r="O206" s="311"/>
      <c r="Q206" s="311"/>
      <c r="R206" s="311"/>
      <c r="S206" s="311"/>
      <c r="T206" s="311"/>
      <c r="U206" s="311"/>
      <c r="V206" s="311"/>
    </row>
    <row r="207" spans="13:22">
      <c r="M207" s="311"/>
      <c r="O207" s="311"/>
      <c r="Q207" s="311"/>
      <c r="R207" s="311"/>
      <c r="S207" s="311"/>
      <c r="T207" s="311"/>
      <c r="U207" s="311"/>
      <c r="V207" s="311"/>
    </row>
    <row r="208" spans="13:22">
      <c r="M208" s="311"/>
      <c r="O208" s="311"/>
      <c r="Q208" s="311"/>
      <c r="R208" s="311"/>
      <c r="S208" s="311"/>
      <c r="T208" s="311"/>
      <c r="U208" s="311"/>
      <c r="V208" s="311"/>
    </row>
    <row r="209" spans="13:22">
      <c r="M209" s="311"/>
      <c r="O209" s="311"/>
      <c r="Q209" s="311"/>
      <c r="R209" s="311"/>
      <c r="S209" s="311"/>
      <c r="T209" s="311"/>
      <c r="U209" s="311"/>
      <c r="V209" s="311"/>
    </row>
    <row r="210" spans="13:22">
      <c r="M210" s="311"/>
      <c r="O210" s="311"/>
      <c r="Q210" s="311"/>
      <c r="R210" s="311"/>
      <c r="S210" s="311"/>
      <c r="T210" s="311"/>
      <c r="U210" s="311"/>
      <c r="V210" s="311"/>
    </row>
    <row r="211" spans="13:22">
      <c r="M211" s="311"/>
      <c r="O211" s="311"/>
      <c r="Q211" s="311"/>
      <c r="R211" s="311"/>
      <c r="S211" s="311"/>
      <c r="T211" s="311"/>
      <c r="U211" s="311"/>
      <c r="V211" s="311"/>
    </row>
    <row r="212" spans="13:22">
      <c r="M212" s="311"/>
      <c r="O212" s="311"/>
      <c r="Q212" s="311"/>
      <c r="R212" s="311"/>
      <c r="S212" s="311"/>
      <c r="T212" s="311"/>
      <c r="U212" s="311"/>
      <c r="V212" s="311"/>
    </row>
    <row r="213" spans="13:22">
      <c r="M213" s="311"/>
      <c r="O213" s="311"/>
      <c r="Q213" s="311"/>
      <c r="R213" s="311"/>
      <c r="S213" s="311"/>
      <c r="T213" s="311"/>
      <c r="U213" s="311"/>
      <c r="V213" s="311"/>
    </row>
    <row r="214" spans="13:22">
      <c r="M214" s="311"/>
      <c r="O214" s="311"/>
      <c r="Q214" s="311"/>
      <c r="R214" s="311"/>
      <c r="S214" s="311"/>
      <c r="T214" s="311"/>
      <c r="U214" s="311"/>
      <c r="V214" s="311"/>
    </row>
    <row r="215" spans="13:22">
      <c r="M215" s="311"/>
      <c r="O215" s="311"/>
      <c r="Q215" s="311"/>
      <c r="R215" s="311"/>
      <c r="S215" s="311"/>
      <c r="T215" s="311"/>
      <c r="U215" s="311"/>
      <c r="V215" s="311"/>
    </row>
    <row r="216" spans="13:22">
      <c r="M216" s="311"/>
      <c r="O216" s="311"/>
      <c r="Q216" s="311"/>
      <c r="R216" s="311"/>
      <c r="S216" s="311"/>
      <c r="T216" s="311"/>
      <c r="U216" s="311"/>
      <c r="V216" s="311"/>
    </row>
    <row r="217" spans="13:22">
      <c r="M217" s="311"/>
      <c r="O217" s="311"/>
      <c r="Q217" s="311"/>
      <c r="R217" s="311"/>
      <c r="S217" s="311"/>
      <c r="T217" s="311"/>
      <c r="U217" s="311"/>
      <c r="V217" s="311"/>
    </row>
  </sheetData>
  <autoFilter ref="A9:BA157"/>
  <mergeCells count="33">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BA364"/>
  <sheetViews>
    <sheetView topLeftCell="A7" workbookViewId="0">
      <pane xSplit="8" ySplit="5" topLeftCell="I227" activePane="bottomRight" state="frozen"/>
      <selection activeCell="A7" sqref="A7"/>
      <selection pane="topRight" activeCell="I7" sqref="I7"/>
      <selection pane="bottomLeft" activeCell="A12" sqref="A12"/>
      <selection pane="bottomRight" activeCell="N11" sqref="N11:O11"/>
    </sheetView>
  </sheetViews>
  <sheetFormatPr defaultRowHeight="12.75"/>
  <cols>
    <col min="1" max="1" width="4.85546875" style="267" customWidth="1"/>
    <col min="2" max="2" width="8.28515625" style="267" customWidth="1"/>
    <col min="3" max="3" width="7.85546875" style="267" customWidth="1"/>
    <col min="4" max="4" width="8.28515625" style="267" customWidth="1"/>
    <col min="5" max="5" width="44.7109375" style="267" customWidth="1"/>
    <col min="6" max="6" width="15.140625" style="322" customWidth="1"/>
    <col min="7" max="8" width="5.85546875" style="268" customWidth="1"/>
    <col min="9" max="9" width="4.85546875" style="267" customWidth="1"/>
    <col min="10" max="10" width="13.28515625" style="267" customWidth="1"/>
    <col min="11" max="11" width="12.85546875" style="267" customWidth="1"/>
    <col min="12" max="15" width="13.42578125" style="267" customWidth="1"/>
    <col min="16" max="16" width="13.5703125" style="267" customWidth="1"/>
    <col min="17" max="17" width="13.28515625" style="267" customWidth="1"/>
    <col min="18" max="18" width="13.5703125" style="267" customWidth="1"/>
    <col min="19" max="19" width="11.42578125" style="267" customWidth="1"/>
    <col min="20" max="20" width="13.7109375" style="267" customWidth="1"/>
    <col min="21" max="21" width="4.42578125" style="267" customWidth="1"/>
    <col min="22" max="22" width="14.140625" style="267" customWidth="1"/>
    <col min="23" max="23" width="13.85546875" style="267" customWidth="1"/>
    <col min="24" max="24" width="5.42578125" style="267" customWidth="1"/>
    <col min="25" max="25" width="6.140625" style="267" customWidth="1"/>
    <col min="26" max="26" width="9.5703125" style="267" customWidth="1"/>
    <col min="27" max="27" width="9.7109375" style="267" customWidth="1"/>
    <col min="28" max="28" width="13" style="267" customWidth="1"/>
    <col min="29" max="29" width="12.85546875" style="267" customWidth="1"/>
    <col min="30" max="30" width="4.5703125" style="267" customWidth="1"/>
    <col min="31" max="31" width="13.85546875" style="267" customWidth="1"/>
    <col min="32" max="32" width="4.5703125" style="267" customWidth="1"/>
    <col min="33" max="33" width="13.85546875" style="267" customWidth="1"/>
    <col min="34" max="34" width="4.7109375" style="267" customWidth="1"/>
    <col min="35" max="35" width="12.5703125" style="267" customWidth="1"/>
    <col min="36" max="36" width="11.7109375" style="267" customWidth="1"/>
    <col min="37" max="37" width="5.28515625" style="267" customWidth="1"/>
    <col min="38" max="38" width="11.140625" style="267" customWidth="1"/>
    <col min="39" max="39" width="10.28515625" style="267" customWidth="1"/>
    <col min="40" max="40" width="9.5703125" style="267" customWidth="1"/>
    <col min="41" max="41" width="9.140625" style="267" customWidth="1"/>
    <col min="42" max="42" width="12.7109375" style="267" customWidth="1"/>
    <col min="43" max="43" width="12.5703125" style="267" customWidth="1"/>
    <col min="44" max="44" width="15.140625" style="267" customWidth="1"/>
    <col min="45" max="45" width="15.5703125" style="267" customWidth="1"/>
    <col min="46" max="47" width="10.85546875" style="267" customWidth="1"/>
    <col min="48" max="48" width="7" style="267" customWidth="1"/>
    <col min="49" max="49" width="7.7109375" style="267" customWidth="1"/>
    <col min="50" max="50" width="7.140625" style="267" customWidth="1"/>
    <col min="51" max="51" width="6.7109375" style="267" customWidth="1"/>
    <col min="52" max="52" width="14.7109375" style="267" customWidth="1"/>
    <col min="53" max="53" width="15.140625" style="267" customWidth="1"/>
    <col min="54" max="16384" width="9.140625" style="267"/>
  </cols>
  <sheetData>
    <row r="1" spans="1:53" ht="12.75" customHeight="1">
      <c r="A1" s="263"/>
      <c r="B1" s="264" t="s">
        <v>156</v>
      </c>
      <c r="C1" s="265"/>
      <c r="D1" s="265"/>
      <c r="E1" s="266"/>
      <c r="I1" s="265"/>
      <c r="K1" s="1198" t="s">
        <v>277</v>
      </c>
      <c r="L1" s="1198"/>
      <c r="M1" s="1198"/>
      <c r="N1" s="1198"/>
      <c r="O1" s="1198"/>
      <c r="P1" s="1198"/>
      <c r="Q1" s="1198"/>
      <c r="R1" s="266"/>
      <c r="T1" s="265"/>
      <c r="U1" s="265"/>
      <c r="V1" s="265"/>
      <c r="W1" s="265"/>
      <c r="X1" s="265"/>
      <c r="Y1" s="265"/>
      <c r="Z1" s="265"/>
      <c r="AA1" s="265"/>
      <c r="AB1" s="265"/>
      <c r="AC1" s="265"/>
      <c r="AD1" s="265"/>
      <c r="AE1" s="265"/>
      <c r="AF1" s="462"/>
      <c r="AG1" s="462"/>
      <c r="AH1" s="265"/>
      <c r="AI1" s="265"/>
      <c r="AJ1" s="265"/>
      <c r="AK1" s="265"/>
      <c r="AL1" s="265"/>
      <c r="AM1" s="265"/>
      <c r="AN1" s="265"/>
      <c r="AO1" s="265"/>
      <c r="AP1" s="266"/>
      <c r="AQ1" s="266"/>
      <c r="AR1" s="265"/>
      <c r="AS1" s="265"/>
      <c r="AT1" s="265"/>
      <c r="AU1" s="265"/>
      <c r="AV1" s="265"/>
      <c r="AW1" s="265"/>
      <c r="AX1" s="265"/>
      <c r="AY1" s="265"/>
      <c r="AZ1" s="265"/>
      <c r="BA1" s="265"/>
    </row>
    <row r="2" spans="1:53" ht="12.75" customHeight="1">
      <c r="A2" s="263"/>
      <c r="B2" s="264" t="s">
        <v>266</v>
      </c>
      <c r="C2" s="265"/>
      <c r="D2" s="265"/>
      <c r="E2" s="265"/>
      <c r="I2" s="269"/>
      <c r="K2" s="1199" t="s">
        <v>223</v>
      </c>
      <c r="L2" s="1199"/>
      <c r="M2" s="1199"/>
      <c r="N2" s="1199"/>
      <c r="O2" s="1199"/>
      <c r="P2" s="1199"/>
      <c r="Q2" s="1199"/>
      <c r="R2" s="270"/>
      <c r="T2" s="269"/>
      <c r="U2" s="269"/>
      <c r="V2" s="269"/>
      <c r="W2" s="269"/>
      <c r="X2" s="269"/>
      <c r="Y2" s="269"/>
      <c r="Z2" s="269"/>
      <c r="AA2" s="269"/>
      <c r="AB2" s="269"/>
      <c r="AC2" s="269"/>
      <c r="AD2" s="269"/>
      <c r="AE2" s="269"/>
      <c r="AF2" s="463"/>
      <c r="AG2" s="463"/>
      <c r="AH2" s="269"/>
      <c r="AI2" s="269"/>
      <c r="AJ2" s="269"/>
      <c r="AK2" s="269"/>
      <c r="AL2" s="269"/>
      <c r="AM2" s="269"/>
      <c r="AN2" s="269"/>
      <c r="AO2" s="269"/>
      <c r="AP2" s="270"/>
      <c r="AQ2" s="270"/>
      <c r="AR2" s="269"/>
      <c r="AS2" s="269"/>
      <c r="AT2" s="269"/>
      <c r="AU2" s="269"/>
      <c r="AV2" s="269"/>
      <c r="AW2" s="269"/>
      <c r="AX2" s="269"/>
      <c r="AY2" s="269"/>
      <c r="AZ2" s="269"/>
      <c r="BA2" s="269"/>
    </row>
    <row r="3" spans="1:53" ht="10.5" customHeight="1">
      <c r="A3" s="265"/>
      <c r="B3" s="265"/>
      <c r="C3" s="265"/>
      <c r="D3" s="265"/>
      <c r="E3" s="265"/>
      <c r="F3" s="323"/>
      <c r="G3" s="271"/>
      <c r="H3" s="271"/>
      <c r="I3" s="269"/>
      <c r="K3" s="1199"/>
      <c r="L3" s="1199"/>
      <c r="M3" s="1199"/>
      <c r="N3" s="1199"/>
      <c r="O3" s="1199"/>
      <c r="P3" s="1199"/>
      <c r="Q3" s="1199"/>
      <c r="R3" s="270"/>
      <c r="T3" s="269"/>
      <c r="U3" s="269"/>
      <c r="V3" s="269"/>
      <c r="W3" s="269"/>
      <c r="X3" s="269"/>
      <c r="Y3" s="269"/>
      <c r="Z3" s="269"/>
      <c r="AA3" s="269"/>
      <c r="AB3" s="269"/>
      <c r="AC3" s="269"/>
      <c r="AD3" s="269"/>
      <c r="AE3" s="269"/>
      <c r="AF3" s="463"/>
      <c r="AG3" s="463"/>
      <c r="AH3" s="269"/>
      <c r="AI3" s="269"/>
      <c r="AJ3" s="269"/>
      <c r="AK3" s="269"/>
      <c r="AL3" s="269"/>
      <c r="AM3" s="269"/>
      <c r="AN3" s="269"/>
      <c r="AO3" s="269"/>
      <c r="AP3" s="270"/>
      <c r="AQ3" s="270"/>
      <c r="AR3" s="269"/>
      <c r="AS3" s="269"/>
      <c r="AT3" s="269"/>
      <c r="AU3" s="269"/>
      <c r="AV3" s="269"/>
      <c r="AW3" s="269"/>
      <c r="AX3" s="269"/>
      <c r="AY3" s="269"/>
      <c r="AZ3" s="269"/>
      <c r="BA3" s="269"/>
    </row>
    <row r="4" spans="1:53" ht="19.5" customHeight="1">
      <c r="B4" s="1201" t="s">
        <v>146</v>
      </c>
      <c r="C4" s="1201"/>
      <c r="D4" s="1201"/>
      <c r="E4" s="1201"/>
      <c r="F4" s="1201"/>
      <c r="G4" s="1201"/>
      <c r="H4" s="1201"/>
      <c r="I4" s="1201"/>
      <c r="J4" s="1201"/>
      <c r="K4" s="1201"/>
      <c r="L4" s="1201"/>
      <c r="M4" s="1201"/>
      <c r="N4" s="1201"/>
      <c r="O4" s="1201"/>
      <c r="P4" s="1201"/>
      <c r="Q4" s="1201"/>
      <c r="R4" s="1201"/>
      <c r="S4" s="272"/>
      <c r="T4" s="274"/>
      <c r="U4" s="274"/>
      <c r="V4" s="274"/>
      <c r="W4" s="274"/>
      <c r="X4" s="274"/>
      <c r="Y4" s="274"/>
      <c r="Z4" s="274"/>
      <c r="AA4" s="274"/>
      <c r="AB4" s="274"/>
      <c r="AC4" s="274"/>
      <c r="AD4" s="274"/>
      <c r="AE4" s="274"/>
      <c r="AF4" s="274"/>
      <c r="AG4" s="274"/>
      <c r="AH4" s="274"/>
      <c r="AI4" s="274"/>
      <c r="AJ4" s="274"/>
      <c r="AK4" s="274"/>
      <c r="AL4" s="274"/>
      <c r="AM4" s="274"/>
      <c r="AN4" s="274"/>
      <c r="AO4" s="274"/>
      <c r="AP4" s="324"/>
      <c r="AQ4" s="324"/>
      <c r="AR4" s="274"/>
      <c r="AS4" s="274"/>
      <c r="AT4" s="274"/>
      <c r="AU4" s="274"/>
      <c r="AV4" s="274"/>
      <c r="AW4" s="274"/>
      <c r="AX4" s="274"/>
      <c r="AY4" s="274"/>
      <c r="AZ4" s="274"/>
      <c r="BA4" s="274"/>
    </row>
    <row r="5" spans="1:53" ht="15">
      <c r="B5" s="1202" t="s">
        <v>305</v>
      </c>
      <c r="C5" s="1202"/>
      <c r="D5" s="1202"/>
      <c r="E5" s="1202"/>
      <c r="F5" s="1202"/>
      <c r="G5" s="1202"/>
      <c r="H5" s="1202"/>
      <c r="I5" s="1202"/>
      <c r="J5" s="1202"/>
      <c r="K5" s="1202"/>
      <c r="L5" s="1202"/>
      <c r="M5" s="1202"/>
      <c r="N5" s="1202"/>
      <c r="O5" s="1202"/>
      <c r="P5" s="1202"/>
      <c r="Q5" s="1202"/>
      <c r="R5" s="1202"/>
      <c r="S5" s="275"/>
      <c r="AP5" s="275"/>
      <c r="AQ5" s="275"/>
    </row>
    <row r="7" spans="1:53" ht="13.5" customHeight="1">
      <c r="A7" s="1203" t="s">
        <v>45</v>
      </c>
      <c r="B7" s="1197" t="s">
        <v>27</v>
      </c>
      <c r="C7" s="1206" t="s">
        <v>1</v>
      </c>
      <c r="D7" s="1207"/>
      <c r="E7" s="1197" t="s">
        <v>0</v>
      </c>
      <c r="F7" s="1197" t="s">
        <v>147</v>
      </c>
      <c r="G7" s="1208" t="s">
        <v>148</v>
      </c>
      <c r="H7" s="1208"/>
      <c r="I7" s="1200" t="s">
        <v>45</v>
      </c>
      <c r="J7" s="1197" t="s">
        <v>278</v>
      </c>
      <c r="K7" s="1197"/>
      <c r="L7" s="1197" t="s">
        <v>279</v>
      </c>
      <c r="M7" s="1197"/>
      <c r="N7" s="1197" t="s">
        <v>454</v>
      </c>
      <c r="O7" s="1197"/>
      <c r="P7" s="1197" t="s">
        <v>280</v>
      </c>
      <c r="Q7" s="1197"/>
      <c r="R7" s="1197" t="s">
        <v>281</v>
      </c>
      <c r="S7" s="1197"/>
      <c r="T7" s="1197" t="s">
        <v>282</v>
      </c>
      <c r="U7" s="1197"/>
      <c r="V7" s="1197" t="s">
        <v>283</v>
      </c>
      <c r="W7" s="1197"/>
      <c r="X7" s="1197" t="s">
        <v>284</v>
      </c>
      <c r="Y7" s="1197"/>
      <c r="Z7" s="1197" t="s">
        <v>285</v>
      </c>
      <c r="AA7" s="1197"/>
      <c r="AB7" s="1197" t="s">
        <v>286</v>
      </c>
      <c r="AC7" s="1197"/>
      <c r="AD7" s="1197" t="s">
        <v>287</v>
      </c>
      <c r="AE7" s="1197"/>
      <c r="AF7" s="1197" t="s">
        <v>444</v>
      </c>
      <c r="AG7" s="1197"/>
      <c r="AH7" s="1197" t="s">
        <v>288</v>
      </c>
      <c r="AI7" s="1197"/>
      <c r="AJ7" s="1197" t="s">
        <v>289</v>
      </c>
      <c r="AK7" s="1197"/>
      <c r="AL7" s="1197" t="s">
        <v>290</v>
      </c>
      <c r="AM7" s="1197"/>
      <c r="AN7" s="1197" t="s">
        <v>291</v>
      </c>
      <c r="AO7" s="1197"/>
      <c r="AP7" s="1197" t="s">
        <v>292</v>
      </c>
      <c r="AQ7" s="1197"/>
      <c r="AR7" s="1197" t="s">
        <v>293</v>
      </c>
      <c r="AS7" s="1197"/>
      <c r="AT7" s="1197" t="s">
        <v>294</v>
      </c>
      <c r="AU7" s="1197"/>
      <c r="AV7" s="1197" t="s">
        <v>295</v>
      </c>
      <c r="AW7" s="1197"/>
      <c r="AX7" s="1197" t="s">
        <v>296</v>
      </c>
      <c r="AY7" s="1197"/>
      <c r="AZ7" s="1197" t="s">
        <v>297</v>
      </c>
      <c r="BA7" s="1197"/>
    </row>
    <row r="8" spans="1:53" ht="22.5" customHeight="1">
      <c r="A8" s="1204"/>
      <c r="B8" s="1197"/>
      <c r="C8" s="278" t="s">
        <v>20</v>
      </c>
      <c r="D8" s="277" t="s">
        <v>39</v>
      </c>
      <c r="E8" s="1197"/>
      <c r="F8" s="1197"/>
      <c r="G8" s="279" t="s">
        <v>29</v>
      </c>
      <c r="H8" s="279" t="s">
        <v>30</v>
      </c>
      <c r="I8" s="1200"/>
      <c r="J8" s="277" t="s">
        <v>29</v>
      </c>
      <c r="K8" s="277" t="s">
        <v>30</v>
      </c>
      <c r="L8" s="277" t="s">
        <v>29</v>
      </c>
      <c r="M8" s="277" t="s">
        <v>30</v>
      </c>
      <c r="N8" s="465" t="s">
        <v>29</v>
      </c>
      <c r="O8" s="465" t="s">
        <v>30</v>
      </c>
      <c r="P8" s="277" t="s">
        <v>29</v>
      </c>
      <c r="Q8" s="277" t="s">
        <v>30</v>
      </c>
      <c r="R8" s="277" t="s">
        <v>29</v>
      </c>
      <c r="S8" s="277" t="s">
        <v>30</v>
      </c>
      <c r="T8" s="277" t="s">
        <v>29</v>
      </c>
      <c r="U8" s="277" t="s">
        <v>30</v>
      </c>
      <c r="V8" s="277" t="s">
        <v>29</v>
      </c>
      <c r="W8" s="277" t="s">
        <v>30</v>
      </c>
      <c r="X8" s="277" t="s">
        <v>29</v>
      </c>
      <c r="Y8" s="277" t="s">
        <v>30</v>
      </c>
      <c r="Z8" s="277" t="s">
        <v>29</v>
      </c>
      <c r="AA8" s="277" t="s">
        <v>30</v>
      </c>
      <c r="AB8" s="277" t="s">
        <v>29</v>
      </c>
      <c r="AC8" s="277" t="s">
        <v>30</v>
      </c>
      <c r="AD8" s="277" t="s">
        <v>29</v>
      </c>
      <c r="AE8" s="277" t="s">
        <v>30</v>
      </c>
      <c r="AF8" s="461" t="s">
        <v>29</v>
      </c>
      <c r="AG8" s="461" t="s">
        <v>30</v>
      </c>
      <c r="AH8" s="277" t="s">
        <v>29</v>
      </c>
      <c r="AI8" s="277" t="s">
        <v>30</v>
      </c>
      <c r="AJ8" s="277" t="s">
        <v>29</v>
      </c>
      <c r="AK8" s="277" t="s">
        <v>30</v>
      </c>
      <c r="AL8" s="277" t="s">
        <v>29</v>
      </c>
      <c r="AM8" s="277" t="s">
        <v>30</v>
      </c>
      <c r="AN8" s="277" t="s">
        <v>29</v>
      </c>
      <c r="AO8" s="277" t="s">
        <v>30</v>
      </c>
      <c r="AP8" s="277" t="s">
        <v>29</v>
      </c>
      <c r="AQ8" s="277" t="s">
        <v>30</v>
      </c>
      <c r="AR8" s="277" t="s">
        <v>29</v>
      </c>
      <c r="AS8" s="277" t="s">
        <v>30</v>
      </c>
      <c r="AT8" s="277" t="s">
        <v>29</v>
      </c>
      <c r="AU8" s="277" t="s">
        <v>30</v>
      </c>
      <c r="AV8" s="277" t="s">
        <v>29</v>
      </c>
      <c r="AW8" s="277" t="s">
        <v>30</v>
      </c>
      <c r="AX8" s="277" t="s">
        <v>29</v>
      </c>
      <c r="AY8" s="277" t="s">
        <v>30</v>
      </c>
      <c r="AZ8" s="277" t="s">
        <v>29</v>
      </c>
      <c r="BA8" s="277" t="s">
        <v>30</v>
      </c>
    </row>
    <row r="9" spans="1:53" s="281" customFormat="1" ht="8.25" customHeight="1">
      <c r="A9" s="280">
        <v>1</v>
      </c>
      <c r="B9" s="280">
        <v>2</v>
      </c>
      <c r="C9" s="280">
        <v>3</v>
      </c>
      <c r="D9" s="280">
        <v>4</v>
      </c>
      <c r="E9" s="280">
        <v>5</v>
      </c>
      <c r="F9" s="280">
        <v>6</v>
      </c>
      <c r="G9" s="280">
        <v>7</v>
      </c>
      <c r="H9" s="280">
        <v>8</v>
      </c>
      <c r="I9" s="280">
        <v>9</v>
      </c>
      <c r="J9" s="280">
        <v>10</v>
      </c>
      <c r="K9" s="280">
        <v>11</v>
      </c>
      <c r="L9" s="280">
        <v>12</v>
      </c>
      <c r="M9" s="280">
        <v>13</v>
      </c>
      <c r="N9" s="280">
        <v>12</v>
      </c>
      <c r="O9" s="280">
        <v>13</v>
      </c>
      <c r="P9" s="280">
        <v>14</v>
      </c>
      <c r="Q9" s="280">
        <v>15</v>
      </c>
      <c r="R9" s="280">
        <v>16</v>
      </c>
      <c r="S9" s="280">
        <v>17</v>
      </c>
      <c r="T9" s="280">
        <v>18</v>
      </c>
      <c r="U9" s="280">
        <v>19</v>
      </c>
      <c r="V9" s="280">
        <v>20</v>
      </c>
      <c r="W9" s="280">
        <v>21</v>
      </c>
      <c r="X9" s="280">
        <v>22</v>
      </c>
      <c r="Y9" s="280">
        <v>23</v>
      </c>
      <c r="Z9" s="280">
        <v>24</v>
      </c>
      <c r="AA9" s="280">
        <v>25</v>
      </c>
      <c r="AB9" s="280">
        <v>26</v>
      </c>
      <c r="AC9" s="280">
        <v>27</v>
      </c>
      <c r="AD9" s="280">
        <v>28</v>
      </c>
      <c r="AE9" s="280">
        <v>29</v>
      </c>
      <c r="AF9" s="280">
        <v>28</v>
      </c>
      <c r="AG9" s="280">
        <v>29</v>
      </c>
      <c r="AH9" s="280">
        <v>30</v>
      </c>
      <c r="AI9" s="280">
        <v>31</v>
      </c>
      <c r="AJ9" s="280">
        <v>32</v>
      </c>
      <c r="AK9" s="280">
        <v>33</v>
      </c>
      <c r="AL9" s="280">
        <v>34</v>
      </c>
      <c r="AM9" s="280">
        <v>35</v>
      </c>
      <c r="AN9" s="280">
        <v>36</v>
      </c>
      <c r="AO9" s="280">
        <v>37</v>
      </c>
      <c r="AP9" s="280">
        <v>38</v>
      </c>
      <c r="AQ9" s="280">
        <v>39</v>
      </c>
      <c r="AR9" s="280">
        <v>40</v>
      </c>
      <c r="AS9" s="280">
        <v>41</v>
      </c>
      <c r="AT9" s="280">
        <v>42</v>
      </c>
      <c r="AU9" s="280">
        <v>43</v>
      </c>
      <c r="AV9" s="280">
        <v>44</v>
      </c>
      <c r="AW9" s="280">
        <v>45</v>
      </c>
      <c r="AX9" s="280">
        <v>46</v>
      </c>
      <c r="AY9" s="280">
        <v>47</v>
      </c>
      <c r="AZ9" s="280">
        <v>48</v>
      </c>
      <c r="BA9" s="280">
        <v>49</v>
      </c>
    </row>
    <row r="10" spans="1:53" s="289" customFormat="1" ht="15.75" customHeight="1">
      <c r="A10" s="63" t="str">
        <f t="array" ref="A10">IF(C10&lt;&gt;0,SUM(($C10:C$16&lt;&gt;0)*1),"")</f>
        <v/>
      </c>
      <c r="B10" s="282"/>
      <c r="C10" s="283"/>
      <c r="D10" s="282"/>
      <c r="E10" s="284" t="s">
        <v>258</v>
      </c>
      <c r="F10" s="285"/>
      <c r="G10" s="286"/>
      <c r="H10" s="286"/>
      <c r="I10" s="287"/>
      <c r="J10" s="288">
        <f ca="1">'SC-II'!J156</f>
        <v>481905579</v>
      </c>
      <c r="K10" s="288">
        <f ca="1">'SC-II'!K156</f>
        <v>0</v>
      </c>
      <c r="L10" s="288">
        <f ca="1">'SC-II'!L156</f>
        <v>1518304</v>
      </c>
      <c r="M10" s="288">
        <f ca="1">'SC-II'!M156</f>
        <v>0</v>
      </c>
      <c r="N10" s="288">
        <f ca="1">'SC-II'!N156</f>
        <v>0</v>
      </c>
      <c r="O10" s="288">
        <f ca="1">'SC-II'!O156</f>
        <v>0</v>
      </c>
      <c r="P10" s="288">
        <f ca="1">'SC-II'!P156</f>
        <v>62811209</v>
      </c>
      <c r="Q10" s="288">
        <f ca="1">'SC-II'!Q156</f>
        <v>0</v>
      </c>
      <c r="R10" s="288">
        <f ca="1">'SC-II'!R156</f>
        <v>1219554047</v>
      </c>
      <c r="S10" s="288">
        <f ca="1">'SC-II'!S156</f>
        <v>0</v>
      </c>
      <c r="T10" s="288">
        <f ca="1">'SC-II'!T156</f>
        <v>31348179853</v>
      </c>
      <c r="U10" s="288">
        <f ca="1">'SC-II'!U156</f>
        <v>0</v>
      </c>
      <c r="V10" s="288">
        <f ca="1">'SC-II'!V156</f>
        <v>0</v>
      </c>
      <c r="W10" s="288">
        <f ca="1">'SC-II'!W156</f>
        <v>1597487431</v>
      </c>
      <c r="X10" s="288">
        <f ca="1">'SC-II'!X156</f>
        <v>0</v>
      </c>
      <c r="Y10" s="288">
        <f ca="1">'SC-II'!Y156</f>
        <v>0</v>
      </c>
      <c r="Z10" s="288">
        <f ca="1">'SC-II'!Z156</f>
        <v>0</v>
      </c>
      <c r="AA10" s="288">
        <f ca="1">'SC-II'!AA156</f>
        <v>0</v>
      </c>
      <c r="AB10" s="288">
        <f ca="1">'SC-II'!AB156</f>
        <v>0</v>
      </c>
      <c r="AC10" s="288">
        <f ca="1">'SC-II'!AC156</f>
        <v>7000000000</v>
      </c>
      <c r="AD10" s="288">
        <f ca="1">'SC-II'!AD156</f>
        <v>0</v>
      </c>
      <c r="AE10" s="288">
        <f ca="1">'SC-II'!AE156</f>
        <v>20000000000</v>
      </c>
      <c r="AF10" s="288">
        <f ca="1">'SC-II'!AF156</f>
        <v>0</v>
      </c>
      <c r="AG10" s="288">
        <f ca="1">'SC-II'!AG156</f>
        <v>1961520000</v>
      </c>
      <c r="AH10" s="288">
        <f ca="1">'SC-II'!AH156</f>
        <v>0</v>
      </c>
      <c r="AI10" s="288">
        <f ca="1">'SC-II'!AI156</f>
        <v>4000000000</v>
      </c>
      <c r="AJ10" s="288">
        <f ca="1">'SC-II'!AJ156</f>
        <v>583066238</v>
      </c>
      <c r="AK10" s="288">
        <f ca="1">'SC-II'!AK156</f>
        <v>0</v>
      </c>
      <c r="AL10" s="288">
        <f ca="1">'SC-II'!AL156</f>
        <v>692639990</v>
      </c>
      <c r="AM10" s="288">
        <f ca="1">'SC-II'!AM156</f>
        <v>0</v>
      </c>
      <c r="AN10" s="288">
        <f ca="1">'SC-II'!AN156</f>
        <v>0</v>
      </c>
      <c r="AO10" s="288">
        <f ca="1">'SC-II'!AO156</f>
        <v>0</v>
      </c>
      <c r="AP10" s="288">
        <f ca="1">'SC-II'!AP156</f>
        <v>0</v>
      </c>
      <c r="AQ10" s="288">
        <f ca="1">'SC-II'!AQ156</f>
        <v>0</v>
      </c>
      <c r="AR10" s="288">
        <f ca="1">'SC-II'!AR156</f>
        <v>0</v>
      </c>
      <c r="AS10" s="288">
        <f ca="1">'SC-II'!AS156</f>
        <v>0</v>
      </c>
      <c r="AT10" s="288">
        <f ca="1">'SC-II'!AT156</f>
        <v>0</v>
      </c>
      <c r="AU10" s="288">
        <f ca="1">'SC-II'!AU156</f>
        <v>0</v>
      </c>
      <c r="AV10" s="288">
        <f ca="1">'SC-II'!AV156</f>
        <v>0</v>
      </c>
      <c r="AW10" s="288">
        <f ca="1">'SC-II'!AW156</f>
        <v>0</v>
      </c>
      <c r="AX10" s="288">
        <f ca="1">'SC-II'!AX156</f>
        <v>0</v>
      </c>
      <c r="AY10" s="288">
        <f ca="1">'SC-II'!AY156</f>
        <v>0</v>
      </c>
      <c r="AZ10" s="288">
        <f ca="1">'SC-II'!AZ156</f>
        <v>0</v>
      </c>
      <c r="BA10" s="288">
        <f ca="1">'SC-II'!BA156</f>
        <v>41705364</v>
      </c>
    </row>
    <row r="11" spans="1:53" s="289" customFormat="1" ht="15.75" customHeight="1">
      <c r="A11" s="63">
        <f t="array" aca="1" ref="A11" ca="1">IF(C11&lt;&gt;0,SUM(($C$11:C11&lt;&gt;0)*1),"")</f>
        <v>1</v>
      </c>
      <c r="B11" s="290" t="str">
        <f ca="1">IF(ROWS($1:1)&gt;COUNT(Dong8),"",OFFSET(TH!C$1,SMALL(Dong8,ROWS($1:1)),))</f>
        <v/>
      </c>
      <c r="C11" s="290" t="str">
        <f ca="1">IF(ROWS($1:1)&gt;COUNT(Dong8),"",OFFSET(TH!D$1,SMALL(Dong8,ROWS($1:1)),))</f>
        <v/>
      </c>
      <c r="D11" s="290" t="str">
        <f ca="1">IF(ROWS($1:1)&gt;COUNT(Dong8),"",OFFSET(TH!E$1,SMALL(Dong8,ROWS($1:1)),))</f>
        <v/>
      </c>
      <c r="E11" s="396" t="str">
        <f ca="1">IF(ROWS($1:1)&gt;COUNT(Dong8),"",OFFSET(TH!F$1,SMALL(Dong8,ROWS($1:1)),))</f>
        <v/>
      </c>
      <c r="F11" s="345" t="str">
        <f ca="1">IF(ROWS($1:1)&gt;COUNT(Dong8),"",OFFSET(TH!M$1,SMALL(Dong8,ROWS($1:1)),))</f>
        <v/>
      </c>
      <c r="G11" s="347" t="str">
        <f ca="1">IF(ROWS($1:1)&gt;COUNT(Dong8),"",OFFSET(TH!O$1,SMALL(Dong8,ROWS($1:1)),))</f>
        <v/>
      </c>
      <c r="H11" s="347" t="str">
        <f ca="1">IF(ROWS($1:1)&gt;COUNT(Dong8),"",OFFSET(TH!P$1,SMALL(Dong8,ROWS($1:1)),))</f>
        <v/>
      </c>
      <c r="I11" s="63">
        <f t="shared" ref="I11:I26" ca="1" si="0">A11</f>
        <v>1</v>
      </c>
      <c r="J11" s="292">
        <f t="shared" ref="J11:J74" ca="1" si="1">IF($G11="1111",$F11,0)</f>
        <v>0</v>
      </c>
      <c r="K11" s="292">
        <f t="shared" ref="K11:K74" ca="1" si="2">IF($H11="1111",$F11,0)</f>
        <v>0</v>
      </c>
      <c r="L11" s="292">
        <f t="shared" ref="L11:L74" ca="1" si="3">IF($G11="1121",$F11,0)</f>
        <v>0</v>
      </c>
      <c r="M11" s="292">
        <f t="shared" ref="M11:M74" ca="1" si="4">IF($H11="1121",$F11,0)</f>
        <v>0</v>
      </c>
      <c r="N11" s="292">
        <f ca="1">IF($G11="1122",$F11,0)</f>
        <v>0</v>
      </c>
      <c r="O11" s="292">
        <f ca="1">IF($H11="1122",$F11,0)</f>
        <v>0</v>
      </c>
      <c r="P11" s="292">
        <f t="shared" ref="P11:P74" ca="1" si="5">IF($G11="1331",$F11,0)</f>
        <v>0</v>
      </c>
      <c r="Q11" s="292">
        <f t="shared" ref="Q11:Q74" ca="1" si="6">IF($H11="1331",$F11,0)</f>
        <v>0</v>
      </c>
      <c r="R11" s="292">
        <f t="shared" ref="R11:R74" ca="1" si="7">IF($G11="1388",$F11,0)</f>
        <v>0</v>
      </c>
      <c r="S11" s="292">
        <f t="shared" ref="S11:S74" ca="1" si="8">IF($H11="1388",$F11,0)</f>
        <v>0</v>
      </c>
      <c r="T11" s="292">
        <f ca="1">IF($G11="2412",$F11,0)</f>
        <v>0</v>
      </c>
      <c r="U11" s="292">
        <f ca="1">IF($H11="2412",$F11,0)</f>
        <v>0</v>
      </c>
      <c r="V11" s="292">
        <f t="shared" ref="V11:V74" ca="1" si="9">IF($G11="331",$F11,0)</f>
        <v>0</v>
      </c>
      <c r="W11" s="292">
        <f t="shared" ref="W11:W74" ca="1" si="10">IF($H11="331",$F11,0)</f>
        <v>0</v>
      </c>
      <c r="X11" s="292">
        <f t="shared" ref="X11:X74" ca="1" si="11">IF($G11="3334",$F11,0)</f>
        <v>0</v>
      </c>
      <c r="Y11" s="292">
        <f t="shared" ref="Y11:Y74" ca="1" si="12">IF($H11="3334",$F11,0)</f>
        <v>0</v>
      </c>
      <c r="Z11" s="292">
        <f t="shared" ref="Z11:Z74" ca="1" si="13">IF($G11="33382",$F11,0)</f>
        <v>0</v>
      </c>
      <c r="AA11" s="292">
        <f t="shared" ref="AA11:AA74" ca="1" si="14">IF($H11="33382",$F11,0)</f>
        <v>0</v>
      </c>
      <c r="AB11" s="292">
        <f t="shared" ref="AB11:AB74" ca="1" si="15">IF($G11="3388",$F11,0)</f>
        <v>0</v>
      </c>
      <c r="AC11" s="292">
        <f t="shared" ref="AC11:AC74" ca="1" si="16">IF($H11="3388",$F11,0)</f>
        <v>0</v>
      </c>
      <c r="AD11" s="292">
        <f t="shared" ref="AD11:AD74" ca="1" si="17">IF($G11="3411",$F11,0)</f>
        <v>0</v>
      </c>
      <c r="AE11" s="292">
        <f t="shared" ref="AE11:AE74" ca="1" si="18">IF($H11="3411",$F11,0)</f>
        <v>0</v>
      </c>
      <c r="AF11" s="292">
        <f ca="1">IF($G11="3412",$F11,0)</f>
        <v>0</v>
      </c>
      <c r="AG11" s="292">
        <f ca="1">IF($H11="3412",$F11,0)</f>
        <v>0</v>
      </c>
      <c r="AH11" s="292">
        <f t="shared" ref="AH11:AH74" ca="1" si="19">IF($G11="4111",$F11,0)</f>
        <v>0</v>
      </c>
      <c r="AI11" s="292">
        <f t="shared" ref="AI11:AI74" ca="1" si="20">IF($H11="4111",$F11,0)</f>
        <v>0</v>
      </c>
      <c r="AJ11" s="292">
        <f t="shared" ref="AJ11:AJ74" ca="1" si="21">IF($G11="4211",$F11,0)</f>
        <v>0</v>
      </c>
      <c r="AK11" s="292">
        <f t="shared" ref="AK11:AK74" ca="1" si="22">IF($H11="4211",$F11,0)</f>
        <v>0</v>
      </c>
      <c r="AL11" s="292">
        <f t="shared" ref="AL11:AL74" ca="1" si="23">IF($G11="4212",$F11,0)</f>
        <v>0</v>
      </c>
      <c r="AM11" s="292">
        <f t="shared" ref="AM11:AM74" ca="1" si="24">IF($H11="4212",$F11,0)</f>
        <v>0</v>
      </c>
      <c r="AN11" s="292">
        <f t="shared" ref="AN11:AN74" ca="1" si="25">IF($G11="515",$F11,0)</f>
        <v>0</v>
      </c>
      <c r="AO11" s="292">
        <f t="shared" ref="AO11:AO74" ca="1" si="26">IF($H11="515",$F11,0)</f>
        <v>0</v>
      </c>
      <c r="AP11" s="292">
        <f t="shared" ref="AP11:AP74" ca="1" si="27">IF($G11="635",$F11,0)</f>
        <v>0</v>
      </c>
      <c r="AQ11" s="292">
        <f t="shared" ref="AQ11:AQ74" ca="1" si="28">IF($H11="635",$F11,0)</f>
        <v>0</v>
      </c>
      <c r="AR11" s="292">
        <f t="shared" ref="AR11:AR74" ca="1" si="29">IF($G11="642",$F11,0)</f>
        <v>0</v>
      </c>
      <c r="AS11" s="292">
        <f t="shared" ref="AS11:AS74" ca="1" si="30">IF($H11="642",$F11,0)</f>
        <v>0</v>
      </c>
      <c r="AT11" s="292">
        <f t="shared" ref="AT11:AT74" ca="1" si="31">IF($G11="711",$F11,0)</f>
        <v>0</v>
      </c>
      <c r="AU11" s="292">
        <f t="shared" ref="AU11:AU74" ca="1" si="32">IF($H11="711",$F11,0)</f>
        <v>0</v>
      </c>
      <c r="AV11" s="292">
        <f t="shared" ref="AV11:AV74" ca="1" si="33">IF($G11="811",$F11,0)</f>
        <v>0</v>
      </c>
      <c r="AW11" s="292">
        <f t="shared" ref="AW11:AW74" ca="1" si="34">IF($H11="811",$F11,0)</f>
        <v>0</v>
      </c>
      <c r="AX11" s="292">
        <f t="shared" ref="AX11:AX74" ca="1" si="35">IF($G11="821",$F11,0)</f>
        <v>0</v>
      </c>
      <c r="AY11" s="292">
        <f t="shared" ref="AY11:AY74" ca="1" si="36">IF($H11="821",$F11,0)</f>
        <v>0</v>
      </c>
      <c r="AZ11" s="292">
        <f t="shared" ref="AZ11:AZ74" ca="1" si="37">IF($G11="911",$F11,0)</f>
        <v>0</v>
      </c>
      <c r="BA11" s="292">
        <f t="shared" ref="BA11:BA74" ca="1" si="38">IF($H11="911",$F11,0)</f>
        <v>0</v>
      </c>
    </row>
    <row r="12" spans="1:53" s="289" customFormat="1" ht="15.75" customHeight="1">
      <c r="A12" s="63" t="str">
        <f t="array" ref="A12">IF(C12&lt;&gt;0,SUM(($C$11:C12&lt;&gt;0)*1),"")</f>
        <v/>
      </c>
      <c r="B12" s="290"/>
      <c r="C12" s="290"/>
      <c r="D12" s="290"/>
      <c r="E12" s="396"/>
      <c r="F12" s="345"/>
      <c r="G12" s="347"/>
      <c r="H12" s="347"/>
      <c r="I12" s="63" t="str">
        <f t="shared" si="0"/>
        <v/>
      </c>
      <c r="J12" s="292">
        <f t="shared" si="1"/>
        <v>0</v>
      </c>
      <c r="K12" s="292">
        <f t="shared" si="2"/>
        <v>0</v>
      </c>
      <c r="L12" s="292">
        <f t="shared" si="3"/>
        <v>0</v>
      </c>
      <c r="M12" s="292">
        <f t="shared" si="4"/>
        <v>0</v>
      </c>
      <c r="N12" s="292">
        <f t="shared" ref="N12:N75" si="39">IF($G12="1122",$F12,0)</f>
        <v>0</v>
      </c>
      <c r="O12" s="292">
        <f t="shared" ref="O12:O75" si="40">IF($H12="1122",$F12,0)</f>
        <v>0</v>
      </c>
      <c r="P12" s="292">
        <f t="shared" si="5"/>
        <v>0</v>
      </c>
      <c r="Q12" s="292">
        <f t="shared" si="6"/>
        <v>0</v>
      </c>
      <c r="R12" s="292">
        <f t="shared" si="7"/>
        <v>0</v>
      </c>
      <c r="S12" s="292">
        <f t="shared" si="8"/>
        <v>0</v>
      </c>
      <c r="T12" s="292">
        <f t="shared" ref="T12:T75" si="41">IF($G12="2412",$F12,0)</f>
        <v>0</v>
      </c>
      <c r="U12" s="292">
        <f t="shared" ref="U12:U75" si="42">IF($H12="2412",$F12,0)</f>
        <v>0</v>
      </c>
      <c r="V12" s="292">
        <f t="shared" si="9"/>
        <v>0</v>
      </c>
      <c r="W12" s="292">
        <f t="shared" si="10"/>
        <v>0</v>
      </c>
      <c r="X12" s="292">
        <f t="shared" si="11"/>
        <v>0</v>
      </c>
      <c r="Y12" s="292">
        <f t="shared" si="12"/>
        <v>0</v>
      </c>
      <c r="Z12" s="292">
        <f t="shared" si="13"/>
        <v>0</v>
      </c>
      <c r="AA12" s="292">
        <f t="shared" si="14"/>
        <v>0</v>
      </c>
      <c r="AB12" s="292">
        <f t="shared" si="15"/>
        <v>0</v>
      </c>
      <c r="AC12" s="292">
        <f t="shared" si="16"/>
        <v>0</v>
      </c>
      <c r="AD12" s="292">
        <f t="shared" si="17"/>
        <v>0</v>
      </c>
      <c r="AE12" s="292">
        <f t="shared" si="18"/>
        <v>0</v>
      </c>
      <c r="AF12" s="292">
        <f t="shared" ref="AF12:AF75" si="43">IF($G12="3412",$F12,0)</f>
        <v>0</v>
      </c>
      <c r="AG12" s="292">
        <f t="shared" ref="AG12:AG75" si="44">IF($H12="3412",$F12,0)</f>
        <v>0</v>
      </c>
      <c r="AH12" s="292">
        <f t="shared" si="19"/>
        <v>0</v>
      </c>
      <c r="AI12" s="292">
        <f t="shared" si="20"/>
        <v>0</v>
      </c>
      <c r="AJ12" s="292">
        <f t="shared" si="21"/>
        <v>0</v>
      </c>
      <c r="AK12" s="292">
        <f t="shared" si="22"/>
        <v>0</v>
      </c>
      <c r="AL12" s="292">
        <f t="shared" si="23"/>
        <v>0</v>
      </c>
      <c r="AM12" s="292">
        <f t="shared" si="24"/>
        <v>0</v>
      </c>
      <c r="AN12" s="292">
        <f t="shared" si="25"/>
        <v>0</v>
      </c>
      <c r="AO12" s="292">
        <f t="shared" si="26"/>
        <v>0</v>
      </c>
      <c r="AP12" s="292">
        <f t="shared" si="27"/>
        <v>0</v>
      </c>
      <c r="AQ12" s="292">
        <f t="shared" si="28"/>
        <v>0</v>
      </c>
      <c r="AR12" s="292">
        <f t="shared" si="29"/>
        <v>0</v>
      </c>
      <c r="AS12" s="292">
        <f t="shared" si="30"/>
        <v>0</v>
      </c>
      <c r="AT12" s="292">
        <f t="shared" si="31"/>
        <v>0</v>
      </c>
      <c r="AU12" s="292">
        <f t="shared" si="32"/>
        <v>0</v>
      </c>
      <c r="AV12" s="292">
        <f t="shared" si="33"/>
        <v>0</v>
      </c>
      <c r="AW12" s="292">
        <f t="shared" si="34"/>
        <v>0</v>
      </c>
      <c r="AX12" s="292">
        <f t="shared" si="35"/>
        <v>0</v>
      </c>
      <c r="AY12" s="292">
        <f t="shared" si="36"/>
        <v>0</v>
      </c>
      <c r="AZ12" s="292">
        <f t="shared" si="37"/>
        <v>0</v>
      </c>
      <c r="BA12" s="292">
        <f t="shared" si="38"/>
        <v>0</v>
      </c>
    </row>
    <row r="13" spans="1:53" s="289" customFormat="1" ht="15.75" customHeight="1">
      <c r="A13" s="63" t="str">
        <f t="array" ref="A13">IF(C13&lt;&gt;0,SUM(($C$11:C13&lt;&gt;0)*1),"")</f>
        <v/>
      </c>
      <c r="B13" s="290"/>
      <c r="C13" s="290"/>
      <c r="D13" s="290"/>
      <c r="E13" s="396"/>
      <c r="F13" s="345"/>
      <c r="G13" s="347"/>
      <c r="H13" s="347"/>
      <c r="I13" s="63" t="str">
        <f t="shared" si="0"/>
        <v/>
      </c>
      <c r="J13" s="292">
        <f t="shared" si="1"/>
        <v>0</v>
      </c>
      <c r="K13" s="292">
        <f t="shared" si="2"/>
        <v>0</v>
      </c>
      <c r="L13" s="292">
        <f t="shared" si="3"/>
        <v>0</v>
      </c>
      <c r="M13" s="292">
        <f t="shared" si="4"/>
        <v>0</v>
      </c>
      <c r="N13" s="292">
        <f t="shared" si="39"/>
        <v>0</v>
      </c>
      <c r="O13" s="292">
        <f t="shared" si="40"/>
        <v>0</v>
      </c>
      <c r="P13" s="292">
        <f t="shared" si="5"/>
        <v>0</v>
      </c>
      <c r="Q13" s="292">
        <f t="shared" si="6"/>
        <v>0</v>
      </c>
      <c r="R13" s="292">
        <f t="shared" si="7"/>
        <v>0</v>
      </c>
      <c r="S13" s="292">
        <f t="shared" si="8"/>
        <v>0</v>
      </c>
      <c r="T13" s="292">
        <f t="shared" si="41"/>
        <v>0</v>
      </c>
      <c r="U13" s="292">
        <f t="shared" si="42"/>
        <v>0</v>
      </c>
      <c r="V13" s="292">
        <f t="shared" si="9"/>
        <v>0</v>
      </c>
      <c r="W13" s="292">
        <f t="shared" si="10"/>
        <v>0</v>
      </c>
      <c r="X13" s="292">
        <f t="shared" si="11"/>
        <v>0</v>
      </c>
      <c r="Y13" s="292">
        <f t="shared" si="12"/>
        <v>0</v>
      </c>
      <c r="Z13" s="292">
        <f t="shared" si="13"/>
        <v>0</v>
      </c>
      <c r="AA13" s="292">
        <f t="shared" si="14"/>
        <v>0</v>
      </c>
      <c r="AB13" s="292">
        <f t="shared" si="15"/>
        <v>0</v>
      </c>
      <c r="AC13" s="292">
        <f t="shared" si="16"/>
        <v>0</v>
      </c>
      <c r="AD13" s="292">
        <f t="shared" si="17"/>
        <v>0</v>
      </c>
      <c r="AE13" s="292">
        <f t="shared" si="18"/>
        <v>0</v>
      </c>
      <c r="AF13" s="292">
        <f t="shared" si="43"/>
        <v>0</v>
      </c>
      <c r="AG13" s="292">
        <f t="shared" si="44"/>
        <v>0</v>
      </c>
      <c r="AH13" s="292">
        <f t="shared" si="19"/>
        <v>0</v>
      </c>
      <c r="AI13" s="292">
        <f t="shared" si="20"/>
        <v>0</v>
      </c>
      <c r="AJ13" s="292">
        <f t="shared" si="21"/>
        <v>0</v>
      </c>
      <c r="AK13" s="292">
        <f t="shared" si="22"/>
        <v>0</v>
      </c>
      <c r="AL13" s="292">
        <f t="shared" si="23"/>
        <v>0</v>
      </c>
      <c r="AM13" s="292">
        <f t="shared" si="24"/>
        <v>0</v>
      </c>
      <c r="AN13" s="292">
        <f t="shared" si="25"/>
        <v>0</v>
      </c>
      <c r="AO13" s="292">
        <f t="shared" si="26"/>
        <v>0</v>
      </c>
      <c r="AP13" s="292">
        <f t="shared" si="27"/>
        <v>0</v>
      </c>
      <c r="AQ13" s="292">
        <f t="shared" si="28"/>
        <v>0</v>
      </c>
      <c r="AR13" s="292">
        <f t="shared" si="29"/>
        <v>0</v>
      </c>
      <c r="AS13" s="292">
        <f t="shared" si="30"/>
        <v>0</v>
      </c>
      <c r="AT13" s="292">
        <f t="shared" si="31"/>
        <v>0</v>
      </c>
      <c r="AU13" s="292">
        <f t="shared" si="32"/>
        <v>0</v>
      </c>
      <c r="AV13" s="292">
        <f t="shared" si="33"/>
        <v>0</v>
      </c>
      <c r="AW13" s="292">
        <f t="shared" si="34"/>
        <v>0</v>
      </c>
      <c r="AX13" s="292">
        <f t="shared" si="35"/>
        <v>0</v>
      </c>
      <c r="AY13" s="292">
        <f t="shared" si="36"/>
        <v>0</v>
      </c>
      <c r="AZ13" s="292">
        <f t="shared" si="37"/>
        <v>0</v>
      </c>
      <c r="BA13" s="292">
        <f t="shared" si="38"/>
        <v>0</v>
      </c>
    </row>
    <row r="14" spans="1:53" s="289" customFormat="1" ht="15.75" customHeight="1">
      <c r="A14" s="63" t="str">
        <f t="array" ref="A14">IF(C14&lt;&gt;0,SUM(($C$11:C14&lt;&gt;0)*1),"")</f>
        <v/>
      </c>
      <c r="B14" s="290"/>
      <c r="C14" s="290"/>
      <c r="D14" s="290"/>
      <c r="E14" s="396"/>
      <c r="F14" s="345"/>
      <c r="G14" s="347"/>
      <c r="H14" s="347"/>
      <c r="I14" s="63" t="str">
        <f t="shared" si="0"/>
        <v/>
      </c>
      <c r="J14" s="292">
        <f t="shared" si="1"/>
        <v>0</v>
      </c>
      <c r="K14" s="292">
        <f t="shared" si="2"/>
        <v>0</v>
      </c>
      <c r="L14" s="292">
        <f t="shared" si="3"/>
        <v>0</v>
      </c>
      <c r="M14" s="292">
        <f t="shared" si="4"/>
        <v>0</v>
      </c>
      <c r="N14" s="292">
        <f t="shared" si="39"/>
        <v>0</v>
      </c>
      <c r="O14" s="292">
        <f t="shared" si="40"/>
        <v>0</v>
      </c>
      <c r="P14" s="292">
        <f t="shared" si="5"/>
        <v>0</v>
      </c>
      <c r="Q14" s="292">
        <f t="shared" si="6"/>
        <v>0</v>
      </c>
      <c r="R14" s="292">
        <f t="shared" si="7"/>
        <v>0</v>
      </c>
      <c r="S14" s="292">
        <f t="shared" si="8"/>
        <v>0</v>
      </c>
      <c r="T14" s="292">
        <f t="shared" si="41"/>
        <v>0</v>
      </c>
      <c r="U14" s="292">
        <f t="shared" si="42"/>
        <v>0</v>
      </c>
      <c r="V14" s="292">
        <f t="shared" si="9"/>
        <v>0</v>
      </c>
      <c r="W14" s="292">
        <f t="shared" si="10"/>
        <v>0</v>
      </c>
      <c r="X14" s="292">
        <f t="shared" si="11"/>
        <v>0</v>
      </c>
      <c r="Y14" s="292">
        <f t="shared" si="12"/>
        <v>0</v>
      </c>
      <c r="Z14" s="292">
        <f t="shared" si="13"/>
        <v>0</v>
      </c>
      <c r="AA14" s="292">
        <f t="shared" si="14"/>
        <v>0</v>
      </c>
      <c r="AB14" s="292">
        <f t="shared" si="15"/>
        <v>0</v>
      </c>
      <c r="AC14" s="292">
        <f t="shared" si="16"/>
        <v>0</v>
      </c>
      <c r="AD14" s="292">
        <f t="shared" si="17"/>
        <v>0</v>
      </c>
      <c r="AE14" s="292">
        <f t="shared" si="18"/>
        <v>0</v>
      </c>
      <c r="AF14" s="292">
        <f t="shared" si="43"/>
        <v>0</v>
      </c>
      <c r="AG14" s="292">
        <f t="shared" si="44"/>
        <v>0</v>
      </c>
      <c r="AH14" s="292">
        <f t="shared" si="19"/>
        <v>0</v>
      </c>
      <c r="AI14" s="292">
        <f t="shared" si="20"/>
        <v>0</v>
      </c>
      <c r="AJ14" s="292">
        <f t="shared" si="21"/>
        <v>0</v>
      </c>
      <c r="AK14" s="292">
        <f t="shared" si="22"/>
        <v>0</v>
      </c>
      <c r="AL14" s="292">
        <f t="shared" si="23"/>
        <v>0</v>
      </c>
      <c r="AM14" s="292">
        <f t="shared" si="24"/>
        <v>0</v>
      </c>
      <c r="AN14" s="292">
        <f t="shared" si="25"/>
        <v>0</v>
      </c>
      <c r="AO14" s="292">
        <f t="shared" si="26"/>
        <v>0</v>
      </c>
      <c r="AP14" s="292">
        <f t="shared" si="27"/>
        <v>0</v>
      </c>
      <c r="AQ14" s="292">
        <f t="shared" si="28"/>
        <v>0</v>
      </c>
      <c r="AR14" s="292">
        <f t="shared" si="29"/>
        <v>0</v>
      </c>
      <c r="AS14" s="292">
        <f t="shared" si="30"/>
        <v>0</v>
      </c>
      <c r="AT14" s="292">
        <f t="shared" si="31"/>
        <v>0</v>
      </c>
      <c r="AU14" s="292">
        <f t="shared" si="32"/>
        <v>0</v>
      </c>
      <c r="AV14" s="292">
        <f t="shared" si="33"/>
        <v>0</v>
      </c>
      <c r="AW14" s="292">
        <f t="shared" si="34"/>
        <v>0</v>
      </c>
      <c r="AX14" s="292">
        <f t="shared" si="35"/>
        <v>0</v>
      </c>
      <c r="AY14" s="292">
        <f t="shared" si="36"/>
        <v>0</v>
      </c>
      <c r="AZ14" s="292">
        <f t="shared" si="37"/>
        <v>0</v>
      </c>
      <c r="BA14" s="292">
        <f t="shared" si="38"/>
        <v>0</v>
      </c>
    </row>
    <row r="15" spans="1:53" s="289" customFormat="1" ht="15.75" customHeight="1">
      <c r="A15" s="63" t="str">
        <f t="array" ref="A15">IF(C15&lt;&gt;0,SUM(($C$11:C15&lt;&gt;0)*1),"")</f>
        <v/>
      </c>
      <c r="B15" s="290"/>
      <c r="C15" s="290"/>
      <c r="D15" s="290"/>
      <c r="E15" s="396"/>
      <c r="F15" s="345"/>
      <c r="G15" s="347"/>
      <c r="H15" s="347"/>
      <c r="I15" s="63" t="str">
        <f t="shared" si="0"/>
        <v/>
      </c>
      <c r="J15" s="292">
        <f t="shared" si="1"/>
        <v>0</v>
      </c>
      <c r="K15" s="292">
        <f t="shared" si="2"/>
        <v>0</v>
      </c>
      <c r="L15" s="292">
        <f t="shared" si="3"/>
        <v>0</v>
      </c>
      <c r="M15" s="292">
        <f t="shared" si="4"/>
        <v>0</v>
      </c>
      <c r="N15" s="292">
        <f t="shared" si="39"/>
        <v>0</v>
      </c>
      <c r="O15" s="292">
        <f t="shared" si="40"/>
        <v>0</v>
      </c>
      <c r="P15" s="292">
        <f t="shared" si="5"/>
        <v>0</v>
      </c>
      <c r="Q15" s="292">
        <f t="shared" si="6"/>
        <v>0</v>
      </c>
      <c r="R15" s="292">
        <f t="shared" si="7"/>
        <v>0</v>
      </c>
      <c r="S15" s="292">
        <f t="shared" si="8"/>
        <v>0</v>
      </c>
      <c r="T15" s="292">
        <f t="shared" si="41"/>
        <v>0</v>
      </c>
      <c r="U15" s="292">
        <f t="shared" si="42"/>
        <v>0</v>
      </c>
      <c r="V15" s="292">
        <f t="shared" si="9"/>
        <v>0</v>
      </c>
      <c r="W15" s="292">
        <f t="shared" si="10"/>
        <v>0</v>
      </c>
      <c r="X15" s="292">
        <f t="shared" si="11"/>
        <v>0</v>
      </c>
      <c r="Y15" s="292">
        <f t="shared" si="12"/>
        <v>0</v>
      </c>
      <c r="Z15" s="292">
        <f t="shared" si="13"/>
        <v>0</v>
      </c>
      <c r="AA15" s="292">
        <f t="shared" si="14"/>
        <v>0</v>
      </c>
      <c r="AB15" s="292">
        <f t="shared" si="15"/>
        <v>0</v>
      </c>
      <c r="AC15" s="292">
        <f t="shared" si="16"/>
        <v>0</v>
      </c>
      <c r="AD15" s="292">
        <f t="shared" si="17"/>
        <v>0</v>
      </c>
      <c r="AE15" s="292">
        <f t="shared" si="18"/>
        <v>0</v>
      </c>
      <c r="AF15" s="292">
        <f t="shared" si="43"/>
        <v>0</v>
      </c>
      <c r="AG15" s="292">
        <f t="shared" si="44"/>
        <v>0</v>
      </c>
      <c r="AH15" s="292">
        <f t="shared" si="19"/>
        <v>0</v>
      </c>
      <c r="AI15" s="292">
        <f t="shared" si="20"/>
        <v>0</v>
      </c>
      <c r="AJ15" s="292">
        <f t="shared" si="21"/>
        <v>0</v>
      </c>
      <c r="AK15" s="292">
        <f t="shared" si="22"/>
        <v>0</v>
      </c>
      <c r="AL15" s="292">
        <f t="shared" si="23"/>
        <v>0</v>
      </c>
      <c r="AM15" s="292">
        <f t="shared" si="24"/>
        <v>0</v>
      </c>
      <c r="AN15" s="292">
        <f t="shared" si="25"/>
        <v>0</v>
      </c>
      <c r="AO15" s="292">
        <f t="shared" si="26"/>
        <v>0</v>
      </c>
      <c r="AP15" s="292">
        <f t="shared" si="27"/>
        <v>0</v>
      </c>
      <c r="AQ15" s="292">
        <f t="shared" si="28"/>
        <v>0</v>
      </c>
      <c r="AR15" s="292">
        <f t="shared" si="29"/>
        <v>0</v>
      </c>
      <c r="AS15" s="292">
        <f t="shared" si="30"/>
        <v>0</v>
      </c>
      <c r="AT15" s="292">
        <f t="shared" si="31"/>
        <v>0</v>
      </c>
      <c r="AU15" s="292">
        <f t="shared" si="32"/>
        <v>0</v>
      </c>
      <c r="AV15" s="292">
        <f t="shared" si="33"/>
        <v>0</v>
      </c>
      <c r="AW15" s="292">
        <f t="shared" si="34"/>
        <v>0</v>
      </c>
      <c r="AX15" s="292">
        <f t="shared" si="35"/>
        <v>0</v>
      </c>
      <c r="AY15" s="292">
        <f t="shared" si="36"/>
        <v>0</v>
      </c>
      <c r="AZ15" s="292">
        <f t="shared" si="37"/>
        <v>0</v>
      </c>
      <c r="BA15" s="292">
        <f t="shared" si="38"/>
        <v>0</v>
      </c>
    </row>
    <row r="16" spans="1:53" s="289" customFormat="1" ht="15.75" customHeight="1">
      <c r="A16" s="63" t="str">
        <f t="array" ref="A16">IF(C16&lt;&gt;0,SUM(($C$11:C16&lt;&gt;0)*1),"")</f>
        <v/>
      </c>
      <c r="B16" s="290"/>
      <c r="C16" s="290"/>
      <c r="D16" s="290"/>
      <c r="E16" s="396"/>
      <c r="F16" s="345"/>
      <c r="G16" s="347"/>
      <c r="H16" s="347"/>
      <c r="I16" s="63" t="str">
        <f t="shared" si="0"/>
        <v/>
      </c>
      <c r="J16" s="292">
        <f t="shared" si="1"/>
        <v>0</v>
      </c>
      <c r="K16" s="292">
        <f t="shared" si="2"/>
        <v>0</v>
      </c>
      <c r="L16" s="292">
        <f t="shared" si="3"/>
        <v>0</v>
      </c>
      <c r="M16" s="292">
        <f t="shared" si="4"/>
        <v>0</v>
      </c>
      <c r="N16" s="292">
        <f t="shared" si="39"/>
        <v>0</v>
      </c>
      <c r="O16" s="292">
        <f t="shared" si="40"/>
        <v>0</v>
      </c>
      <c r="P16" s="292">
        <f t="shared" si="5"/>
        <v>0</v>
      </c>
      <c r="Q16" s="292">
        <f t="shared" si="6"/>
        <v>0</v>
      </c>
      <c r="R16" s="292">
        <f t="shared" si="7"/>
        <v>0</v>
      </c>
      <c r="S16" s="292">
        <f t="shared" si="8"/>
        <v>0</v>
      </c>
      <c r="T16" s="292">
        <f t="shared" si="41"/>
        <v>0</v>
      </c>
      <c r="U16" s="292">
        <f t="shared" si="42"/>
        <v>0</v>
      </c>
      <c r="V16" s="292">
        <f t="shared" si="9"/>
        <v>0</v>
      </c>
      <c r="W16" s="292">
        <f t="shared" si="10"/>
        <v>0</v>
      </c>
      <c r="X16" s="292">
        <f t="shared" si="11"/>
        <v>0</v>
      </c>
      <c r="Y16" s="292">
        <f t="shared" si="12"/>
        <v>0</v>
      </c>
      <c r="Z16" s="292">
        <f t="shared" si="13"/>
        <v>0</v>
      </c>
      <c r="AA16" s="292">
        <f t="shared" si="14"/>
        <v>0</v>
      </c>
      <c r="AB16" s="292">
        <f t="shared" si="15"/>
        <v>0</v>
      </c>
      <c r="AC16" s="292">
        <f t="shared" si="16"/>
        <v>0</v>
      </c>
      <c r="AD16" s="292">
        <f t="shared" si="17"/>
        <v>0</v>
      </c>
      <c r="AE16" s="292">
        <f t="shared" si="18"/>
        <v>0</v>
      </c>
      <c r="AF16" s="292">
        <f t="shared" si="43"/>
        <v>0</v>
      </c>
      <c r="AG16" s="292">
        <f t="shared" si="44"/>
        <v>0</v>
      </c>
      <c r="AH16" s="292">
        <f t="shared" si="19"/>
        <v>0</v>
      </c>
      <c r="AI16" s="292">
        <f t="shared" si="20"/>
        <v>0</v>
      </c>
      <c r="AJ16" s="292">
        <f t="shared" si="21"/>
        <v>0</v>
      </c>
      <c r="AK16" s="292">
        <f t="shared" si="22"/>
        <v>0</v>
      </c>
      <c r="AL16" s="292">
        <f t="shared" si="23"/>
        <v>0</v>
      </c>
      <c r="AM16" s="292">
        <f t="shared" si="24"/>
        <v>0</v>
      </c>
      <c r="AN16" s="292">
        <f t="shared" si="25"/>
        <v>0</v>
      </c>
      <c r="AO16" s="292">
        <f t="shared" si="26"/>
        <v>0</v>
      </c>
      <c r="AP16" s="292">
        <f t="shared" si="27"/>
        <v>0</v>
      </c>
      <c r="AQ16" s="292">
        <f t="shared" si="28"/>
        <v>0</v>
      </c>
      <c r="AR16" s="292">
        <f t="shared" si="29"/>
        <v>0</v>
      </c>
      <c r="AS16" s="292">
        <f t="shared" si="30"/>
        <v>0</v>
      </c>
      <c r="AT16" s="292">
        <f t="shared" si="31"/>
        <v>0</v>
      </c>
      <c r="AU16" s="292">
        <f t="shared" si="32"/>
        <v>0</v>
      </c>
      <c r="AV16" s="292">
        <f t="shared" si="33"/>
        <v>0</v>
      </c>
      <c r="AW16" s="292">
        <f t="shared" si="34"/>
        <v>0</v>
      </c>
      <c r="AX16" s="292">
        <f t="shared" si="35"/>
        <v>0</v>
      </c>
      <c r="AY16" s="292">
        <f t="shared" si="36"/>
        <v>0</v>
      </c>
      <c r="AZ16" s="292">
        <f t="shared" si="37"/>
        <v>0</v>
      </c>
      <c r="BA16" s="292">
        <f t="shared" si="38"/>
        <v>0</v>
      </c>
    </row>
    <row r="17" spans="1:53" s="289" customFormat="1" ht="15.75" customHeight="1">
      <c r="A17" s="63" t="str">
        <f t="array" ref="A17">IF(C17&lt;&gt;0,SUM(($C$11:C17&lt;&gt;0)*1),"")</f>
        <v/>
      </c>
      <c r="B17" s="290"/>
      <c r="C17" s="290"/>
      <c r="D17" s="290"/>
      <c r="E17" s="396"/>
      <c r="F17" s="345"/>
      <c r="G17" s="347"/>
      <c r="H17" s="347"/>
      <c r="I17" s="63" t="str">
        <f t="shared" si="0"/>
        <v/>
      </c>
      <c r="J17" s="292">
        <f t="shared" si="1"/>
        <v>0</v>
      </c>
      <c r="K17" s="292">
        <f t="shared" si="2"/>
        <v>0</v>
      </c>
      <c r="L17" s="292">
        <f t="shared" si="3"/>
        <v>0</v>
      </c>
      <c r="M17" s="292">
        <f t="shared" si="4"/>
        <v>0</v>
      </c>
      <c r="N17" s="292">
        <f t="shared" si="39"/>
        <v>0</v>
      </c>
      <c r="O17" s="292">
        <f t="shared" si="40"/>
        <v>0</v>
      </c>
      <c r="P17" s="292">
        <f t="shared" si="5"/>
        <v>0</v>
      </c>
      <c r="Q17" s="292">
        <f t="shared" si="6"/>
        <v>0</v>
      </c>
      <c r="R17" s="292">
        <f t="shared" si="7"/>
        <v>0</v>
      </c>
      <c r="S17" s="292">
        <f t="shared" si="8"/>
        <v>0</v>
      </c>
      <c r="T17" s="292">
        <f t="shared" si="41"/>
        <v>0</v>
      </c>
      <c r="U17" s="292">
        <f t="shared" si="42"/>
        <v>0</v>
      </c>
      <c r="V17" s="292">
        <f t="shared" si="9"/>
        <v>0</v>
      </c>
      <c r="W17" s="292">
        <f t="shared" si="10"/>
        <v>0</v>
      </c>
      <c r="X17" s="292">
        <f t="shared" si="11"/>
        <v>0</v>
      </c>
      <c r="Y17" s="292">
        <f t="shared" si="12"/>
        <v>0</v>
      </c>
      <c r="Z17" s="292">
        <f t="shared" si="13"/>
        <v>0</v>
      </c>
      <c r="AA17" s="292">
        <f t="shared" si="14"/>
        <v>0</v>
      </c>
      <c r="AB17" s="292">
        <f t="shared" si="15"/>
        <v>0</v>
      </c>
      <c r="AC17" s="292">
        <f t="shared" si="16"/>
        <v>0</v>
      </c>
      <c r="AD17" s="292">
        <f t="shared" si="17"/>
        <v>0</v>
      </c>
      <c r="AE17" s="292">
        <f t="shared" si="18"/>
        <v>0</v>
      </c>
      <c r="AF17" s="292">
        <f t="shared" si="43"/>
        <v>0</v>
      </c>
      <c r="AG17" s="292">
        <f t="shared" si="44"/>
        <v>0</v>
      </c>
      <c r="AH17" s="292">
        <f t="shared" si="19"/>
        <v>0</v>
      </c>
      <c r="AI17" s="292">
        <f t="shared" si="20"/>
        <v>0</v>
      </c>
      <c r="AJ17" s="292">
        <f t="shared" si="21"/>
        <v>0</v>
      </c>
      <c r="AK17" s="292">
        <f t="shared" si="22"/>
        <v>0</v>
      </c>
      <c r="AL17" s="292">
        <f t="shared" si="23"/>
        <v>0</v>
      </c>
      <c r="AM17" s="292">
        <f t="shared" si="24"/>
        <v>0</v>
      </c>
      <c r="AN17" s="292">
        <f t="shared" si="25"/>
        <v>0</v>
      </c>
      <c r="AO17" s="292">
        <f t="shared" si="26"/>
        <v>0</v>
      </c>
      <c r="AP17" s="292">
        <f t="shared" si="27"/>
        <v>0</v>
      </c>
      <c r="AQ17" s="292">
        <f t="shared" si="28"/>
        <v>0</v>
      </c>
      <c r="AR17" s="292">
        <f t="shared" si="29"/>
        <v>0</v>
      </c>
      <c r="AS17" s="292">
        <f t="shared" si="30"/>
        <v>0</v>
      </c>
      <c r="AT17" s="292">
        <f t="shared" si="31"/>
        <v>0</v>
      </c>
      <c r="AU17" s="292">
        <f t="shared" si="32"/>
        <v>0</v>
      </c>
      <c r="AV17" s="292">
        <f t="shared" si="33"/>
        <v>0</v>
      </c>
      <c r="AW17" s="292">
        <f t="shared" si="34"/>
        <v>0</v>
      </c>
      <c r="AX17" s="292">
        <f t="shared" si="35"/>
        <v>0</v>
      </c>
      <c r="AY17" s="292">
        <f t="shared" si="36"/>
        <v>0</v>
      </c>
      <c r="AZ17" s="292">
        <f t="shared" si="37"/>
        <v>0</v>
      </c>
      <c r="BA17" s="292">
        <f t="shared" si="38"/>
        <v>0</v>
      </c>
    </row>
    <row r="18" spans="1:53" s="289" customFormat="1" ht="15.75" customHeight="1">
      <c r="A18" s="63" t="str">
        <f t="array" ref="A18">IF(C18&lt;&gt;0,SUM(($C$11:C18&lt;&gt;0)*1),"")</f>
        <v/>
      </c>
      <c r="B18" s="290"/>
      <c r="C18" s="290"/>
      <c r="D18" s="290"/>
      <c r="E18" s="396"/>
      <c r="F18" s="345"/>
      <c r="G18" s="347"/>
      <c r="H18" s="347"/>
      <c r="I18" s="63" t="str">
        <f t="shared" si="0"/>
        <v/>
      </c>
      <c r="J18" s="292">
        <f t="shared" si="1"/>
        <v>0</v>
      </c>
      <c r="K18" s="292">
        <f t="shared" si="2"/>
        <v>0</v>
      </c>
      <c r="L18" s="292">
        <f t="shared" si="3"/>
        <v>0</v>
      </c>
      <c r="M18" s="292">
        <f t="shared" si="4"/>
        <v>0</v>
      </c>
      <c r="N18" s="292">
        <f t="shared" si="39"/>
        <v>0</v>
      </c>
      <c r="O18" s="292">
        <f t="shared" si="40"/>
        <v>0</v>
      </c>
      <c r="P18" s="292">
        <f t="shared" si="5"/>
        <v>0</v>
      </c>
      <c r="Q18" s="292">
        <f t="shared" si="6"/>
        <v>0</v>
      </c>
      <c r="R18" s="292">
        <f t="shared" si="7"/>
        <v>0</v>
      </c>
      <c r="S18" s="292">
        <f t="shared" si="8"/>
        <v>0</v>
      </c>
      <c r="T18" s="292">
        <f t="shared" si="41"/>
        <v>0</v>
      </c>
      <c r="U18" s="292">
        <f t="shared" si="42"/>
        <v>0</v>
      </c>
      <c r="V18" s="292">
        <f t="shared" si="9"/>
        <v>0</v>
      </c>
      <c r="W18" s="292">
        <f t="shared" si="10"/>
        <v>0</v>
      </c>
      <c r="X18" s="292">
        <f t="shared" si="11"/>
        <v>0</v>
      </c>
      <c r="Y18" s="292">
        <f t="shared" si="12"/>
        <v>0</v>
      </c>
      <c r="Z18" s="292">
        <f t="shared" si="13"/>
        <v>0</v>
      </c>
      <c r="AA18" s="292">
        <f t="shared" si="14"/>
        <v>0</v>
      </c>
      <c r="AB18" s="292">
        <f t="shared" si="15"/>
        <v>0</v>
      </c>
      <c r="AC18" s="292">
        <f t="shared" si="16"/>
        <v>0</v>
      </c>
      <c r="AD18" s="292">
        <f t="shared" si="17"/>
        <v>0</v>
      </c>
      <c r="AE18" s="292">
        <f t="shared" si="18"/>
        <v>0</v>
      </c>
      <c r="AF18" s="292">
        <f t="shared" si="43"/>
        <v>0</v>
      </c>
      <c r="AG18" s="292">
        <f t="shared" si="44"/>
        <v>0</v>
      </c>
      <c r="AH18" s="292">
        <f t="shared" si="19"/>
        <v>0</v>
      </c>
      <c r="AI18" s="292">
        <f t="shared" si="20"/>
        <v>0</v>
      </c>
      <c r="AJ18" s="292">
        <f t="shared" si="21"/>
        <v>0</v>
      </c>
      <c r="AK18" s="292">
        <f t="shared" si="22"/>
        <v>0</v>
      </c>
      <c r="AL18" s="292">
        <f t="shared" si="23"/>
        <v>0</v>
      </c>
      <c r="AM18" s="292">
        <f t="shared" si="24"/>
        <v>0</v>
      </c>
      <c r="AN18" s="292">
        <f t="shared" si="25"/>
        <v>0</v>
      </c>
      <c r="AO18" s="292">
        <f t="shared" si="26"/>
        <v>0</v>
      </c>
      <c r="AP18" s="292">
        <f t="shared" si="27"/>
        <v>0</v>
      </c>
      <c r="AQ18" s="292">
        <f t="shared" si="28"/>
        <v>0</v>
      </c>
      <c r="AR18" s="292">
        <f t="shared" si="29"/>
        <v>0</v>
      </c>
      <c r="AS18" s="292">
        <f t="shared" si="30"/>
        <v>0</v>
      </c>
      <c r="AT18" s="292">
        <f t="shared" si="31"/>
        <v>0</v>
      </c>
      <c r="AU18" s="292">
        <f t="shared" si="32"/>
        <v>0</v>
      </c>
      <c r="AV18" s="292">
        <f t="shared" si="33"/>
        <v>0</v>
      </c>
      <c r="AW18" s="292">
        <f t="shared" si="34"/>
        <v>0</v>
      </c>
      <c r="AX18" s="292">
        <f t="shared" si="35"/>
        <v>0</v>
      </c>
      <c r="AY18" s="292">
        <f t="shared" si="36"/>
        <v>0</v>
      </c>
      <c r="AZ18" s="292">
        <f t="shared" si="37"/>
        <v>0</v>
      </c>
      <c r="BA18" s="292">
        <f t="shared" si="38"/>
        <v>0</v>
      </c>
    </row>
    <row r="19" spans="1:53" s="289" customFormat="1" ht="15.75" customHeight="1">
      <c r="A19" s="63" t="str">
        <f t="array" ref="A19">IF(C19&lt;&gt;0,SUM(($C$11:C19&lt;&gt;0)*1),"")</f>
        <v/>
      </c>
      <c r="B19" s="290"/>
      <c r="C19" s="290"/>
      <c r="D19" s="290"/>
      <c r="E19" s="396"/>
      <c r="F19" s="345"/>
      <c r="G19" s="347"/>
      <c r="H19" s="347"/>
      <c r="I19" s="63" t="str">
        <f t="shared" si="0"/>
        <v/>
      </c>
      <c r="J19" s="292">
        <f t="shared" si="1"/>
        <v>0</v>
      </c>
      <c r="K19" s="292">
        <f t="shared" si="2"/>
        <v>0</v>
      </c>
      <c r="L19" s="292">
        <f t="shared" si="3"/>
        <v>0</v>
      </c>
      <c r="M19" s="292">
        <f t="shared" si="4"/>
        <v>0</v>
      </c>
      <c r="N19" s="292">
        <f t="shared" si="39"/>
        <v>0</v>
      </c>
      <c r="O19" s="292">
        <f t="shared" si="40"/>
        <v>0</v>
      </c>
      <c r="P19" s="292">
        <f t="shared" si="5"/>
        <v>0</v>
      </c>
      <c r="Q19" s="292">
        <f t="shared" si="6"/>
        <v>0</v>
      </c>
      <c r="R19" s="292">
        <f t="shared" si="7"/>
        <v>0</v>
      </c>
      <c r="S19" s="292">
        <f t="shared" si="8"/>
        <v>0</v>
      </c>
      <c r="T19" s="292">
        <f t="shared" si="41"/>
        <v>0</v>
      </c>
      <c r="U19" s="292">
        <f t="shared" si="42"/>
        <v>0</v>
      </c>
      <c r="V19" s="292">
        <f t="shared" si="9"/>
        <v>0</v>
      </c>
      <c r="W19" s="292">
        <f t="shared" si="10"/>
        <v>0</v>
      </c>
      <c r="X19" s="292">
        <f t="shared" si="11"/>
        <v>0</v>
      </c>
      <c r="Y19" s="292">
        <f t="shared" si="12"/>
        <v>0</v>
      </c>
      <c r="Z19" s="292">
        <f t="shared" si="13"/>
        <v>0</v>
      </c>
      <c r="AA19" s="292">
        <f t="shared" si="14"/>
        <v>0</v>
      </c>
      <c r="AB19" s="292">
        <f t="shared" si="15"/>
        <v>0</v>
      </c>
      <c r="AC19" s="292">
        <f t="shared" si="16"/>
        <v>0</v>
      </c>
      <c r="AD19" s="292">
        <f t="shared" si="17"/>
        <v>0</v>
      </c>
      <c r="AE19" s="292">
        <f t="shared" si="18"/>
        <v>0</v>
      </c>
      <c r="AF19" s="292">
        <f t="shared" si="43"/>
        <v>0</v>
      </c>
      <c r="AG19" s="292">
        <f t="shared" si="44"/>
        <v>0</v>
      </c>
      <c r="AH19" s="292">
        <f t="shared" si="19"/>
        <v>0</v>
      </c>
      <c r="AI19" s="292">
        <f t="shared" si="20"/>
        <v>0</v>
      </c>
      <c r="AJ19" s="292">
        <f t="shared" si="21"/>
        <v>0</v>
      </c>
      <c r="AK19" s="292">
        <f t="shared" si="22"/>
        <v>0</v>
      </c>
      <c r="AL19" s="292">
        <f t="shared" si="23"/>
        <v>0</v>
      </c>
      <c r="AM19" s="292">
        <f t="shared" si="24"/>
        <v>0</v>
      </c>
      <c r="AN19" s="292">
        <f t="shared" si="25"/>
        <v>0</v>
      </c>
      <c r="AO19" s="292">
        <f t="shared" si="26"/>
        <v>0</v>
      </c>
      <c r="AP19" s="292">
        <f t="shared" si="27"/>
        <v>0</v>
      </c>
      <c r="AQ19" s="292">
        <f t="shared" si="28"/>
        <v>0</v>
      </c>
      <c r="AR19" s="292">
        <f t="shared" si="29"/>
        <v>0</v>
      </c>
      <c r="AS19" s="292">
        <f t="shared" si="30"/>
        <v>0</v>
      </c>
      <c r="AT19" s="292">
        <f t="shared" si="31"/>
        <v>0</v>
      </c>
      <c r="AU19" s="292">
        <f t="shared" si="32"/>
        <v>0</v>
      </c>
      <c r="AV19" s="292">
        <f t="shared" si="33"/>
        <v>0</v>
      </c>
      <c r="AW19" s="292">
        <f t="shared" si="34"/>
        <v>0</v>
      </c>
      <c r="AX19" s="292">
        <f t="shared" si="35"/>
        <v>0</v>
      </c>
      <c r="AY19" s="292">
        <f t="shared" si="36"/>
        <v>0</v>
      </c>
      <c r="AZ19" s="292">
        <f t="shared" si="37"/>
        <v>0</v>
      </c>
      <c r="BA19" s="292">
        <f t="shared" si="38"/>
        <v>0</v>
      </c>
    </row>
    <row r="20" spans="1:53" s="289" customFormat="1" ht="15.75" customHeight="1">
      <c r="A20" s="63" t="str">
        <f t="array" ref="A20">IF(C20&lt;&gt;0,SUM(($C$11:C20&lt;&gt;0)*1),"")</f>
        <v/>
      </c>
      <c r="B20" s="290"/>
      <c r="C20" s="290"/>
      <c r="D20" s="290"/>
      <c r="E20" s="396"/>
      <c r="F20" s="345"/>
      <c r="G20" s="347"/>
      <c r="H20" s="347"/>
      <c r="I20" s="63" t="str">
        <f t="shared" si="0"/>
        <v/>
      </c>
      <c r="J20" s="292">
        <f t="shared" si="1"/>
        <v>0</v>
      </c>
      <c r="K20" s="292">
        <f t="shared" si="2"/>
        <v>0</v>
      </c>
      <c r="L20" s="292">
        <f t="shared" si="3"/>
        <v>0</v>
      </c>
      <c r="M20" s="292">
        <f t="shared" si="4"/>
        <v>0</v>
      </c>
      <c r="N20" s="292">
        <f t="shared" si="39"/>
        <v>0</v>
      </c>
      <c r="O20" s="292">
        <f t="shared" si="40"/>
        <v>0</v>
      </c>
      <c r="P20" s="292">
        <f t="shared" si="5"/>
        <v>0</v>
      </c>
      <c r="Q20" s="292">
        <f t="shared" si="6"/>
        <v>0</v>
      </c>
      <c r="R20" s="292">
        <f t="shared" si="7"/>
        <v>0</v>
      </c>
      <c r="S20" s="292">
        <f t="shared" si="8"/>
        <v>0</v>
      </c>
      <c r="T20" s="292">
        <f t="shared" si="41"/>
        <v>0</v>
      </c>
      <c r="U20" s="292">
        <f t="shared" si="42"/>
        <v>0</v>
      </c>
      <c r="V20" s="292">
        <f t="shared" si="9"/>
        <v>0</v>
      </c>
      <c r="W20" s="292">
        <f t="shared" si="10"/>
        <v>0</v>
      </c>
      <c r="X20" s="292">
        <f t="shared" si="11"/>
        <v>0</v>
      </c>
      <c r="Y20" s="292">
        <f t="shared" si="12"/>
        <v>0</v>
      </c>
      <c r="Z20" s="292">
        <f t="shared" si="13"/>
        <v>0</v>
      </c>
      <c r="AA20" s="292">
        <f t="shared" si="14"/>
        <v>0</v>
      </c>
      <c r="AB20" s="292">
        <f t="shared" si="15"/>
        <v>0</v>
      </c>
      <c r="AC20" s="292">
        <f t="shared" si="16"/>
        <v>0</v>
      </c>
      <c r="AD20" s="292">
        <f t="shared" si="17"/>
        <v>0</v>
      </c>
      <c r="AE20" s="292">
        <f t="shared" si="18"/>
        <v>0</v>
      </c>
      <c r="AF20" s="292">
        <f t="shared" si="43"/>
        <v>0</v>
      </c>
      <c r="AG20" s="292">
        <f t="shared" si="44"/>
        <v>0</v>
      </c>
      <c r="AH20" s="292">
        <f t="shared" si="19"/>
        <v>0</v>
      </c>
      <c r="AI20" s="292">
        <f t="shared" si="20"/>
        <v>0</v>
      </c>
      <c r="AJ20" s="292">
        <f t="shared" si="21"/>
        <v>0</v>
      </c>
      <c r="AK20" s="292">
        <f t="shared" si="22"/>
        <v>0</v>
      </c>
      <c r="AL20" s="292">
        <f t="shared" si="23"/>
        <v>0</v>
      </c>
      <c r="AM20" s="292">
        <f t="shared" si="24"/>
        <v>0</v>
      </c>
      <c r="AN20" s="292">
        <f t="shared" si="25"/>
        <v>0</v>
      </c>
      <c r="AO20" s="292">
        <f t="shared" si="26"/>
        <v>0</v>
      </c>
      <c r="AP20" s="292">
        <f t="shared" si="27"/>
        <v>0</v>
      </c>
      <c r="AQ20" s="292">
        <f t="shared" si="28"/>
        <v>0</v>
      </c>
      <c r="AR20" s="292">
        <f t="shared" si="29"/>
        <v>0</v>
      </c>
      <c r="AS20" s="292">
        <f t="shared" si="30"/>
        <v>0</v>
      </c>
      <c r="AT20" s="292">
        <f t="shared" si="31"/>
        <v>0</v>
      </c>
      <c r="AU20" s="292">
        <f t="shared" si="32"/>
        <v>0</v>
      </c>
      <c r="AV20" s="292">
        <f t="shared" si="33"/>
        <v>0</v>
      </c>
      <c r="AW20" s="292">
        <f t="shared" si="34"/>
        <v>0</v>
      </c>
      <c r="AX20" s="292">
        <f t="shared" si="35"/>
        <v>0</v>
      </c>
      <c r="AY20" s="292">
        <f t="shared" si="36"/>
        <v>0</v>
      </c>
      <c r="AZ20" s="292">
        <f t="shared" si="37"/>
        <v>0</v>
      </c>
      <c r="BA20" s="292">
        <f t="shared" si="38"/>
        <v>0</v>
      </c>
    </row>
    <row r="21" spans="1:53" s="289" customFormat="1" ht="15.75" customHeight="1">
      <c r="A21" s="63" t="str">
        <f t="array" ref="A21">IF(C21&lt;&gt;0,SUM(($C$11:C21&lt;&gt;0)*1),"")</f>
        <v/>
      </c>
      <c r="B21" s="290"/>
      <c r="C21" s="290"/>
      <c r="D21" s="290"/>
      <c r="E21" s="396"/>
      <c r="F21" s="345"/>
      <c r="G21" s="347"/>
      <c r="H21" s="347"/>
      <c r="I21" s="63" t="str">
        <f t="shared" si="0"/>
        <v/>
      </c>
      <c r="J21" s="292">
        <f t="shared" si="1"/>
        <v>0</v>
      </c>
      <c r="K21" s="292">
        <f t="shared" si="2"/>
        <v>0</v>
      </c>
      <c r="L21" s="292">
        <f t="shared" si="3"/>
        <v>0</v>
      </c>
      <c r="M21" s="292">
        <f t="shared" si="4"/>
        <v>0</v>
      </c>
      <c r="N21" s="292">
        <f t="shared" si="39"/>
        <v>0</v>
      </c>
      <c r="O21" s="292">
        <f t="shared" si="40"/>
        <v>0</v>
      </c>
      <c r="P21" s="292">
        <f t="shared" si="5"/>
        <v>0</v>
      </c>
      <c r="Q21" s="292">
        <f t="shared" si="6"/>
        <v>0</v>
      </c>
      <c r="R21" s="292">
        <f t="shared" si="7"/>
        <v>0</v>
      </c>
      <c r="S21" s="292">
        <f t="shared" si="8"/>
        <v>0</v>
      </c>
      <c r="T21" s="292">
        <f t="shared" si="41"/>
        <v>0</v>
      </c>
      <c r="U21" s="292">
        <f t="shared" si="42"/>
        <v>0</v>
      </c>
      <c r="V21" s="292">
        <f t="shared" si="9"/>
        <v>0</v>
      </c>
      <c r="W21" s="292">
        <f t="shared" si="10"/>
        <v>0</v>
      </c>
      <c r="X21" s="292">
        <f t="shared" si="11"/>
        <v>0</v>
      </c>
      <c r="Y21" s="292">
        <f t="shared" si="12"/>
        <v>0</v>
      </c>
      <c r="Z21" s="292">
        <f t="shared" si="13"/>
        <v>0</v>
      </c>
      <c r="AA21" s="292">
        <f t="shared" si="14"/>
        <v>0</v>
      </c>
      <c r="AB21" s="292">
        <f t="shared" si="15"/>
        <v>0</v>
      </c>
      <c r="AC21" s="292">
        <f t="shared" si="16"/>
        <v>0</v>
      </c>
      <c r="AD21" s="292">
        <f t="shared" si="17"/>
        <v>0</v>
      </c>
      <c r="AE21" s="292">
        <f t="shared" si="18"/>
        <v>0</v>
      </c>
      <c r="AF21" s="292">
        <f t="shared" si="43"/>
        <v>0</v>
      </c>
      <c r="AG21" s="292">
        <f t="shared" si="44"/>
        <v>0</v>
      </c>
      <c r="AH21" s="292">
        <f t="shared" si="19"/>
        <v>0</v>
      </c>
      <c r="AI21" s="292">
        <f t="shared" si="20"/>
        <v>0</v>
      </c>
      <c r="AJ21" s="292">
        <f t="shared" si="21"/>
        <v>0</v>
      </c>
      <c r="AK21" s="292">
        <f t="shared" si="22"/>
        <v>0</v>
      </c>
      <c r="AL21" s="292">
        <f t="shared" si="23"/>
        <v>0</v>
      </c>
      <c r="AM21" s="292">
        <f t="shared" si="24"/>
        <v>0</v>
      </c>
      <c r="AN21" s="292">
        <f t="shared" si="25"/>
        <v>0</v>
      </c>
      <c r="AO21" s="292">
        <f t="shared" si="26"/>
        <v>0</v>
      </c>
      <c r="AP21" s="292">
        <f t="shared" si="27"/>
        <v>0</v>
      </c>
      <c r="AQ21" s="292">
        <f t="shared" si="28"/>
        <v>0</v>
      </c>
      <c r="AR21" s="292">
        <f t="shared" si="29"/>
        <v>0</v>
      </c>
      <c r="AS21" s="292">
        <f t="shared" si="30"/>
        <v>0</v>
      </c>
      <c r="AT21" s="292">
        <f t="shared" si="31"/>
        <v>0</v>
      </c>
      <c r="AU21" s="292">
        <f t="shared" si="32"/>
        <v>0</v>
      </c>
      <c r="AV21" s="292">
        <f t="shared" si="33"/>
        <v>0</v>
      </c>
      <c r="AW21" s="292">
        <f t="shared" si="34"/>
        <v>0</v>
      </c>
      <c r="AX21" s="292">
        <f t="shared" si="35"/>
        <v>0</v>
      </c>
      <c r="AY21" s="292">
        <f t="shared" si="36"/>
        <v>0</v>
      </c>
      <c r="AZ21" s="292">
        <f t="shared" si="37"/>
        <v>0</v>
      </c>
      <c r="BA21" s="292">
        <f t="shared" si="38"/>
        <v>0</v>
      </c>
    </row>
    <row r="22" spans="1:53" s="289" customFormat="1" ht="15.75" customHeight="1">
      <c r="A22" s="63" t="str">
        <f t="array" ref="A22">IF(C22&lt;&gt;0,SUM(($C$11:C22&lt;&gt;0)*1),"")</f>
        <v/>
      </c>
      <c r="B22" s="290"/>
      <c r="C22" s="290"/>
      <c r="D22" s="290"/>
      <c r="E22" s="396"/>
      <c r="F22" s="345"/>
      <c r="G22" s="347"/>
      <c r="H22" s="347"/>
      <c r="I22" s="63" t="str">
        <f t="shared" si="0"/>
        <v/>
      </c>
      <c r="J22" s="292">
        <f t="shared" si="1"/>
        <v>0</v>
      </c>
      <c r="K22" s="292">
        <f t="shared" si="2"/>
        <v>0</v>
      </c>
      <c r="L22" s="292">
        <f t="shared" si="3"/>
        <v>0</v>
      </c>
      <c r="M22" s="292">
        <f t="shared" si="4"/>
        <v>0</v>
      </c>
      <c r="N22" s="292">
        <f t="shared" si="39"/>
        <v>0</v>
      </c>
      <c r="O22" s="292">
        <f t="shared" si="40"/>
        <v>0</v>
      </c>
      <c r="P22" s="292">
        <f t="shared" si="5"/>
        <v>0</v>
      </c>
      <c r="Q22" s="292">
        <f t="shared" si="6"/>
        <v>0</v>
      </c>
      <c r="R22" s="292">
        <f t="shared" si="7"/>
        <v>0</v>
      </c>
      <c r="S22" s="292">
        <f t="shared" si="8"/>
        <v>0</v>
      </c>
      <c r="T22" s="292">
        <f t="shared" si="41"/>
        <v>0</v>
      </c>
      <c r="U22" s="292">
        <f t="shared" si="42"/>
        <v>0</v>
      </c>
      <c r="V22" s="292">
        <f t="shared" si="9"/>
        <v>0</v>
      </c>
      <c r="W22" s="292">
        <f t="shared" si="10"/>
        <v>0</v>
      </c>
      <c r="X22" s="292">
        <f t="shared" si="11"/>
        <v>0</v>
      </c>
      <c r="Y22" s="292">
        <f t="shared" si="12"/>
        <v>0</v>
      </c>
      <c r="Z22" s="292">
        <f t="shared" si="13"/>
        <v>0</v>
      </c>
      <c r="AA22" s="292">
        <f t="shared" si="14"/>
        <v>0</v>
      </c>
      <c r="AB22" s="292">
        <f t="shared" si="15"/>
        <v>0</v>
      </c>
      <c r="AC22" s="292">
        <f t="shared" si="16"/>
        <v>0</v>
      </c>
      <c r="AD22" s="292">
        <f t="shared" si="17"/>
        <v>0</v>
      </c>
      <c r="AE22" s="292">
        <f t="shared" si="18"/>
        <v>0</v>
      </c>
      <c r="AF22" s="292">
        <f t="shared" si="43"/>
        <v>0</v>
      </c>
      <c r="AG22" s="292">
        <f t="shared" si="44"/>
        <v>0</v>
      </c>
      <c r="AH22" s="292">
        <f t="shared" si="19"/>
        <v>0</v>
      </c>
      <c r="AI22" s="292">
        <f t="shared" si="20"/>
        <v>0</v>
      </c>
      <c r="AJ22" s="292">
        <f t="shared" si="21"/>
        <v>0</v>
      </c>
      <c r="AK22" s="292">
        <f t="shared" si="22"/>
        <v>0</v>
      </c>
      <c r="AL22" s="292">
        <f t="shared" si="23"/>
        <v>0</v>
      </c>
      <c r="AM22" s="292">
        <f t="shared" si="24"/>
        <v>0</v>
      </c>
      <c r="AN22" s="292">
        <f t="shared" si="25"/>
        <v>0</v>
      </c>
      <c r="AO22" s="292">
        <f t="shared" si="26"/>
        <v>0</v>
      </c>
      <c r="AP22" s="292">
        <f t="shared" si="27"/>
        <v>0</v>
      </c>
      <c r="AQ22" s="292">
        <f t="shared" si="28"/>
        <v>0</v>
      </c>
      <c r="AR22" s="292">
        <f t="shared" si="29"/>
        <v>0</v>
      </c>
      <c r="AS22" s="292">
        <f t="shared" si="30"/>
        <v>0</v>
      </c>
      <c r="AT22" s="292">
        <f t="shared" si="31"/>
        <v>0</v>
      </c>
      <c r="AU22" s="292">
        <f t="shared" si="32"/>
        <v>0</v>
      </c>
      <c r="AV22" s="292">
        <f t="shared" si="33"/>
        <v>0</v>
      </c>
      <c r="AW22" s="292">
        <f t="shared" si="34"/>
        <v>0</v>
      </c>
      <c r="AX22" s="292">
        <f t="shared" si="35"/>
        <v>0</v>
      </c>
      <c r="AY22" s="292">
        <f t="shared" si="36"/>
        <v>0</v>
      </c>
      <c r="AZ22" s="292">
        <f t="shared" si="37"/>
        <v>0</v>
      </c>
      <c r="BA22" s="292">
        <f t="shared" si="38"/>
        <v>0</v>
      </c>
    </row>
    <row r="23" spans="1:53" s="289" customFormat="1" ht="15.75" customHeight="1">
      <c r="A23" s="63" t="str">
        <f t="array" ref="A23">IF(C23&lt;&gt;0,SUM(($C$11:C23&lt;&gt;0)*1),"")</f>
        <v/>
      </c>
      <c r="B23" s="290"/>
      <c r="C23" s="290"/>
      <c r="D23" s="290"/>
      <c r="E23" s="396"/>
      <c r="F23" s="345"/>
      <c r="G23" s="347"/>
      <c r="H23" s="347"/>
      <c r="I23" s="63" t="str">
        <f t="shared" si="0"/>
        <v/>
      </c>
      <c r="J23" s="292">
        <f t="shared" si="1"/>
        <v>0</v>
      </c>
      <c r="K23" s="292">
        <f t="shared" si="2"/>
        <v>0</v>
      </c>
      <c r="L23" s="292">
        <f t="shared" si="3"/>
        <v>0</v>
      </c>
      <c r="M23" s="292">
        <f t="shared" si="4"/>
        <v>0</v>
      </c>
      <c r="N23" s="292">
        <f t="shared" si="39"/>
        <v>0</v>
      </c>
      <c r="O23" s="292">
        <f t="shared" si="40"/>
        <v>0</v>
      </c>
      <c r="P23" s="292">
        <f t="shared" si="5"/>
        <v>0</v>
      </c>
      <c r="Q23" s="292">
        <f t="shared" si="6"/>
        <v>0</v>
      </c>
      <c r="R23" s="292">
        <f t="shared" si="7"/>
        <v>0</v>
      </c>
      <c r="S23" s="292">
        <f t="shared" si="8"/>
        <v>0</v>
      </c>
      <c r="T23" s="292">
        <f t="shared" si="41"/>
        <v>0</v>
      </c>
      <c r="U23" s="292">
        <f t="shared" si="42"/>
        <v>0</v>
      </c>
      <c r="V23" s="292">
        <f t="shared" si="9"/>
        <v>0</v>
      </c>
      <c r="W23" s="292">
        <f t="shared" si="10"/>
        <v>0</v>
      </c>
      <c r="X23" s="292">
        <f t="shared" si="11"/>
        <v>0</v>
      </c>
      <c r="Y23" s="292">
        <f t="shared" si="12"/>
        <v>0</v>
      </c>
      <c r="Z23" s="292">
        <f t="shared" si="13"/>
        <v>0</v>
      </c>
      <c r="AA23" s="292">
        <f t="shared" si="14"/>
        <v>0</v>
      </c>
      <c r="AB23" s="292">
        <f t="shared" si="15"/>
        <v>0</v>
      </c>
      <c r="AC23" s="292">
        <f t="shared" si="16"/>
        <v>0</v>
      </c>
      <c r="AD23" s="292">
        <f t="shared" si="17"/>
        <v>0</v>
      </c>
      <c r="AE23" s="292">
        <f t="shared" si="18"/>
        <v>0</v>
      </c>
      <c r="AF23" s="292">
        <f t="shared" si="43"/>
        <v>0</v>
      </c>
      <c r="AG23" s="292">
        <f t="shared" si="44"/>
        <v>0</v>
      </c>
      <c r="AH23" s="292">
        <f t="shared" si="19"/>
        <v>0</v>
      </c>
      <c r="AI23" s="292">
        <f t="shared" si="20"/>
        <v>0</v>
      </c>
      <c r="AJ23" s="292">
        <f t="shared" si="21"/>
        <v>0</v>
      </c>
      <c r="AK23" s="292">
        <f t="shared" si="22"/>
        <v>0</v>
      </c>
      <c r="AL23" s="292">
        <f t="shared" si="23"/>
        <v>0</v>
      </c>
      <c r="AM23" s="292">
        <f t="shared" si="24"/>
        <v>0</v>
      </c>
      <c r="AN23" s="292">
        <f t="shared" si="25"/>
        <v>0</v>
      </c>
      <c r="AO23" s="292">
        <f t="shared" si="26"/>
        <v>0</v>
      </c>
      <c r="AP23" s="292">
        <f t="shared" si="27"/>
        <v>0</v>
      </c>
      <c r="AQ23" s="292">
        <f t="shared" si="28"/>
        <v>0</v>
      </c>
      <c r="AR23" s="292">
        <f t="shared" si="29"/>
        <v>0</v>
      </c>
      <c r="AS23" s="292">
        <f t="shared" si="30"/>
        <v>0</v>
      </c>
      <c r="AT23" s="292">
        <f t="shared" si="31"/>
        <v>0</v>
      </c>
      <c r="AU23" s="292">
        <f t="shared" si="32"/>
        <v>0</v>
      </c>
      <c r="AV23" s="292">
        <f t="shared" si="33"/>
        <v>0</v>
      </c>
      <c r="AW23" s="292">
        <f t="shared" si="34"/>
        <v>0</v>
      </c>
      <c r="AX23" s="292">
        <f t="shared" si="35"/>
        <v>0</v>
      </c>
      <c r="AY23" s="292">
        <f t="shared" si="36"/>
        <v>0</v>
      </c>
      <c r="AZ23" s="292">
        <f t="shared" si="37"/>
        <v>0</v>
      </c>
      <c r="BA23" s="292">
        <f t="shared" si="38"/>
        <v>0</v>
      </c>
    </row>
    <row r="24" spans="1:53" s="289" customFormat="1" ht="15.75" customHeight="1">
      <c r="A24" s="63" t="str">
        <f t="array" ref="A24">IF(C24&lt;&gt;0,SUM(($C$11:C24&lt;&gt;0)*1),"")</f>
        <v/>
      </c>
      <c r="B24" s="290"/>
      <c r="C24" s="290"/>
      <c r="D24" s="290"/>
      <c r="E24" s="396"/>
      <c r="F24" s="345"/>
      <c r="G24" s="347"/>
      <c r="H24" s="347"/>
      <c r="I24" s="63" t="str">
        <f t="shared" si="0"/>
        <v/>
      </c>
      <c r="J24" s="292">
        <f t="shared" si="1"/>
        <v>0</v>
      </c>
      <c r="K24" s="292">
        <f t="shared" si="2"/>
        <v>0</v>
      </c>
      <c r="L24" s="292">
        <f t="shared" si="3"/>
        <v>0</v>
      </c>
      <c r="M24" s="292">
        <f t="shared" si="4"/>
        <v>0</v>
      </c>
      <c r="N24" s="292">
        <f t="shared" si="39"/>
        <v>0</v>
      </c>
      <c r="O24" s="292">
        <f t="shared" si="40"/>
        <v>0</v>
      </c>
      <c r="P24" s="292">
        <f t="shared" si="5"/>
        <v>0</v>
      </c>
      <c r="Q24" s="292">
        <f t="shared" si="6"/>
        <v>0</v>
      </c>
      <c r="R24" s="292">
        <f t="shared" si="7"/>
        <v>0</v>
      </c>
      <c r="S24" s="292">
        <f t="shared" si="8"/>
        <v>0</v>
      </c>
      <c r="T24" s="292">
        <f t="shared" si="41"/>
        <v>0</v>
      </c>
      <c r="U24" s="292">
        <f t="shared" si="42"/>
        <v>0</v>
      </c>
      <c r="V24" s="292">
        <f t="shared" si="9"/>
        <v>0</v>
      </c>
      <c r="W24" s="292">
        <f t="shared" si="10"/>
        <v>0</v>
      </c>
      <c r="X24" s="292">
        <f t="shared" si="11"/>
        <v>0</v>
      </c>
      <c r="Y24" s="292">
        <f t="shared" si="12"/>
        <v>0</v>
      </c>
      <c r="Z24" s="292">
        <f t="shared" si="13"/>
        <v>0</v>
      </c>
      <c r="AA24" s="292">
        <f t="shared" si="14"/>
        <v>0</v>
      </c>
      <c r="AB24" s="292">
        <f t="shared" si="15"/>
        <v>0</v>
      </c>
      <c r="AC24" s="292">
        <f t="shared" si="16"/>
        <v>0</v>
      </c>
      <c r="AD24" s="292">
        <f t="shared" si="17"/>
        <v>0</v>
      </c>
      <c r="AE24" s="292">
        <f t="shared" si="18"/>
        <v>0</v>
      </c>
      <c r="AF24" s="292">
        <f t="shared" si="43"/>
        <v>0</v>
      </c>
      <c r="AG24" s="292">
        <f t="shared" si="44"/>
        <v>0</v>
      </c>
      <c r="AH24" s="292">
        <f t="shared" si="19"/>
        <v>0</v>
      </c>
      <c r="AI24" s="292">
        <f t="shared" si="20"/>
        <v>0</v>
      </c>
      <c r="AJ24" s="292">
        <f t="shared" si="21"/>
        <v>0</v>
      </c>
      <c r="AK24" s="292">
        <f t="shared" si="22"/>
        <v>0</v>
      </c>
      <c r="AL24" s="292">
        <f t="shared" si="23"/>
        <v>0</v>
      </c>
      <c r="AM24" s="292">
        <f t="shared" si="24"/>
        <v>0</v>
      </c>
      <c r="AN24" s="292">
        <f t="shared" si="25"/>
        <v>0</v>
      </c>
      <c r="AO24" s="292">
        <f t="shared" si="26"/>
        <v>0</v>
      </c>
      <c r="AP24" s="292">
        <f t="shared" si="27"/>
        <v>0</v>
      </c>
      <c r="AQ24" s="292">
        <f t="shared" si="28"/>
        <v>0</v>
      </c>
      <c r="AR24" s="292">
        <f t="shared" si="29"/>
        <v>0</v>
      </c>
      <c r="AS24" s="292">
        <f t="shared" si="30"/>
        <v>0</v>
      </c>
      <c r="AT24" s="292">
        <f t="shared" si="31"/>
        <v>0</v>
      </c>
      <c r="AU24" s="292">
        <f t="shared" si="32"/>
        <v>0</v>
      </c>
      <c r="AV24" s="292">
        <f t="shared" si="33"/>
        <v>0</v>
      </c>
      <c r="AW24" s="292">
        <f t="shared" si="34"/>
        <v>0</v>
      </c>
      <c r="AX24" s="292">
        <f t="shared" si="35"/>
        <v>0</v>
      </c>
      <c r="AY24" s="292">
        <f t="shared" si="36"/>
        <v>0</v>
      </c>
      <c r="AZ24" s="292">
        <f t="shared" si="37"/>
        <v>0</v>
      </c>
      <c r="BA24" s="292">
        <f t="shared" si="38"/>
        <v>0</v>
      </c>
    </row>
    <row r="25" spans="1:53" s="289" customFormat="1" ht="15.75" customHeight="1">
      <c r="A25" s="63" t="str">
        <f t="array" ref="A25">IF(C25&lt;&gt;0,SUM(($C$11:C25&lt;&gt;0)*1),"")</f>
        <v/>
      </c>
      <c r="B25" s="290"/>
      <c r="C25" s="290"/>
      <c r="D25" s="290"/>
      <c r="E25" s="396"/>
      <c r="F25" s="345"/>
      <c r="G25" s="347"/>
      <c r="H25" s="347"/>
      <c r="I25" s="63" t="str">
        <f t="shared" si="0"/>
        <v/>
      </c>
      <c r="J25" s="292">
        <f t="shared" si="1"/>
        <v>0</v>
      </c>
      <c r="K25" s="292">
        <f t="shared" si="2"/>
        <v>0</v>
      </c>
      <c r="L25" s="292">
        <f t="shared" si="3"/>
        <v>0</v>
      </c>
      <c r="M25" s="292">
        <f t="shared" si="4"/>
        <v>0</v>
      </c>
      <c r="N25" s="292">
        <f t="shared" si="39"/>
        <v>0</v>
      </c>
      <c r="O25" s="292">
        <f t="shared" si="40"/>
        <v>0</v>
      </c>
      <c r="P25" s="292">
        <f t="shared" si="5"/>
        <v>0</v>
      </c>
      <c r="Q25" s="292">
        <f t="shared" si="6"/>
        <v>0</v>
      </c>
      <c r="R25" s="292">
        <f t="shared" si="7"/>
        <v>0</v>
      </c>
      <c r="S25" s="292">
        <f t="shared" si="8"/>
        <v>0</v>
      </c>
      <c r="T25" s="292">
        <f t="shared" si="41"/>
        <v>0</v>
      </c>
      <c r="U25" s="292">
        <f t="shared" si="42"/>
        <v>0</v>
      </c>
      <c r="V25" s="292">
        <f t="shared" si="9"/>
        <v>0</v>
      </c>
      <c r="W25" s="292">
        <f t="shared" si="10"/>
        <v>0</v>
      </c>
      <c r="X25" s="292">
        <f t="shared" si="11"/>
        <v>0</v>
      </c>
      <c r="Y25" s="292">
        <f t="shared" si="12"/>
        <v>0</v>
      </c>
      <c r="Z25" s="292">
        <f t="shared" si="13"/>
        <v>0</v>
      </c>
      <c r="AA25" s="292">
        <f t="shared" si="14"/>
        <v>0</v>
      </c>
      <c r="AB25" s="292">
        <f t="shared" si="15"/>
        <v>0</v>
      </c>
      <c r="AC25" s="292">
        <f t="shared" si="16"/>
        <v>0</v>
      </c>
      <c r="AD25" s="292">
        <f t="shared" si="17"/>
        <v>0</v>
      </c>
      <c r="AE25" s="292">
        <f t="shared" si="18"/>
        <v>0</v>
      </c>
      <c r="AF25" s="292">
        <f t="shared" si="43"/>
        <v>0</v>
      </c>
      <c r="AG25" s="292">
        <f t="shared" si="44"/>
        <v>0</v>
      </c>
      <c r="AH25" s="292">
        <f t="shared" si="19"/>
        <v>0</v>
      </c>
      <c r="AI25" s="292">
        <f t="shared" si="20"/>
        <v>0</v>
      </c>
      <c r="AJ25" s="292">
        <f t="shared" si="21"/>
        <v>0</v>
      </c>
      <c r="AK25" s="292">
        <f t="shared" si="22"/>
        <v>0</v>
      </c>
      <c r="AL25" s="292">
        <f t="shared" si="23"/>
        <v>0</v>
      </c>
      <c r="AM25" s="292">
        <f t="shared" si="24"/>
        <v>0</v>
      </c>
      <c r="AN25" s="292">
        <f t="shared" si="25"/>
        <v>0</v>
      </c>
      <c r="AO25" s="292">
        <f t="shared" si="26"/>
        <v>0</v>
      </c>
      <c r="AP25" s="292">
        <f t="shared" si="27"/>
        <v>0</v>
      </c>
      <c r="AQ25" s="292">
        <f t="shared" si="28"/>
        <v>0</v>
      </c>
      <c r="AR25" s="292">
        <f t="shared" si="29"/>
        <v>0</v>
      </c>
      <c r="AS25" s="292">
        <f t="shared" si="30"/>
        <v>0</v>
      </c>
      <c r="AT25" s="292">
        <f t="shared" si="31"/>
        <v>0</v>
      </c>
      <c r="AU25" s="292">
        <f t="shared" si="32"/>
        <v>0</v>
      </c>
      <c r="AV25" s="292">
        <f t="shared" si="33"/>
        <v>0</v>
      </c>
      <c r="AW25" s="292">
        <f t="shared" si="34"/>
        <v>0</v>
      </c>
      <c r="AX25" s="292">
        <f t="shared" si="35"/>
        <v>0</v>
      </c>
      <c r="AY25" s="292">
        <f t="shared" si="36"/>
        <v>0</v>
      </c>
      <c r="AZ25" s="292">
        <f t="shared" si="37"/>
        <v>0</v>
      </c>
      <c r="BA25" s="292">
        <f t="shared" si="38"/>
        <v>0</v>
      </c>
    </row>
    <row r="26" spans="1:53" s="289" customFormat="1" ht="15.75" customHeight="1">
      <c r="A26" s="63" t="str">
        <f t="array" ref="A26">IF(C26&lt;&gt;0,SUM(($C$11:C26&lt;&gt;0)*1),"")</f>
        <v/>
      </c>
      <c r="B26" s="290"/>
      <c r="C26" s="290"/>
      <c r="D26" s="290"/>
      <c r="E26" s="396"/>
      <c r="F26" s="345"/>
      <c r="G26" s="347"/>
      <c r="H26" s="347"/>
      <c r="I26" s="63" t="str">
        <f t="shared" si="0"/>
        <v/>
      </c>
      <c r="J26" s="292">
        <f t="shared" si="1"/>
        <v>0</v>
      </c>
      <c r="K26" s="292">
        <f t="shared" si="2"/>
        <v>0</v>
      </c>
      <c r="L26" s="292">
        <f t="shared" si="3"/>
        <v>0</v>
      </c>
      <c r="M26" s="292">
        <f t="shared" si="4"/>
        <v>0</v>
      </c>
      <c r="N26" s="292">
        <f t="shared" si="39"/>
        <v>0</v>
      </c>
      <c r="O26" s="292">
        <f t="shared" si="40"/>
        <v>0</v>
      </c>
      <c r="P26" s="292">
        <f t="shared" si="5"/>
        <v>0</v>
      </c>
      <c r="Q26" s="292">
        <f t="shared" si="6"/>
        <v>0</v>
      </c>
      <c r="R26" s="292">
        <f t="shared" si="7"/>
        <v>0</v>
      </c>
      <c r="S26" s="292">
        <f t="shared" si="8"/>
        <v>0</v>
      </c>
      <c r="T26" s="292">
        <f t="shared" si="41"/>
        <v>0</v>
      </c>
      <c r="U26" s="292">
        <f t="shared" si="42"/>
        <v>0</v>
      </c>
      <c r="V26" s="292">
        <f t="shared" si="9"/>
        <v>0</v>
      </c>
      <c r="W26" s="292">
        <f t="shared" si="10"/>
        <v>0</v>
      </c>
      <c r="X26" s="292">
        <f t="shared" si="11"/>
        <v>0</v>
      </c>
      <c r="Y26" s="292">
        <f t="shared" si="12"/>
        <v>0</v>
      </c>
      <c r="Z26" s="292">
        <f t="shared" si="13"/>
        <v>0</v>
      </c>
      <c r="AA26" s="292">
        <f t="shared" si="14"/>
        <v>0</v>
      </c>
      <c r="AB26" s="292">
        <f t="shared" si="15"/>
        <v>0</v>
      </c>
      <c r="AC26" s="292">
        <f t="shared" si="16"/>
        <v>0</v>
      </c>
      <c r="AD26" s="292">
        <f t="shared" si="17"/>
        <v>0</v>
      </c>
      <c r="AE26" s="292">
        <f t="shared" si="18"/>
        <v>0</v>
      </c>
      <c r="AF26" s="292">
        <f t="shared" si="43"/>
        <v>0</v>
      </c>
      <c r="AG26" s="292">
        <f t="shared" si="44"/>
        <v>0</v>
      </c>
      <c r="AH26" s="292">
        <f t="shared" si="19"/>
        <v>0</v>
      </c>
      <c r="AI26" s="292">
        <f t="shared" si="20"/>
        <v>0</v>
      </c>
      <c r="AJ26" s="292">
        <f t="shared" si="21"/>
        <v>0</v>
      </c>
      <c r="AK26" s="292">
        <f t="shared" si="22"/>
        <v>0</v>
      </c>
      <c r="AL26" s="292">
        <f t="shared" si="23"/>
        <v>0</v>
      </c>
      <c r="AM26" s="292">
        <f t="shared" si="24"/>
        <v>0</v>
      </c>
      <c r="AN26" s="292">
        <f t="shared" si="25"/>
        <v>0</v>
      </c>
      <c r="AO26" s="292">
        <f t="shared" si="26"/>
        <v>0</v>
      </c>
      <c r="AP26" s="292">
        <f t="shared" si="27"/>
        <v>0</v>
      </c>
      <c r="AQ26" s="292">
        <f t="shared" si="28"/>
        <v>0</v>
      </c>
      <c r="AR26" s="292">
        <f t="shared" si="29"/>
        <v>0</v>
      </c>
      <c r="AS26" s="292">
        <f t="shared" si="30"/>
        <v>0</v>
      </c>
      <c r="AT26" s="292">
        <f t="shared" si="31"/>
        <v>0</v>
      </c>
      <c r="AU26" s="292">
        <f t="shared" si="32"/>
        <v>0</v>
      </c>
      <c r="AV26" s="292">
        <f t="shared" si="33"/>
        <v>0</v>
      </c>
      <c r="AW26" s="292">
        <f t="shared" si="34"/>
        <v>0</v>
      </c>
      <c r="AX26" s="292">
        <f t="shared" si="35"/>
        <v>0</v>
      </c>
      <c r="AY26" s="292">
        <f t="shared" si="36"/>
        <v>0</v>
      </c>
      <c r="AZ26" s="292">
        <f t="shared" si="37"/>
        <v>0</v>
      </c>
      <c r="BA26" s="292">
        <f t="shared" si="38"/>
        <v>0</v>
      </c>
    </row>
    <row r="27" spans="1:53" s="289" customFormat="1" ht="15.75" customHeight="1">
      <c r="A27" s="63" t="str">
        <f t="array" ref="A27">IF(C27&lt;&gt;0,SUM(($C$11:C27&lt;&gt;0)*1),"")</f>
        <v/>
      </c>
      <c r="B27" s="290"/>
      <c r="C27" s="290"/>
      <c r="D27" s="290"/>
      <c r="E27" s="396"/>
      <c r="F27" s="345"/>
      <c r="G27" s="347"/>
      <c r="H27" s="347"/>
      <c r="I27" s="63" t="str">
        <f>A27</f>
        <v/>
      </c>
      <c r="J27" s="292">
        <f t="shared" si="1"/>
        <v>0</v>
      </c>
      <c r="K27" s="292">
        <f t="shared" si="2"/>
        <v>0</v>
      </c>
      <c r="L27" s="292">
        <f t="shared" si="3"/>
        <v>0</v>
      </c>
      <c r="M27" s="292">
        <f t="shared" si="4"/>
        <v>0</v>
      </c>
      <c r="N27" s="292">
        <f t="shared" si="39"/>
        <v>0</v>
      </c>
      <c r="O27" s="292">
        <f t="shared" si="40"/>
        <v>0</v>
      </c>
      <c r="P27" s="292">
        <f t="shared" si="5"/>
        <v>0</v>
      </c>
      <c r="Q27" s="292">
        <f t="shared" si="6"/>
        <v>0</v>
      </c>
      <c r="R27" s="292">
        <f t="shared" si="7"/>
        <v>0</v>
      </c>
      <c r="S27" s="292">
        <f t="shared" si="8"/>
        <v>0</v>
      </c>
      <c r="T27" s="292">
        <f t="shared" si="41"/>
        <v>0</v>
      </c>
      <c r="U27" s="292">
        <f t="shared" si="42"/>
        <v>0</v>
      </c>
      <c r="V27" s="292">
        <f t="shared" si="9"/>
        <v>0</v>
      </c>
      <c r="W27" s="292">
        <f t="shared" si="10"/>
        <v>0</v>
      </c>
      <c r="X27" s="292">
        <f t="shared" si="11"/>
        <v>0</v>
      </c>
      <c r="Y27" s="292">
        <f t="shared" si="12"/>
        <v>0</v>
      </c>
      <c r="Z27" s="292">
        <f t="shared" si="13"/>
        <v>0</v>
      </c>
      <c r="AA27" s="292">
        <f t="shared" si="14"/>
        <v>0</v>
      </c>
      <c r="AB27" s="292">
        <f t="shared" si="15"/>
        <v>0</v>
      </c>
      <c r="AC27" s="292">
        <f t="shared" si="16"/>
        <v>0</v>
      </c>
      <c r="AD27" s="292">
        <f t="shared" si="17"/>
        <v>0</v>
      </c>
      <c r="AE27" s="292">
        <f t="shared" si="18"/>
        <v>0</v>
      </c>
      <c r="AF27" s="292">
        <f t="shared" si="43"/>
        <v>0</v>
      </c>
      <c r="AG27" s="292">
        <f t="shared" si="44"/>
        <v>0</v>
      </c>
      <c r="AH27" s="292">
        <f t="shared" si="19"/>
        <v>0</v>
      </c>
      <c r="AI27" s="292">
        <f t="shared" si="20"/>
        <v>0</v>
      </c>
      <c r="AJ27" s="292">
        <f t="shared" si="21"/>
        <v>0</v>
      </c>
      <c r="AK27" s="292">
        <f t="shared" si="22"/>
        <v>0</v>
      </c>
      <c r="AL27" s="292">
        <f t="shared" si="23"/>
        <v>0</v>
      </c>
      <c r="AM27" s="292">
        <f t="shared" si="24"/>
        <v>0</v>
      </c>
      <c r="AN27" s="292">
        <f t="shared" si="25"/>
        <v>0</v>
      </c>
      <c r="AO27" s="292">
        <f t="shared" si="26"/>
        <v>0</v>
      </c>
      <c r="AP27" s="292">
        <f t="shared" si="27"/>
        <v>0</v>
      </c>
      <c r="AQ27" s="292">
        <f t="shared" si="28"/>
        <v>0</v>
      </c>
      <c r="AR27" s="292">
        <f t="shared" si="29"/>
        <v>0</v>
      </c>
      <c r="AS27" s="292">
        <f t="shared" si="30"/>
        <v>0</v>
      </c>
      <c r="AT27" s="292">
        <f t="shared" si="31"/>
        <v>0</v>
      </c>
      <c r="AU27" s="292">
        <f t="shared" si="32"/>
        <v>0</v>
      </c>
      <c r="AV27" s="292">
        <f t="shared" si="33"/>
        <v>0</v>
      </c>
      <c r="AW27" s="292">
        <f t="shared" si="34"/>
        <v>0</v>
      </c>
      <c r="AX27" s="292">
        <f t="shared" si="35"/>
        <v>0</v>
      </c>
      <c r="AY27" s="292">
        <f t="shared" si="36"/>
        <v>0</v>
      </c>
      <c r="AZ27" s="292">
        <f t="shared" si="37"/>
        <v>0</v>
      </c>
      <c r="BA27" s="292">
        <f t="shared" si="38"/>
        <v>0</v>
      </c>
    </row>
    <row r="28" spans="1:53" s="289" customFormat="1" ht="15.75" customHeight="1">
      <c r="A28" s="63" t="str">
        <f t="array" ref="A28">IF(C28&lt;&gt;0,SUM(($C$11:C28&lt;&gt;0)*1),"")</f>
        <v/>
      </c>
      <c r="B28" s="290"/>
      <c r="C28" s="290"/>
      <c r="D28" s="290"/>
      <c r="E28" s="396"/>
      <c r="F28" s="345"/>
      <c r="G28" s="347"/>
      <c r="H28" s="347"/>
      <c r="I28" s="63" t="str">
        <f t="shared" ref="I28:I91" si="45">A28</f>
        <v/>
      </c>
      <c r="J28" s="292">
        <f t="shared" si="1"/>
        <v>0</v>
      </c>
      <c r="K28" s="292">
        <f t="shared" si="2"/>
        <v>0</v>
      </c>
      <c r="L28" s="292">
        <f t="shared" si="3"/>
        <v>0</v>
      </c>
      <c r="M28" s="292">
        <f t="shared" si="4"/>
        <v>0</v>
      </c>
      <c r="N28" s="292">
        <f t="shared" si="39"/>
        <v>0</v>
      </c>
      <c r="O28" s="292">
        <f t="shared" si="40"/>
        <v>0</v>
      </c>
      <c r="P28" s="292">
        <f t="shared" si="5"/>
        <v>0</v>
      </c>
      <c r="Q28" s="292">
        <f t="shared" si="6"/>
        <v>0</v>
      </c>
      <c r="R28" s="292">
        <f t="shared" si="7"/>
        <v>0</v>
      </c>
      <c r="S28" s="292">
        <f t="shared" si="8"/>
        <v>0</v>
      </c>
      <c r="T28" s="292">
        <f t="shared" si="41"/>
        <v>0</v>
      </c>
      <c r="U28" s="292">
        <f t="shared" si="42"/>
        <v>0</v>
      </c>
      <c r="V28" s="292">
        <f t="shared" si="9"/>
        <v>0</v>
      </c>
      <c r="W28" s="292">
        <f t="shared" si="10"/>
        <v>0</v>
      </c>
      <c r="X28" s="292">
        <f t="shared" si="11"/>
        <v>0</v>
      </c>
      <c r="Y28" s="292">
        <f t="shared" si="12"/>
        <v>0</v>
      </c>
      <c r="Z28" s="292">
        <f t="shared" si="13"/>
        <v>0</v>
      </c>
      <c r="AA28" s="292">
        <f t="shared" si="14"/>
        <v>0</v>
      </c>
      <c r="AB28" s="292">
        <f t="shared" si="15"/>
        <v>0</v>
      </c>
      <c r="AC28" s="292">
        <f t="shared" si="16"/>
        <v>0</v>
      </c>
      <c r="AD28" s="292">
        <f t="shared" si="17"/>
        <v>0</v>
      </c>
      <c r="AE28" s="292">
        <f t="shared" si="18"/>
        <v>0</v>
      </c>
      <c r="AF28" s="292">
        <f t="shared" si="43"/>
        <v>0</v>
      </c>
      <c r="AG28" s="292">
        <f t="shared" si="44"/>
        <v>0</v>
      </c>
      <c r="AH28" s="292">
        <f t="shared" si="19"/>
        <v>0</v>
      </c>
      <c r="AI28" s="292">
        <f t="shared" si="20"/>
        <v>0</v>
      </c>
      <c r="AJ28" s="292">
        <f t="shared" si="21"/>
        <v>0</v>
      </c>
      <c r="AK28" s="292">
        <f t="shared" si="22"/>
        <v>0</v>
      </c>
      <c r="AL28" s="292">
        <f t="shared" si="23"/>
        <v>0</v>
      </c>
      <c r="AM28" s="292">
        <f t="shared" si="24"/>
        <v>0</v>
      </c>
      <c r="AN28" s="292">
        <f t="shared" si="25"/>
        <v>0</v>
      </c>
      <c r="AO28" s="292">
        <f t="shared" si="26"/>
        <v>0</v>
      </c>
      <c r="AP28" s="292">
        <f t="shared" si="27"/>
        <v>0</v>
      </c>
      <c r="AQ28" s="292">
        <f t="shared" si="28"/>
        <v>0</v>
      </c>
      <c r="AR28" s="292">
        <f t="shared" si="29"/>
        <v>0</v>
      </c>
      <c r="AS28" s="292">
        <f t="shared" si="30"/>
        <v>0</v>
      </c>
      <c r="AT28" s="292">
        <f t="shared" si="31"/>
        <v>0</v>
      </c>
      <c r="AU28" s="292">
        <f t="shared" si="32"/>
        <v>0</v>
      </c>
      <c r="AV28" s="292">
        <f t="shared" si="33"/>
        <v>0</v>
      </c>
      <c r="AW28" s="292">
        <f t="shared" si="34"/>
        <v>0</v>
      </c>
      <c r="AX28" s="292">
        <f t="shared" si="35"/>
        <v>0</v>
      </c>
      <c r="AY28" s="292">
        <f t="shared" si="36"/>
        <v>0</v>
      </c>
      <c r="AZ28" s="292">
        <f t="shared" si="37"/>
        <v>0</v>
      </c>
      <c r="BA28" s="292">
        <f t="shared" si="38"/>
        <v>0</v>
      </c>
    </row>
    <row r="29" spans="1:53" s="289" customFormat="1" ht="15.75" customHeight="1">
      <c r="A29" s="63" t="str">
        <f t="array" ref="A29">IF(C29&lt;&gt;0,SUM(($C$11:C29&lt;&gt;0)*1),"")</f>
        <v/>
      </c>
      <c r="B29" s="290"/>
      <c r="C29" s="290"/>
      <c r="D29" s="290"/>
      <c r="E29" s="396"/>
      <c r="F29" s="345"/>
      <c r="G29" s="347"/>
      <c r="H29" s="347"/>
      <c r="I29" s="63" t="str">
        <f t="shared" si="45"/>
        <v/>
      </c>
      <c r="J29" s="292">
        <f t="shared" si="1"/>
        <v>0</v>
      </c>
      <c r="K29" s="292">
        <f t="shared" si="2"/>
        <v>0</v>
      </c>
      <c r="L29" s="292">
        <f t="shared" si="3"/>
        <v>0</v>
      </c>
      <c r="M29" s="292">
        <f t="shared" si="4"/>
        <v>0</v>
      </c>
      <c r="N29" s="292">
        <f t="shared" si="39"/>
        <v>0</v>
      </c>
      <c r="O29" s="292">
        <f t="shared" si="40"/>
        <v>0</v>
      </c>
      <c r="P29" s="292">
        <f t="shared" si="5"/>
        <v>0</v>
      </c>
      <c r="Q29" s="292">
        <f t="shared" si="6"/>
        <v>0</v>
      </c>
      <c r="R29" s="292">
        <f t="shared" si="7"/>
        <v>0</v>
      </c>
      <c r="S29" s="292">
        <f t="shared" si="8"/>
        <v>0</v>
      </c>
      <c r="T29" s="292">
        <f t="shared" si="41"/>
        <v>0</v>
      </c>
      <c r="U29" s="292">
        <f t="shared" si="42"/>
        <v>0</v>
      </c>
      <c r="V29" s="292">
        <f t="shared" si="9"/>
        <v>0</v>
      </c>
      <c r="W29" s="292">
        <f t="shared" si="10"/>
        <v>0</v>
      </c>
      <c r="X29" s="292">
        <f t="shared" si="11"/>
        <v>0</v>
      </c>
      <c r="Y29" s="292">
        <f t="shared" si="12"/>
        <v>0</v>
      </c>
      <c r="Z29" s="292">
        <f t="shared" si="13"/>
        <v>0</v>
      </c>
      <c r="AA29" s="292">
        <f t="shared" si="14"/>
        <v>0</v>
      </c>
      <c r="AB29" s="292">
        <f t="shared" si="15"/>
        <v>0</v>
      </c>
      <c r="AC29" s="292">
        <f t="shared" si="16"/>
        <v>0</v>
      </c>
      <c r="AD29" s="292">
        <f t="shared" si="17"/>
        <v>0</v>
      </c>
      <c r="AE29" s="292">
        <f t="shared" si="18"/>
        <v>0</v>
      </c>
      <c r="AF29" s="292">
        <f t="shared" si="43"/>
        <v>0</v>
      </c>
      <c r="AG29" s="292">
        <f t="shared" si="44"/>
        <v>0</v>
      </c>
      <c r="AH29" s="292">
        <f t="shared" si="19"/>
        <v>0</v>
      </c>
      <c r="AI29" s="292">
        <f t="shared" si="20"/>
        <v>0</v>
      </c>
      <c r="AJ29" s="292">
        <f t="shared" si="21"/>
        <v>0</v>
      </c>
      <c r="AK29" s="292">
        <f t="shared" si="22"/>
        <v>0</v>
      </c>
      <c r="AL29" s="292">
        <f t="shared" si="23"/>
        <v>0</v>
      </c>
      <c r="AM29" s="292">
        <f t="shared" si="24"/>
        <v>0</v>
      </c>
      <c r="AN29" s="292">
        <f t="shared" si="25"/>
        <v>0</v>
      </c>
      <c r="AO29" s="292">
        <f t="shared" si="26"/>
        <v>0</v>
      </c>
      <c r="AP29" s="292">
        <f t="shared" si="27"/>
        <v>0</v>
      </c>
      <c r="AQ29" s="292">
        <f t="shared" si="28"/>
        <v>0</v>
      </c>
      <c r="AR29" s="292">
        <f t="shared" si="29"/>
        <v>0</v>
      </c>
      <c r="AS29" s="292">
        <f t="shared" si="30"/>
        <v>0</v>
      </c>
      <c r="AT29" s="292">
        <f t="shared" si="31"/>
        <v>0</v>
      </c>
      <c r="AU29" s="292">
        <f t="shared" si="32"/>
        <v>0</v>
      </c>
      <c r="AV29" s="292">
        <f t="shared" si="33"/>
        <v>0</v>
      </c>
      <c r="AW29" s="292">
        <f t="shared" si="34"/>
        <v>0</v>
      </c>
      <c r="AX29" s="292">
        <f t="shared" si="35"/>
        <v>0</v>
      </c>
      <c r="AY29" s="292">
        <f t="shared" si="36"/>
        <v>0</v>
      </c>
      <c r="AZ29" s="292">
        <f t="shared" si="37"/>
        <v>0</v>
      </c>
      <c r="BA29" s="292">
        <f t="shared" si="38"/>
        <v>0</v>
      </c>
    </row>
    <row r="30" spans="1:53" s="289" customFormat="1" ht="15.75" customHeight="1">
      <c r="A30" s="63" t="str">
        <f t="array" ref="A30">IF(C30&lt;&gt;0,SUM(($C$11:C30&lt;&gt;0)*1),"")</f>
        <v/>
      </c>
      <c r="B30" s="290"/>
      <c r="C30" s="290"/>
      <c r="D30" s="290"/>
      <c r="E30" s="396"/>
      <c r="F30" s="345"/>
      <c r="G30" s="347"/>
      <c r="H30" s="347"/>
      <c r="I30" s="63" t="str">
        <f t="shared" si="45"/>
        <v/>
      </c>
      <c r="J30" s="292">
        <f t="shared" si="1"/>
        <v>0</v>
      </c>
      <c r="K30" s="292">
        <f t="shared" si="2"/>
        <v>0</v>
      </c>
      <c r="L30" s="292">
        <f t="shared" si="3"/>
        <v>0</v>
      </c>
      <c r="M30" s="292">
        <f t="shared" si="4"/>
        <v>0</v>
      </c>
      <c r="N30" s="292">
        <f t="shared" si="39"/>
        <v>0</v>
      </c>
      <c r="O30" s="292">
        <f t="shared" si="40"/>
        <v>0</v>
      </c>
      <c r="P30" s="292">
        <f t="shared" si="5"/>
        <v>0</v>
      </c>
      <c r="Q30" s="292">
        <f t="shared" si="6"/>
        <v>0</v>
      </c>
      <c r="R30" s="292">
        <f t="shared" si="7"/>
        <v>0</v>
      </c>
      <c r="S30" s="292">
        <f t="shared" si="8"/>
        <v>0</v>
      </c>
      <c r="T30" s="292">
        <f t="shared" si="41"/>
        <v>0</v>
      </c>
      <c r="U30" s="292">
        <f t="shared" si="42"/>
        <v>0</v>
      </c>
      <c r="V30" s="292">
        <f t="shared" si="9"/>
        <v>0</v>
      </c>
      <c r="W30" s="292">
        <f t="shared" si="10"/>
        <v>0</v>
      </c>
      <c r="X30" s="292">
        <f t="shared" si="11"/>
        <v>0</v>
      </c>
      <c r="Y30" s="292">
        <f t="shared" si="12"/>
        <v>0</v>
      </c>
      <c r="Z30" s="292">
        <f t="shared" si="13"/>
        <v>0</v>
      </c>
      <c r="AA30" s="292">
        <f t="shared" si="14"/>
        <v>0</v>
      </c>
      <c r="AB30" s="292">
        <f t="shared" si="15"/>
        <v>0</v>
      </c>
      <c r="AC30" s="292">
        <f t="shared" si="16"/>
        <v>0</v>
      </c>
      <c r="AD30" s="292">
        <f t="shared" si="17"/>
        <v>0</v>
      </c>
      <c r="AE30" s="292">
        <f t="shared" si="18"/>
        <v>0</v>
      </c>
      <c r="AF30" s="292">
        <f t="shared" si="43"/>
        <v>0</v>
      </c>
      <c r="AG30" s="292">
        <f t="shared" si="44"/>
        <v>0</v>
      </c>
      <c r="AH30" s="292">
        <f t="shared" si="19"/>
        <v>0</v>
      </c>
      <c r="AI30" s="292">
        <f t="shared" si="20"/>
        <v>0</v>
      </c>
      <c r="AJ30" s="292">
        <f t="shared" si="21"/>
        <v>0</v>
      </c>
      <c r="AK30" s="292">
        <f t="shared" si="22"/>
        <v>0</v>
      </c>
      <c r="AL30" s="292">
        <f t="shared" si="23"/>
        <v>0</v>
      </c>
      <c r="AM30" s="292">
        <f t="shared" si="24"/>
        <v>0</v>
      </c>
      <c r="AN30" s="292">
        <f t="shared" si="25"/>
        <v>0</v>
      </c>
      <c r="AO30" s="292">
        <f t="shared" si="26"/>
        <v>0</v>
      </c>
      <c r="AP30" s="292">
        <f t="shared" si="27"/>
        <v>0</v>
      </c>
      <c r="AQ30" s="292">
        <f t="shared" si="28"/>
        <v>0</v>
      </c>
      <c r="AR30" s="292">
        <f t="shared" si="29"/>
        <v>0</v>
      </c>
      <c r="AS30" s="292">
        <f t="shared" si="30"/>
        <v>0</v>
      </c>
      <c r="AT30" s="292">
        <f t="shared" si="31"/>
        <v>0</v>
      </c>
      <c r="AU30" s="292">
        <f t="shared" si="32"/>
        <v>0</v>
      </c>
      <c r="AV30" s="292">
        <f t="shared" si="33"/>
        <v>0</v>
      </c>
      <c r="AW30" s="292">
        <f t="shared" si="34"/>
        <v>0</v>
      </c>
      <c r="AX30" s="292">
        <f t="shared" si="35"/>
        <v>0</v>
      </c>
      <c r="AY30" s="292">
        <f t="shared" si="36"/>
        <v>0</v>
      </c>
      <c r="AZ30" s="292">
        <f t="shared" si="37"/>
        <v>0</v>
      </c>
      <c r="BA30" s="292">
        <f t="shared" si="38"/>
        <v>0</v>
      </c>
    </row>
    <row r="31" spans="1:53" s="289" customFormat="1" ht="15.75" customHeight="1">
      <c r="A31" s="63" t="str">
        <f t="array" ref="A31">IF(C31&lt;&gt;0,SUM(($C$11:C31&lt;&gt;0)*1),"")</f>
        <v/>
      </c>
      <c r="B31" s="290"/>
      <c r="C31" s="290"/>
      <c r="D31" s="290"/>
      <c r="E31" s="396"/>
      <c r="F31" s="345"/>
      <c r="G31" s="347"/>
      <c r="H31" s="347"/>
      <c r="I31" s="63" t="str">
        <f t="shared" si="45"/>
        <v/>
      </c>
      <c r="J31" s="292">
        <f t="shared" si="1"/>
        <v>0</v>
      </c>
      <c r="K31" s="292">
        <f t="shared" si="2"/>
        <v>0</v>
      </c>
      <c r="L31" s="292">
        <f t="shared" si="3"/>
        <v>0</v>
      </c>
      <c r="M31" s="292">
        <f t="shared" si="4"/>
        <v>0</v>
      </c>
      <c r="N31" s="292">
        <f t="shared" si="39"/>
        <v>0</v>
      </c>
      <c r="O31" s="292">
        <f t="shared" si="40"/>
        <v>0</v>
      </c>
      <c r="P31" s="292">
        <f t="shared" si="5"/>
        <v>0</v>
      </c>
      <c r="Q31" s="292">
        <f t="shared" si="6"/>
        <v>0</v>
      </c>
      <c r="R31" s="292">
        <f t="shared" si="7"/>
        <v>0</v>
      </c>
      <c r="S31" s="292">
        <f t="shared" si="8"/>
        <v>0</v>
      </c>
      <c r="T31" s="292">
        <f t="shared" si="41"/>
        <v>0</v>
      </c>
      <c r="U31" s="292">
        <f t="shared" si="42"/>
        <v>0</v>
      </c>
      <c r="V31" s="292">
        <f t="shared" si="9"/>
        <v>0</v>
      </c>
      <c r="W31" s="292">
        <f t="shared" si="10"/>
        <v>0</v>
      </c>
      <c r="X31" s="292">
        <f t="shared" si="11"/>
        <v>0</v>
      </c>
      <c r="Y31" s="292">
        <f t="shared" si="12"/>
        <v>0</v>
      </c>
      <c r="Z31" s="292">
        <f t="shared" si="13"/>
        <v>0</v>
      </c>
      <c r="AA31" s="292">
        <f t="shared" si="14"/>
        <v>0</v>
      </c>
      <c r="AB31" s="292">
        <f t="shared" si="15"/>
        <v>0</v>
      </c>
      <c r="AC31" s="292">
        <f t="shared" si="16"/>
        <v>0</v>
      </c>
      <c r="AD31" s="292">
        <f t="shared" si="17"/>
        <v>0</v>
      </c>
      <c r="AE31" s="292">
        <f t="shared" si="18"/>
        <v>0</v>
      </c>
      <c r="AF31" s="292">
        <f t="shared" si="43"/>
        <v>0</v>
      </c>
      <c r="AG31" s="292">
        <f t="shared" si="44"/>
        <v>0</v>
      </c>
      <c r="AH31" s="292">
        <f t="shared" si="19"/>
        <v>0</v>
      </c>
      <c r="AI31" s="292">
        <f t="shared" si="20"/>
        <v>0</v>
      </c>
      <c r="AJ31" s="292">
        <f t="shared" si="21"/>
        <v>0</v>
      </c>
      <c r="AK31" s="292">
        <f t="shared" si="22"/>
        <v>0</v>
      </c>
      <c r="AL31" s="292">
        <f t="shared" si="23"/>
        <v>0</v>
      </c>
      <c r="AM31" s="292">
        <f t="shared" si="24"/>
        <v>0</v>
      </c>
      <c r="AN31" s="292">
        <f t="shared" si="25"/>
        <v>0</v>
      </c>
      <c r="AO31" s="292">
        <f t="shared" si="26"/>
        <v>0</v>
      </c>
      <c r="AP31" s="292">
        <f t="shared" si="27"/>
        <v>0</v>
      </c>
      <c r="AQ31" s="292">
        <f t="shared" si="28"/>
        <v>0</v>
      </c>
      <c r="AR31" s="292">
        <f t="shared" si="29"/>
        <v>0</v>
      </c>
      <c r="AS31" s="292">
        <f t="shared" si="30"/>
        <v>0</v>
      </c>
      <c r="AT31" s="292">
        <f t="shared" si="31"/>
        <v>0</v>
      </c>
      <c r="AU31" s="292">
        <f t="shared" si="32"/>
        <v>0</v>
      </c>
      <c r="AV31" s="292">
        <f t="shared" si="33"/>
        <v>0</v>
      </c>
      <c r="AW31" s="292">
        <f t="shared" si="34"/>
        <v>0</v>
      </c>
      <c r="AX31" s="292">
        <f t="shared" si="35"/>
        <v>0</v>
      </c>
      <c r="AY31" s="292">
        <f t="shared" si="36"/>
        <v>0</v>
      </c>
      <c r="AZ31" s="292">
        <f t="shared" si="37"/>
        <v>0</v>
      </c>
      <c r="BA31" s="292">
        <f t="shared" si="38"/>
        <v>0</v>
      </c>
    </row>
    <row r="32" spans="1:53" s="289" customFormat="1" ht="15.75" customHeight="1">
      <c r="A32" s="63" t="str">
        <f t="array" ref="A32">IF(C32&lt;&gt;0,SUM(($C$11:C32&lt;&gt;0)*1),"")</f>
        <v/>
      </c>
      <c r="B32" s="290"/>
      <c r="C32" s="290"/>
      <c r="D32" s="290"/>
      <c r="E32" s="396"/>
      <c r="F32" s="345"/>
      <c r="G32" s="347"/>
      <c r="H32" s="347"/>
      <c r="I32" s="63" t="str">
        <f t="shared" si="45"/>
        <v/>
      </c>
      <c r="J32" s="292">
        <f t="shared" si="1"/>
        <v>0</v>
      </c>
      <c r="K32" s="292">
        <f t="shared" si="2"/>
        <v>0</v>
      </c>
      <c r="L32" s="292">
        <f t="shared" si="3"/>
        <v>0</v>
      </c>
      <c r="M32" s="292">
        <f t="shared" si="4"/>
        <v>0</v>
      </c>
      <c r="N32" s="292">
        <f t="shared" si="39"/>
        <v>0</v>
      </c>
      <c r="O32" s="292">
        <f t="shared" si="40"/>
        <v>0</v>
      </c>
      <c r="P32" s="292">
        <f t="shared" si="5"/>
        <v>0</v>
      </c>
      <c r="Q32" s="292">
        <f t="shared" si="6"/>
        <v>0</v>
      </c>
      <c r="R32" s="292">
        <f t="shared" si="7"/>
        <v>0</v>
      </c>
      <c r="S32" s="292">
        <f t="shared" si="8"/>
        <v>0</v>
      </c>
      <c r="T32" s="292">
        <f t="shared" si="41"/>
        <v>0</v>
      </c>
      <c r="U32" s="292">
        <f t="shared" si="42"/>
        <v>0</v>
      </c>
      <c r="V32" s="292">
        <f t="shared" si="9"/>
        <v>0</v>
      </c>
      <c r="W32" s="292">
        <f t="shared" si="10"/>
        <v>0</v>
      </c>
      <c r="X32" s="292">
        <f t="shared" si="11"/>
        <v>0</v>
      </c>
      <c r="Y32" s="292">
        <f t="shared" si="12"/>
        <v>0</v>
      </c>
      <c r="Z32" s="292">
        <f t="shared" si="13"/>
        <v>0</v>
      </c>
      <c r="AA32" s="292">
        <f t="shared" si="14"/>
        <v>0</v>
      </c>
      <c r="AB32" s="292">
        <f t="shared" si="15"/>
        <v>0</v>
      </c>
      <c r="AC32" s="292">
        <f t="shared" si="16"/>
        <v>0</v>
      </c>
      <c r="AD32" s="292">
        <f t="shared" si="17"/>
        <v>0</v>
      </c>
      <c r="AE32" s="292">
        <f t="shared" si="18"/>
        <v>0</v>
      </c>
      <c r="AF32" s="292">
        <f t="shared" si="43"/>
        <v>0</v>
      </c>
      <c r="AG32" s="292">
        <f t="shared" si="44"/>
        <v>0</v>
      </c>
      <c r="AH32" s="292">
        <f t="shared" si="19"/>
        <v>0</v>
      </c>
      <c r="AI32" s="292">
        <f t="shared" si="20"/>
        <v>0</v>
      </c>
      <c r="AJ32" s="292">
        <f t="shared" si="21"/>
        <v>0</v>
      </c>
      <c r="AK32" s="292">
        <f t="shared" si="22"/>
        <v>0</v>
      </c>
      <c r="AL32" s="292">
        <f t="shared" si="23"/>
        <v>0</v>
      </c>
      <c r="AM32" s="292">
        <f t="shared" si="24"/>
        <v>0</v>
      </c>
      <c r="AN32" s="292">
        <f t="shared" si="25"/>
        <v>0</v>
      </c>
      <c r="AO32" s="292">
        <f t="shared" si="26"/>
        <v>0</v>
      </c>
      <c r="AP32" s="292">
        <f t="shared" si="27"/>
        <v>0</v>
      </c>
      <c r="AQ32" s="292">
        <f t="shared" si="28"/>
        <v>0</v>
      </c>
      <c r="AR32" s="292">
        <f t="shared" si="29"/>
        <v>0</v>
      </c>
      <c r="AS32" s="292">
        <f t="shared" si="30"/>
        <v>0</v>
      </c>
      <c r="AT32" s="292">
        <f t="shared" si="31"/>
        <v>0</v>
      </c>
      <c r="AU32" s="292">
        <f t="shared" si="32"/>
        <v>0</v>
      </c>
      <c r="AV32" s="292">
        <f t="shared" si="33"/>
        <v>0</v>
      </c>
      <c r="AW32" s="292">
        <f t="shared" si="34"/>
        <v>0</v>
      </c>
      <c r="AX32" s="292">
        <f t="shared" si="35"/>
        <v>0</v>
      </c>
      <c r="AY32" s="292">
        <f t="shared" si="36"/>
        <v>0</v>
      </c>
      <c r="AZ32" s="292">
        <f t="shared" si="37"/>
        <v>0</v>
      </c>
      <c r="BA32" s="292">
        <f t="shared" si="38"/>
        <v>0</v>
      </c>
    </row>
    <row r="33" spans="1:53" s="289" customFormat="1" ht="15.75" customHeight="1">
      <c r="A33" s="63" t="str">
        <f t="array" ref="A33">IF(C33&lt;&gt;0,SUM(($C$11:C33&lt;&gt;0)*1),"")</f>
        <v/>
      </c>
      <c r="B33" s="290"/>
      <c r="C33" s="290"/>
      <c r="D33" s="290"/>
      <c r="E33" s="396"/>
      <c r="F33" s="345"/>
      <c r="G33" s="347"/>
      <c r="H33" s="347"/>
      <c r="I33" s="63" t="str">
        <f t="shared" si="45"/>
        <v/>
      </c>
      <c r="J33" s="292">
        <f t="shared" si="1"/>
        <v>0</v>
      </c>
      <c r="K33" s="292">
        <f t="shared" si="2"/>
        <v>0</v>
      </c>
      <c r="L33" s="292">
        <f t="shared" si="3"/>
        <v>0</v>
      </c>
      <c r="M33" s="292">
        <f t="shared" si="4"/>
        <v>0</v>
      </c>
      <c r="N33" s="292">
        <f t="shared" si="39"/>
        <v>0</v>
      </c>
      <c r="O33" s="292">
        <f t="shared" si="40"/>
        <v>0</v>
      </c>
      <c r="P33" s="292">
        <f t="shared" si="5"/>
        <v>0</v>
      </c>
      <c r="Q33" s="292">
        <f t="shared" si="6"/>
        <v>0</v>
      </c>
      <c r="R33" s="292">
        <f t="shared" si="7"/>
        <v>0</v>
      </c>
      <c r="S33" s="292">
        <f t="shared" si="8"/>
        <v>0</v>
      </c>
      <c r="T33" s="292">
        <f t="shared" si="41"/>
        <v>0</v>
      </c>
      <c r="U33" s="292">
        <f t="shared" si="42"/>
        <v>0</v>
      </c>
      <c r="V33" s="292">
        <f t="shared" si="9"/>
        <v>0</v>
      </c>
      <c r="W33" s="292">
        <f t="shared" si="10"/>
        <v>0</v>
      </c>
      <c r="X33" s="292">
        <f t="shared" si="11"/>
        <v>0</v>
      </c>
      <c r="Y33" s="292">
        <f t="shared" si="12"/>
        <v>0</v>
      </c>
      <c r="Z33" s="292">
        <f t="shared" si="13"/>
        <v>0</v>
      </c>
      <c r="AA33" s="292">
        <f t="shared" si="14"/>
        <v>0</v>
      </c>
      <c r="AB33" s="292">
        <f t="shared" si="15"/>
        <v>0</v>
      </c>
      <c r="AC33" s="292">
        <f t="shared" si="16"/>
        <v>0</v>
      </c>
      <c r="AD33" s="292">
        <f t="shared" si="17"/>
        <v>0</v>
      </c>
      <c r="AE33" s="292">
        <f t="shared" si="18"/>
        <v>0</v>
      </c>
      <c r="AF33" s="292">
        <f t="shared" si="43"/>
        <v>0</v>
      </c>
      <c r="AG33" s="292">
        <f t="shared" si="44"/>
        <v>0</v>
      </c>
      <c r="AH33" s="292">
        <f t="shared" si="19"/>
        <v>0</v>
      </c>
      <c r="AI33" s="292">
        <f t="shared" si="20"/>
        <v>0</v>
      </c>
      <c r="AJ33" s="292">
        <f t="shared" si="21"/>
        <v>0</v>
      </c>
      <c r="AK33" s="292">
        <f t="shared" si="22"/>
        <v>0</v>
      </c>
      <c r="AL33" s="292">
        <f t="shared" si="23"/>
        <v>0</v>
      </c>
      <c r="AM33" s="292">
        <f t="shared" si="24"/>
        <v>0</v>
      </c>
      <c r="AN33" s="292">
        <f t="shared" si="25"/>
        <v>0</v>
      </c>
      <c r="AO33" s="292">
        <f t="shared" si="26"/>
        <v>0</v>
      </c>
      <c r="AP33" s="292">
        <f t="shared" si="27"/>
        <v>0</v>
      </c>
      <c r="AQ33" s="292">
        <f t="shared" si="28"/>
        <v>0</v>
      </c>
      <c r="AR33" s="292">
        <f t="shared" si="29"/>
        <v>0</v>
      </c>
      <c r="AS33" s="292">
        <f t="shared" si="30"/>
        <v>0</v>
      </c>
      <c r="AT33" s="292">
        <f t="shared" si="31"/>
        <v>0</v>
      </c>
      <c r="AU33" s="292">
        <f t="shared" si="32"/>
        <v>0</v>
      </c>
      <c r="AV33" s="292">
        <f t="shared" si="33"/>
        <v>0</v>
      </c>
      <c r="AW33" s="292">
        <f t="shared" si="34"/>
        <v>0</v>
      </c>
      <c r="AX33" s="292">
        <f t="shared" si="35"/>
        <v>0</v>
      </c>
      <c r="AY33" s="292">
        <f t="shared" si="36"/>
        <v>0</v>
      </c>
      <c r="AZ33" s="292">
        <f t="shared" si="37"/>
        <v>0</v>
      </c>
      <c r="BA33" s="292">
        <f t="shared" si="38"/>
        <v>0</v>
      </c>
    </row>
    <row r="34" spans="1:53" s="289" customFormat="1" ht="15.75" customHeight="1">
      <c r="A34" s="63" t="str">
        <f t="array" ref="A34">IF(C34&lt;&gt;0,SUM(($C$11:C34&lt;&gt;0)*1),"")</f>
        <v/>
      </c>
      <c r="B34" s="290"/>
      <c r="C34" s="290"/>
      <c r="D34" s="290"/>
      <c r="E34" s="396"/>
      <c r="F34" s="345"/>
      <c r="G34" s="347"/>
      <c r="H34" s="347"/>
      <c r="I34" s="63" t="str">
        <f t="shared" si="45"/>
        <v/>
      </c>
      <c r="J34" s="292">
        <f t="shared" si="1"/>
        <v>0</v>
      </c>
      <c r="K34" s="292">
        <f t="shared" si="2"/>
        <v>0</v>
      </c>
      <c r="L34" s="292">
        <f t="shared" si="3"/>
        <v>0</v>
      </c>
      <c r="M34" s="292">
        <f t="shared" si="4"/>
        <v>0</v>
      </c>
      <c r="N34" s="292">
        <f t="shared" si="39"/>
        <v>0</v>
      </c>
      <c r="O34" s="292">
        <f t="shared" si="40"/>
        <v>0</v>
      </c>
      <c r="P34" s="292">
        <f t="shared" si="5"/>
        <v>0</v>
      </c>
      <c r="Q34" s="292">
        <f t="shared" si="6"/>
        <v>0</v>
      </c>
      <c r="R34" s="292">
        <f t="shared" si="7"/>
        <v>0</v>
      </c>
      <c r="S34" s="292">
        <f t="shared" si="8"/>
        <v>0</v>
      </c>
      <c r="T34" s="292">
        <f t="shared" si="41"/>
        <v>0</v>
      </c>
      <c r="U34" s="292">
        <f t="shared" si="42"/>
        <v>0</v>
      </c>
      <c r="V34" s="292">
        <f t="shared" si="9"/>
        <v>0</v>
      </c>
      <c r="W34" s="292">
        <f t="shared" si="10"/>
        <v>0</v>
      </c>
      <c r="X34" s="292">
        <f t="shared" si="11"/>
        <v>0</v>
      </c>
      <c r="Y34" s="292">
        <f t="shared" si="12"/>
        <v>0</v>
      </c>
      <c r="Z34" s="292">
        <f t="shared" si="13"/>
        <v>0</v>
      </c>
      <c r="AA34" s="292">
        <f t="shared" si="14"/>
        <v>0</v>
      </c>
      <c r="AB34" s="292">
        <f t="shared" si="15"/>
        <v>0</v>
      </c>
      <c r="AC34" s="292">
        <f t="shared" si="16"/>
        <v>0</v>
      </c>
      <c r="AD34" s="292">
        <f t="shared" si="17"/>
        <v>0</v>
      </c>
      <c r="AE34" s="292">
        <f t="shared" si="18"/>
        <v>0</v>
      </c>
      <c r="AF34" s="292">
        <f t="shared" si="43"/>
        <v>0</v>
      </c>
      <c r="AG34" s="292">
        <f t="shared" si="44"/>
        <v>0</v>
      </c>
      <c r="AH34" s="292">
        <f t="shared" si="19"/>
        <v>0</v>
      </c>
      <c r="AI34" s="292">
        <f t="shared" si="20"/>
        <v>0</v>
      </c>
      <c r="AJ34" s="292">
        <f t="shared" si="21"/>
        <v>0</v>
      </c>
      <c r="AK34" s="292">
        <f t="shared" si="22"/>
        <v>0</v>
      </c>
      <c r="AL34" s="292">
        <f t="shared" si="23"/>
        <v>0</v>
      </c>
      <c r="AM34" s="292">
        <f t="shared" si="24"/>
        <v>0</v>
      </c>
      <c r="AN34" s="292">
        <f t="shared" si="25"/>
        <v>0</v>
      </c>
      <c r="AO34" s="292">
        <f t="shared" si="26"/>
        <v>0</v>
      </c>
      <c r="AP34" s="292">
        <f t="shared" si="27"/>
        <v>0</v>
      </c>
      <c r="AQ34" s="292">
        <f t="shared" si="28"/>
        <v>0</v>
      </c>
      <c r="AR34" s="292">
        <f t="shared" si="29"/>
        <v>0</v>
      </c>
      <c r="AS34" s="292">
        <f t="shared" si="30"/>
        <v>0</v>
      </c>
      <c r="AT34" s="292">
        <f t="shared" si="31"/>
        <v>0</v>
      </c>
      <c r="AU34" s="292">
        <f t="shared" si="32"/>
        <v>0</v>
      </c>
      <c r="AV34" s="292">
        <f t="shared" si="33"/>
        <v>0</v>
      </c>
      <c r="AW34" s="292">
        <f t="shared" si="34"/>
        <v>0</v>
      </c>
      <c r="AX34" s="292">
        <f t="shared" si="35"/>
        <v>0</v>
      </c>
      <c r="AY34" s="292">
        <f t="shared" si="36"/>
        <v>0</v>
      </c>
      <c r="AZ34" s="292">
        <f t="shared" si="37"/>
        <v>0</v>
      </c>
      <c r="BA34" s="292">
        <f t="shared" si="38"/>
        <v>0</v>
      </c>
    </row>
    <row r="35" spans="1:53" s="289" customFormat="1" ht="15.75" customHeight="1">
      <c r="A35" s="63" t="str">
        <f t="array" ref="A35">IF(C35&lt;&gt;0,SUM(($C$11:C35&lt;&gt;0)*1),"")</f>
        <v/>
      </c>
      <c r="B35" s="290"/>
      <c r="C35" s="290"/>
      <c r="D35" s="290"/>
      <c r="E35" s="396"/>
      <c r="F35" s="345"/>
      <c r="G35" s="347"/>
      <c r="H35" s="347"/>
      <c r="I35" s="63" t="str">
        <f t="shared" si="45"/>
        <v/>
      </c>
      <c r="J35" s="292">
        <f t="shared" si="1"/>
        <v>0</v>
      </c>
      <c r="K35" s="292">
        <f t="shared" si="2"/>
        <v>0</v>
      </c>
      <c r="L35" s="292">
        <f t="shared" si="3"/>
        <v>0</v>
      </c>
      <c r="M35" s="292">
        <f t="shared" si="4"/>
        <v>0</v>
      </c>
      <c r="N35" s="292">
        <f t="shared" si="39"/>
        <v>0</v>
      </c>
      <c r="O35" s="292">
        <f t="shared" si="40"/>
        <v>0</v>
      </c>
      <c r="P35" s="292">
        <f t="shared" si="5"/>
        <v>0</v>
      </c>
      <c r="Q35" s="292">
        <f t="shared" si="6"/>
        <v>0</v>
      </c>
      <c r="R35" s="292">
        <f t="shared" si="7"/>
        <v>0</v>
      </c>
      <c r="S35" s="292">
        <f t="shared" si="8"/>
        <v>0</v>
      </c>
      <c r="T35" s="292">
        <f t="shared" si="41"/>
        <v>0</v>
      </c>
      <c r="U35" s="292">
        <f t="shared" si="42"/>
        <v>0</v>
      </c>
      <c r="V35" s="292">
        <f t="shared" si="9"/>
        <v>0</v>
      </c>
      <c r="W35" s="292">
        <f t="shared" si="10"/>
        <v>0</v>
      </c>
      <c r="X35" s="292">
        <f t="shared" si="11"/>
        <v>0</v>
      </c>
      <c r="Y35" s="292">
        <f t="shared" si="12"/>
        <v>0</v>
      </c>
      <c r="Z35" s="292">
        <f t="shared" si="13"/>
        <v>0</v>
      </c>
      <c r="AA35" s="292">
        <f t="shared" si="14"/>
        <v>0</v>
      </c>
      <c r="AB35" s="292">
        <f t="shared" si="15"/>
        <v>0</v>
      </c>
      <c r="AC35" s="292">
        <f t="shared" si="16"/>
        <v>0</v>
      </c>
      <c r="AD35" s="292">
        <f t="shared" si="17"/>
        <v>0</v>
      </c>
      <c r="AE35" s="292">
        <f t="shared" si="18"/>
        <v>0</v>
      </c>
      <c r="AF35" s="292">
        <f t="shared" si="43"/>
        <v>0</v>
      </c>
      <c r="AG35" s="292">
        <f t="shared" si="44"/>
        <v>0</v>
      </c>
      <c r="AH35" s="292">
        <f t="shared" si="19"/>
        <v>0</v>
      </c>
      <c r="AI35" s="292">
        <f t="shared" si="20"/>
        <v>0</v>
      </c>
      <c r="AJ35" s="292">
        <f t="shared" si="21"/>
        <v>0</v>
      </c>
      <c r="AK35" s="292">
        <f t="shared" si="22"/>
        <v>0</v>
      </c>
      <c r="AL35" s="292">
        <f t="shared" si="23"/>
        <v>0</v>
      </c>
      <c r="AM35" s="292">
        <f t="shared" si="24"/>
        <v>0</v>
      </c>
      <c r="AN35" s="292">
        <f t="shared" si="25"/>
        <v>0</v>
      </c>
      <c r="AO35" s="292">
        <f t="shared" si="26"/>
        <v>0</v>
      </c>
      <c r="AP35" s="292">
        <f t="shared" si="27"/>
        <v>0</v>
      </c>
      <c r="AQ35" s="292">
        <f t="shared" si="28"/>
        <v>0</v>
      </c>
      <c r="AR35" s="292">
        <f t="shared" si="29"/>
        <v>0</v>
      </c>
      <c r="AS35" s="292">
        <f t="shared" si="30"/>
        <v>0</v>
      </c>
      <c r="AT35" s="292">
        <f t="shared" si="31"/>
        <v>0</v>
      </c>
      <c r="AU35" s="292">
        <f t="shared" si="32"/>
        <v>0</v>
      </c>
      <c r="AV35" s="292">
        <f t="shared" si="33"/>
        <v>0</v>
      </c>
      <c r="AW35" s="292">
        <f t="shared" si="34"/>
        <v>0</v>
      </c>
      <c r="AX35" s="292">
        <f t="shared" si="35"/>
        <v>0</v>
      </c>
      <c r="AY35" s="292">
        <f t="shared" si="36"/>
        <v>0</v>
      </c>
      <c r="AZ35" s="292">
        <f t="shared" si="37"/>
        <v>0</v>
      </c>
      <c r="BA35" s="292">
        <f t="shared" si="38"/>
        <v>0</v>
      </c>
    </row>
    <row r="36" spans="1:53" s="289" customFormat="1" ht="15.75" customHeight="1">
      <c r="A36" s="63" t="str">
        <f t="array" ref="A36">IF(C36&lt;&gt;0,SUM(($C$11:C36&lt;&gt;0)*1),"")</f>
        <v/>
      </c>
      <c r="B36" s="290"/>
      <c r="C36" s="290"/>
      <c r="D36" s="290"/>
      <c r="E36" s="396"/>
      <c r="F36" s="345"/>
      <c r="G36" s="347"/>
      <c r="H36" s="347"/>
      <c r="I36" s="63" t="str">
        <f t="shared" si="45"/>
        <v/>
      </c>
      <c r="J36" s="292">
        <f t="shared" si="1"/>
        <v>0</v>
      </c>
      <c r="K36" s="292">
        <f t="shared" si="2"/>
        <v>0</v>
      </c>
      <c r="L36" s="292">
        <f t="shared" si="3"/>
        <v>0</v>
      </c>
      <c r="M36" s="292">
        <f t="shared" si="4"/>
        <v>0</v>
      </c>
      <c r="N36" s="292">
        <f t="shared" si="39"/>
        <v>0</v>
      </c>
      <c r="O36" s="292">
        <f t="shared" si="40"/>
        <v>0</v>
      </c>
      <c r="P36" s="292">
        <f t="shared" si="5"/>
        <v>0</v>
      </c>
      <c r="Q36" s="292">
        <f t="shared" si="6"/>
        <v>0</v>
      </c>
      <c r="R36" s="292">
        <f t="shared" si="7"/>
        <v>0</v>
      </c>
      <c r="S36" s="292">
        <f t="shared" si="8"/>
        <v>0</v>
      </c>
      <c r="T36" s="292">
        <f t="shared" si="41"/>
        <v>0</v>
      </c>
      <c r="U36" s="292">
        <f t="shared" si="42"/>
        <v>0</v>
      </c>
      <c r="V36" s="292">
        <f t="shared" si="9"/>
        <v>0</v>
      </c>
      <c r="W36" s="292">
        <f t="shared" si="10"/>
        <v>0</v>
      </c>
      <c r="X36" s="292">
        <f t="shared" si="11"/>
        <v>0</v>
      </c>
      <c r="Y36" s="292">
        <f t="shared" si="12"/>
        <v>0</v>
      </c>
      <c r="Z36" s="292">
        <f t="shared" si="13"/>
        <v>0</v>
      </c>
      <c r="AA36" s="292">
        <f t="shared" si="14"/>
        <v>0</v>
      </c>
      <c r="AB36" s="292">
        <f t="shared" si="15"/>
        <v>0</v>
      </c>
      <c r="AC36" s="292">
        <f t="shared" si="16"/>
        <v>0</v>
      </c>
      <c r="AD36" s="292">
        <f t="shared" si="17"/>
        <v>0</v>
      </c>
      <c r="AE36" s="292">
        <f t="shared" si="18"/>
        <v>0</v>
      </c>
      <c r="AF36" s="292">
        <f t="shared" si="43"/>
        <v>0</v>
      </c>
      <c r="AG36" s="292">
        <f t="shared" si="44"/>
        <v>0</v>
      </c>
      <c r="AH36" s="292">
        <f t="shared" si="19"/>
        <v>0</v>
      </c>
      <c r="AI36" s="292">
        <f t="shared" si="20"/>
        <v>0</v>
      </c>
      <c r="AJ36" s="292">
        <f t="shared" si="21"/>
        <v>0</v>
      </c>
      <c r="AK36" s="292">
        <f t="shared" si="22"/>
        <v>0</v>
      </c>
      <c r="AL36" s="292">
        <f t="shared" si="23"/>
        <v>0</v>
      </c>
      <c r="AM36" s="292">
        <f t="shared" si="24"/>
        <v>0</v>
      </c>
      <c r="AN36" s="292">
        <f t="shared" si="25"/>
        <v>0</v>
      </c>
      <c r="AO36" s="292">
        <f t="shared" si="26"/>
        <v>0</v>
      </c>
      <c r="AP36" s="292">
        <f t="shared" si="27"/>
        <v>0</v>
      </c>
      <c r="AQ36" s="292">
        <f t="shared" si="28"/>
        <v>0</v>
      </c>
      <c r="AR36" s="292">
        <f t="shared" si="29"/>
        <v>0</v>
      </c>
      <c r="AS36" s="292">
        <f t="shared" si="30"/>
        <v>0</v>
      </c>
      <c r="AT36" s="292">
        <f t="shared" si="31"/>
        <v>0</v>
      </c>
      <c r="AU36" s="292">
        <f t="shared" si="32"/>
        <v>0</v>
      </c>
      <c r="AV36" s="292">
        <f t="shared" si="33"/>
        <v>0</v>
      </c>
      <c r="AW36" s="292">
        <f t="shared" si="34"/>
        <v>0</v>
      </c>
      <c r="AX36" s="292">
        <f t="shared" si="35"/>
        <v>0</v>
      </c>
      <c r="AY36" s="292">
        <f t="shared" si="36"/>
        <v>0</v>
      </c>
      <c r="AZ36" s="292">
        <f t="shared" si="37"/>
        <v>0</v>
      </c>
      <c r="BA36" s="292">
        <f t="shared" si="38"/>
        <v>0</v>
      </c>
    </row>
    <row r="37" spans="1:53" s="289" customFormat="1" ht="15.75" customHeight="1">
      <c r="A37" s="63" t="str">
        <f t="array" ref="A37">IF(C37&lt;&gt;0,SUM(($C$11:C37&lt;&gt;0)*1),"")</f>
        <v/>
      </c>
      <c r="B37" s="290"/>
      <c r="C37" s="290"/>
      <c r="D37" s="290"/>
      <c r="E37" s="396"/>
      <c r="F37" s="345"/>
      <c r="G37" s="347"/>
      <c r="H37" s="347"/>
      <c r="I37" s="63" t="str">
        <f t="shared" si="45"/>
        <v/>
      </c>
      <c r="J37" s="292">
        <f t="shared" si="1"/>
        <v>0</v>
      </c>
      <c r="K37" s="292">
        <f t="shared" si="2"/>
        <v>0</v>
      </c>
      <c r="L37" s="292">
        <f t="shared" si="3"/>
        <v>0</v>
      </c>
      <c r="M37" s="292">
        <f t="shared" si="4"/>
        <v>0</v>
      </c>
      <c r="N37" s="292">
        <f t="shared" si="39"/>
        <v>0</v>
      </c>
      <c r="O37" s="292">
        <f t="shared" si="40"/>
        <v>0</v>
      </c>
      <c r="P37" s="292">
        <f t="shared" si="5"/>
        <v>0</v>
      </c>
      <c r="Q37" s="292">
        <f t="shared" si="6"/>
        <v>0</v>
      </c>
      <c r="R37" s="292">
        <f t="shared" si="7"/>
        <v>0</v>
      </c>
      <c r="S37" s="292">
        <f t="shared" si="8"/>
        <v>0</v>
      </c>
      <c r="T37" s="292">
        <f t="shared" si="41"/>
        <v>0</v>
      </c>
      <c r="U37" s="292">
        <f t="shared" si="42"/>
        <v>0</v>
      </c>
      <c r="V37" s="292">
        <f t="shared" si="9"/>
        <v>0</v>
      </c>
      <c r="W37" s="292">
        <f t="shared" si="10"/>
        <v>0</v>
      </c>
      <c r="X37" s="292">
        <f t="shared" si="11"/>
        <v>0</v>
      </c>
      <c r="Y37" s="292">
        <f t="shared" si="12"/>
        <v>0</v>
      </c>
      <c r="Z37" s="292">
        <f t="shared" si="13"/>
        <v>0</v>
      </c>
      <c r="AA37" s="292">
        <f t="shared" si="14"/>
        <v>0</v>
      </c>
      <c r="AB37" s="292">
        <f t="shared" si="15"/>
        <v>0</v>
      </c>
      <c r="AC37" s="292">
        <f t="shared" si="16"/>
        <v>0</v>
      </c>
      <c r="AD37" s="292">
        <f t="shared" si="17"/>
        <v>0</v>
      </c>
      <c r="AE37" s="292">
        <f t="shared" si="18"/>
        <v>0</v>
      </c>
      <c r="AF37" s="292">
        <f t="shared" si="43"/>
        <v>0</v>
      </c>
      <c r="AG37" s="292">
        <f t="shared" si="44"/>
        <v>0</v>
      </c>
      <c r="AH37" s="292">
        <f t="shared" si="19"/>
        <v>0</v>
      </c>
      <c r="AI37" s="292">
        <f t="shared" si="20"/>
        <v>0</v>
      </c>
      <c r="AJ37" s="292">
        <f t="shared" si="21"/>
        <v>0</v>
      </c>
      <c r="AK37" s="292">
        <f t="shared" si="22"/>
        <v>0</v>
      </c>
      <c r="AL37" s="292">
        <f t="shared" si="23"/>
        <v>0</v>
      </c>
      <c r="AM37" s="292">
        <f t="shared" si="24"/>
        <v>0</v>
      </c>
      <c r="AN37" s="292">
        <f t="shared" si="25"/>
        <v>0</v>
      </c>
      <c r="AO37" s="292">
        <f t="shared" si="26"/>
        <v>0</v>
      </c>
      <c r="AP37" s="292">
        <f t="shared" si="27"/>
        <v>0</v>
      </c>
      <c r="AQ37" s="292">
        <f t="shared" si="28"/>
        <v>0</v>
      </c>
      <c r="AR37" s="292">
        <f t="shared" si="29"/>
        <v>0</v>
      </c>
      <c r="AS37" s="292">
        <f t="shared" si="30"/>
        <v>0</v>
      </c>
      <c r="AT37" s="292">
        <f t="shared" si="31"/>
        <v>0</v>
      </c>
      <c r="AU37" s="292">
        <f t="shared" si="32"/>
        <v>0</v>
      </c>
      <c r="AV37" s="292">
        <f t="shared" si="33"/>
        <v>0</v>
      </c>
      <c r="AW37" s="292">
        <f t="shared" si="34"/>
        <v>0</v>
      </c>
      <c r="AX37" s="292">
        <f t="shared" si="35"/>
        <v>0</v>
      </c>
      <c r="AY37" s="292">
        <f t="shared" si="36"/>
        <v>0</v>
      </c>
      <c r="AZ37" s="292">
        <f t="shared" si="37"/>
        <v>0</v>
      </c>
      <c r="BA37" s="292">
        <f t="shared" si="38"/>
        <v>0</v>
      </c>
    </row>
    <row r="38" spans="1:53" s="289" customFormat="1" ht="15.75" customHeight="1">
      <c r="A38" s="63" t="str">
        <f t="array" ref="A38">IF(C38&lt;&gt;0,SUM(($C$11:C38&lt;&gt;0)*1),"")</f>
        <v/>
      </c>
      <c r="B38" s="290"/>
      <c r="C38" s="290"/>
      <c r="D38" s="290"/>
      <c r="E38" s="396"/>
      <c r="F38" s="345"/>
      <c r="G38" s="347"/>
      <c r="H38" s="347"/>
      <c r="I38" s="63" t="str">
        <f t="shared" si="45"/>
        <v/>
      </c>
      <c r="J38" s="292">
        <f t="shared" si="1"/>
        <v>0</v>
      </c>
      <c r="K38" s="292">
        <f t="shared" si="2"/>
        <v>0</v>
      </c>
      <c r="L38" s="292">
        <f t="shared" si="3"/>
        <v>0</v>
      </c>
      <c r="M38" s="292">
        <f t="shared" si="4"/>
        <v>0</v>
      </c>
      <c r="N38" s="292">
        <f t="shared" si="39"/>
        <v>0</v>
      </c>
      <c r="O38" s="292">
        <f t="shared" si="40"/>
        <v>0</v>
      </c>
      <c r="P38" s="292">
        <f t="shared" si="5"/>
        <v>0</v>
      </c>
      <c r="Q38" s="292">
        <f t="shared" si="6"/>
        <v>0</v>
      </c>
      <c r="R38" s="292">
        <f t="shared" si="7"/>
        <v>0</v>
      </c>
      <c r="S38" s="292">
        <f t="shared" si="8"/>
        <v>0</v>
      </c>
      <c r="T38" s="292">
        <f t="shared" si="41"/>
        <v>0</v>
      </c>
      <c r="U38" s="292">
        <f t="shared" si="42"/>
        <v>0</v>
      </c>
      <c r="V38" s="292">
        <f t="shared" si="9"/>
        <v>0</v>
      </c>
      <c r="W38" s="292">
        <f t="shared" si="10"/>
        <v>0</v>
      </c>
      <c r="X38" s="292">
        <f t="shared" si="11"/>
        <v>0</v>
      </c>
      <c r="Y38" s="292">
        <f t="shared" si="12"/>
        <v>0</v>
      </c>
      <c r="Z38" s="292">
        <f t="shared" si="13"/>
        <v>0</v>
      </c>
      <c r="AA38" s="292">
        <f t="shared" si="14"/>
        <v>0</v>
      </c>
      <c r="AB38" s="292">
        <f t="shared" si="15"/>
        <v>0</v>
      </c>
      <c r="AC38" s="292">
        <f t="shared" si="16"/>
        <v>0</v>
      </c>
      <c r="AD38" s="292">
        <f t="shared" si="17"/>
        <v>0</v>
      </c>
      <c r="AE38" s="292">
        <f t="shared" si="18"/>
        <v>0</v>
      </c>
      <c r="AF38" s="292">
        <f t="shared" si="43"/>
        <v>0</v>
      </c>
      <c r="AG38" s="292">
        <f t="shared" si="44"/>
        <v>0</v>
      </c>
      <c r="AH38" s="292">
        <f t="shared" si="19"/>
        <v>0</v>
      </c>
      <c r="AI38" s="292">
        <f t="shared" si="20"/>
        <v>0</v>
      </c>
      <c r="AJ38" s="292">
        <f t="shared" si="21"/>
        <v>0</v>
      </c>
      <c r="AK38" s="292">
        <f t="shared" si="22"/>
        <v>0</v>
      </c>
      <c r="AL38" s="292">
        <f t="shared" si="23"/>
        <v>0</v>
      </c>
      <c r="AM38" s="292">
        <f t="shared" si="24"/>
        <v>0</v>
      </c>
      <c r="AN38" s="292">
        <f t="shared" si="25"/>
        <v>0</v>
      </c>
      <c r="AO38" s="292">
        <f t="shared" si="26"/>
        <v>0</v>
      </c>
      <c r="AP38" s="292">
        <f t="shared" si="27"/>
        <v>0</v>
      </c>
      <c r="AQ38" s="292">
        <f t="shared" si="28"/>
        <v>0</v>
      </c>
      <c r="AR38" s="292">
        <f t="shared" si="29"/>
        <v>0</v>
      </c>
      <c r="AS38" s="292">
        <f t="shared" si="30"/>
        <v>0</v>
      </c>
      <c r="AT38" s="292">
        <f t="shared" si="31"/>
        <v>0</v>
      </c>
      <c r="AU38" s="292">
        <f t="shared" si="32"/>
        <v>0</v>
      </c>
      <c r="AV38" s="292">
        <f t="shared" si="33"/>
        <v>0</v>
      </c>
      <c r="AW38" s="292">
        <f t="shared" si="34"/>
        <v>0</v>
      </c>
      <c r="AX38" s="292">
        <f t="shared" si="35"/>
        <v>0</v>
      </c>
      <c r="AY38" s="292">
        <f t="shared" si="36"/>
        <v>0</v>
      </c>
      <c r="AZ38" s="292">
        <f t="shared" si="37"/>
        <v>0</v>
      </c>
      <c r="BA38" s="292">
        <f t="shared" si="38"/>
        <v>0</v>
      </c>
    </row>
    <row r="39" spans="1:53" s="289" customFormat="1" ht="15.75" customHeight="1">
      <c r="A39" s="63" t="str">
        <f t="array" ref="A39">IF(C39&lt;&gt;0,SUM(($C$11:C39&lt;&gt;0)*1),"")</f>
        <v/>
      </c>
      <c r="B39" s="290"/>
      <c r="C39" s="290"/>
      <c r="D39" s="290"/>
      <c r="E39" s="396"/>
      <c r="F39" s="345"/>
      <c r="G39" s="347"/>
      <c r="H39" s="347"/>
      <c r="I39" s="63" t="str">
        <f t="shared" si="45"/>
        <v/>
      </c>
      <c r="J39" s="292">
        <f t="shared" si="1"/>
        <v>0</v>
      </c>
      <c r="K39" s="292">
        <f t="shared" si="2"/>
        <v>0</v>
      </c>
      <c r="L39" s="292">
        <f t="shared" si="3"/>
        <v>0</v>
      </c>
      <c r="M39" s="292">
        <f t="shared" si="4"/>
        <v>0</v>
      </c>
      <c r="N39" s="292">
        <f t="shared" si="39"/>
        <v>0</v>
      </c>
      <c r="O39" s="292">
        <f t="shared" si="40"/>
        <v>0</v>
      </c>
      <c r="P39" s="292">
        <f t="shared" si="5"/>
        <v>0</v>
      </c>
      <c r="Q39" s="292">
        <f t="shared" si="6"/>
        <v>0</v>
      </c>
      <c r="R39" s="292">
        <f t="shared" si="7"/>
        <v>0</v>
      </c>
      <c r="S39" s="292">
        <f t="shared" si="8"/>
        <v>0</v>
      </c>
      <c r="T39" s="292">
        <f t="shared" si="41"/>
        <v>0</v>
      </c>
      <c r="U39" s="292">
        <f t="shared" si="42"/>
        <v>0</v>
      </c>
      <c r="V39" s="292">
        <f t="shared" si="9"/>
        <v>0</v>
      </c>
      <c r="W39" s="292">
        <f t="shared" si="10"/>
        <v>0</v>
      </c>
      <c r="X39" s="292">
        <f t="shared" si="11"/>
        <v>0</v>
      </c>
      <c r="Y39" s="292">
        <f t="shared" si="12"/>
        <v>0</v>
      </c>
      <c r="Z39" s="292">
        <f t="shared" si="13"/>
        <v>0</v>
      </c>
      <c r="AA39" s="292">
        <f t="shared" si="14"/>
        <v>0</v>
      </c>
      <c r="AB39" s="292">
        <f t="shared" si="15"/>
        <v>0</v>
      </c>
      <c r="AC39" s="292">
        <f t="shared" si="16"/>
        <v>0</v>
      </c>
      <c r="AD39" s="292">
        <f t="shared" si="17"/>
        <v>0</v>
      </c>
      <c r="AE39" s="292">
        <f t="shared" si="18"/>
        <v>0</v>
      </c>
      <c r="AF39" s="292">
        <f t="shared" si="43"/>
        <v>0</v>
      </c>
      <c r="AG39" s="292">
        <f t="shared" si="44"/>
        <v>0</v>
      </c>
      <c r="AH39" s="292">
        <f t="shared" si="19"/>
        <v>0</v>
      </c>
      <c r="AI39" s="292">
        <f t="shared" si="20"/>
        <v>0</v>
      </c>
      <c r="AJ39" s="292">
        <f t="shared" si="21"/>
        <v>0</v>
      </c>
      <c r="AK39" s="292">
        <f t="shared" si="22"/>
        <v>0</v>
      </c>
      <c r="AL39" s="292">
        <f t="shared" si="23"/>
        <v>0</v>
      </c>
      <c r="AM39" s="292">
        <f t="shared" si="24"/>
        <v>0</v>
      </c>
      <c r="AN39" s="292">
        <f t="shared" si="25"/>
        <v>0</v>
      </c>
      <c r="AO39" s="292">
        <f t="shared" si="26"/>
        <v>0</v>
      </c>
      <c r="AP39" s="292">
        <f t="shared" si="27"/>
        <v>0</v>
      </c>
      <c r="AQ39" s="292">
        <f t="shared" si="28"/>
        <v>0</v>
      </c>
      <c r="AR39" s="292">
        <f t="shared" si="29"/>
        <v>0</v>
      </c>
      <c r="AS39" s="292">
        <f t="shared" si="30"/>
        <v>0</v>
      </c>
      <c r="AT39" s="292">
        <f t="shared" si="31"/>
        <v>0</v>
      </c>
      <c r="AU39" s="292">
        <f t="shared" si="32"/>
        <v>0</v>
      </c>
      <c r="AV39" s="292">
        <f t="shared" si="33"/>
        <v>0</v>
      </c>
      <c r="AW39" s="292">
        <f t="shared" si="34"/>
        <v>0</v>
      </c>
      <c r="AX39" s="292">
        <f t="shared" si="35"/>
        <v>0</v>
      </c>
      <c r="AY39" s="292">
        <f t="shared" si="36"/>
        <v>0</v>
      </c>
      <c r="AZ39" s="292">
        <f t="shared" si="37"/>
        <v>0</v>
      </c>
      <c r="BA39" s="292">
        <f t="shared" si="38"/>
        <v>0</v>
      </c>
    </row>
    <row r="40" spans="1:53" s="289" customFormat="1" ht="15.75" customHeight="1">
      <c r="A40" s="63" t="str">
        <f t="array" ref="A40">IF(C40&lt;&gt;0,SUM(($C$11:C40&lt;&gt;0)*1),"")</f>
        <v/>
      </c>
      <c r="B40" s="290"/>
      <c r="C40" s="290"/>
      <c r="D40" s="290"/>
      <c r="E40" s="396"/>
      <c r="F40" s="345"/>
      <c r="G40" s="347"/>
      <c r="H40" s="347"/>
      <c r="I40" s="63" t="str">
        <f t="shared" si="45"/>
        <v/>
      </c>
      <c r="J40" s="292">
        <f t="shared" si="1"/>
        <v>0</v>
      </c>
      <c r="K40" s="292">
        <f t="shared" si="2"/>
        <v>0</v>
      </c>
      <c r="L40" s="292">
        <f t="shared" si="3"/>
        <v>0</v>
      </c>
      <c r="M40" s="292">
        <f t="shared" si="4"/>
        <v>0</v>
      </c>
      <c r="N40" s="292">
        <f t="shared" si="39"/>
        <v>0</v>
      </c>
      <c r="O40" s="292">
        <f t="shared" si="40"/>
        <v>0</v>
      </c>
      <c r="P40" s="292">
        <f t="shared" si="5"/>
        <v>0</v>
      </c>
      <c r="Q40" s="292">
        <f t="shared" si="6"/>
        <v>0</v>
      </c>
      <c r="R40" s="292">
        <f t="shared" si="7"/>
        <v>0</v>
      </c>
      <c r="S40" s="292">
        <f t="shared" si="8"/>
        <v>0</v>
      </c>
      <c r="T40" s="292">
        <f t="shared" si="41"/>
        <v>0</v>
      </c>
      <c r="U40" s="292">
        <f t="shared" si="42"/>
        <v>0</v>
      </c>
      <c r="V40" s="292">
        <f t="shared" si="9"/>
        <v>0</v>
      </c>
      <c r="W40" s="292">
        <f t="shared" si="10"/>
        <v>0</v>
      </c>
      <c r="X40" s="292">
        <f t="shared" si="11"/>
        <v>0</v>
      </c>
      <c r="Y40" s="292">
        <f t="shared" si="12"/>
        <v>0</v>
      </c>
      <c r="Z40" s="292">
        <f t="shared" si="13"/>
        <v>0</v>
      </c>
      <c r="AA40" s="292">
        <f t="shared" si="14"/>
        <v>0</v>
      </c>
      <c r="AB40" s="292">
        <f t="shared" si="15"/>
        <v>0</v>
      </c>
      <c r="AC40" s="292">
        <f t="shared" si="16"/>
        <v>0</v>
      </c>
      <c r="AD40" s="292">
        <f t="shared" si="17"/>
        <v>0</v>
      </c>
      <c r="AE40" s="292">
        <f t="shared" si="18"/>
        <v>0</v>
      </c>
      <c r="AF40" s="292">
        <f t="shared" si="43"/>
        <v>0</v>
      </c>
      <c r="AG40" s="292">
        <f t="shared" si="44"/>
        <v>0</v>
      </c>
      <c r="AH40" s="292">
        <f t="shared" si="19"/>
        <v>0</v>
      </c>
      <c r="AI40" s="292">
        <f t="shared" si="20"/>
        <v>0</v>
      </c>
      <c r="AJ40" s="292">
        <f t="shared" si="21"/>
        <v>0</v>
      </c>
      <c r="AK40" s="292">
        <f t="shared" si="22"/>
        <v>0</v>
      </c>
      <c r="AL40" s="292">
        <f t="shared" si="23"/>
        <v>0</v>
      </c>
      <c r="AM40" s="292">
        <f t="shared" si="24"/>
        <v>0</v>
      </c>
      <c r="AN40" s="292">
        <f t="shared" si="25"/>
        <v>0</v>
      </c>
      <c r="AO40" s="292">
        <f t="shared" si="26"/>
        <v>0</v>
      </c>
      <c r="AP40" s="292">
        <f t="shared" si="27"/>
        <v>0</v>
      </c>
      <c r="AQ40" s="292">
        <f t="shared" si="28"/>
        <v>0</v>
      </c>
      <c r="AR40" s="292">
        <f t="shared" si="29"/>
        <v>0</v>
      </c>
      <c r="AS40" s="292">
        <f t="shared" si="30"/>
        <v>0</v>
      </c>
      <c r="AT40" s="292">
        <f t="shared" si="31"/>
        <v>0</v>
      </c>
      <c r="AU40" s="292">
        <f t="shared" si="32"/>
        <v>0</v>
      </c>
      <c r="AV40" s="292">
        <f t="shared" si="33"/>
        <v>0</v>
      </c>
      <c r="AW40" s="292">
        <f t="shared" si="34"/>
        <v>0</v>
      </c>
      <c r="AX40" s="292">
        <f t="shared" si="35"/>
        <v>0</v>
      </c>
      <c r="AY40" s="292">
        <f t="shared" si="36"/>
        <v>0</v>
      </c>
      <c r="AZ40" s="292">
        <f t="shared" si="37"/>
        <v>0</v>
      </c>
      <c r="BA40" s="292">
        <f t="shared" si="38"/>
        <v>0</v>
      </c>
    </row>
    <row r="41" spans="1:53" s="289" customFormat="1" ht="15.75" customHeight="1">
      <c r="A41" s="63" t="str">
        <f t="array" ref="A41">IF(C41&lt;&gt;0,SUM(($C$11:C41&lt;&gt;0)*1),"")</f>
        <v/>
      </c>
      <c r="B41" s="290"/>
      <c r="C41" s="290"/>
      <c r="D41" s="290"/>
      <c r="E41" s="396"/>
      <c r="F41" s="345"/>
      <c r="G41" s="347"/>
      <c r="H41" s="347"/>
      <c r="I41" s="63" t="str">
        <f t="shared" si="45"/>
        <v/>
      </c>
      <c r="J41" s="292">
        <f t="shared" si="1"/>
        <v>0</v>
      </c>
      <c r="K41" s="292">
        <f t="shared" si="2"/>
        <v>0</v>
      </c>
      <c r="L41" s="292">
        <f t="shared" si="3"/>
        <v>0</v>
      </c>
      <c r="M41" s="292">
        <f t="shared" si="4"/>
        <v>0</v>
      </c>
      <c r="N41" s="292">
        <f t="shared" si="39"/>
        <v>0</v>
      </c>
      <c r="O41" s="292">
        <f t="shared" si="40"/>
        <v>0</v>
      </c>
      <c r="P41" s="292">
        <f t="shared" si="5"/>
        <v>0</v>
      </c>
      <c r="Q41" s="292">
        <f t="shared" si="6"/>
        <v>0</v>
      </c>
      <c r="R41" s="292">
        <f t="shared" si="7"/>
        <v>0</v>
      </c>
      <c r="S41" s="292">
        <f t="shared" si="8"/>
        <v>0</v>
      </c>
      <c r="T41" s="292">
        <f t="shared" si="41"/>
        <v>0</v>
      </c>
      <c r="U41" s="292">
        <f t="shared" si="42"/>
        <v>0</v>
      </c>
      <c r="V41" s="292">
        <f t="shared" si="9"/>
        <v>0</v>
      </c>
      <c r="W41" s="292">
        <f t="shared" si="10"/>
        <v>0</v>
      </c>
      <c r="X41" s="292">
        <f t="shared" si="11"/>
        <v>0</v>
      </c>
      <c r="Y41" s="292">
        <f t="shared" si="12"/>
        <v>0</v>
      </c>
      <c r="Z41" s="292">
        <f t="shared" si="13"/>
        <v>0</v>
      </c>
      <c r="AA41" s="292">
        <f t="shared" si="14"/>
        <v>0</v>
      </c>
      <c r="AB41" s="292">
        <f t="shared" si="15"/>
        <v>0</v>
      </c>
      <c r="AC41" s="292">
        <f t="shared" si="16"/>
        <v>0</v>
      </c>
      <c r="AD41" s="292">
        <f t="shared" si="17"/>
        <v>0</v>
      </c>
      <c r="AE41" s="292">
        <f t="shared" si="18"/>
        <v>0</v>
      </c>
      <c r="AF41" s="292">
        <f t="shared" si="43"/>
        <v>0</v>
      </c>
      <c r="AG41" s="292">
        <f t="shared" si="44"/>
        <v>0</v>
      </c>
      <c r="AH41" s="292">
        <f t="shared" si="19"/>
        <v>0</v>
      </c>
      <c r="AI41" s="292">
        <f t="shared" si="20"/>
        <v>0</v>
      </c>
      <c r="AJ41" s="292">
        <f t="shared" si="21"/>
        <v>0</v>
      </c>
      <c r="AK41" s="292">
        <f t="shared" si="22"/>
        <v>0</v>
      </c>
      <c r="AL41" s="292">
        <f t="shared" si="23"/>
        <v>0</v>
      </c>
      <c r="AM41" s="292">
        <f t="shared" si="24"/>
        <v>0</v>
      </c>
      <c r="AN41" s="292">
        <f t="shared" si="25"/>
        <v>0</v>
      </c>
      <c r="AO41" s="292">
        <f t="shared" si="26"/>
        <v>0</v>
      </c>
      <c r="AP41" s="292">
        <f t="shared" si="27"/>
        <v>0</v>
      </c>
      <c r="AQ41" s="292">
        <f t="shared" si="28"/>
        <v>0</v>
      </c>
      <c r="AR41" s="292">
        <f t="shared" si="29"/>
        <v>0</v>
      </c>
      <c r="AS41" s="292">
        <f t="shared" si="30"/>
        <v>0</v>
      </c>
      <c r="AT41" s="292">
        <f t="shared" si="31"/>
        <v>0</v>
      </c>
      <c r="AU41" s="292">
        <f t="shared" si="32"/>
        <v>0</v>
      </c>
      <c r="AV41" s="292">
        <f t="shared" si="33"/>
        <v>0</v>
      </c>
      <c r="AW41" s="292">
        <f t="shared" si="34"/>
        <v>0</v>
      </c>
      <c r="AX41" s="292">
        <f t="shared" si="35"/>
        <v>0</v>
      </c>
      <c r="AY41" s="292">
        <f t="shared" si="36"/>
        <v>0</v>
      </c>
      <c r="AZ41" s="292">
        <f t="shared" si="37"/>
        <v>0</v>
      </c>
      <c r="BA41" s="292">
        <f t="shared" si="38"/>
        <v>0</v>
      </c>
    </row>
    <row r="42" spans="1:53" s="289" customFormat="1" ht="15.75" customHeight="1">
      <c r="A42" s="63" t="str">
        <f t="array" ref="A42">IF(C42&lt;&gt;0,SUM(($C$11:C42&lt;&gt;0)*1),"")</f>
        <v/>
      </c>
      <c r="B42" s="290"/>
      <c r="C42" s="290"/>
      <c r="D42" s="290"/>
      <c r="E42" s="396"/>
      <c r="F42" s="345"/>
      <c r="G42" s="347"/>
      <c r="H42" s="347"/>
      <c r="I42" s="63" t="str">
        <f t="shared" si="45"/>
        <v/>
      </c>
      <c r="J42" s="292">
        <f t="shared" si="1"/>
        <v>0</v>
      </c>
      <c r="K42" s="292">
        <f t="shared" si="2"/>
        <v>0</v>
      </c>
      <c r="L42" s="292">
        <f t="shared" si="3"/>
        <v>0</v>
      </c>
      <c r="M42" s="292">
        <f t="shared" si="4"/>
        <v>0</v>
      </c>
      <c r="N42" s="292">
        <f t="shared" si="39"/>
        <v>0</v>
      </c>
      <c r="O42" s="292">
        <f t="shared" si="40"/>
        <v>0</v>
      </c>
      <c r="P42" s="292">
        <f t="shared" si="5"/>
        <v>0</v>
      </c>
      <c r="Q42" s="292">
        <f t="shared" si="6"/>
        <v>0</v>
      </c>
      <c r="R42" s="292">
        <f t="shared" si="7"/>
        <v>0</v>
      </c>
      <c r="S42" s="292">
        <f t="shared" si="8"/>
        <v>0</v>
      </c>
      <c r="T42" s="292">
        <f t="shared" si="41"/>
        <v>0</v>
      </c>
      <c r="U42" s="292">
        <f t="shared" si="42"/>
        <v>0</v>
      </c>
      <c r="V42" s="292">
        <f t="shared" si="9"/>
        <v>0</v>
      </c>
      <c r="W42" s="292">
        <f t="shared" si="10"/>
        <v>0</v>
      </c>
      <c r="X42" s="292">
        <f t="shared" si="11"/>
        <v>0</v>
      </c>
      <c r="Y42" s="292">
        <f t="shared" si="12"/>
        <v>0</v>
      </c>
      <c r="Z42" s="292">
        <f t="shared" si="13"/>
        <v>0</v>
      </c>
      <c r="AA42" s="292">
        <f t="shared" si="14"/>
        <v>0</v>
      </c>
      <c r="AB42" s="292">
        <f t="shared" si="15"/>
        <v>0</v>
      </c>
      <c r="AC42" s="292">
        <f t="shared" si="16"/>
        <v>0</v>
      </c>
      <c r="AD42" s="292">
        <f t="shared" si="17"/>
        <v>0</v>
      </c>
      <c r="AE42" s="292">
        <f t="shared" si="18"/>
        <v>0</v>
      </c>
      <c r="AF42" s="292">
        <f t="shared" si="43"/>
        <v>0</v>
      </c>
      <c r="AG42" s="292">
        <f t="shared" si="44"/>
        <v>0</v>
      </c>
      <c r="AH42" s="292">
        <f t="shared" si="19"/>
        <v>0</v>
      </c>
      <c r="AI42" s="292">
        <f t="shared" si="20"/>
        <v>0</v>
      </c>
      <c r="AJ42" s="292">
        <f t="shared" si="21"/>
        <v>0</v>
      </c>
      <c r="AK42" s="292">
        <f t="shared" si="22"/>
        <v>0</v>
      </c>
      <c r="AL42" s="292">
        <f t="shared" si="23"/>
        <v>0</v>
      </c>
      <c r="AM42" s="292">
        <f t="shared" si="24"/>
        <v>0</v>
      </c>
      <c r="AN42" s="292">
        <f t="shared" si="25"/>
        <v>0</v>
      </c>
      <c r="AO42" s="292">
        <f t="shared" si="26"/>
        <v>0</v>
      </c>
      <c r="AP42" s="292">
        <f t="shared" si="27"/>
        <v>0</v>
      </c>
      <c r="AQ42" s="292">
        <f t="shared" si="28"/>
        <v>0</v>
      </c>
      <c r="AR42" s="292">
        <f t="shared" si="29"/>
        <v>0</v>
      </c>
      <c r="AS42" s="292">
        <f t="shared" si="30"/>
        <v>0</v>
      </c>
      <c r="AT42" s="292">
        <f t="shared" si="31"/>
        <v>0</v>
      </c>
      <c r="AU42" s="292">
        <f t="shared" si="32"/>
        <v>0</v>
      </c>
      <c r="AV42" s="292">
        <f t="shared" si="33"/>
        <v>0</v>
      </c>
      <c r="AW42" s="292">
        <f t="shared" si="34"/>
        <v>0</v>
      </c>
      <c r="AX42" s="292">
        <f t="shared" si="35"/>
        <v>0</v>
      </c>
      <c r="AY42" s="292">
        <f t="shared" si="36"/>
        <v>0</v>
      </c>
      <c r="AZ42" s="292">
        <f t="shared" si="37"/>
        <v>0</v>
      </c>
      <c r="BA42" s="292">
        <f t="shared" si="38"/>
        <v>0</v>
      </c>
    </row>
    <row r="43" spans="1:53" s="289" customFormat="1" ht="15.75" customHeight="1">
      <c r="A43" s="63" t="str">
        <f t="array" ref="A43">IF(C43&lt;&gt;0,SUM(($C$11:C43&lt;&gt;0)*1),"")</f>
        <v/>
      </c>
      <c r="B43" s="290"/>
      <c r="C43" s="290"/>
      <c r="D43" s="290"/>
      <c r="E43" s="396"/>
      <c r="F43" s="345"/>
      <c r="G43" s="347"/>
      <c r="H43" s="347"/>
      <c r="I43" s="63" t="str">
        <f t="shared" si="45"/>
        <v/>
      </c>
      <c r="J43" s="292">
        <f t="shared" si="1"/>
        <v>0</v>
      </c>
      <c r="K43" s="292">
        <f t="shared" si="2"/>
        <v>0</v>
      </c>
      <c r="L43" s="292">
        <f t="shared" si="3"/>
        <v>0</v>
      </c>
      <c r="M43" s="292">
        <f t="shared" si="4"/>
        <v>0</v>
      </c>
      <c r="N43" s="292">
        <f t="shared" si="39"/>
        <v>0</v>
      </c>
      <c r="O43" s="292">
        <f t="shared" si="40"/>
        <v>0</v>
      </c>
      <c r="P43" s="292">
        <f t="shared" si="5"/>
        <v>0</v>
      </c>
      <c r="Q43" s="292">
        <f t="shared" si="6"/>
        <v>0</v>
      </c>
      <c r="R43" s="292">
        <f t="shared" si="7"/>
        <v>0</v>
      </c>
      <c r="S43" s="292">
        <f t="shared" si="8"/>
        <v>0</v>
      </c>
      <c r="T43" s="292">
        <f t="shared" si="41"/>
        <v>0</v>
      </c>
      <c r="U43" s="292">
        <f t="shared" si="42"/>
        <v>0</v>
      </c>
      <c r="V43" s="292">
        <f t="shared" si="9"/>
        <v>0</v>
      </c>
      <c r="W43" s="292">
        <f t="shared" si="10"/>
        <v>0</v>
      </c>
      <c r="X43" s="292">
        <f t="shared" si="11"/>
        <v>0</v>
      </c>
      <c r="Y43" s="292">
        <f t="shared" si="12"/>
        <v>0</v>
      </c>
      <c r="Z43" s="292">
        <f t="shared" si="13"/>
        <v>0</v>
      </c>
      <c r="AA43" s="292">
        <f t="shared" si="14"/>
        <v>0</v>
      </c>
      <c r="AB43" s="292">
        <f t="shared" si="15"/>
        <v>0</v>
      </c>
      <c r="AC43" s="292">
        <f t="shared" si="16"/>
        <v>0</v>
      </c>
      <c r="AD43" s="292">
        <f t="shared" si="17"/>
        <v>0</v>
      </c>
      <c r="AE43" s="292">
        <f t="shared" si="18"/>
        <v>0</v>
      </c>
      <c r="AF43" s="292">
        <f t="shared" si="43"/>
        <v>0</v>
      </c>
      <c r="AG43" s="292">
        <f t="shared" si="44"/>
        <v>0</v>
      </c>
      <c r="AH43" s="292">
        <f t="shared" si="19"/>
        <v>0</v>
      </c>
      <c r="AI43" s="292">
        <f t="shared" si="20"/>
        <v>0</v>
      </c>
      <c r="AJ43" s="292">
        <f t="shared" si="21"/>
        <v>0</v>
      </c>
      <c r="AK43" s="292">
        <f t="shared" si="22"/>
        <v>0</v>
      </c>
      <c r="AL43" s="292">
        <f t="shared" si="23"/>
        <v>0</v>
      </c>
      <c r="AM43" s="292">
        <f t="shared" si="24"/>
        <v>0</v>
      </c>
      <c r="AN43" s="292">
        <f t="shared" si="25"/>
        <v>0</v>
      </c>
      <c r="AO43" s="292">
        <f t="shared" si="26"/>
        <v>0</v>
      </c>
      <c r="AP43" s="292">
        <f t="shared" si="27"/>
        <v>0</v>
      </c>
      <c r="AQ43" s="292">
        <f t="shared" si="28"/>
        <v>0</v>
      </c>
      <c r="AR43" s="292">
        <f t="shared" si="29"/>
        <v>0</v>
      </c>
      <c r="AS43" s="292">
        <f t="shared" si="30"/>
        <v>0</v>
      </c>
      <c r="AT43" s="292">
        <f t="shared" si="31"/>
        <v>0</v>
      </c>
      <c r="AU43" s="292">
        <f t="shared" si="32"/>
        <v>0</v>
      </c>
      <c r="AV43" s="292">
        <f t="shared" si="33"/>
        <v>0</v>
      </c>
      <c r="AW43" s="292">
        <f t="shared" si="34"/>
        <v>0</v>
      </c>
      <c r="AX43" s="292">
        <f t="shared" si="35"/>
        <v>0</v>
      </c>
      <c r="AY43" s="292">
        <f t="shared" si="36"/>
        <v>0</v>
      </c>
      <c r="AZ43" s="292">
        <f t="shared" si="37"/>
        <v>0</v>
      </c>
      <c r="BA43" s="292">
        <f t="shared" si="38"/>
        <v>0</v>
      </c>
    </row>
    <row r="44" spans="1:53" s="289" customFormat="1" ht="15.75" customHeight="1">
      <c r="A44" s="63" t="str">
        <f t="array" ref="A44">IF(C44&lt;&gt;0,SUM(($C$11:C44&lt;&gt;0)*1),"")</f>
        <v/>
      </c>
      <c r="B44" s="290"/>
      <c r="C44" s="290"/>
      <c r="D44" s="290"/>
      <c r="E44" s="396"/>
      <c r="F44" s="345"/>
      <c r="G44" s="347"/>
      <c r="H44" s="347"/>
      <c r="I44" s="63" t="str">
        <f t="shared" si="45"/>
        <v/>
      </c>
      <c r="J44" s="292">
        <f t="shared" si="1"/>
        <v>0</v>
      </c>
      <c r="K44" s="292">
        <f t="shared" si="2"/>
        <v>0</v>
      </c>
      <c r="L44" s="292">
        <f t="shared" si="3"/>
        <v>0</v>
      </c>
      <c r="M44" s="292">
        <f t="shared" si="4"/>
        <v>0</v>
      </c>
      <c r="N44" s="292">
        <f t="shared" si="39"/>
        <v>0</v>
      </c>
      <c r="O44" s="292">
        <f t="shared" si="40"/>
        <v>0</v>
      </c>
      <c r="P44" s="292">
        <f t="shared" si="5"/>
        <v>0</v>
      </c>
      <c r="Q44" s="292">
        <f t="shared" si="6"/>
        <v>0</v>
      </c>
      <c r="R44" s="292">
        <f t="shared" si="7"/>
        <v>0</v>
      </c>
      <c r="S44" s="292">
        <f t="shared" si="8"/>
        <v>0</v>
      </c>
      <c r="T44" s="292">
        <f t="shared" si="41"/>
        <v>0</v>
      </c>
      <c r="U44" s="292">
        <f t="shared" si="42"/>
        <v>0</v>
      </c>
      <c r="V44" s="292">
        <f t="shared" si="9"/>
        <v>0</v>
      </c>
      <c r="W44" s="292">
        <f t="shared" si="10"/>
        <v>0</v>
      </c>
      <c r="X44" s="292">
        <f t="shared" si="11"/>
        <v>0</v>
      </c>
      <c r="Y44" s="292">
        <f t="shared" si="12"/>
        <v>0</v>
      </c>
      <c r="Z44" s="292">
        <f t="shared" si="13"/>
        <v>0</v>
      </c>
      <c r="AA44" s="292">
        <f t="shared" si="14"/>
        <v>0</v>
      </c>
      <c r="AB44" s="292">
        <f t="shared" si="15"/>
        <v>0</v>
      </c>
      <c r="AC44" s="292">
        <f t="shared" si="16"/>
        <v>0</v>
      </c>
      <c r="AD44" s="292">
        <f t="shared" si="17"/>
        <v>0</v>
      </c>
      <c r="AE44" s="292">
        <f t="shared" si="18"/>
        <v>0</v>
      </c>
      <c r="AF44" s="292">
        <f t="shared" si="43"/>
        <v>0</v>
      </c>
      <c r="AG44" s="292">
        <f t="shared" si="44"/>
        <v>0</v>
      </c>
      <c r="AH44" s="292">
        <f t="shared" si="19"/>
        <v>0</v>
      </c>
      <c r="AI44" s="292">
        <f t="shared" si="20"/>
        <v>0</v>
      </c>
      <c r="AJ44" s="292">
        <f t="shared" si="21"/>
        <v>0</v>
      </c>
      <c r="AK44" s="292">
        <f t="shared" si="22"/>
        <v>0</v>
      </c>
      <c r="AL44" s="292">
        <f t="shared" si="23"/>
        <v>0</v>
      </c>
      <c r="AM44" s="292">
        <f t="shared" si="24"/>
        <v>0</v>
      </c>
      <c r="AN44" s="292">
        <f t="shared" si="25"/>
        <v>0</v>
      </c>
      <c r="AO44" s="292">
        <f t="shared" si="26"/>
        <v>0</v>
      </c>
      <c r="AP44" s="292">
        <f t="shared" si="27"/>
        <v>0</v>
      </c>
      <c r="AQ44" s="292">
        <f t="shared" si="28"/>
        <v>0</v>
      </c>
      <c r="AR44" s="292">
        <f t="shared" si="29"/>
        <v>0</v>
      </c>
      <c r="AS44" s="292">
        <f t="shared" si="30"/>
        <v>0</v>
      </c>
      <c r="AT44" s="292">
        <f t="shared" si="31"/>
        <v>0</v>
      </c>
      <c r="AU44" s="292">
        <f t="shared" si="32"/>
        <v>0</v>
      </c>
      <c r="AV44" s="292">
        <f t="shared" si="33"/>
        <v>0</v>
      </c>
      <c r="AW44" s="292">
        <f t="shared" si="34"/>
        <v>0</v>
      </c>
      <c r="AX44" s="292">
        <f t="shared" si="35"/>
        <v>0</v>
      </c>
      <c r="AY44" s="292">
        <f t="shared" si="36"/>
        <v>0</v>
      </c>
      <c r="AZ44" s="292">
        <f t="shared" si="37"/>
        <v>0</v>
      </c>
      <c r="BA44" s="292">
        <f t="shared" si="38"/>
        <v>0</v>
      </c>
    </row>
    <row r="45" spans="1:53" s="289" customFormat="1" ht="15.75" customHeight="1">
      <c r="A45" s="63" t="str">
        <f t="array" ref="A45">IF(C45&lt;&gt;0,SUM(($C$11:C45&lt;&gt;0)*1),"")</f>
        <v/>
      </c>
      <c r="B45" s="290"/>
      <c r="C45" s="290"/>
      <c r="D45" s="290"/>
      <c r="E45" s="396"/>
      <c r="F45" s="345"/>
      <c r="G45" s="347"/>
      <c r="H45" s="347"/>
      <c r="I45" s="63" t="str">
        <f t="shared" si="45"/>
        <v/>
      </c>
      <c r="J45" s="292">
        <f t="shared" si="1"/>
        <v>0</v>
      </c>
      <c r="K45" s="292">
        <f t="shared" si="2"/>
        <v>0</v>
      </c>
      <c r="L45" s="292">
        <f t="shared" si="3"/>
        <v>0</v>
      </c>
      <c r="M45" s="292">
        <f t="shared" si="4"/>
        <v>0</v>
      </c>
      <c r="N45" s="292">
        <f t="shared" si="39"/>
        <v>0</v>
      </c>
      <c r="O45" s="292">
        <f t="shared" si="40"/>
        <v>0</v>
      </c>
      <c r="P45" s="292">
        <f t="shared" si="5"/>
        <v>0</v>
      </c>
      <c r="Q45" s="292">
        <f t="shared" si="6"/>
        <v>0</v>
      </c>
      <c r="R45" s="292">
        <f t="shared" si="7"/>
        <v>0</v>
      </c>
      <c r="S45" s="292">
        <f t="shared" si="8"/>
        <v>0</v>
      </c>
      <c r="T45" s="292">
        <f t="shared" si="41"/>
        <v>0</v>
      </c>
      <c r="U45" s="292">
        <f t="shared" si="42"/>
        <v>0</v>
      </c>
      <c r="V45" s="292">
        <f t="shared" si="9"/>
        <v>0</v>
      </c>
      <c r="W45" s="292">
        <f t="shared" si="10"/>
        <v>0</v>
      </c>
      <c r="X45" s="292">
        <f t="shared" si="11"/>
        <v>0</v>
      </c>
      <c r="Y45" s="292">
        <f t="shared" si="12"/>
        <v>0</v>
      </c>
      <c r="Z45" s="292">
        <f t="shared" si="13"/>
        <v>0</v>
      </c>
      <c r="AA45" s="292">
        <f t="shared" si="14"/>
        <v>0</v>
      </c>
      <c r="AB45" s="292">
        <f t="shared" si="15"/>
        <v>0</v>
      </c>
      <c r="AC45" s="292">
        <f t="shared" si="16"/>
        <v>0</v>
      </c>
      <c r="AD45" s="292">
        <f t="shared" si="17"/>
        <v>0</v>
      </c>
      <c r="AE45" s="292">
        <f t="shared" si="18"/>
        <v>0</v>
      </c>
      <c r="AF45" s="292">
        <f t="shared" si="43"/>
        <v>0</v>
      </c>
      <c r="AG45" s="292">
        <f t="shared" si="44"/>
        <v>0</v>
      </c>
      <c r="AH45" s="292">
        <f t="shared" si="19"/>
        <v>0</v>
      </c>
      <c r="AI45" s="292">
        <f t="shared" si="20"/>
        <v>0</v>
      </c>
      <c r="AJ45" s="292">
        <f t="shared" si="21"/>
        <v>0</v>
      </c>
      <c r="AK45" s="292">
        <f t="shared" si="22"/>
        <v>0</v>
      </c>
      <c r="AL45" s="292">
        <f t="shared" si="23"/>
        <v>0</v>
      </c>
      <c r="AM45" s="292">
        <f t="shared" si="24"/>
        <v>0</v>
      </c>
      <c r="AN45" s="292">
        <f t="shared" si="25"/>
        <v>0</v>
      </c>
      <c r="AO45" s="292">
        <f t="shared" si="26"/>
        <v>0</v>
      </c>
      <c r="AP45" s="292">
        <f t="shared" si="27"/>
        <v>0</v>
      </c>
      <c r="AQ45" s="292">
        <f t="shared" si="28"/>
        <v>0</v>
      </c>
      <c r="AR45" s="292">
        <f t="shared" si="29"/>
        <v>0</v>
      </c>
      <c r="AS45" s="292">
        <f t="shared" si="30"/>
        <v>0</v>
      </c>
      <c r="AT45" s="292">
        <f t="shared" si="31"/>
        <v>0</v>
      </c>
      <c r="AU45" s="292">
        <f t="shared" si="32"/>
        <v>0</v>
      </c>
      <c r="AV45" s="292">
        <f t="shared" si="33"/>
        <v>0</v>
      </c>
      <c r="AW45" s="292">
        <f t="shared" si="34"/>
        <v>0</v>
      </c>
      <c r="AX45" s="292">
        <f t="shared" si="35"/>
        <v>0</v>
      </c>
      <c r="AY45" s="292">
        <f t="shared" si="36"/>
        <v>0</v>
      </c>
      <c r="AZ45" s="292">
        <f t="shared" si="37"/>
        <v>0</v>
      </c>
      <c r="BA45" s="292">
        <f t="shared" si="38"/>
        <v>0</v>
      </c>
    </row>
    <row r="46" spans="1:53" s="289" customFormat="1" ht="15.75" customHeight="1">
      <c r="A46" s="63" t="str">
        <f t="array" ref="A46">IF(C46&lt;&gt;0,SUM(($C$11:C46&lt;&gt;0)*1),"")</f>
        <v/>
      </c>
      <c r="B46" s="290"/>
      <c r="C46" s="290"/>
      <c r="D46" s="290"/>
      <c r="E46" s="396"/>
      <c r="F46" s="345"/>
      <c r="G46" s="347"/>
      <c r="H46" s="347"/>
      <c r="I46" s="63" t="str">
        <f t="shared" si="45"/>
        <v/>
      </c>
      <c r="J46" s="292">
        <f t="shared" si="1"/>
        <v>0</v>
      </c>
      <c r="K46" s="292">
        <f t="shared" si="2"/>
        <v>0</v>
      </c>
      <c r="L46" s="292">
        <f t="shared" si="3"/>
        <v>0</v>
      </c>
      <c r="M46" s="292">
        <f t="shared" si="4"/>
        <v>0</v>
      </c>
      <c r="N46" s="292">
        <f t="shared" si="39"/>
        <v>0</v>
      </c>
      <c r="O46" s="292">
        <f t="shared" si="40"/>
        <v>0</v>
      </c>
      <c r="P46" s="292">
        <f t="shared" si="5"/>
        <v>0</v>
      </c>
      <c r="Q46" s="292">
        <f t="shared" si="6"/>
        <v>0</v>
      </c>
      <c r="R46" s="292">
        <f t="shared" si="7"/>
        <v>0</v>
      </c>
      <c r="S46" s="292">
        <f t="shared" si="8"/>
        <v>0</v>
      </c>
      <c r="T46" s="292">
        <f t="shared" si="41"/>
        <v>0</v>
      </c>
      <c r="U46" s="292">
        <f t="shared" si="42"/>
        <v>0</v>
      </c>
      <c r="V46" s="292">
        <f t="shared" si="9"/>
        <v>0</v>
      </c>
      <c r="W46" s="292">
        <f t="shared" si="10"/>
        <v>0</v>
      </c>
      <c r="X46" s="292">
        <f t="shared" si="11"/>
        <v>0</v>
      </c>
      <c r="Y46" s="292">
        <f t="shared" si="12"/>
        <v>0</v>
      </c>
      <c r="Z46" s="292">
        <f t="shared" si="13"/>
        <v>0</v>
      </c>
      <c r="AA46" s="292">
        <f t="shared" si="14"/>
        <v>0</v>
      </c>
      <c r="AB46" s="292">
        <f t="shared" si="15"/>
        <v>0</v>
      </c>
      <c r="AC46" s="292">
        <f t="shared" si="16"/>
        <v>0</v>
      </c>
      <c r="AD46" s="292">
        <f t="shared" si="17"/>
        <v>0</v>
      </c>
      <c r="AE46" s="292">
        <f t="shared" si="18"/>
        <v>0</v>
      </c>
      <c r="AF46" s="292">
        <f t="shared" si="43"/>
        <v>0</v>
      </c>
      <c r="AG46" s="292">
        <f t="shared" si="44"/>
        <v>0</v>
      </c>
      <c r="AH46" s="292">
        <f t="shared" si="19"/>
        <v>0</v>
      </c>
      <c r="AI46" s="292">
        <f t="shared" si="20"/>
        <v>0</v>
      </c>
      <c r="AJ46" s="292">
        <f t="shared" si="21"/>
        <v>0</v>
      </c>
      <c r="AK46" s="292">
        <f t="shared" si="22"/>
        <v>0</v>
      </c>
      <c r="AL46" s="292">
        <f t="shared" si="23"/>
        <v>0</v>
      </c>
      <c r="AM46" s="292">
        <f t="shared" si="24"/>
        <v>0</v>
      </c>
      <c r="AN46" s="292">
        <f t="shared" si="25"/>
        <v>0</v>
      </c>
      <c r="AO46" s="292">
        <f t="shared" si="26"/>
        <v>0</v>
      </c>
      <c r="AP46" s="292">
        <f t="shared" si="27"/>
        <v>0</v>
      </c>
      <c r="AQ46" s="292">
        <f t="shared" si="28"/>
        <v>0</v>
      </c>
      <c r="AR46" s="292">
        <f t="shared" si="29"/>
        <v>0</v>
      </c>
      <c r="AS46" s="292">
        <f t="shared" si="30"/>
        <v>0</v>
      </c>
      <c r="AT46" s="292">
        <f t="shared" si="31"/>
        <v>0</v>
      </c>
      <c r="AU46" s="292">
        <f t="shared" si="32"/>
        <v>0</v>
      </c>
      <c r="AV46" s="292">
        <f t="shared" si="33"/>
        <v>0</v>
      </c>
      <c r="AW46" s="292">
        <f t="shared" si="34"/>
        <v>0</v>
      </c>
      <c r="AX46" s="292">
        <f t="shared" si="35"/>
        <v>0</v>
      </c>
      <c r="AY46" s="292">
        <f t="shared" si="36"/>
        <v>0</v>
      </c>
      <c r="AZ46" s="292">
        <f t="shared" si="37"/>
        <v>0</v>
      </c>
      <c r="BA46" s="292">
        <f t="shared" si="38"/>
        <v>0</v>
      </c>
    </row>
    <row r="47" spans="1:53" s="289" customFormat="1" ht="15.75" customHeight="1">
      <c r="A47" s="63" t="str">
        <f t="array" ref="A47">IF(C47&lt;&gt;0,SUM(($C$11:C47&lt;&gt;0)*1),"")</f>
        <v/>
      </c>
      <c r="B47" s="290"/>
      <c r="C47" s="290"/>
      <c r="D47" s="290"/>
      <c r="E47" s="396"/>
      <c r="F47" s="345"/>
      <c r="G47" s="347"/>
      <c r="H47" s="347"/>
      <c r="I47" s="63" t="str">
        <f t="shared" si="45"/>
        <v/>
      </c>
      <c r="J47" s="292">
        <f t="shared" si="1"/>
        <v>0</v>
      </c>
      <c r="K47" s="292">
        <f t="shared" si="2"/>
        <v>0</v>
      </c>
      <c r="L47" s="292">
        <f t="shared" si="3"/>
        <v>0</v>
      </c>
      <c r="M47" s="292">
        <f t="shared" si="4"/>
        <v>0</v>
      </c>
      <c r="N47" s="292">
        <f t="shared" si="39"/>
        <v>0</v>
      </c>
      <c r="O47" s="292">
        <f t="shared" si="40"/>
        <v>0</v>
      </c>
      <c r="P47" s="292">
        <f t="shared" si="5"/>
        <v>0</v>
      </c>
      <c r="Q47" s="292">
        <f t="shared" si="6"/>
        <v>0</v>
      </c>
      <c r="R47" s="292">
        <f t="shared" si="7"/>
        <v>0</v>
      </c>
      <c r="S47" s="292">
        <f t="shared" si="8"/>
        <v>0</v>
      </c>
      <c r="T47" s="292">
        <f t="shared" si="41"/>
        <v>0</v>
      </c>
      <c r="U47" s="292">
        <f t="shared" si="42"/>
        <v>0</v>
      </c>
      <c r="V47" s="292">
        <f t="shared" si="9"/>
        <v>0</v>
      </c>
      <c r="W47" s="292">
        <f t="shared" si="10"/>
        <v>0</v>
      </c>
      <c r="X47" s="292">
        <f t="shared" si="11"/>
        <v>0</v>
      </c>
      <c r="Y47" s="292">
        <f t="shared" si="12"/>
        <v>0</v>
      </c>
      <c r="Z47" s="292">
        <f t="shared" si="13"/>
        <v>0</v>
      </c>
      <c r="AA47" s="292">
        <f t="shared" si="14"/>
        <v>0</v>
      </c>
      <c r="AB47" s="292">
        <f t="shared" si="15"/>
        <v>0</v>
      </c>
      <c r="AC47" s="292">
        <f t="shared" si="16"/>
        <v>0</v>
      </c>
      <c r="AD47" s="292">
        <f t="shared" si="17"/>
        <v>0</v>
      </c>
      <c r="AE47" s="292">
        <f t="shared" si="18"/>
        <v>0</v>
      </c>
      <c r="AF47" s="292">
        <f t="shared" si="43"/>
        <v>0</v>
      </c>
      <c r="AG47" s="292">
        <f t="shared" si="44"/>
        <v>0</v>
      </c>
      <c r="AH47" s="292">
        <f t="shared" si="19"/>
        <v>0</v>
      </c>
      <c r="AI47" s="292">
        <f t="shared" si="20"/>
        <v>0</v>
      </c>
      <c r="AJ47" s="292">
        <f t="shared" si="21"/>
        <v>0</v>
      </c>
      <c r="AK47" s="292">
        <f t="shared" si="22"/>
        <v>0</v>
      </c>
      <c r="AL47" s="292">
        <f t="shared" si="23"/>
        <v>0</v>
      </c>
      <c r="AM47" s="292">
        <f t="shared" si="24"/>
        <v>0</v>
      </c>
      <c r="AN47" s="292">
        <f t="shared" si="25"/>
        <v>0</v>
      </c>
      <c r="AO47" s="292">
        <f t="shared" si="26"/>
        <v>0</v>
      </c>
      <c r="AP47" s="292">
        <f t="shared" si="27"/>
        <v>0</v>
      </c>
      <c r="AQ47" s="292">
        <f t="shared" si="28"/>
        <v>0</v>
      </c>
      <c r="AR47" s="292">
        <f t="shared" si="29"/>
        <v>0</v>
      </c>
      <c r="AS47" s="292">
        <f t="shared" si="30"/>
        <v>0</v>
      </c>
      <c r="AT47" s="292">
        <f t="shared" si="31"/>
        <v>0</v>
      </c>
      <c r="AU47" s="292">
        <f t="shared" si="32"/>
        <v>0</v>
      </c>
      <c r="AV47" s="292">
        <f t="shared" si="33"/>
        <v>0</v>
      </c>
      <c r="AW47" s="292">
        <f t="shared" si="34"/>
        <v>0</v>
      </c>
      <c r="AX47" s="292">
        <f t="shared" si="35"/>
        <v>0</v>
      </c>
      <c r="AY47" s="292">
        <f t="shared" si="36"/>
        <v>0</v>
      </c>
      <c r="AZ47" s="292">
        <f t="shared" si="37"/>
        <v>0</v>
      </c>
      <c r="BA47" s="292">
        <f t="shared" si="38"/>
        <v>0</v>
      </c>
    </row>
    <row r="48" spans="1:53" s="289" customFormat="1" ht="15.75" customHeight="1">
      <c r="A48" s="63" t="str">
        <f t="array" ref="A48">IF(C48&lt;&gt;0,SUM(($C$11:C48&lt;&gt;0)*1),"")</f>
        <v/>
      </c>
      <c r="B48" s="290"/>
      <c r="C48" s="290"/>
      <c r="D48" s="290"/>
      <c r="E48" s="396"/>
      <c r="F48" s="345"/>
      <c r="G48" s="347"/>
      <c r="H48" s="347"/>
      <c r="I48" s="63" t="str">
        <f t="shared" si="45"/>
        <v/>
      </c>
      <c r="J48" s="292">
        <f t="shared" si="1"/>
        <v>0</v>
      </c>
      <c r="K48" s="292">
        <f t="shared" si="2"/>
        <v>0</v>
      </c>
      <c r="L48" s="292">
        <f t="shared" si="3"/>
        <v>0</v>
      </c>
      <c r="M48" s="292">
        <f t="shared" si="4"/>
        <v>0</v>
      </c>
      <c r="N48" s="292">
        <f t="shared" si="39"/>
        <v>0</v>
      </c>
      <c r="O48" s="292">
        <f t="shared" si="40"/>
        <v>0</v>
      </c>
      <c r="P48" s="292">
        <f t="shared" si="5"/>
        <v>0</v>
      </c>
      <c r="Q48" s="292">
        <f t="shared" si="6"/>
        <v>0</v>
      </c>
      <c r="R48" s="292">
        <f t="shared" si="7"/>
        <v>0</v>
      </c>
      <c r="S48" s="292">
        <f t="shared" si="8"/>
        <v>0</v>
      </c>
      <c r="T48" s="292">
        <f t="shared" si="41"/>
        <v>0</v>
      </c>
      <c r="U48" s="292">
        <f t="shared" si="42"/>
        <v>0</v>
      </c>
      <c r="V48" s="292">
        <f t="shared" si="9"/>
        <v>0</v>
      </c>
      <c r="W48" s="292">
        <f t="shared" si="10"/>
        <v>0</v>
      </c>
      <c r="X48" s="292">
        <f t="shared" si="11"/>
        <v>0</v>
      </c>
      <c r="Y48" s="292">
        <f t="shared" si="12"/>
        <v>0</v>
      </c>
      <c r="Z48" s="292">
        <f t="shared" si="13"/>
        <v>0</v>
      </c>
      <c r="AA48" s="292">
        <f t="shared" si="14"/>
        <v>0</v>
      </c>
      <c r="AB48" s="292">
        <f t="shared" si="15"/>
        <v>0</v>
      </c>
      <c r="AC48" s="292">
        <f t="shared" si="16"/>
        <v>0</v>
      </c>
      <c r="AD48" s="292">
        <f t="shared" si="17"/>
        <v>0</v>
      </c>
      <c r="AE48" s="292">
        <f t="shared" si="18"/>
        <v>0</v>
      </c>
      <c r="AF48" s="292">
        <f t="shared" si="43"/>
        <v>0</v>
      </c>
      <c r="AG48" s="292">
        <f t="shared" si="44"/>
        <v>0</v>
      </c>
      <c r="AH48" s="292">
        <f t="shared" si="19"/>
        <v>0</v>
      </c>
      <c r="AI48" s="292">
        <f t="shared" si="20"/>
        <v>0</v>
      </c>
      <c r="AJ48" s="292">
        <f t="shared" si="21"/>
        <v>0</v>
      </c>
      <c r="AK48" s="292">
        <f t="shared" si="22"/>
        <v>0</v>
      </c>
      <c r="AL48" s="292">
        <f t="shared" si="23"/>
        <v>0</v>
      </c>
      <c r="AM48" s="292">
        <f t="shared" si="24"/>
        <v>0</v>
      </c>
      <c r="AN48" s="292">
        <f t="shared" si="25"/>
        <v>0</v>
      </c>
      <c r="AO48" s="292">
        <f t="shared" si="26"/>
        <v>0</v>
      </c>
      <c r="AP48" s="292">
        <f t="shared" si="27"/>
        <v>0</v>
      </c>
      <c r="AQ48" s="292">
        <f t="shared" si="28"/>
        <v>0</v>
      </c>
      <c r="AR48" s="292">
        <f t="shared" si="29"/>
        <v>0</v>
      </c>
      <c r="AS48" s="292">
        <f t="shared" si="30"/>
        <v>0</v>
      </c>
      <c r="AT48" s="292">
        <f t="shared" si="31"/>
        <v>0</v>
      </c>
      <c r="AU48" s="292">
        <f t="shared" si="32"/>
        <v>0</v>
      </c>
      <c r="AV48" s="292">
        <f t="shared" si="33"/>
        <v>0</v>
      </c>
      <c r="AW48" s="292">
        <f t="shared" si="34"/>
        <v>0</v>
      </c>
      <c r="AX48" s="292">
        <f t="shared" si="35"/>
        <v>0</v>
      </c>
      <c r="AY48" s="292">
        <f t="shared" si="36"/>
        <v>0</v>
      </c>
      <c r="AZ48" s="292">
        <f t="shared" si="37"/>
        <v>0</v>
      </c>
      <c r="BA48" s="292">
        <f t="shared" si="38"/>
        <v>0</v>
      </c>
    </row>
    <row r="49" spans="1:53" s="289" customFormat="1" ht="15.75" customHeight="1">
      <c r="A49" s="63" t="str">
        <f t="array" ref="A49">IF(C49&lt;&gt;0,SUM(($C$11:C49&lt;&gt;0)*1),"")</f>
        <v/>
      </c>
      <c r="B49" s="290"/>
      <c r="C49" s="290"/>
      <c r="D49" s="290"/>
      <c r="E49" s="396"/>
      <c r="F49" s="345"/>
      <c r="G49" s="347"/>
      <c r="H49" s="347"/>
      <c r="I49" s="63" t="str">
        <f t="shared" si="45"/>
        <v/>
      </c>
      <c r="J49" s="292">
        <f t="shared" si="1"/>
        <v>0</v>
      </c>
      <c r="K49" s="292">
        <f t="shared" si="2"/>
        <v>0</v>
      </c>
      <c r="L49" s="292">
        <f t="shared" si="3"/>
        <v>0</v>
      </c>
      <c r="M49" s="292">
        <f t="shared" si="4"/>
        <v>0</v>
      </c>
      <c r="N49" s="292">
        <f t="shared" si="39"/>
        <v>0</v>
      </c>
      <c r="O49" s="292">
        <f t="shared" si="40"/>
        <v>0</v>
      </c>
      <c r="P49" s="292">
        <f t="shared" si="5"/>
        <v>0</v>
      </c>
      <c r="Q49" s="292">
        <f t="shared" si="6"/>
        <v>0</v>
      </c>
      <c r="R49" s="292">
        <f t="shared" si="7"/>
        <v>0</v>
      </c>
      <c r="S49" s="292">
        <f t="shared" si="8"/>
        <v>0</v>
      </c>
      <c r="T49" s="292">
        <f t="shared" si="41"/>
        <v>0</v>
      </c>
      <c r="U49" s="292">
        <f t="shared" si="42"/>
        <v>0</v>
      </c>
      <c r="V49" s="292">
        <f t="shared" si="9"/>
        <v>0</v>
      </c>
      <c r="W49" s="292">
        <f t="shared" si="10"/>
        <v>0</v>
      </c>
      <c r="X49" s="292">
        <f t="shared" si="11"/>
        <v>0</v>
      </c>
      <c r="Y49" s="292">
        <f t="shared" si="12"/>
        <v>0</v>
      </c>
      <c r="Z49" s="292">
        <f t="shared" si="13"/>
        <v>0</v>
      </c>
      <c r="AA49" s="292">
        <f t="shared" si="14"/>
        <v>0</v>
      </c>
      <c r="AB49" s="292">
        <f t="shared" si="15"/>
        <v>0</v>
      </c>
      <c r="AC49" s="292">
        <f t="shared" si="16"/>
        <v>0</v>
      </c>
      <c r="AD49" s="292">
        <f t="shared" si="17"/>
        <v>0</v>
      </c>
      <c r="AE49" s="292">
        <f t="shared" si="18"/>
        <v>0</v>
      </c>
      <c r="AF49" s="292">
        <f t="shared" si="43"/>
        <v>0</v>
      </c>
      <c r="AG49" s="292">
        <f t="shared" si="44"/>
        <v>0</v>
      </c>
      <c r="AH49" s="292">
        <f t="shared" si="19"/>
        <v>0</v>
      </c>
      <c r="AI49" s="292">
        <f t="shared" si="20"/>
        <v>0</v>
      </c>
      <c r="AJ49" s="292">
        <f t="shared" si="21"/>
        <v>0</v>
      </c>
      <c r="AK49" s="292">
        <f t="shared" si="22"/>
        <v>0</v>
      </c>
      <c r="AL49" s="292">
        <f t="shared" si="23"/>
        <v>0</v>
      </c>
      <c r="AM49" s="292">
        <f t="shared" si="24"/>
        <v>0</v>
      </c>
      <c r="AN49" s="292">
        <f t="shared" si="25"/>
        <v>0</v>
      </c>
      <c r="AO49" s="292">
        <f t="shared" si="26"/>
        <v>0</v>
      </c>
      <c r="AP49" s="292">
        <f t="shared" si="27"/>
        <v>0</v>
      </c>
      <c r="AQ49" s="292">
        <f t="shared" si="28"/>
        <v>0</v>
      </c>
      <c r="AR49" s="292">
        <f t="shared" si="29"/>
        <v>0</v>
      </c>
      <c r="AS49" s="292">
        <f t="shared" si="30"/>
        <v>0</v>
      </c>
      <c r="AT49" s="292">
        <f t="shared" si="31"/>
        <v>0</v>
      </c>
      <c r="AU49" s="292">
        <f t="shared" si="32"/>
        <v>0</v>
      </c>
      <c r="AV49" s="292">
        <f t="shared" si="33"/>
        <v>0</v>
      </c>
      <c r="AW49" s="292">
        <f t="shared" si="34"/>
        <v>0</v>
      </c>
      <c r="AX49" s="292">
        <f t="shared" si="35"/>
        <v>0</v>
      </c>
      <c r="AY49" s="292">
        <f t="shared" si="36"/>
        <v>0</v>
      </c>
      <c r="AZ49" s="292">
        <f t="shared" si="37"/>
        <v>0</v>
      </c>
      <c r="BA49" s="292">
        <f t="shared" si="38"/>
        <v>0</v>
      </c>
    </row>
    <row r="50" spans="1:53" s="289" customFormat="1" ht="15.75" customHeight="1">
      <c r="A50" s="63" t="str">
        <f t="array" ref="A50">IF(C50&lt;&gt;0,SUM(($C$11:C50&lt;&gt;0)*1),"")</f>
        <v/>
      </c>
      <c r="B50" s="290"/>
      <c r="C50" s="290"/>
      <c r="D50" s="290"/>
      <c r="E50" s="396"/>
      <c r="F50" s="345"/>
      <c r="G50" s="347"/>
      <c r="H50" s="347"/>
      <c r="I50" s="63" t="str">
        <f t="shared" si="45"/>
        <v/>
      </c>
      <c r="J50" s="292">
        <f t="shared" si="1"/>
        <v>0</v>
      </c>
      <c r="K50" s="292">
        <f t="shared" si="2"/>
        <v>0</v>
      </c>
      <c r="L50" s="292">
        <f t="shared" si="3"/>
        <v>0</v>
      </c>
      <c r="M50" s="292">
        <f t="shared" si="4"/>
        <v>0</v>
      </c>
      <c r="N50" s="292">
        <f t="shared" si="39"/>
        <v>0</v>
      </c>
      <c r="O50" s="292">
        <f t="shared" si="40"/>
        <v>0</v>
      </c>
      <c r="P50" s="292">
        <f t="shared" si="5"/>
        <v>0</v>
      </c>
      <c r="Q50" s="292">
        <f t="shared" si="6"/>
        <v>0</v>
      </c>
      <c r="R50" s="292">
        <f t="shared" si="7"/>
        <v>0</v>
      </c>
      <c r="S50" s="292">
        <f t="shared" si="8"/>
        <v>0</v>
      </c>
      <c r="T50" s="292">
        <f t="shared" si="41"/>
        <v>0</v>
      </c>
      <c r="U50" s="292">
        <f t="shared" si="42"/>
        <v>0</v>
      </c>
      <c r="V50" s="292">
        <f t="shared" si="9"/>
        <v>0</v>
      </c>
      <c r="W50" s="292">
        <f t="shared" si="10"/>
        <v>0</v>
      </c>
      <c r="X50" s="292">
        <f t="shared" si="11"/>
        <v>0</v>
      </c>
      <c r="Y50" s="292">
        <f t="shared" si="12"/>
        <v>0</v>
      </c>
      <c r="Z50" s="292">
        <f t="shared" si="13"/>
        <v>0</v>
      </c>
      <c r="AA50" s="292">
        <f t="shared" si="14"/>
        <v>0</v>
      </c>
      <c r="AB50" s="292">
        <f t="shared" si="15"/>
        <v>0</v>
      </c>
      <c r="AC50" s="292">
        <f t="shared" si="16"/>
        <v>0</v>
      </c>
      <c r="AD50" s="292">
        <f t="shared" si="17"/>
        <v>0</v>
      </c>
      <c r="AE50" s="292">
        <f t="shared" si="18"/>
        <v>0</v>
      </c>
      <c r="AF50" s="292">
        <f t="shared" si="43"/>
        <v>0</v>
      </c>
      <c r="AG50" s="292">
        <f t="shared" si="44"/>
        <v>0</v>
      </c>
      <c r="AH50" s="292">
        <f t="shared" si="19"/>
        <v>0</v>
      </c>
      <c r="AI50" s="292">
        <f t="shared" si="20"/>
        <v>0</v>
      </c>
      <c r="AJ50" s="292">
        <f t="shared" si="21"/>
        <v>0</v>
      </c>
      <c r="AK50" s="292">
        <f t="shared" si="22"/>
        <v>0</v>
      </c>
      <c r="AL50" s="292">
        <f t="shared" si="23"/>
        <v>0</v>
      </c>
      <c r="AM50" s="292">
        <f t="shared" si="24"/>
        <v>0</v>
      </c>
      <c r="AN50" s="292">
        <f t="shared" si="25"/>
        <v>0</v>
      </c>
      <c r="AO50" s="292">
        <f t="shared" si="26"/>
        <v>0</v>
      </c>
      <c r="AP50" s="292">
        <f t="shared" si="27"/>
        <v>0</v>
      </c>
      <c r="AQ50" s="292">
        <f t="shared" si="28"/>
        <v>0</v>
      </c>
      <c r="AR50" s="292">
        <f t="shared" si="29"/>
        <v>0</v>
      </c>
      <c r="AS50" s="292">
        <f t="shared" si="30"/>
        <v>0</v>
      </c>
      <c r="AT50" s="292">
        <f t="shared" si="31"/>
        <v>0</v>
      </c>
      <c r="AU50" s="292">
        <f t="shared" si="32"/>
        <v>0</v>
      </c>
      <c r="AV50" s="292">
        <f t="shared" si="33"/>
        <v>0</v>
      </c>
      <c r="AW50" s="292">
        <f t="shared" si="34"/>
        <v>0</v>
      </c>
      <c r="AX50" s="292">
        <f t="shared" si="35"/>
        <v>0</v>
      </c>
      <c r="AY50" s="292">
        <f t="shared" si="36"/>
        <v>0</v>
      </c>
      <c r="AZ50" s="292">
        <f t="shared" si="37"/>
        <v>0</v>
      </c>
      <c r="BA50" s="292">
        <f t="shared" si="38"/>
        <v>0</v>
      </c>
    </row>
    <row r="51" spans="1:53" s="289" customFormat="1" ht="15.75" customHeight="1">
      <c r="A51" s="63" t="str">
        <f t="array" ref="A51">IF(C51&lt;&gt;0,SUM(($C$11:C51&lt;&gt;0)*1),"")</f>
        <v/>
      </c>
      <c r="B51" s="290"/>
      <c r="C51" s="290"/>
      <c r="D51" s="290"/>
      <c r="E51" s="396"/>
      <c r="F51" s="345"/>
      <c r="G51" s="347"/>
      <c r="H51" s="347"/>
      <c r="I51" s="63" t="str">
        <f t="shared" si="45"/>
        <v/>
      </c>
      <c r="J51" s="292">
        <f t="shared" si="1"/>
        <v>0</v>
      </c>
      <c r="K51" s="292">
        <f t="shared" si="2"/>
        <v>0</v>
      </c>
      <c r="L51" s="292">
        <f t="shared" si="3"/>
        <v>0</v>
      </c>
      <c r="M51" s="292">
        <f t="shared" si="4"/>
        <v>0</v>
      </c>
      <c r="N51" s="292">
        <f t="shared" si="39"/>
        <v>0</v>
      </c>
      <c r="O51" s="292">
        <f t="shared" si="40"/>
        <v>0</v>
      </c>
      <c r="P51" s="292">
        <f t="shared" si="5"/>
        <v>0</v>
      </c>
      <c r="Q51" s="292">
        <f t="shared" si="6"/>
        <v>0</v>
      </c>
      <c r="R51" s="292">
        <f t="shared" si="7"/>
        <v>0</v>
      </c>
      <c r="S51" s="292">
        <f t="shared" si="8"/>
        <v>0</v>
      </c>
      <c r="T51" s="292">
        <f t="shared" si="41"/>
        <v>0</v>
      </c>
      <c r="U51" s="292">
        <f t="shared" si="42"/>
        <v>0</v>
      </c>
      <c r="V51" s="292">
        <f t="shared" si="9"/>
        <v>0</v>
      </c>
      <c r="W51" s="292">
        <f t="shared" si="10"/>
        <v>0</v>
      </c>
      <c r="X51" s="292">
        <f t="shared" si="11"/>
        <v>0</v>
      </c>
      <c r="Y51" s="292">
        <f t="shared" si="12"/>
        <v>0</v>
      </c>
      <c r="Z51" s="292">
        <f t="shared" si="13"/>
        <v>0</v>
      </c>
      <c r="AA51" s="292">
        <f t="shared" si="14"/>
        <v>0</v>
      </c>
      <c r="AB51" s="292">
        <f t="shared" si="15"/>
        <v>0</v>
      </c>
      <c r="AC51" s="292">
        <f t="shared" si="16"/>
        <v>0</v>
      </c>
      <c r="AD51" s="292">
        <f t="shared" si="17"/>
        <v>0</v>
      </c>
      <c r="AE51" s="292">
        <f t="shared" si="18"/>
        <v>0</v>
      </c>
      <c r="AF51" s="292">
        <f t="shared" si="43"/>
        <v>0</v>
      </c>
      <c r="AG51" s="292">
        <f t="shared" si="44"/>
        <v>0</v>
      </c>
      <c r="AH51" s="292">
        <f t="shared" si="19"/>
        <v>0</v>
      </c>
      <c r="AI51" s="292">
        <f t="shared" si="20"/>
        <v>0</v>
      </c>
      <c r="AJ51" s="292">
        <f t="shared" si="21"/>
        <v>0</v>
      </c>
      <c r="AK51" s="292">
        <f t="shared" si="22"/>
        <v>0</v>
      </c>
      <c r="AL51" s="292">
        <f t="shared" si="23"/>
        <v>0</v>
      </c>
      <c r="AM51" s="292">
        <f t="shared" si="24"/>
        <v>0</v>
      </c>
      <c r="AN51" s="292">
        <f t="shared" si="25"/>
        <v>0</v>
      </c>
      <c r="AO51" s="292">
        <f t="shared" si="26"/>
        <v>0</v>
      </c>
      <c r="AP51" s="292">
        <f t="shared" si="27"/>
        <v>0</v>
      </c>
      <c r="AQ51" s="292">
        <f t="shared" si="28"/>
        <v>0</v>
      </c>
      <c r="AR51" s="292">
        <f t="shared" si="29"/>
        <v>0</v>
      </c>
      <c r="AS51" s="292">
        <f t="shared" si="30"/>
        <v>0</v>
      </c>
      <c r="AT51" s="292">
        <f t="shared" si="31"/>
        <v>0</v>
      </c>
      <c r="AU51" s="292">
        <f t="shared" si="32"/>
        <v>0</v>
      </c>
      <c r="AV51" s="292">
        <f t="shared" si="33"/>
        <v>0</v>
      </c>
      <c r="AW51" s="292">
        <f t="shared" si="34"/>
        <v>0</v>
      </c>
      <c r="AX51" s="292">
        <f t="shared" si="35"/>
        <v>0</v>
      </c>
      <c r="AY51" s="292">
        <f t="shared" si="36"/>
        <v>0</v>
      </c>
      <c r="AZ51" s="292">
        <f t="shared" si="37"/>
        <v>0</v>
      </c>
      <c r="BA51" s="292">
        <f t="shared" si="38"/>
        <v>0</v>
      </c>
    </row>
    <row r="52" spans="1:53" s="289" customFormat="1" ht="15.75" customHeight="1">
      <c r="A52" s="63" t="str">
        <f t="array" ref="A52">IF(C52&lt;&gt;0,SUM(($C$11:C52&lt;&gt;0)*1),"")</f>
        <v/>
      </c>
      <c r="B52" s="290"/>
      <c r="C52" s="290"/>
      <c r="D52" s="290"/>
      <c r="E52" s="396"/>
      <c r="F52" s="345"/>
      <c r="G52" s="347"/>
      <c r="H52" s="347"/>
      <c r="I52" s="63" t="str">
        <f t="shared" si="45"/>
        <v/>
      </c>
      <c r="J52" s="292">
        <f t="shared" si="1"/>
        <v>0</v>
      </c>
      <c r="K52" s="292">
        <f t="shared" si="2"/>
        <v>0</v>
      </c>
      <c r="L52" s="292">
        <f t="shared" si="3"/>
        <v>0</v>
      </c>
      <c r="M52" s="292">
        <f t="shared" si="4"/>
        <v>0</v>
      </c>
      <c r="N52" s="292">
        <f t="shared" si="39"/>
        <v>0</v>
      </c>
      <c r="O52" s="292">
        <f t="shared" si="40"/>
        <v>0</v>
      </c>
      <c r="P52" s="292">
        <f t="shared" si="5"/>
        <v>0</v>
      </c>
      <c r="Q52" s="292">
        <f t="shared" si="6"/>
        <v>0</v>
      </c>
      <c r="R52" s="292">
        <f t="shared" si="7"/>
        <v>0</v>
      </c>
      <c r="S52" s="292">
        <f t="shared" si="8"/>
        <v>0</v>
      </c>
      <c r="T52" s="292">
        <f t="shared" si="41"/>
        <v>0</v>
      </c>
      <c r="U52" s="292">
        <f t="shared" si="42"/>
        <v>0</v>
      </c>
      <c r="V52" s="292">
        <f t="shared" si="9"/>
        <v>0</v>
      </c>
      <c r="W52" s="292">
        <f t="shared" si="10"/>
        <v>0</v>
      </c>
      <c r="X52" s="292">
        <f t="shared" si="11"/>
        <v>0</v>
      </c>
      <c r="Y52" s="292">
        <f t="shared" si="12"/>
        <v>0</v>
      </c>
      <c r="Z52" s="292">
        <f t="shared" si="13"/>
        <v>0</v>
      </c>
      <c r="AA52" s="292">
        <f t="shared" si="14"/>
        <v>0</v>
      </c>
      <c r="AB52" s="292">
        <f t="shared" si="15"/>
        <v>0</v>
      </c>
      <c r="AC52" s="292">
        <f t="shared" si="16"/>
        <v>0</v>
      </c>
      <c r="AD52" s="292">
        <f t="shared" si="17"/>
        <v>0</v>
      </c>
      <c r="AE52" s="292">
        <f t="shared" si="18"/>
        <v>0</v>
      </c>
      <c r="AF52" s="292">
        <f t="shared" si="43"/>
        <v>0</v>
      </c>
      <c r="AG52" s="292">
        <f t="shared" si="44"/>
        <v>0</v>
      </c>
      <c r="AH52" s="292">
        <f t="shared" si="19"/>
        <v>0</v>
      </c>
      <c r="AI52" s="292">
        <f t="shared" si="20"/>
        <v>0</v>
      </c>
      <c r="AJ52" s="292">
        <f t="shared" si="21"/>
        <v>0</v>
      </c>
      <c r="AK52" s="292">
        <f t="shared" si="22"/>
        <v>0</v>
      </c>
      <c r="AL52" s="292">
        <f t="shared" si="23"/>
        <v>0</v>
      </c>
      <c r="AM52" s="292">
        <f t="shared" si="24"/>
        <v>0</v>
      </c>
      <c r="AN52" s="292">
        <f t="shared" si="25"/>
        <v>0</v>
      </c>
      <c r="AO52" s="292">
        <f t="shared" si="26"/>
        <v>0</v>
      </c>
      <c r="AP52" s="292">
        <f t="shared" si="27"/>
        <v>0</v>
      </c>
      <c r="AQ52" s="292">
        <f t="shared" si="28"/>
        <v>0</v>
      </c>
      <c r="AR52" s="292">
        <f t="shared" si="29"/>
        <v>0</v>
      </c>
      <c r="AS52" s="292">
        <f t="shared" si="30"/>
        <v>0</v>
      </c>
      <c r="AT52" s="292">
        <f t="shared" si="31"/>
        <v>0</v>
      </c>
      <c r="AU52" s="292">
        <f t="shared" si="32"/>
        <v>0</v>
      </c>
      <c r="AV52" s="292">
        <f t="shared" si="33"/>
        <v>0</v>
      </c>
      <c r="AW52" s="292">
        <f t="shared" si="34"/>
        <v>0</v>
      </c>
      <c r="AX52" s="292">
        <f t="shared" si="35"/>
        <v>0</v>
      </c>
      <c r="AY52" s="292">
        <f t="shared" si="36"/>
        <v>0</v>
      </c>
      <c r="AZ52" s="292">
        <f t="shared" si="37"/>
        <v>0</v>
      </c>
      <c r="BA52" s="292">
        <f t="shared" si="38"/>
        <v>0</v>
      </c>
    </row>
    <row r="53" spans="1:53" s="289" customFormat="1" ht="15.75" customHeight="1">
      <c r="A53" s="63" t="str">
        <f t="array" ref="A53">IF(C53&lt;&gt;0,SUM(($C$11:C53&lt;&gt;0)*1),"")</f>
        <v/>
      </c>
      <c r="B53" s="290"/>
      <c r="C53" s="290"/>
      <c r="D53" s="290"/>
      <c r="E53" s="396"/>
      <c r="F53" s="345"/>
      <c r="G53" s="347"/>
      <c r="H53" s="347"/>
      <c r="I53" s="63" t="str">
        <f t="shared" si="45"/>
        <v/>
      </c>
      <c r="J53" s="292">
        <f t="shared" si="1"/>
        <v>0</v>
      </c>
      <c r="K53" s="292">
        <f t="shared" si="2"/>
        <v>0</v>
      </c>
      <c r="L53" s="292">
        <f t="shared" si="3"/>
        <v>0</v>
      </c>
      <c r="M53" s="292">
        <f t="shared" si="4"/>
        <v>0</v>
      </c>
      <c r="N53" s="292">
        <f t="shared" si="39"/>
        <v>0</v>
      </c>
      <c r="O53" s="292">
        <f t="shared" si="40"/>
        <v>0</v>
      </c>
      <c r="P53" s="292">
        <f t="shared" si="5"/>
        <v>0</v>
      </c>
      <c r="Q53" s="292">
        <f t="shared" si="6"/>
        <v>0</v>
      </c>
      <c r="R53" s="292">
        <f t="shared" si="7"/>
        <v>0</v>
      </c>
      <c r="S53" s="292">
        <f t="shared" si="8"/>
        <v>0</v>
      </c>
      <c r="T53" s="292">
        <f t="shared" si="41"/>
        <v>0</v>
      </c>
      <c r="U53" s="292">
        <f t="shared" si="42"/>
        <v>0</v>
      </c>
      <c r="V53" s="292">
        <f t="shared" si="9"/>
        <v>0</v>
      </c>
      <c r="W53" s="292">
        <f t="shared" si="10"/>
        <v>0</v>
      </c>
      <c r="X53" s="292">
        <f t="shared" si="11"/>
        <v>0</v>
      </c>
      <c r="Y53" s="292">
        <f t="shared" si="12"/>
        <v>0</v>
      </c>
      <c r="Z53" s="292">
        <f t="shared" si="13"/>
        <v>0</v>
      </c>
      <c r="AA53" s="292">
        <f t="shared" si="14"/>
        <v>0</v>
      </c>
      <c r="AB53" s="292">
        <f t="shared" si="15"/>
        <v>0</v>
      </c>
      <c r="AC53" s="292">
        <f t="shared" si="16"/>
        <v>0</v>
      </c>
      <c r="AD53" s="292">
        <f t="shared" si="17"/>
        <v>0</v>
      </c>
      <c r="AE53" s="292">
        <f t="shared" si="18"/>
        <v>0</v>
      </c>
      <c r="AF53" s="292">
        <f t="shared" si="43"/>
        <v>0</v>
      </c>
      <c r="AG53" s="292">
        <f t="shared" si="44"/>
        <v>0</v>
      </c>
      <c r="AH53" s="292">
        <f t="shared" si="19"/>
        <v>0</v>
      </c>
      <c r="AI53" s="292">
        <f t="shared" si="20"/>
        <v>0</v>
      </c>
      <c r="AJ53" s="292">
        <f t="shared" si="21"/>
        <v>0</v>
      </c>
      <c r="AK53" s="292">
        <f t="shared" si="22"/>
        <v>0</v>
      </c>
      <c r="AL53" s="292">
        <f t="shared" si="23"/>
        <v>0</v>
      </c>
      <c r="AM53" s="292">
        <f t="shared" si="24"/>
        <v>0</v>
      </c>
      <c r="AN53" s="292">
        <f t="shared" si="25"/>
        <v>0</v>
      </c>
      <c r="AO53" s="292">
        <f t="shared" si="26"/>
        <v>0</v>
      </c>
      <c r="AP53" s="292">
        <f t="shared" si="27"/>
        <v>0</v>
      </c>
      <c r="AQ53" s="292">
        <f t="shared" si="28"/>
        <v>0</v>
      </c>
      <c r="AR53" s="292">
        <f t="shared" si="29"/>
        <v>0</v>
      </c>
      <c r="AS53" s="292">
        <f t="shared" si="30"/>
        <v>0</v>
      </c>
      <c r="AT53" s="292">
        <f t="shared" si="31"/>
        <v>0</v>
      </c>
      <c r="AU53" s="292">
        <f t="shared" si="32"/>
        <v>0</v>
      </c>
      <c r="AV53" s="292">
        <f t="shared" si="33"/>
        <v>0</v>
      </c>
      <c r="AW53" s="292">
        <f t="shared" si="34"/>
        <v>0</v>
      </c>
      <c r="AX53" s="292">
        <f t="shared" si="35"/>
        <v>0</v>
      </c>
      <c r="AY53" s="292">
        <f t="shared" si="36"/>
        <v>0</v>
      </c>
      <c r="AZ53" s="292">
        <f t="shared" si="37"/>
        <v>0</v>
      </c>
      <c r="BA53" s="292">
        <f t="shared" si="38"/>
        <v>0</v>
      </c>
    </row>
    <row r="54" spans="1:53" s="289" customFormat="1" ht="15.75" customHeight="1">
      <c r="A54" s="63" t="str">
        <f t="array" ref="A54">IF(C54&lt;&gt;0,SUM(($C$11:C54&lt;&gt;0)*1),"")</f>
        <v/>
      </c>
      <c r="B54" s="290"/>
      <c r="C54" s="290"/>
      <c r="D54" s="290"/>
      <c r="E54" s="396"/>
      <c r="F54" s="345"/>
      <c r="G54" s="347"/>
      <c r="H54" s="347"/>
      <c r="I54" s="63" t="str">
        <f t="shared" si="45"/>
        <v/>
      </c>
      <c r="J54" s="292">
        <f t="shared" si="1"/>
        <v>0</v>
      </c>
      <c r="K54" s="292">
        <f t="shared" si="2"/>
        <v>0</v>
      </c>
      <c r="L54" s="292">
        <f t="shared" si="3"/>
        <v>0</v>
      </c>
      <c r="M54" s="292">
        <f t="shared" si="4"/>
        <v>0</v>
      </c>
      <c r="N54" s="292">
        <f t="shared" si="39"/>
        <v>0</v>
      </c>
      <c r="O54" s="292">
        <f t="shared" si="40"/>
        <v>0</v>
      </c>
      <c r="P54" s="292">
        <f t="shared" si="5"/>
        <v>0</v>
      </c>
      <c r="Q54" s="292">
        <f t="shared" si="6"/>
        <v>0</v>
      </c>
      <c r="R54" s="292">
        <f t="shared" si="7"/>
        <v>0</v>
      </c>
      <c r="S54" s="292">
        <f t="shared" si="8"/>
        <v>0</v>
      </c>
      <c r="T54" s="292">
        <f t="shared" si="41"/>
        <v>0</v>
      </c>
      <c r="U54" s="292">
        <f t="shared" si="42"/>
        <v>0</v>
      </c>
      <c r="V54" s="292">
        <f t="shared" si="9"/>
        <v>0</v>
      </c>
      <c r="W54" s="292">
        <f t="shared" si="10"/>
        <v>0</v>
      </c>
      <c r="X54" s="292">
        <f t="shared" si="11"/>
        <v>0</v>
      </c>
      <c r="Y54" s="292">
        <f t="shared" si="12"/>
        <v>0</v>
      </c>
      <c r="Z54" s="292">
        <f t="shared" si="13"/>
        <v>0</v>
      </c>
      <c r="AA54" s="292">
        <f t="shared" si="14"/>
        <v>0</v>
      </c>
      <c r="AB54" s="292">
        <f t="shared" si="15"/>
        <v>0</v>
      </c>
      <c r="AC54" s="292">
        <f t="shared" si="16"/>
        <v>0</v>
      </c>
      <c r="AD54" s="292">
        <f t="shared" si="17"/>
        <v>0</v>
      </c>
      <c r="AE54" s="292">
        <f t="shared" si="18"/>
        <v>0</v>
      </c>
      <c r="AF54" s="292">
        <f t="shared" si="43"/>
        <v>0</v>
      </c>
      <c r="AG54" s="292">
        <f t="shared" si="44"/>
        <v>0</v>
      </c>
      <c r="AH54" s="292">
        <f t="shared" si="19"/>
        <v>0</v>
      </c>
      <c r="AI54" s="292">
        <f t="shared" si="20"/>
        <v>0</v>
      </c>
      <c r="AJ54" s="292">
        <f t="shared" si="21"/>
        <v>0</v>
      </c>
      <c r="AK54" s="292">
        <f t="shared" si="22"/>
        <v>0</v>
      </c>
      <c r="AL54" s="292">
        <f t="shared" si="23"/>
        <v>0</v>
      </c>
      <c r="AM54" s="292">
        <f t="shared" si="24"/>
        <v>0</v>
      </c>
      <c r="AN54" s="292">
        <f t="shared" si="25"/>
        <v>0</v>
      </c>
      <c r="AO54" s="292">
        <f t="shared" si="26"/>
        <v>0</v>
      </c>
      <c r="AP54" s="292">
        <f t="shared" si="27"/>
        <v>0</v>
      </c>
      <c r="AQ54" s="292">
        <f t="shared" si="28"/>
        <v>0</v>
      </c>
      <c r="AR54" s="292">
        <f t="shared" si="29"/>
        <v>0</v>
      </c>
      <c r="AS54" s="292">
        <f t="shared" si="30"/>
        <v>0</v>
      </c>
      <c r="AT54" s="292">
        <f t="shared" si="31"/>
        <v>0</v>
      </c>
      <c r="AU54" s="292">
        <f t="shared" si="32"/>
        <v>0</v>
      </c>
      <c r="AV54" s="292">
        <f t="shared" si="33"/>
        <v>0</v>
      </c>
      <c r="AW54" s="292">
        <f t="shared" si="34"/>
        <v>0</v>
      </c>
      <c r="AX54" s="292">
        <f t="shared" si="35"/>
        <v>0</v>
      </c>
      <c r="AY54" s="292">
        <f t="shared" si="36"/>
        <v>0</v>
      </c>
      <c r="AZ54" s="292">
        <f t="shared" si="37"/>
        <v>0</v>
      </c>
      <c r="BA54" s="292">
        <f t="shared" si="38"/>
        <v>0</v>
      </c>
    </row>
    <row r="55" spans="1:53" s="289" customFormat="1" ht="15.75" customHeight="1">
      <c r="A55" s="63" t="str">
        <f t="array" ref="A55">IF(C55&lt;&gt;0,SUM(($C$11:C55&lt;&gt;0)*1),"")</f>
        <v/>
      </c>
      <c r="B55" s="290"/>
      <c r="C55" s="290"/>
      <c r="D55" s="290"/>
      <c r="E55" s="396"/>
      <c r="F55" s="345"/>
      <c r="G55" s="347"/>
      <c r="H55" s="347"/>
      <c r="I55" s="63" t="str">
        <f t="shared" si="45"/>
        <v/>
      </c>
      <c r="J55" s="292">
        <f t="shared" si="1"/>
        <v>0</v>
      </c>
      <c r="K55" s="292">
        <f t="shared" si="2"/>
        <v>0</v>
      </c>
      <c r="L55" s="292">
        <f t="shared" si="3"/>
        <v>0</v>
      </c>
      <c r="M55" s="292">
        <f t="shared" si="4"/>
        <v>0</v>
      </c>
      <c r="N55" s="292">
        <f t="shared" si="39"/>
        <v>0</v>
      </c>
      <c r="O55" s="292">
        <f t="shared" si="40"/>
        <v>0</v>
      </c>
      <c r="P55" s="292">
        <f t="shared" si="5"/>
        <v>0</v>
      </c>
      <c r="Q55" s="292">
        <f t="shared" si="6"/>
        <v>0</v>
      </c>
      <c r="R55" s="292">
        <f t="shared" si="7"/>
        <v>0</v>
      </c>
      <c r="S55" s="292">
        <f t="shared" si="8"/>
        <v>0</v>
      </c>
      <c r="T55" s="292">
        <f t="shared" si="41"/>
        <v>0</v>
      </c>
      <c r="U55" s="292">
        <f t="shared" si="42"/>
        <v>0</v>
      </c>
      <c r="V55" s="292">
        <f t="shared" si="9"/>
        <v>0</v>
      </c>
      <c r="W55" s="292">
        <f t="shared" si="10"/>
        <v>0</v>
      </c>
      <c r="X55" s="292">
        <f t="shared" si="11"/>
        <v>0</v>
      </c>
      <c r="Y55" s="292">
        <f t="shared" si="12"/>
        <v>0</v>
      </c>
      <c r="Z55" s="292">
        <f t="shared" si="13"/>
        <v>0</v>
      </c>
      <c r="AA55" s="292">
        <f t="shared" si="14"/>
        <v>0</v>
      </c>
      <c r="AB55" s="292">
        <f t="shared" si="15"/>
        <v>0</v>
      </c>
      <c r="AC55" s="292">
        <f t="shared" si="16"/>
        <v>0</v>
      </c>
      <c r="AD55" s="292">
        <f t="shared" si="17"/>
        <v>0</v>
      </c>
      <c r="AE55" s="292">
        <f t="shared" si="18"/>
        <v>0</v>
      </c>
      <c r="AF55" s="292">
        <f t="shared" si="43"/>
        <v>0</v>
      </c>
      <c r="AG55" s="292">
        <f t="shared" si="44"/>
        <v>0</v>
      </c>
      <c r="AH55" s="292">
        <f t="shared" si="19"/>
        <v>0</v>
      </c>
      <c r="AI55" s="292">
        <f t="shared" si="20"/>
        <v>0</v>
      </c>
      <c r="AJ55" s="292">
        <f t="shared" si="21"/>
        <v>0</v>
      </c>
      <c r="AK55" s="292">
        <f t="shared" si="22"/>
        <v>0</v>
      </c>
      <c r="AL55" s="292">
        <f t="shared" si="23"/>
        <v>0</v>
      </c>
      <c r="AM55" s="292">
        <f t="shared" si="24"/>
        <v>0</v>
      </c>
      <c r="AN55" s="292">
        <f t="shared" si="25"/>
        <v>0</v>
      </c>
      <c r="AO55" s="292">
        <f t="shared" si="26"/>
        <v>0</v>
      </c>
      <c r="AP55" s="292">
        <f t="shared" si="27"/>
        <v>0</v>
      </c>
      <c r="AQ55" s="292">
        <f t="shared" si="28"/>
        <v>0</v>
      </c>
      <c r="AR55" s="292">
        <f t="shared" si="29"/>
        <v>0</v>
      </c>
      <c r="AS55" s="292">
        <f t="shared" si="30"/>
        <v>0</v>
      </c>
      <c r="AT55" s="292">
        <f t="shared" si="31"/>
        <v>0</v>
      </c>
      <c r="AU55" s="292">
        <f t="shared" si="32"/>
        <v>0</v>
      </c>
      <c r="AV55" s="292">
        <f t="shared" si="33"/>
        <v>0</v>
      </c>
      <c r="AW55" s="292">
        <f t="shared" si="34"/>
        <v>0</v>
      </c>
      <c r="AX55" s="292">
        <f t="shared" si="35"/>
        <v>0</v>
      </c>
      <c r="AY55" s="292">
        <f t="shared" si="36"/>
        <v>0</v>
      </c>
      <c r="AZ55" s="292">
        <f t="shared" si="37"/>
        <v>0</v>
      </c>
      <c r="BA55" s="292">
        <f t="shared" si="38"/>
        <v>0</v>
      </c>
    </row>
    <row r="56" spans="1:53" s="289" customFormat="1" ht="15.75" customHeight="1">
      <c r="A56" s="63" t="str">
        <f t="array" ref="A56">IF(C56&lt;&gt;0,SUM(($C$11:C56&lt;&gt;0)*1),"")</f>
        <v/>
      </c>
      <c r="B56" s="290"/>
      <c r="C56" s="290"/>
      <c r="D56" s="290"/>
      <c r="E56" s="396"/>
      <c r="F56" s="345"/>
      <c r="G56" s="347"/>
      <c r="H56" s="347"/>
      <c r="I56" s="63" t="str">
        <f t="shared" si="45"/>
        <v/>
      </c>
      <c r="J56" s="292">
        <f t="shared" si="1"/>
        <v>0</v>
      </c>
      <c r="K56" s="292">
        <f t="shared" si="2"/>
        <v>0</v>
      </c>
      <c r="L56" s="292">
        <f t="shared" si="3"/>
        <v>0</v>
      </c>
      <c r="M56" s="292">
        <f t="shared" si="4"/>
        <v>0</v>
      </c>
      <c r="N56" s="292">
        <f t="shared" si="39"/>
        <v>0</v>
      </c>
      <c r="O56" s="292">
        <f t="shared" si="40"/>
        <v>0</v>
      </c>
      <c r="P56" s="292">
        <f t="shared" si="5"/>
        <v>0</v>
      </c>
      <c r="Q56" s="292">
        <f t="shared" si="6"/>
        <v>0</v>
      </c>
      <c r="R56" s="292">
        <f t="shared" si="7"/>
        <v>0</v>
      </c>
      <c r="S56" s="292">
        <f t="shared" si="8"/>
        <v>0</v>
      </c>
      <c r="T56" s="292">
        <f t="shared" si="41"/>
        <v>0</v>
      </c>
      <c r="U56" s="292">
        <f t="shared" si="42"/>
        <v>0</v>
      </c>
      <c r="V56" s="292">
        <f t="shared" si="9"/>
        <v>0</v>
      </c>
      <c r="W56" s="292">
        <f t="shared" si="10"/>
        <v>0</v>
      </c>
      <c r="X56" s="292">
        <f t="shared" si="11"/>
        <v>0</v>
      </c>
      <c r="Y56" s="292">
        <f t="shared" si="12"/>
        <v>0</v>
      </c>
      <c r="Z56" s="292">
        <f t="shared" si="13"/>
        <v>0</v>
      </c>
      <c r="AA56" s="292">
        <f t="shared" si="14"/>
        <v>0</v>
      </c>
      <c r="AB56" s="292">
        <f t="shared" si="15"/>
        <v>0</v>
      </c>
      <c r="AC56" s="292">
        <f t="shared" si="16"/>
        <v>0</v>
      </c>
      <c r="AD56" s="292">
        <f t="shared" si="17"/>
        <v>0</v>
      </c>
      <c r="AE56" s="292">
        <f t="shared" si="18"/>
        <v>0</v>
      </c>
      <c r="AF56" s="292">
        <f t="shared" si="43"/>
        <v>0</v>
      </c>
      <c r="AG56" s="292">
        <f t="shared" si="44"/>
        <v>0</v>
      </c>
      <c r="AH56" s="292">
        <f t="shared" si="19"/>
        <v>0</v>
      </c>
      <c r="AI56" s="292">
        <f t="shared" si="20"/>
        <v>0</v>
      </c>
      <c r="AJ56" s="292">
        <f t="shared" si="21"/>
        <v>0</v>
      </c>
      <c r="AK56" s="292">
        <f t="shared" si="22"/>
        <v>0</v>
      </c>
      <c r="AL56" s="292">
        <f t="shared" si="23"/>
        <v>0</v>
      </c>
      <c r="AM56" s="292">
        <f t="shared" si="24"/>
        <v>0</v>
      </c>
      <c r="AN56" s="292">
        <f t="shared" si="25"/>
        <v>0</v>
      </c>
      <c r="AO56" s="292">
        <f t="shared" si="26"/>
        <v>0</v>
      </c>
      <c r="AP56" s="292">
        <f t="shared" si="27"/>
        <v>0</v>
      </c>
      <c r="AQ56" s="292">
        <f t="shared" si="28"/>
        <v>0</v>
      </c>
      <c r="AR56" s="292">
        <f t="shared" si="29"/>
        <v>0</v>
      </c>
      <c r="AS56" s="292">
        <f t="shared" si="30"/>
        <v>0</v>
      </c>
      <c r="AT56" s="292">
        <f t="shared" si="31"/>
        <v>0</v>
      </c>
      <c r="AU56" s="292">
        <f t="shared" si="32"/>
        <v>0</v>
      </c>
      <c r="AV56" s="292">
        <f t="shared" si="33"/>
        <v>0</v>
      </c>
      <c r="AW56" s="292">
        <f t="shared" si="34"/>
        <v>0</v>
      </c>
      <c r="AX56" s="292">
        <f t="shared" si="35"/>
        <v>0</v>
      </c>
      <c r="AY56" s="292">
        <f t="shared" si="36"/>
        <v>0</v>
      </c>
      <c r="AZ56" s="292">
        <f t="shared" si="37"/>
        <v>0</v>
      </c>
      <c r="BA56" s="292">
        <f t="shared" si="38"/>
        <v>0</v>
      </c>
    </row>
    <row r="57" spans="1:53" s="289" customFormat="1" ht="15.75" customHeight="1">
      <c r="A57" s="63" t="str">
        <f t="array" ref="A57">IF(C57&lt;&gt;0,SUM(($C$11:C57&lt;&gt;0)*1),"")</f>
        <v/>
      </c>
      <c r="B57" s="290"/>
      <c r="C57" s="290"/>
      <c r="D57" s="290"/>
      <c r="E57" s="396"/>
      <c r="F57" s="345"/>
      <c r="G57" s="347"/>
      <c r="H57" s="347"/>
      <c r="I57" s="63" t="str">
        <f t="shared" si="45"/>
        <v/>
      </c>
      <c r="J57" s="292">
        <f t="shared" si="1"/>
        <v>0</v>
      </c>
      <c r="K57" s="292">
        <f t="shared" si="2"/>
        <v>0</v>
      </c>
      <c r="L57" s="292">
        <f t="shared" si="3"/>
        <v>0</v>
      </c>
      <c r="M57" s="292">
        <f t="shared" si="4"/>
        <v>0</v>
      </c>
      <c r="N57" s="292">
        <f t="shared" si="39"/>
        <v>0</v>
      </c>
      <c r="O57" s="292">
        <f t="shared" si="40"/>
        <v>0</v>
      </c>
      <c r="P57" s="292">
        <f t="shared" si="5"/>
        <v>0</v>
      </c>
      <c r="Q57" s="292">
        <f t="shared" si="6"/>
        <v>0</v>
      </c>
      <c r="R57" s="292">
        <f t="shared" si="7"/>
        <v>0</v>
      </c>
      <c r="S57" s="292">
        <f t="shared" si="8"/>
        <v>0</v>
      </c>
      <c r="T57" s="292">
        <f t="shared" si="41"/>
        <v>0</v>
      </c>
      <c r="U57" s="292">
        <f t="shared" si="42"/>
        <v>0</v>
      </c>
      <c r="V57" s="292">
        <f t="shared" si="9"/>
        <v>0</v>
      </c>
      <c r="W57" s="292">
        <f t="shared" si="10"/>
        <v>0</v>
      </c>
      <c r="X57" s="292">
        <f t="shared" si="11"/>
        <v>0</v>
      </c>
      <c r="Y57" s="292">
        <f t="shared" si="12"/>
        <v>0</v>
      </c>
      <c r="Z57" s="292">
        <f t="shared" si="13"/>
        <v>0</v>
      </c>
      <c r="AA57" s="292">
        <f t="shared" si="14"/>
        <v>0</v>
      </c>
      <c r="AB57" s="292">
        <f t="shared" si="15"/>
        <v>0</v>
      </c>
      <c r="AC57" s="292">
        <f t="shared" si="16"/>
        <v>0</v>
      </c>
      <c r="AD57" s="292">
        <f t="shared" si="17"/>
        <v>0</v>
      </c>
      <c r="AE57" s="292">
        <f t="shared" si="18"/>
        <v>0</v>
      </c>
      <c r="AF57" s="292">
        <f t="shared" si="43"/>
        <v>0</v>
      </c>
      <c r="AG57" s="292">
        <f t="shared" si="44"/>
        <v>0</v>
      </c>
      <c r="AH57" s="292">
        <f t="shared" si="19"/>
        <v>0</v>
      </c>
      <c r="AI57" s="292">
        <f t="shared" si="20"/>
        <v>0</v>
      </c>
      <c r="AJ57" s="292">
        <f t="shared" si="21"/>
        <v>0</v>
      </c>
      <c r="AK57" s="292">
        <f t="shared" si="22"/>
        <v>0</v>
      </c>
      <c r="AL57" s="292">
        <f t="shared" si="23"/>
        <v>0</v>
      </c>
      <c r="AM57" s="292">
        <f t="shared" si="24"/>
        <v>0</v>
      </c>
      <c r="AN57" s="292">
        <f t="shared" si="25"/>
        <v>0</v>
      </c>
      <c r="AO57" s="292">
        <f t="shared" si="26"/>
        <v>0</v>
      </c>
      <c r="AP57" s="292">
        <f t="shared" si="27"/>
        <v>0</v>
      </c>
      <c r="AQ57" s="292">
        <f t="shared" si="28"/>
        <v>0</v>
      </c>
      <c r="AR57" s="292">
        <f t="shared" si="29"/>
        <v>0</v>
      </c>
      <c r="AS57" s="292">
        <f t="shared" si="30"/>
        <v>0</v>
      </c>
      <c r="AT57" s="292">
        <f t="shared" si="31"/>
        <v>0</v>
      </c>
      <c r="AU57" s="292">
        <f t="shared" si="32"/>
        <v>0</v>
      </c>
      <c r="AV57" s="292">
        <f t="shared" si="33"/>
        <v>0</v>
      </c>
      <c r="AW57" s="292">
        <f t="shared" si="34"/>
        <v>0</v>
      </c>
      <c r="AX57" s="292">
        <f t="shared" si="35"/>
        <v>0</v>
      </c>
      <c r="AY57" s="292">
        <f t="shared" si="36"/>
        <v>0</v>
      </c>
      <c r="AZ57" s="292">
        <f t="shared" si="37"/>
        <v>0</v>
      </c>
      <c r="BA57" s="292">
        <f t="shared" si="38"/>
        <v>0</v>
      </c>
    </row>
    <row r="58" spans="1:53" s="289" customFormat="1" ht="15.75" customHeight="1">
      <c r="A58" s="63" t="str">
        <f t="array" ref="A58">IF(C58&lt;&gt;0,SUM(($C$11:C58&lt;&gt;0)*1),"")</f>
        <v/>
      </c>
      <c r="B58" s="290"/>
      <c r="C58" s="290"/>
      <c r="D58" s="290"/>
      <c r="E58" s="396"/>
      <c r="F58" s="345"/>
      <c r="G58" s="347"/>
      <c r="H58" s="347"/>
      <c r="I58" s="63" t="str">
        <f t="shared" si="45"/>
        <v/>
      </c>
      <c r="J58" s="292">
        <f t="shared" si="1"/>
        <v>0</v>
      </c>
      <c r="K58" s="292">
        <f t="shared" si="2"/>
        <v>0</v>
      </c>
      <c r="L58" s="292">
        <f t="shared" si="3"/>
        <v>0</v>
      </c>
      <c r="M58" s="292">
        <f t="shared" si="4"/>
        <v>0</v>
      </c>
      <c r="N58" s="292">
        <f t="shared" si="39"/>
        <v>0</v>
      </c>
      <c r="O58" s="292">
        <f t="shared" si="40"/>
        <v>0</v>
      </c>
      <c r="P58" s="292">
        <f t="shared" si="5"/>
        <v>0</v>
      </c>
      <c r="Q58" s="292">
        <f t="shared" si="6"/>
        <v>0</v>
      </c>
      <c r="R58" s="292">
        <f t="shared" si="7"/>
        <v>0</v>
      </c>
      <c r="S58" s="292">
        <f t="shared" si="8"/>
        <v>0</v>
      </c>
      <c r="T58" s="292">
        <f t="shared" si="41"/>
        <v>0</v>
      </c>
      <c r="U58" s="292">
        <f t="shared" si="42"/>
        <v>0</v>
      </c>
      <c r="V58" s="292">
        <f t="shared" si="9"/>
        <v>0</v>
      </c>
      <c r="W58" s="292">
        <f t="shared" si="10"/>
        <v>0</v>
      </c>
      <c r="X58" s="292">
        <f t="shared" si="11"/>
        <v>0</v>
      </c>
      <c r="Y58" s="292">
        <f t="shared" si="12"/>
        <v>0</v>
      </c>
      <c r="Z58" s="292">
        <f t="shared" si="13"/>
        <v>0</v>
      </c>
      <c r="AA58" s="292">
        <f t="shared" si="14"/>
        <v>0</v>
      </c>
      <c r="AB58" s="292">
        <f t="shared" si="15"/>
        <v>0</v>
      </c>
      <c r="AC58" s="292">
        <f t="shared" si="16"/>
        <v>0</v>
      </c>
      <c r="AD58" s="292">
        <f t="shared" si="17"/>
        <v>0</v>
      </c>
      <c r="AE58" s="292">
        <f t="shared" si="18"/>
        <v>0</v>
      </c>
      <c r="AF58" s="292">
        <f t="shared" si="43"/>
        <v>0</v>
      </c>
      <c r="AG58" s="292">
        <f t="shared" si="44"/>
        <v>0</v>
      </c>
      <c r="AH58" s="292">
        <f t="shared" si="19"/>
        <v>0</v>
      </c>
      <c r="AI58" s="292">
        <f t="shared" si="20"/>
        <v>0</v>
      </c>
      <c r="AJ58" s="292">
        <f t="shared" si="21"/>
        <v>0</v>
      </c>
      <c r="AK58" s="292">
        <f t="shared" si="22"/>
        <v>0</v>
      </c>
      <c r="AL58" s="292">
        <f t="shared" si="23"/>
        <v>0</v>
      </c>
      <c r="AM58" s="292">
        <f t="shared" si="24"/>
        <v>0</v>
      </c>
      <c r="AN58" s="292">
        <f t="shared" si="25"/>
        <v>0</v>
      </c>
      <c r="AO58" s="292">
        <f t="shared" si="26"/>
        <v>0</v>
      </c>
      <c r="AP58" s="292">
        <f t="shared" si="27"/>
        <v>0</v>
      </c>
      <c r="AQ58" s="292">
        <f t="shared" si="28"/>
        <v>0</v>
      </c>
      <c r="AR58" s="292">
        <f t="shared" si="29"/>
        <v>0</v>
      </c>
      <c r="AS58" s="292">
        <f t="shared" si="30"/>
        <v>0</v>
      </c>
      <c r="AT58" s="292">
        <f t="shared" si="31"/>
        <v>0</v>
      </c>
      <c r="AU58" s="292">
        <f t="shared" si="32"/>
        <v>0</v>
      </c>
      <c r="AV58" s="292">
        <f t="shared" si="33"/>
        <v>0</v>
      </c>
      <c r="AW58" s="292">
        <f t="shared" si="34"/>
        <v>0</v>
      </c>
      <c r="AX58" s="292">
        <f t="shared" si="35"/>
        <v>0</v>
      </c>
      <c r="AY58" s="292">
        <f t="shared" si="36"/>
        <v>0</v>
      </c>
      <c r="AZ58" s="292">
        <f t="shared" si="37"/>
        <v>0</v>
      </c>
      <c r="BA58" s="292">
        <f t="shared" si="38"/>
        <v>0</v>
      </c>
    </row>
    <row r="59" spans="1:53" s="289" customFormat="1" ht="15.75" customHeight="1">
      <c r="A59" s="63" t="str">
        <f t="array" ref="A59">IF(C59&lt;&gt;0,SUM(($C$11:C59&lt;&gt;0)*1),"")</f>
        <v/>
      </c>
      <c r="B59" s="290"/>
      <c r="C59" s="290"/>
      <c r="D59" s="290"/>
      <c r="E59" s="396"/>
      <c r="F59" s="345"/>
      <c r="G59" s="347"/>
      <c r="H59" s="347"/>
      <c r="I59" s="63" t="str">
        <f t="shared" si="45"/>
        <v/>
      </c>
      <c r="J59" s="292">
        <f t="shared" si="1"/>
        <v>0</v>
      </c>
      <c r="K59" s="292">
        <f t="shared" si="2"/>
        <v>0</v>
      </c>
      <c r="L59" s="292">
        <f t="shared" si="3"/>
        <v>0</v>
      </c>
      <c r="M59" s="292">
        <f t="shared" si="4"/>
        <v>0</v>
      </c>
      <c r="N59" s="292">
        <f t="shared" si="39"/>
        <v>0</v>
      </c>
      <c r="O59" s="292">
        <f t="shared" si="40"/>
        <v>0</v>
      </c>
      <c r="P59" s="292">
        <f t="shared" si="5"/>
        <v>0</v>
      </c>
      <c r="Q59" s="292">
        <f t="shared" si="6"/>
        <v>0</v>
      </c>
      <c r="R59" s="292">
        <f t="shared" si="7"/>
        <v>0</v>
      </c>
      <c r="S59" s="292">
        <f t="shared" si="8"/>
        <v>0</v>
      </c>
      <c r="T59" s="292">
        <f t="shared" si="41"/>
        <v>0</v>
      </c>
      <c r="U59" s="292">
        <f t="shared" si="42"/>
        <v>0</v>
      </c>
      <c r="V59" s="292">
        <f t="shared" si="9"/>
        <v>0</v>
      </c>
      <c r="W59" s="292">
        <f t="shared" si="10"/>
        <v>0</v>
      </c>
      <c r="X59" s="292">
        <f t="shared" si="11"/>
        <v>0</v>
      </c>
      <c r="Y59" s="292">
        <f t="shared" si="12"/>
        <v>0</v>
      </c>
      <c r="Z59" s="292">
        <f t="shared" si="13"/>
        <v>0</v>
      </c>
      <c r="AA59" s="292">
        <f t="shared" si="14"/>
        <v>0</v>
      </c>
      <c r="AB59" s="292">
        <f t="shared" si="15"/>
        <v>0</v>
      </c>
      <c r="AC59" s="292">
        <f t="shared" si="16"/>
        <v>0</v>
      </c>
      <c r="AD59" s="292">
        <f t="shared" si="17"/>
        <v>0</v>
      </c>
      <c r="AE59" s="292">
        <f t="shared" si="18"/>
        <v>0</v>
      </c>
      <c r="AF59" s="292">
        <f t="shared" si="43"/>
        <v>0</v>
      </c>
      <c r="AG59" s="292">
        <f t="shared" si="44"/>
        <v>0</v>
      </c>
      <c r="AH59" s="292">
        <f t="shared" si="19"/>
        <v>0</v>
      </c>
      <c r="AI59" s="292">
        <f t="shared" si="20"/>
        <v>0</v>
      </c>
      <c r="AJ59" s="292">
        <f t="shared" si="21"/>
        <v>0</v>
      </c>
      <c r="AK59" s="292">
        <f t="shared" si="22"/>
        <v>0</v>
      </c>
      <c r="AL59" s="292">
        <f t="shared" si="23"/>
        <v>0</v>
      </c>
      <c r="AM59" s="292">
        <f t="shared" si="24"/>
        <v>0</v>
      </c>
      <c r="AN59" s="292">
        <f t="shared" si="25"/>
        <v>0</v>
      </c>
      <c r="AO59" s="292">
        <f t="shared" si="26"/>
        <v>0</v>
      </c>
      <c r="AP59" s="292">
        <f t="shared" si="27"/>
        <v>0</v>
      </c>
      <c r="AQ59" s="292">
        <f t="shared" si="28"/>
        <v>0</v>
      </c>
      <c r="AR59" s="292">
        <f t="shared" si="29"/>
        <v>0</v>
      </c>
      <c r="AS59" s="292">
        <f t="shared" si="30"/>
        <v>0</v>
      </c>
      <c r="AT59" s="292">
        <f t="shared" si="31"/>
        <v>0</v>
      </c>
      <c r="AU59" s="292">
        <f t="shared" si="32"/>
        <v>0</v>
      </c>
      <c r="AV59" s="292">
        <f t="shared" si="33"/>
        <v>0</v>
      </c>
      <c r="AW59" s="292">
        <f t="shared" si="34"/>
        <v>0</v>
      </c>
      <c r="AX59" s="292">
        <f t="shared" si="35"/>
        <v>0</v>
      </c>
      <c r="AY59" s="292">
        <f t="shared" si="36"/>
        <v>0</v>
      </c>
      <c r="AZ59" s="292">
        <f t="shared" si="37"/>
        <v>0</v>
      </c>
      <c r="BA59" s="292">
        <f t="shared" si="38"/>
        <v>0</v>
      </c>
    </row>
    <row r="60" spans="1:53" s="289" customFormat="1" ht="15.75" customHeight="1">
      <c r="A60" s="63" t="str">
        <f t="array" ref="A60">IF(C60&lt;&gt;0,SUM(($C$11:C60&lt;&gt;0)*1),"")</f>
        <v/>
      </c>
      <c r="B60" s="290"/>
      <c r="C60" s="290"/>
      <c r="D60" s="290"/>
      <c r="E60" s="396"/>
      <c r="F60" s="345"/>
      <c r="G60" s="347"/>
      <c r="H60" s="347"/>
      <c r="I60" s="63" t="str">
        <f t="shared" si="45"/>
        <v/>
      </c>
      <c r="J60" s="292">
        <f t="shared" si="1"/>
        <v>0</v>
      </c>
      <c r="K60" s="292">
        <f t="shared" si="2"/>
        <v>0</v>
      </c>
      <c r="L60" s="292">
        <f t="shared" si="3"/>
        <v>0</v>
      </c>
      <c r="M60" s="292">
        <f t="shared" si="4"/>
        <v>0</v>
      </c>
      <c r="N60" s="292">
        <f t="shared" si="39"/>
        <v>0</v>
      </c>
      <c r="O60" s="292">
        <f t="shared" si="40"/>
        <v>0</v>
      </c>
      <c r="P60" s="292">
        <f t="shared" si="5"/>
        <v>0</v>
      </c>
      <c r="Q60" s="292">
        <f t="shared" si="6"/>
        <v>0</v>
      </c>
      <c r="R60" s="292">
        <f t="shared" si="7"/>
        <v>0</v>
      </c>
      <c r="S60" s="292">
        <f t="shared" si="8"/>
        <v>0</v>
      </c>
      <c r="T60" s="292">
        <f t="shared" si="41"/>
        <v>0</v>
      </c>
      <c r="U60" s="292">
        <f t="shared" si="42"/>
        <v>0</v>
      </c>
      <c r="V60" s="292">
        <f t="shared" si="9"/>
        <v>0</v>
      </c>
      <c r="W60" s="292">
        <f t="shared" si="10"/>
        <v>0</v>
      </c>
      <c r="X60" s="292">
        <f t="shared" si="11"/>
        <v>0</v>
      </c>
      <c r="Y60" s="292">
        <f t="shared" si="12"/>
        <v>0</v>
      </c>
      <c r="Z60" s="292">
        <f t="shared" si="13"/>
        <v>0</v>
      </c>
      <c r="AA60" s="292">
        <f t="shared" si="14"/>
        <v>0</v>
      </c>
      <c r="AB60" s="292">
        <f t="shared" si="15"/>
        <v>0</v>
      </c>
      <c r="AC60" s="292">
        <f t="shared" si="16"/>
        <v>0</v>
      </c>
      <c r="AD60" s="292">
        <f t="shared" si="17"/>
        <v>0</v>
      </c>
      <c r="AE60" s="292">
        <f t="shared" si="18"/>
        <v>0</v>
      </c>
      <c r="AF60" s="292">
        <f t="shared" si="43"/>
        <v>0</v>
      </c>
      <c r="AG60" s="292">
        <f t="shared" si="44"/>
        <v>0</v>
      </c>
      <c r="AH60" s="292">
        <f t="shared" si="19"/>
        <v>0</v>
      </c>
      <c r="AI60" s="292">
        <f t="shared" si="20"/>
        <v>0</v>
      </c>
      <c r="AJ60" s="292">
        <f t="shared" si="21"/>
        <v>0</v>
      </c>
      <c r="AK60" s="292">
        <f t="shared" si="22"/>
        <v>0</v>
      </c>
      <c r="AL60" s="292">
        <f t="shared" si="23"/>
        <v>0</v>
      </c>
      <c r="AM60" s="292">
        <f t="shared" si="24"/>
        <v>0</v>
      </c>
      <c r="AN60" s="292">
        <f t="shared" si="25"/>
        <v>0</v>
      </c>
      <c r="AO60" s="292">
        <f t="shared" si="26"/>
        <v>0</v>
      </c>
      <c r="AP60" s="292">
        <f t="shared" si="27"/>
        <v>0</v>
      </c>
      <c r="AQ60" s="292">
        <f t="shared" si="28"/>
        <v>0</v>
      </c>
      <c r="AR60" s="292">
        <f t="shared" si="29"/>
        <v>0</v>
      </c>
      <c r="AS60" s="292">
        <f t="shared" si="30"/>
        <v>0</v>
      </c>
      <c r="AT60" s="292">
        <f t="shared" si="31"/>
        <v>0</v>
      </c>
      <c r="AU60" s="292">
        <f t="shared" si="32"/>
        <v>0</v>
      </c>
      <c r="AV60" s="292">
        <f t="shared" si="33"/>
        <v>0</v>
      </c>
      <c r="AW60" s="292">
        <f t="shared" si="34"/>
        <v>0</v>
      </c>
      <c r="AX60" s="292">
        <f t="shared" si="35"/>
        <v>0</v>
      </c>
      <c r="AY60" s="292">
        <f t="shared" si="36"/>
        <v>0</v>
      </c>
      <c r="AZ60" s="292">
        <f t="shared" si="37"/>
        <v>0</v>
      </c>
      <c r="BA60" s="292">
        <f t="shared" si="38"/>
        <v>0</v>
      </c>
    </row>
    <row r="61" spans="1:53" s="289" customFormat="1" ht="15.75" customHeight="1">
      <c r="A61" s="63" t="str">
        <f t="array" ref="A61">IF(C61&lt;&gt;0,SUM(($C$11:C61&lt;&gt;0)*1),"")</f>
        <v/>
      </c>
      <c r="B61" s="290"/>
      <c r="C61" s="290"/>
      <c r="D61" s="290"/>
      <c r="E61" s="396"/>
      <c r="F61" s="345"/>
      <c r="G61" s="347"/>
      <c r="H61" s="347"/>
      <c r="I61" s="63" t="str">
        <f t="shared" si="45"/>
        <v/>
      </c>
      <c r="J61" s="292">
        <f t="shared" si="1"/>
        <v>0</v>
      </c>
      <c r="K61" s="292">
        <f t="shared" si="2"/>
        <v>0</v>
      </c>
      <c r="L61" s="292">
        <f t="shared" si="3"/>
        <v>0</v>
      </c>
      <c r="M61" s="292">
        <f t="shared" si="4"/>
        <v>0</v>
      </c>
      <c r="N61" s="292">
        <f t="shared" si="39"/>
        <v>0</v>
      </c>
      <c r="O61" s="292">
        <f t="shared" si="40"/>
        <v>0</v>
      </c>
      <c r="P61" s="292">
        <f t="shared" si="5"/>
        <v>0</v>
      </c>
      <c r="Q61" s="292">
        <f t="shared" si="6"/>
        <v>0</v>
      </c>
      <c r="R61" s="292">
        <f t="shared" si="7"/>
        <v>0</v>
      </c>
      <c r="S61" s="292">
        <f t="shared" si="8"/>
        <v>0</v>
      </c>
      <c r="T61" s="292">
        <f t="shared" si="41"/>
        <v>0</v>
      </c>
      <c r="U61" s="292">
        <f t="shared" si="42"/>
        <v>0</v>
      </c>
      <c r="V61" s="292">
        <f t="shared" si="9"/>
        <v>0</v>
      </c>
      <c r="W61" s="292">
        <f t="shared" si="10"/>
        <v>0</v>
      </c>
      <c r="X61" s="292">
        <f t="shared" si="11"/>
        <v>0</v>
      </c>
      <c r="Y61" s="292">
        <f t="shared" si="12"/>
        <v>0</v>
      </c>
      <c r="Z61" s="292">
        <f t="shared" si="13"/>
        <v>0</v>
      </c>
      <c r="AA61" s="292">
        <f t="shared" si="14"/>
        <v>0</v>
      </c>
      <c r="AB61" s="292">
        <f t="shared" si="15"/>
        <v>0</v>
      </c>
      <c r="AC61" s="292">
        <f t="shared" si="16"/>
        <v>0</v>
      </c>
      <c r="AD61" s="292">
        <f t="shared" si="17"/>
        <v>0</v>
      </c>
      <c r="AE61" s="292">
        <f t="shared" si="18"/>
        <v>0</v>
      </c>
      <c r="AF61" s="292">
        <f t="shared" si="43"/>
        <v>0</v>
      </c>
      <c r="AG61" s="292">
        <f t="shared" si="44"/>
        <v>0</v>
      </c>
      <c r="AH61" s="292">
        <f t="shared" si="19"/>
        <v>0</v>
      </c>
      <c r="AI61" s="292">
        <f t="shared" si="20"/>
        <v>0</v>
      </c>
      <c r="AJ61" s="292">
        <f t="shared" si="21"/>
        <v>0</v>
      </c>
      <c r="AK61" s="292">
        <f t="shared" si="22"/>
        <v>0</v>
      </c>
      <c r="AL61" s="292">
        <f t="shared" si="23"/>
        <v>0</v>
      </c>
      <c r="AM61" s="292">
        <f t="shared" si="24"/>
        <v>0</v>
      </c>
      <c r="AN61" s="292">
        <f t="shared" si="25"/>
        <v>0</v>
      </c>
      <c r="AO61" s="292">
        <f t="shared" si="26"/>
        <v>0</v>
      </c>
      <c r="AP61" s="292">
        <f t="shared" si="27"/>
        <v>0</v>
      </c>
      <c r="AQ61" s="292">
        <f t="shared" si="28"/>
        <v>0</v>
      </c>
      <c r="AR61" s="292">
        <f t="shared" si="29"/>
        <v>0</v>
      </c>
      <c r="AS61" s="292">
        <f t="shared" si="30"/>
        <v>0</v>
      </c>
      <c r="AT61" s="292">
        <f t="shared" si="31"/>
        <v>0</v>
      </c>
      <c r="AU61" s="292">
        <f t="shared" si="32"/>
        <v>0</v>
      </c>
      <c r="AV61" s="292">
        <f t="shared" si="33"/>
        <v>0</v>
      </c>
      <c r="AW61" s="292">
        <f t="shared" si="34"/>
        <v>0</v>
      </c>
      <c r="AX61" s="292">
        <f t="shared" si="35"/>
        <v>0</v>
      </c>
      <c r="AY61" s="292">
        <f t="shared" si="36"/>
        <v>0</v>
      </c>
      <c r="AZ61" s="292">
        <f t="shared" si="37"/>
        <v>0</v>
      </c>
      <c r="BA61" s="292">
        <f t="shared" si="38"/>
        <v>0</v>
      </c>
    </row>
    <row r="62" spans="1:53" s="289" customFormat="1" ht="15.75" customHeight="1">
      <c r="A62" s="63" t="str">
        <f t="array" ref="A62">IF(C62&lt;&gt;0,SUM(($C$11:C62&lt;&gt;0)*1),"")</f>
        <v/>
      </c>
      <c r="B62" s="290"/>
      <c r="C62" s="290"/>
      <c r="D62" s="290"/>
      <c r="E62" s="396"/>
      <c r="F62" s="345"/>
      <c r="G62" s="347"/>
      <c r="H62" s="347"/>
      <c r="I62" s="63" t="str">
        <f t="shared" si="45"/>
        <v/>
      </c>
      <c r="J62" s="292">
        <f t="shared" si="1"/>
        <v>0</v>
      </c>
      <c r="K62" s="292">
        <f t="shared" si="2"/>
        <v>0</v>
      </c>
      <c r="L62" s="292">
        <f t="shared" si="3"/>
        <v>0</v>
      </c>
      <c r="M62" s="292">
        <f t="shared" si="4"/>
        <v>0</v>
      </c>
      <c r="N62" s="292">
        <f t="shared" si="39"/>
        <v>0</v>
      </c>
      <c r="O62" s="292">
        <f t="shared" si="40"/>
        <v>0</v>
      </c>
      <c r="P62" s="292">
        <f t="shared" si="5"/>
        <v>0</v>
      </c>
      <c r="Q62" s="292">
        <f t="shared" si="6"/>
        <v>0</v>
      </c>
      <c r="R62" s="292">
        <f t="shared" si="7"/>
        <v>0</v>
      </c>
      <c r="S62" s="292">
        <f t="shared" si="8"/>
        <v>0</v>
      </c>
      <c r="T62" s="292">
        <f t="shared" si="41"/>
        <v>0</v>
      </c>
      <c r="U62" s="292">
        <f t="shared" si="42"/>
        <v>0</v>
      </c>
      <c r="V62" s="292">
        <f t="shared" si="9"/>
        <v>0</v>
      </c>
      <c r="W62" s="292">
        <f t="shared" si="10"/>
        <v>0</v>
      </c>
      <c r="X62" s="292">
        <f t="shared" si="11"/>
        <v>0</v>
      </c>
      <c r="Y62" s="292">
        <f t="shared" si="12"/>
        <v>0</v>
      </c>
      <c r="Z62" s="292">
        <f t="shared" si="13"/>
        <v>0</v>
      </c>
      <c r="AA62" s="292">
        <f t="shared" si="14"/>
        <v>0</v>
      </c>
      <c r="AB62" s="292">
        <f t="shared" si="15"/>
        <v>0</v>
      </c>
      <c r="AC62" s="292">
        <f t="shared" si="16"/>
        <v>0</v>
      </c>
      <c r="AD62" s="292">
        <f t="shared" si="17"/>
        <v>0</v>
      </c>
      <c r="AE62" s="292">
        <f t="shared" si="18"/>
        <v>0</v>
      </c>
      <c r="AF62" s="292">
        <f t="shared" si="43"/>
        <v>0</v>
      </c>
      <c r="AG62" s="292">
        <f t="shared" si="44"/>
        <v>0</v>
      </c>
      <c r="AH62" s="292">
        <f t="shared" si="19"/>
        <v>0</v>
      </c>
      <c r="AI62" s="292">
        <f t="shared" si="20"/>
        <v>0</v>
      </c>
      <c r="AJ62" s="292">
        <f t="shared" si="21"/>
        <v>0</v>
      </c>
      <c r="AK62" s="292">
        <f t="shared" si="22"/>
        <v>0</v>
      </c>
      <c r="AL62" s="292">
        <f t="shared" si="23"/>
        <v>0</v>
      </c>
      <c r="AM62" s="292">
        <f t="shared" si="24"/>
        <v>0</v>
      </c>
      <c r="AN62" s="292">
        <f t="shared" si="25"/>
        <v>0</v>
      </c>
      <c r="AO62" s="292">
        <f t="shared" si="26"/>
        <v>0</v>
      </c>
      <c r="AP62" s="292">
        <f t="shared" si="27"/>
        <v>0</v>
      </c>
      <c r="AQ62" s="292">
        <f t="shared" si="28"/>
        <v>0</v>
      </c>
      <c r="AR62" s="292">
        <f t="shared" si="29"/>
        <v>0</v>
      </c>
      <c r="AS62" s="292">
        <f t="shared" si="30"/>
        <v>0</v>
      </c>
      <c r="AT62" s="292">
        <f t="shared" si="31"/>
        <v>0</v>
      </c>
      <c r="AU62" s="292">
        <f t="shared" si="32"/>
        <v>0</v>
      </c>
      <c r="AV62" s="292">
        <f t="shared" si="33"/>
        <v>0</v>
      </c>
      <c r="AW62" s="292">
        <f t="shared" si="34"/>
        <v>0</v>
      </c>
      <c r="AX62" s="292">
        <f t="shared" si="35"/>
        <v>0</v>
      </c>
      <c r="AY62" s="292">
        <f t="shared" si="36"/>
        <v>0</v>
      </c>
      <c r="AZ62" s="292">
        <f t="shared" si="37"/>
        <v>0</v>
      </c>
      <c r="BA62" s="292">
        <f t="shared" si="38"/>
        <v>0</v>
      </c>
    </row>
    <row r="63" spans="1:53" s="289" customFormat="1" ht="15.75" customHeight="1">
      <c r="A63" s="63" t="str">
        <f t="array" ref="A63">IF(C63&lt;&gt;0,SUM(($C$11:C63&lt;&gt;0)*1),"")</f>
        <v/>
      </c>
      <c r="B63" s="290"/>
      <c r="C63" s="290"/>
      <c r="D63" s="290"/>
      <c r="E63" s="396"/>
      <c r="F63" s="345"/>
      <c r="G63" s="347"/>
      <c r="H63" s="347"/>
      <c r="I63" s="63" t="str">
        <f t="shared" si="45"/>
        <v/>
      </c>
      <c r="J63" s="292">
        <f t="shared" si="1"/>
        <v>0</v>
      </c>
      <c r="K63" s="292">
        <f t="shared" si="2"/>
        <v>0</v>
      </c>
      <c r="L63" s="292">
        <f t="shared" si="3"/>
        <v>0</v>
      </c>
      <c r="M63" s="292">
        <f t="shared" si="4"/>
        <v>0</v>
      </c>
      <c r="N63" s="292">
        <f t="shared" si="39"/>
        <v>0</v>
      </c>
      <c r="O63" s="292">
        <f t="shared" si="40"/>
        <v>0</v>
      </c>
      <c r="P63" s="292">
        <f t="shared" si="5"/>
        <v>0</v>
      </c>
      <c r="Q63" s="292">
        <f t="shared" si="6"/>
        <v>0</v>
      </c>
      <c r="R63" s="292">
        <f t="shared" si="7"/>
        <v>0</v>
      </c>
      <c r="S63" s="292">
        <f t="shared" si="8"/>
        <v>0</v>
      </c>
      <c r="T63" s="292">
        <f t="shared" si="41"/>
        <v>0</v>
      </c>
      <c r="U63" s="292">
        <f t="shared" si="42"/>
        <v>0</v>
      </c>
      <c r="V63" s="292">
        <f t="shared" si="9"/>
        <v>0</v>
      </c>
      <c r="W63" s="292">
        <f t="shared" si="10"/>
        <v>0</v>
      </c>
      <c r="X63" s="292">
        <f t="shared" si="11"/>
        <v>0</v>
      </c>
      <c r="Y63" s="292">
        <f t="shared" si="12"/>
        <v>0</v>
      </c>
      <c r="Z63" s="292">
        <f t="shared" si="13"/>
        <v>0</v>
      </c>
      <c r="AA63" s="292">
        <f t="shared" si="14"/>
        <v>0</v>
      </c>
      <c r="AB63" s="292">
        <f t="shared" si="15"/>
        <v>0</v>
      </c>
      <c r="AC63" s="292">
        <f t="shared" si="16"/>
        <v>0</v>
      </c>
      <c r="AD63" s="292">
        <f t="shared" si="17"/>
        <v>0</v>
      </c>
      <c r="AE63" s="292">
        <f t="shared" si="18"/>
        <v>0</v>
      </c>
      <c r="AF63" s="292">
        <f t="shared" si="43"/>
        <v>0</v>
      </c>
      <c r="AG63" s="292">
        <f t="shared" si="44"/>
        <v>0</v>
      </c>
      <c r="AH63" s="292">
        <f t="shared" si="19"/>
        <v>0</v>
      </c>
      <c r="AI63" s="292">
        <f t="shared" si="20"/>
        <v>0</v>
      </c>
      <c r="AJ63" s="292">
        <f t="shared" si="21"/>
        <v>0</v>
      </c>
      <c r="AK63" s="292">
        <f t="shared" si="22"/>
        <v>0</v>
      </c>
      <c r="AL63" s="292">
        <f t="shared" si="23"/>
        <v>0</v>
      </c>
      <c r="AM63" s="292">
        <f t="shared" si="24"/>
        <v>0</v>
      </c>
      <c r="AN63" s="292">
        <f t="shared" si="25"/>
        <v>0</v>
      </c>
      <c r="AO63" s="292">
        <f t="shared" si="26"/>
        <v>0</v>
      </c>
      <c r="AP63" s="292">
        <f t="shared" si="27"/>
        <v>0</v>
      </c>
      <c r="AQ63" s="292">
        <f t="shared" si="28"/>
        <v>0</v>
      </c>
      <c r="AR63" s="292">
        <f t="shared" si="29"/>
        <v>0</v>
      </c>
      <c r="AS63" s="292">
        <f t="shared" si="30"/>
        <v>0</v>
      </c>
      <c r="AT63" s="292">
        <f t="shared" si="31"/>
        <v>0</v>
      </c>
      <c r="AU63" s="292">
        <f t="shared" si="32"/>
        <v>0</v>
      </c>
      <c r="AV63" s="292">
        <f t="shared" si="33"/>
        <v>0</v>
      </c>
      <c r="AW63" s="292">
        <f t="shared" si="34"/>
        <v>0</v>
      </c>
      <c r="AX63" s="292">
        <f t="shared" si="35"/>
        <v>0</v>
      </c>
      <c r="AY63" s="292">
        <f t="shared" si="36"/>
        <v>0</v>
      </c>
      <c r="AZ63" s="292">
        <f t="shared" si="37"/>
        <v>0</v>
      </c>
      <c r="BA63" s="292">
        <f t="shared" si="38"/>
        <v>0</v>
      </c>
    </row>
    <row r="64" spans="1:53" s="289" customFormat="1" ht="15.75" customHeight="1">
      <c r="A64" s="63" t="str">
        <f t="array" ref="A64">IF(C64&lt;&gt;0,SUM(($C$11:C64&lt;&gt;0)*1),"")</f>
        <v/>
      </c>
      <c r="B64" s="290"/>
      <c r="C64" s="290"/>
      <c r="D64" s="290"/>
      <c r="E64" s="396"/>
      <c r="F64" s="345"/>
      <c r="G64" s="347"/>
      <c r="H64" s="347"/>
      <c r="I64" s="63" t="str">
        <f t="shared" si="45"/>
        <v/>
      </c>
      <c r="J64" s="292">
        <f t="shared" si="1"/>
        <v>0</v>
      </c>
      <c r="K64" s="292">
        <f t="shared" si="2"/>
        <v>0</v>
      </c>
      <c r="L64" s="292">
        <f t="shared" si="3"/>
        <v>0</v>
      </c>
      <c r="M64" s="292">
        <f t="shared" si="4"/>
        <v>0</v>
      </c>
      <c r="N64" s="292">
        <f t="shared" si="39"/>
        <v>0</v>
      </c>
      <c r="O64" s="292">
        <f t="shared" si="40"/>
        <v>0</v>
      </c>
      <c r="P64" s="292">
        <f t="shared" si="5"/>
        <v>0</v>
      </c>
      <c r="Q64" s="292">
        <f t="shared" si="6"/>
        <v>0</v>
      </c>
      <c r="R64" s="292">
        <f t="shared" si="7"/>
        <v>0</v>
      </c>
      <c r="S64" s="292">
        <f t="shared" si="8"/>
        <v>0</v>
      </c>
      <c r="T64" s="292">
        <f t="shared" si="41"/>
        <v>0</v>
      </c>
      <c r="U64" s="292">
        <f t="shared" si="42"/>
        <v>0</v>
      </c>
      <c r="V64" s="292">
        <f t="shared" si="9"/>
        <v>0</v>
      </c>
      <c r="W64" s="292">
        <f t="shared" si="10"/>
        <v>0</v>
      </c>
      <c r="X64" s="292">
        <f t="shared" si="11"/>
        <v>0</v>
      </c>
      <c r="Y64" s="292">
        <f t="shared" si="12"/>
        <v>0</v>
      </c>
      <c r="Z64" s="292">
        <f t="shared" si="13"/>
        <v>0</v>
      </c>
      <c r="AA64" s="292">
        <f t="shared" si="14"/>
        <v>0</v>
      </c>
      <c r="AB64" s="292">
        <f t="shared" si="15"/>
        <v>0</v>
      </c>
      <c r="AC64" s="292">
        <f t="shared" si="16"/>
        <v>0</v>
      </c>
      <c r="AD64" s="292">
        <f t="shared" si="17"/>
        <v>0</v>
      </c>
      <c r="AE64" s="292">
        <f t="shared" si="18"/>
        <v>0</v>
      </c>
      <c r="AF64" s="292">
        <f t="shared" si="43"/>
        <v>0</v>
      </c>
      <c r="AG64" s="292">
        <f t="shared" si="44"/>
        <v>0</v>
      </c>
      <c r="AH64" s="292">
        <f t="shared" si="19"/>
        <v>0</v>
      </c>
      <c r="AI64" s="292">
        <f t="shared" si="20"/>
        <v>0</v>
      </c>
      <c r="AJ64" s="292">
        <f t="shared" si="21"/>
        <v>0</v>
      </c>
      <c r="AK64" s="292">
        <f t="shared" si="22"/>
        <v>0</v>
      </c>
      <c r="AL64" s="292">
        <f t="shared" si="23"/>
        <v>0</v>
      </c>
      <c r="AM64" s="292">
        <f t="shared" si="24"/>
        <v>0</v>
      </c>
      <c r="AN64" s="292">
        <f t="shared" si="25"/>
        <v>0</v>
      </c>
      <c r="AO64" s="292">
        <f t="shared" si="26"/>
        <v>0</v>
      </c>
      <c r="AP64" s="292">
        <f t="shared" si="27"/>
        <v>0</v>
      </c>
      <c r="AQ64" s="292">
        <f t="shared" si="28"/>
        <v>0</v>
      </c>
      <c r="AR64" s="292">
        <f t="shared" si="29"/>
        <v>0</v>
      </c>
      <c r="AS64" s="292">
        <f t="shared" si="30"/>
        <v>0</v>
      </c>
      <c r="AT64" s="292">
        <f t="shared" si="31"/>
        <v>0</v>
      </c>
      <c r="AU64" s="292">
        <f t="shared" si="32"/>
        <v>0</v>
      </c>
      <c r="AV64" s="292">
        <f t="shared" si="33"/>
        <v>0</v>
      </c>
      <c r="AW64" s="292">
        <f t="shared" si="34"/>
        <v>0</v>
      </c>
      <c r="AX64" s="292">
        <f t="shared" si="35"/>
        <v>0</v>
      </c>
      <c r="AY64" s="292">
        <f t="shared" si="36"/>
        <v>0</v>
      </c>
      <c r="AZ64" s="292">
        <f t="shared" si="37"/>
        <v>0</v>
      </c>
      <c r="BA64" s="292">
        <f t="shared" si="38"/>
        <v>0</v>
      </c>
    </row>
    <row r="65" spans="1:53" s="289" customFormat="1" ht="15.75" customHeight="1">
      <c r="A65" s="63" t="str">
        <f t="array" ref="A65">IF(C65&lt;&gt;0,SUM(($C$11:C65&lt;&gt;0)*1),"")</f>
        <v/>
      </c>
      <c r="B65" s="290"/>
      <c r="C65" s="290"/>
      <c r="D65" s="290"/>
      <c r="E65" s="396"/>
      <c r="F65" s="345"/>
      <c r="G65" s="347"/>
      <c r="H65" s="347"/>
      <c r="I65" s="63" t="str">
        <f t="shared" si="45"/>
        <v/>
      </c>
      <c r="J65" s="292">
        <f t="shared" si="1"/>
        <v>0</v>
      </c>
      <c r="K65" s="292">
        <f t="shared" si="2"/>
        <v>0</v>
      </c>
      <c r="L65" s="292">
        <f t="shared" si="3"/>
        <v>0</v>
      </c>
      <c r="M65" s="292">
        <f t="shared" si="4"/>
        <v>0</v>
      </c>
      <c r="N65" s="292">
        <f t="shared" si="39"/>
        <v>0</v>
      </c>
      <c r="O65" s="292">
        <f t="shared" si="40"/>
        <v>0</v>
      </c>
      <c r="P65" s="292">
        <f t="shared" si="5"/>
        <v>0</v>
      </c>
      <c r="Q65" s="292">
        <f t="shared" si="6"/>
        <v>0</v>
      </c>
      <c r="R65" s="292">
        <f t="shared" si="7"/>
        <v>0</v>
      </c>
      <c r="S65" s="292">
        <f t="shared" si="8"/>
        <v>0</v>
      </c>
      <c r="T65" s="292">
        <f t="shared" si="41"/>
        <v>0</v>
      </c>
      <c r="U65" s="292">
        <f t="shared" si="42"/>
        <v>0</v>
      </c>
      <c r="V65" s="292">
        <f t="shared" si="9"/>
        <v>0</v>
      </c>
      <c r="W65" s="292">
        <f t="shared" si="10"/>
        <v>0</v>
      </c>
      <c r="X65" s="292">
        <f t="shared" si="11"/>
        <v>0</v>
      </c>
      <c r="Y65" s="292">
        <f t="shared" si="12"/>
        <v>0</v>
      </c>
      <c r="Z65" s="292">
        <f t="shared" si="13"/>
        <v>0</v>
      </c>
      <c r="AA65" s="292">
        <f t="shared" si="14"/>
        <v>0</v>
      </c>
      <c r="AB65" s="292">
        <f t="shared" si="15"/>
        <v>0</v>
      </c>
      <c r="AC65" s="292">
        <f t="shared" si="16"/>
        <v>0</v>
      </c>
      <c r="AD65" s="292">
        <f t="shared" si="17"/>
        <v>0</v>
      </c>
      <c r="AE65" s="292">
        <f t="shared" si="18"/>
        <v>0</v>
      </c>
      <c r="AF65" s="292">
        <f t="shared" si="43"/>
        <v>0</v>
      </c>
      <c r="AG65" s="292">
        <f t="shared" si="44"/>
        <v>0</v>
      </c>
      <c r="AH65" s="292">
        <f t="shared" si="19"/>
        <v>0</v>
      </c>
      <c r="AI65" s="292">
        <f t="shared" si="20"/>
        <v>0</v>
      </c>
      <c r="AJ65" s="292">
        <f t="shared" si="21"/>
        <v>0</v>
      </c>
      <c r="AK65" s="292">
        <f t="shared" si="22"/>
        <v>0</v>
      </c>
      <c r="AL65" s="292">
        <f t="shared" si="23"/>
        <v>0</v>
      </c>
      <c r="AM65" s="292">
        <f t="shared" si="24"/>
        <v>0</v>
      </c>
      <c r="AN65" s="292">
        <f t="shared" si="25"/>
        <v>0</v>
      </c>
      <c r="AO65" s="292">
        <f t="shared" si="26"/>
        <v>0</v>
      </c>
      <c r="AP65" s="292">
        <f t="shared" si="27"/>
        <v>0</v>
      </c>
      <c r="AQ65" s="292">
        <f t="shared" si="28"/>
        <v>0</v>
      </c>
      <c r="AR65" s="292">
        <f t="shared" si="29"/>
        <v>0</v>
      </c>
      <c r="AS65" s="292">
        <f t="shared" si="30"/>
        <v>0</v>
      </c>
      <c r="AT65" s="292">
        <f t="shared" si="31"/>
        <v>0</v>
      </c>
      <c r="AU65" s="292">
        <f t="shared" si="32"/>
        <v>0</v>
      </c>
      <c r="AV65" s="292">
        <f t="shared" si="33"/>
        <v>0</v>
      </c>
      <c r="AW65" s="292">
        <f t="shared" si="34"/>
        <v>0</v>
      </c>
      <c r="AX65" s="292">
        <f t="shared" si="35"/>
        <v>0</v>
      </c>
      <c r="AY65" s="292">
        <f t="shared" si="36"/>
        <v>0</v>
      </c>
      <c r="AZ65" s="292">
        <f t="shared" si="37"/>
        <v>0</v>
      </c>
      <c r="BA65" s="292">
        <f t="shared" si="38"/>
        <v>0</v>
      </c>
    </row>
    <row r="66" spans="1:53" s="289" customFormat="1" ht="15.75" customHeight="1">
      <c r="A66" s="63" t="str">
        <f t="array" ref="A66">IF(C66&lt;&gt;0,SUM(($C$11:C66&lt;&gt;0)*1),"")</f>
        <v/>
      </c>
      <c r="B66" s="290"/>
      <c r="C66" s="290"/>
      <c r="D66" s="290"/>
      <c r="E66" s="396"/>
      <c r="F66" s="345"/>
      <c r="G66" s="347"/>
      <c r="H66" s="347"/>
      <c r="I66" s="63" t="str">
        <f t="shared" si="45"/>
        <v/>
      </c>
      <c r="J66" s="292">
        <f t="shared" si="1"/>
        <v>0</v>
      </c>
      <c r="K66" s="292">
        <f t="shared" si="2"/>
        <v>0</v>
      </c>
      <c r="L66" s="292">
        <f t="shared" si="3"/>
        <v>0</v>
      </c>
      <c r="M66" s="292">
        <f t="shared" si="4"/>
        <v>0</v>
      </c>
      <c r="N66" s="292">
        <f t="shared" si="39"/>
        <v>0</v>
      </c>
      <c r="O66" s="292">
        <f t="shared" si="40"/>
        <v>0</v>
      </c>
      <c r="P66" s="292">
        <f t="shared" si="5"/>
        <v>0</v>
      </c>
      <c r="Q66" s="292">
        <f t="shared" si="6"/>
        <v>0</v>
      </c>
      <c r="R66" s="292">
        <f t="shared" si="7"/>
        <v>0</v>
      </c>
      <c r="S66" s="292">
        <f t="shared" si="8"/>
        <v>0</v>
      </c>
      <c r="T66" s="292">
        <f t="shared" si="41"/>
        <v>0</v>
      </c>
      <c r="U66" s="292">
        <f t="shared" si="42"/>
        <v>0</v>
      </c>
      <c r="V66" s="292">
        <f t="shared" si="9"/>
        <v>0</v>
      </c>
      <c r="W66" s="292">
        <f t="shared" si="10"/>
        <v>0</v>
      </c>
      <c r="X66" s="292">
        <f t="shared" si="11"/>
        <v>0</v>
      </c>
      <c r="Y66" s="292">
        <f t="shared" si="12"/>
        <v>0</v>
      </c>
      <c r="Z66" s="292">
        <f t="shared" si="13"/>
        <v>0</v>
      </c>
      <c r="AA66" s="292">
        <f t="shared" si="14"/>
        <v>0</v>
      </c>
      <c r="AB66" s="292">
        <f t="shared" si="15"/>
        <v>0</v>
      </c>
      <c r="AC66" s="292">
        <f t="shared" si="16"/>
        <v>0</v>
      </c>
      <c r="AD66" s="292">
        <f t="shared" si="17"/>
        <v>0</v>
      </c>
      <c r="AE66" s="292">
        <f t="shared" si="18"/>
        <v>0</v>
      </c>
      <c r="AF66" s="292">
        <f t="shared" si="43"/>
        <v>0</v>
      </c>
      <c r="AG66" s="292">
        <f t="shared" si="44"/>
        <v>0</v>
      </c>
      <c r="AH66" s="292">
        <f t="shared" si="19"/>
        <v>0</v>
      </c>
      <c r="AI66" s="292">
        <f t="shared" si="20"/>
        <v>0</v>
      </c>
      <c r="AJ66" s="292">
        <f t="shared" si="21"/>
        <v>0</v>
      </c>
      <c r="AK66" s="292">
        <f t="shared" si="22"/>
        <v>0</v>
      </c>
      <c r="AL66" s="292">
        <f t="shared" si="23"/>
        <v>0</v>
      </c>
      <c r="AM66" s="292">
        <f t="shared" si="24"/>
        <v>0</v>
      </c>
      <c r="AN66" s="292">
        <f t="shared" si="25"/>
        <v>0</v>
      </c>
      <c r="AO66" s="292">
        <f t="shared" si="26"/>
        <v>0</v>
      </c>
      <c r="AP66" s="292">
        <f t="shared" si="27"/>
        <v>0</v>
      </c>
      <c r="AQ66" s="292">
        <f t="shared" si="28"/>
        <v>0</v>
      </c>
      <c r="AR66" s="292">
        <f t="shared" si="29"/>
        <v>0</v>
      </c>
      <c r="AS66" s="292">
        <f t="shared" si="30"/>
        <v>0</v>
      </c>
      <c r="AT66" s="292">
        <f t="shared" si="31"/>
        <v>0</v>
      </c>
      <c r="AU66" s="292">
        <f t="shared" si="32"/>
        <v>0</v>
      </c>
      <c r="AV66" s="292">
        <f t="shared" si="33"/>
        <v>0</v>
      </c>
      <c r="AW66" s="292">
        <f t="shared" si="34"/>
        <v>0</v>
      </c>
      <c r="AX66" s="292">
        <f t="shared" si="35"/>
        <v>0</v>
      </c>
      <c r="AY66" s="292">
        <f t="shared" si="36"/>
        <v>0</v>
      </c>
      <c r="AZ66" s="292">
        <f t="shared" si="37"/>
        <v>0</v>
      </c>
      <c r="BA66" s="292">
        <f t="shared" si="38"/>
        <v>0</v>
      </c>
    </row>
    <row r="67" spans="1:53" s="289" customFormat="1" ht="15.75" customHeight="1">
      <c r="A67" s="63" t="str">
        <f t="array" ref="A67">IF(C67&lt;&gt;0,SUM(($C$11:C67&lt;&gt;0)*1),"")</f>
        <v/>
      </c>
      <c r="B67" s="290"/>
      <c r="C67" s="290"/>
      <c r="D67" s="290"/>
      <c r="E67" s="396"/>
      <c r="F67" s="345"/>
      <c r="G67" s="347"/>
      <c r="H67" s="347"/>
      <c r="I67" s="63" t="str">
        <f t="shared" si="45"/>
        <v/>
      </c>
      <c r="J67" s="292">
        <f t="shared" si="1"/>
        <v>0</v>
      </c>
      <c r="K67" s="292">
        <f t="shared" si="2"/>
        <v>0</v>
      </c>
      <c r="L67" s="292">
        <f t="shared" si="3"/>
        <v>0</v>
      </c>
      <c r="M67" s="292">
        <f t="shared" si="4"/>
        <v>0</v>
      </c>
      <c r="N67" s="292">
        <f t="shared" si="39"/>
        <v>0</v>
      </c>
      <c r="O67" s="292">
        <f t="shared" si="40"/>
        <v>0</v>
      </c>
      <c r="P67" s="292">
        <f t="shared" si="5"/>
        <v>0</v>
      </c>
      <c r="Q67" s="292">
        <f t="shared" si="6"/>
        <v>0</v>
      </c>
      <c r="R67" s="292">
        <f t="shared" si="7"/>
        <v>0</v>
      </c>
      <c r="S67" s="292">
        <f t="shared" si="8"/>
        <v>0</v>
      </c>
      <c r="T67" s="292">
        <f t="shared" si="41"/>
        <v>0</v>
      </c>
      <c r="U67" s="292">
        <f t="shared" si="42"/>
        <v>0</v>
      </c>
      <c r="V67" s="292">
        <f t="shared" si="9"/>
        <v>0</v>
      </c>
      <c r="W67" s="292">
        <f t="shared" si="10"/>
        <v>0</v>
      </c>
      <c r="X67" s="292">
        <f t="shared" si="11"/>
        <v>0</v>
      </c>
      <c r="Y67" s="292">
        <f t="shared" si="12"/>
        <v>0</v>
      </c>
      <c r="Z67" s="292">
        <f t="shared" si="13"/>
        <v>0</v>
      </c>
      <c r="AA67" s="292">
        <f t="shared" si="14"/>
        <v>0</v>
      </c>
      <c r="AB67" s="292">
        <f t="shared" si="15"/>
        <v>0</v>
      </c>
      <c r="AC67" s="292">
        <f t="shared" si="16"/>
        <v>0</v>
      </c>
      <c r="AD67" s="292">
        <f t="shared" si="17"/>
        <v>0</v>
      </c>
      <c r="AE67" s="292">
        <f t="shared" si="18"/>
        <v>0</v>
      </c>
      <c r="AF67" s="292">
        <f t="shared" si="43"/>
        <v>0</v>
      </c>
      <c r="AG67" s="292">
        <f t="shared" si="44"/>
        <v>0</v>
      </c>
      <c r="AH67" s="292">
        <f t="shared" si="19"/>
        <v>0</v>
      </c>
      <c r="AI67" s="292">
        <f t="shared" si="20"/>
        <v>0</v>
      </c>
      <c r="AJ67" s="292">
        <f t="shared" si="21"/>
        <v>0</v>
      </c>
      <c r="AK67" s="292">
        <f t="shared" si="22"/>
        <v>0</v>
      </c>
      <c r="AL67" s="292">
        <f t="shared" si="23"/>
        <v>0</v>
      </c>
      <c r="AM67" s="292">
        <f t="shared" si="24"/>
        <v>0</v>
      </c>
      <c r="AN67" s="292">
        <f t="shared" si="25"/>
        <v>0</v>
      </c>
      <c r="AO67" s="292">
        <f t="shared" si="26"/>
        <v>0</v>
      </c>
      <c r="AP67" s="292">
        <f t="shared" si="27"/>
        <v>0</v>
      </c>
      <c r="AQ67" s="292">
        <f t="shared" si="28"/>
        <v>0</v>
      </c>
      <c r="AR67" s="292">
        <f t="shared" si="29"/>
        <v>0</v>
      </c>
      <c r="AS67" s="292">
        <f t="shared" si="30"/>
        <v>0</v>
      </c>
      <c r="AT67" s="292">
        <f t="shared" si="31"/>
        <v>0</v>
      </c>
      <c r="AU67" s="292">
        <f t="shared" si="32"/>
        <v>0</v>
      </c>
      <c r="AV67" s="292">
        <f t="shared" si="33"/>
        <v>0</v>
      </c>
      <c r="AW67" s="292">
        <f t="shared" si="34"/>
        <v>0</v>
      </c>
      <c r="AX67" s="292">
        <f t="shared" si="35"/>
        <v>0</v>
      </c>
      <c r="AY67" s="292">
        <f t="shared" si="36"/>
        <v>0</v>
      </c>
      <c r="AZ67" s="292">
        <f t="shared" si="37"/>
        <v>0</v>
      </c>
      <c r="BA67" s="292">
        <f t="shared" si="38"/>
        <v>0</v>
      </c>
    </row>
    <row r="68" spans="1:53" s="289" customFormat="1" ht="15.75" customHeight="1">
      <c r="A68" s="63" t="str">
        <f t="array" ref="A68">IF(C68&lt;&gt;0,SUM(($C$11:C68&lt;&gt;0)*1),"")</f>
        <v/>
      </c>
      <c r="B68" s="290"/>
      <c r="C68" s="290"/>
      <c r="D68" s="290"/>
      <c r="E68" s="396"/>
      <c r="F68" s="345"/>
      <c r="G68" s="347"/>
      <c r="H68" s="347"/>
      <c r="I68" s="63" t="str">
        <f t="shared" si="45"/>
        <v/>
      </c>
      <c r="J68" s="292">
        <f t="shared" si="1"/>
        <v>0</v>
      </c>
      <c r="K68" s="292">
        <f t="shared" si="2"/>
        <v>0</v>
      </c>
      <c r="L68" s="292">
        <f t="shared" si="3"/>
        <v>0</v>
      </c>
      <c r="M68" s="292">
        <f t="shared" si="4"/>
        <v>0</v>
      </c>
      <c r="N68" s="292">
        <f t="shared" si="39"/>
        <v>0</v>
      </c>
      <c r="O68" s="292">
        <f t="shared" si="40"/>
        <v>0</v>
      </c>
      <c r="P68" s="292">
        <f t="shared" si="5"/>
        <v>0</v>
      </c>
      <c r="Q68" s="292">
        <f t="shared" si="6"/>
        <v>0</v>
      </c>
      <c r="R68" s="292">
        <f t="shared" si="7"/>
        <v>0</v>
      </c>
      <c r="S68" s="292">
        <f t="shared" si="8"/>
        <v>0</v>
      </c>
      <c r="T68" s="292">
        <f t="shared" si="41"/>
        <v>0</v>
      </c>
      <c r="U68" s="292">
        <f t="shared" si="42"/>
        <v>0</v>
      </c>
      <c r="V68" s="292">
        <f t="shared" si="9"/>
        <v>0</v>
      </c>
      <c r="W68" s="292">
        <f t="shared" si="10"/>
        <v>0</v>
      </c>
      <c r="X68" s="292">
        <f t="shared" si="11"/>
        <v>0</v>
      </c>
      <c r="Y68" s="292">
        <f t="shared" si="12"/>
        <v>0</v>
      </c>
      <c r="Z68" s="292">
        <f t="shared" si="13"/>
        <v>0</v>
      </c>
      <c r="AA68" s="292">
        <f t="shared" si="14"/>
        <v>0</v>
      </c>
      <c r="AB68" s="292">
        <f t="shared" si="15"/>
        <v>0</v>
      </c>
      <c r="AC68" s="292">
        <f t="shared" si="16"/>
        <v>0</v>
      </c>
      <c r="AD68" s="292">
        <f t="shared" si="17"/>
        <v>0</v>
      </c>
      <c r="AE68" s="292">
        <f t="shared" si="18"/>
        <v>0</v>
      </c>
      <c r="AF68" s="292">
        <f t="shared" si="43"/>
        <v>0</v>
      </c>
      <c r="AG68" s="292">
        <f t="shared" si="44"/>
        <v>0</v>
      </c>
      <c r="AH68" s="292">
        <f t="shared" si="19"/>
        <v>0</v>
      </c>
      <c r="AI68" s="292">
        <f t="shared" si="20"/>
        <v>0</v>
      </c>
      <c r="AJ68" s="292">
        <f t="shared" si="21"/>
        <v>0</v>
      </c>
      <c r="AK68" s="292">
        <f t="shared" si="22"/>
        <v>0</v>
      </c>
      <c r="AL68" s="292">
        <f t="shared" si="23"/>
        <v>0</v>
      </c>
      <c r="AM68" s="292">
        <f t="shared" si="24"/>
        <v>0</v>
      </c>
      <c r="AN68" s="292">
        <f t="shared" si="25"/>
        <v>0</v>
      </c>
      <c r="AO68" s="292">
        <f t="shared" si="26"/>
        <v>0</v>
      </c>
      <c r="AP68" s="292">
        <f t="shared" si="27"/>
        <v>0</v>
      </c>
      <c r="AQ68" s="292">
        <f t="shared" si="28"/>
        <v>0</v>
      </c>
      <c r="AR68" s="292">
        <f t="shared" si="29"/>
        <v>0</v>
      </c>
      <c r="AS68" s="292">
        <f t="shared" si="30"/>
        <v>0</v>
      </c>
      <c r="AT68" s="292">
        <f t="shared" si="31"/>
        <v>0</v>
      </c>
      <c r="AU68" s="292">
        <f t="shared" si="32"/>
        <v>0</v>
      </c>
      <c r="AV68" s="292">
        <f t="shared" si="33"/>
        <v>0</v>
      </c>
      <c r="AW68" s="292">
        <f t="shared" si="34"/>
        <v>0</v>
      </c>
      <c r="AX68" s="292">
        <f t="shared" si="35"/>
        <v>0</v>
      </c>
      <c r="AY68" s="292">
        <f t="shared" si="36"/>
        <v>0</v>
      </c>
      <c r="AZ68" s="292">
        <f t="shared" si="37"/>
        <v>0</v>
      </c>
      <c r="BA68" s="292">
        <f t="shared" si="38"/>
        <v>0</v>
      </c>
    </row>
    <row r="69" spans="1:53" s="289" customFormat="1" ht="15.75" customHeight="1">
      <c r="A69" s="63" t="str">
        <f t="array" ref="A69">IF(C69&lt;&gt;0,SUM(($C$11:C69&lt;&gt;0)*1),"")</f>
        <v/>
      </c>
      <c r="B69" s="290"/>
      <c r="C69" s="290"/>
      <c r="D69" s="290"/>
      <c r="E69" s="396"/>
      <c r="F69" s="345"/>
      <c r="G69" s="347"/>
      <c r="H69" s="347"/>
      <c r="I69" s="63" t="str">
        <f t="shared" si="45"/>
        <v/>
      </c>
      <c r="J69" s="292">
        <f t="shared" si="1"/>
        <v>0</v>
      </c>
      <c r="K69" s="292">
        <f t="shared" si="2"/>
        <v>0</v>
      </c>
      <c r="L69" s="292">
        <f t="shared" si="3"/>
        <v>0</v>
      </c>
      <c r="M69" s="292">
        <f t="shared" si="4"/>
        <v>0</v>
      </c>
      <c r="N69" s="292">
        <f t="shared" si="39"/>
        <v>0</v>
      </c>
      <c r="O69" s="292">
        <f t="shared" si="40"/>
        <v>0</v>
      </c>
      <c r="P69" s="292">
        <f t="shared" si="5"/>
        <v>0</v>
      </c>
      <c r="Q69" s="292">
        <f t="shared" si="6"/>
        <v>0</v>
      </c>
      <c r="R69" s="292">
        <f t="shared" si="7"/>
        <v>0</v>
      </c>
      <c r="S69" s="292">
        <f t="shared" si="8"/>
        <v>0</v>
      </c>
      <c r="T69" s="292">
        <f t="shared" si="41"/>
        <v>0</v>
      </c>
      <c r="U69" s="292">
        <f t="shared" si="42"/>
        <v>0</v>
      </c>
      <c r="V69" s="292">
        <f t="shared" si="9"/>
        <v>0</v>
      </c>
      <c r="W69" s="292">
        <f t="shared" si="10"/>
        <v>0</v>
      </c>
      <c r="X69" s="292">
        <f t="shared" si="11"/>
        <v>0</v>
      </c>
      <c r="Y69" s="292">
        <f t="shared" si="12"/>
        <v>0</v>
      </c>
      <c r="Z69" s="292">
        <f t="shared" si="13"/>
        <v>0</v>
      </c>
      <c r="AA69" s="292">
        <f t="shared" si="14"/>
        <v>0</v>
      </c>
      <c r="AB69" s="292">
        <f t="shared" si="15"/>
        <v>0</v>
      </c>
      <c r="AC69" s="292">
        <f t="shared" si="16"/>
        <v>0</v>
      </c>
      <c r="AD69" s="292">
        <f t="shared" si="17"/>
        <v>0</v>
      </c>
      <c r="AE69" s="292">
        <f t="shared" si="18"/>
        <v>0</v>
      </c>
      <c r="AF69" s="292">
        <f t="shared" si="43"/>
        <v>0</v>
      </c>
      <c r="AG69" s="292">
        <f t="shared" si="44"/>
        <v>0</v>
      </c>
      <c r="AH69" s="292">
        <f t="shared" si="19"/>
        <v>0</v>
      </c>
      <c r="AI69" s="292">
        <f t="shared" si="20"/>
        <v>0</v>
      </c>
      <c r="AJ69" s="292">
        <f t="shared" si="21"/>
        <v>0</v>
      </c>
      <c r="AK69" s="292">
        <f t="shared" si="22"/>
        <v>0</v>
      </c>
      <c r="AL69" s="292">
        <f t="shared" si="23"/>
        <v>0</v>
      </c>
      <c r="AM69" s="292">
        <f t="shared" si="24"/>
        <v>0</v>
      </c>
      <c r="AN69" s="292">
        <f t="shared" si="25"/>
        <v>0</v>
      </c>
      <c r="AO69" s="292">
        <f t="shared" si="26"/>
        <v>0</v>
      </c>
      <c r="AP69" s="292">
        <f t="shared" si="27"/>
        <v>0</v>
      </c>
      <c r="AQ69" s="292">
        <f t="shared" si="28"/>
        <v>0</v>
      </c>
      <c r="AR69" s="292">
        <f t="shared" si="29"/>
        <v>0</v>
      </c>
      <c r="AS69" s="292">
        <f t="shared" si="30"/>
        <v>0</v>
      </c>
      <c r="AT69" s="292">
        <f t="shared" si="31"/>
        <v>0</v>
      </c>
      <c r="AU69" s="292">
        <f t="shared" si="32"/>
        <v>0</v>
      </c>
      <c r="AV69" s="292">
        <f t="shared" si="33"/>
        <v>0</v>
      </c>
      <c r="AW69" s="292">
        <f t="shared" si="34"/>
        <v>0</v>
      </c>
      <c r="AX69" s="292">
        <f t="shared" si="35"/>
        <v>0</v>
      </c>
      <c r="AY69" s="292">
        <f t="shared" si="36"/>
        <v>0</v>
      </c>
      <c r="AZ69" s="292">
        <f t="shared" si="37"/>
        <v>0</v>
      </c>
      <c r="BA69" s="292">
        <f t="shared" si="38"/>
        <v>0</v>
      </c>
    </row>
    <row r="70" spans="1:53" s="289" customFormat="1" ht="15.75" customHeight="1">
      <c r="A70" s="63" t="str">
        <f t="array" ref="A70">IF(C70&lt;&gt;0,SUM(($C$11:C70&lt;&gt;0)*1),"")</f>
        <v/>
      </c>
      <c r="B70" s="290"/>
      <c r="C70" s="290"/>
      <c r="D70" s="290"/>
      <c r="E70" s="396"/>
      <c r="F70" s="345"/>
      <c r="G70" s="347"/>
      <c r="H70" s="347"/>
      <c r="I70" s="63" t="str">
        <f t="shared" si="45"/>
        <v/>
      </c>
      <c r="J70" s="292">
        <f t="shared" si="1"/>
        <v>0</v>
      </c>
      <c r="K70" s="292">
        <f t="shared" si="2"/>
        <v>0</v>
      </c>
      <c r="L70" s="292">
        <f t="shared" si="3"/>
        <v>0</v>
      </c>
      <c r="M70" s="292">
        <f t="shared" si="4"/>
        <v>0</v>
      </c>
      <c r="N70" s="292">
        <f t="shared" si="39"/>
        <v>0</v>
      </c>
      <c r="O70" s="292">
        <f t="shared" si="40"/>
        <v>0</v>
      </c>
      <c r="P70" s="292">
        <f t="shared" si="5"/>
        <v>0</v>
      </c>
      <c r="Q70" s="292">
        <f t="shared" si="6"/>
        <v>0</v>
      </c>
      <c r="R70" s="292">
        <f t="shared" si="7"/>
        <v>0</v>
      </c>
      <c r="S70" s="292">
        <f t="shared" si="8"/>
        <v>0</v>
      </c>
      <c r="T70" s="292">
        <f t="shared" si="41"/>
        <v>0</v>
      </c>
      <c r="U70" s="292">
        <f t="shared" si="42"/>
        <v>0</v>
      </c>
      <c r="V70" s="292">
        <f t="shared" si="9"/>
        <v>0</v>
      </c>
      <c r="W70" s="292">
        <f t="shared" si="10"/>
        <v>0</v>
      </c>
      <c r="X70" s="292">
        <f t="shared" si="11"/>
        <v>0</v>
      </c>
      <c r="Y70" s="292">
        <f t="shared" si="12"/>
        <v>0</v>
      </c>
      <c r="Z70" s="292">
        <f t="shared" si="13"/>
        <v>0</v>
      </c>
      <c r="AA70" s="292">
        <f t="shared" si="14"/>
        <v>0</v>
      </c>
      <c r="AB70" s="292">
        <f t="shared" si="15"/>
        <v>0</v>
      </c>
      <c r="AC70" s="292">
        <f t="shared" si="16"/>
        <v>0</v>
      </c>
      <c r="AD70" s="292">
        <f t="shared" si="17"/>
        <v>0</v>
      </c>
      <c r="AE70" s="292">
        <f t="shared" si="18"/>
        <v>0</v>
      </c>
      <c r="AF70" s="292">
        <f t="shared" si="43"/>
        <v>0</v>
      </c>
      <c r="AG70" s="292">
        <f t="shared" si="44"/>
        <v>0</v>
      </c>
      <c r="AH70" s="292">
        <f t="shared" si="19"/>
        <v>0</v>
      </c>
      <c r="AI70" s="292">
        <f t="shared" si="20"/>
        <v>0</v>
      </c>
      <c r="AJ70" s="292">
        <f t="shared" si="21"/>
        <v>0</v>
      </c>
      <c r="AK70" s="292">
        <f t="shared" si="22"/>
        <v>0</v>
      </c>
      <c r="AL70" s="292">
        <f t="shared" si="23"/>
        <v>0</v>
      </c>
      <c r="AM70" s="292">
        <f t="shared" si="24"/>
        <v>0</v>
      </c>
      <c r="AN70" s="292">
        <f t="shared" si="25"/>
        <v>0</v>
      </c>
      <c r="AO70" s="292">
        <f t="shared" si="26"/>
        <v>0</v>
      </c>
      <c r="AP70" s="292">
        <f t="shared" si="27"/>
        <v>0</v>
      </c>
      <c r="AQ70" s="292">
        <f t="shared" si="28"/>
        <v>0</v>
      </c>
      <c r="AR70" s="292">
        <f t="shared" si="29"/>
        <v>0</v>
      </c>
      <c r="AS70" s="292">
        <f t="shared" si="30"/>
        <v>0</v>
      </c>
      <c r="AT70" s="292">
        <f t="shared" si="31"/>
        <v>0</v>
      </c>
      <c r="AU70" s="292">
        <f t="shared" si="32"/>
        <v>0</v>
      </c>
      <c r="AV70" s="292">
        <f t="shared" si="33"/>
        <v>0</v>
      </c>
      <c r="AW70" s="292">
        <f t="shared" si="34"/>
        <v>0</v>
      </c>
      <c r="AX70" s="292">
        <f t="shared" si="35"/>
        <v>0</v>
      </c>
      <c r="AY70" s="292">
        <f t="shared" si="36"/>
        <v>0</v>
      </c>
      <c r="AZ70" s="292">
        <f t="shared" si="37"/>
        <v>0</v>
      </c>
      <c r="BA70" s="292">
        <f t="shared" si="38"/>
        <v>0</v>
      </c>
    </row>
    <row r="71" spans="1:53" s="289" customFormat="1" ht="15.75" customHeight="1">
      <c r="A71" s="63" t="str">
        <f t="array" ref="A71">IF(C71&lt;&gt;0,SUM(($C$11:C71&lt;&gt;0)*1),"")</f>
        <v/>
      </c>
      <c r="B71" s="290"/>
      <c r="C71" s="290"/>
      <c r="D71" s="290"/>
      <c r="E71" s="396"/>
      <c r="F71" s="345"/>
      <c r="G71" s="347"/>
      <c r="H71" s="347"/>
      <c r="I71" s="63" t="str">
        <f t="shared" si="45"/>
        <v/>
      </c>
      <c r="J71" s="292">
        <f t="shared" si="1"/>
        <v>0</v>
      </c>
      <c r="K71" s="292">
        <f t="shared" si="2"/>
        <v>0</v>
      </c>
      <c r="L71" s="292">
        <f t="shared" si="3"/>
        <v>0</v>
      </c>
      <c r="M71" s="292">
        <f t="shared" si="4"/>
        <v>0</v>
      </c>
      <c r="N71" s="292">
        <f t="shared" si="39"/>
        <v>0</v>
      </c>
      <c r="O71" s="292">
        <f t="shared" si="40"/>
        <v>0</v>
      </c>
      <c r="P71" s="292">
        <f t="shared" si="5"/>
        <v>0</v>
      </c>
      <c r="Q71" s="292">
        <f t="shared" si="6"/>
        <v>0</v>
      </c>
      <c r="R71" s="292">
        <f t="shared" si="7"/>
        <v>0</v>
      </c>
      <c r="S71" s="292">
        <f t="shared" si="8"/>
        <v>0</v>
      </c>
      <c r="T71" s="292">
        <f t="shared" si="41"/>
        <v>0</v>
      </c>
      <c r="U71" s="292">
        <f t="shared" si="42"/>
        <v>0</v>
      </c>
      <c r="V71" s="292">
        <f t="shared" si="9"/>
        <v>0</v>
      </c>
      <c r="W71" s="292">
        <f t="shared" si="10"/>
        <v>0</v>
      </c>
      <c r="X71" s="292">
        <f t="shared" si="11"/>
        <v>0</v>
      </c>
      <c r="Y71" s="292">
        <f t="shared" si="12"/>
        <v>0</v>
      </c>
      <c r="Z71" s="292">
        <f t="shared" si="13"/>
        <v>0</v>
      </c>
      <c r="AA71" s="292">
        <f t="shared" si="14"/>
        <v>0</v>
      </c>
      <c r="AB71" s="292">
        <f t="shared" si="15"/>
        <v>0</v>
      </c>
      <c r="AC71" s="292">
        <f t="shared" si="16"/>
        <v>0</v>
      </c>
      <c r="AD71" s="292">
        <f t="shared" si="17"/>
        <v>0</v>
      </c>
      <c r="AE71" s="292">
        <f t="shared" si="18"/>
        <v>0</v>
      </c>
      <c r="AF71" s="292">
        <f t="shared" si="43"/>
        <v>0</v>
      </c>
      <c r="AG71" s="292">
        <f t="shared" si="44"/>
        <v>0</v>
      </c>
      <c r="AH71" s="292">
        <f t="shared" si="19"/>
        <v>0</v>
      </c>
      <c r="AI71" s="292">
        <f t="shared" si="20"/>
        <v>0</v>
      </c>
      <c r="AJ71" s="292">
        <f t="shared" si="21"/>
        <v>0</v>
      </c>
      <c r="AK71" s="292">
        <f t="shared" si="22"/>
        <v>0</v>
      </c>
      <c r="AL71" s="292">
        <f t="shared" si="23"/>
        <v>0</v>
      </c>
      <c r="AM71" s="292">
        <f t="shared" si="24"/>
        <v>0</v>
      </c>
      <c r="AN71" s="292">
        <f t="shared" si="25"/>
        <v>0</v>
      </c>
      <c r="AO71" s="292">
        <f t="shared" si="26"/>
        <v>0</v>
      </c>
      <c r="AP71" s="292">
        <f t="shared" si="27"/>
        <v>0</v>
      </c>
      <c r="AQ71" s="292">
        <f t="shared" si="28"/>
        <v>0</v>
      </c>
      <c r="AR71" s="292">
        <f t="shared" si="29"/>
        <v>0</v>
      </c>
      <c r="AS71" s="292">
        <f t="shared" si="30"/>
        <v>0</v>
      </c>
      <c r="AT71" s="292">
        <f t="shared" si="31"/>
        <v>0</v>
      </c>
      <c r="AU71" s="292">
        <f t="shared" si="32"/>
        <v>0</v>
      </c>
      <c r="AV71" s="292">
        <f t="shared" si="33"/>
        <v>0</v>
      </c>
      <c r="AW71" s="292">
        <f t="shared" si="34"/>
        <v>0</v>
      </c>
      <c r="AX71" s="292">
        <f t="shared" si="35"/>
        <v>0</v>
      </c>
      <c r="AY71" s="292">
        <f t="shared" si="36"/>
        <v>0</v>
      </c>
      <c r="AZ71" s="292">
        <f t="shared" si="37"/>
        <v>0</v>
      </c>
      <c r="BA71" s="292">
        <f t="shared" si="38"/>
        <v>0</v>
      </c>
    </row>
    <row r="72" spans="1:53" s="289" customFormat="1" ht="15.75" customHeight="1">
      <c r="A72" s="63" t="str">
        <f t="array" ref="A72">IF(C72&lt;&gt;0,SUM(($C$11:C72&lt;&gt;0)*1),"")</f>
        <v/>
      </c>
      <c r="B72" s="290"/>
      <c r="C72" s="290"/>
      <c r="D72" s="290"/>
      <c r="E72" s="396"/>
      <c r="F72" s="345"/>
      <c r="G72" s="347"/>
      <c r="H72" s="347"/>
      <c r="I72" s="63" t="str">
        <f t="shared" si="45"/>
        <v/>
      </c>
      <c r="J72" s="292">
        <f t="shared" si="1"/>
        <v>0</v>
      </c>
      <c r="K72" s="292">
        <f t="shared" si="2"/>
        <v>0</v>
      </c>
      <c r="L72" s="292">
        <f t="shared" si="3"/>
        <v>0</v>
      </c>
      <c r="M72" s="292">
        <f t="shared" si="4"/>
        <v>0</v>
      </c>
      <c r="N72" s="292">
        <f t="shared" si="39"/>
        <v>0</v>
      </c>
      <c r="O72" s="292">
        <f t="shared" si="40"/>
        <v>0</v>
      </c>
      <c r="P72" s="292">
        <f t="shared" si="5"/>
        <v>0</v>
      </c>
      <c r="Q72" s="292">
        <f t="shared" si="6"/>
        <v>0</v>
      </c>
      <c r="R72" s="292">
        <f t="shared" si="7"/>
        <v>0</v>
      </c>
      <c r="S72" s="292">
        <f t="shared" si="8"/>
        <v>0</v>
      </c>
      <c r="T72" s="292">
        <f t="shared" si="41"/>
        <v>0</v>
      </c>
      <c r="U72" s="292">
        <f t="shared" si="42"/>
        <v>0</v>
      </c>
      <c r="V72" s="292">
        <f t="shared" si="9"/>
        <v>0</v>
      </c>
      <c r="W72" s="292">
        <f t="shared" si="10"/>
        <v>0</v>
      </c>
      <c r="X72" s="292">
        <f t="shared" si="11"/>
        <v>0</v>
      </c>
      <c r="Y72" s="292">
        <f t="shared" si="12"/>
        <v>0</v>
      </c>
      <c r="Z72" s="292">
        <f t="shared" si="13"/>
        <v>0</v>
      </c>
      <c r="AA72" s="292">
        <f t="shared" si="14"/>
        <v>0</v>
      </c>
      <c r="AB72" s="292">
        <f t="shared" si="15"/>
        <v>0</v>
      </c>
      <c r="AC72" s="292">
        <f t="shared" si="16"/>
        <v>0</v>
      </c>
      <c r="AD72" s="292">
        <f t="shared" si="17"/>
        <v>0</v>
      </c>
      <c r="AE72" s="292">
        <f t="shared" si="18"/>
        <v>0</v>
      </c>
      <c r="AF72" s="292">
        <f t="shared" si="43"/>
        <v>0</v>
      </c>
      <c r="AG72" s="292">
        <f t="shared" si="44"/>
        <v>0</v>
      </c>
      <c r="AH72" s="292">
        <f t="shared" si="19"/>
        <v>0</v>
      </c>
      <c r="AI72" s="292">
        <f t="shared" si="20"/>
        <v>0</v>
      </c>
      <c r="AJ72" s="292">
        <f t="shared" si="21"/>
        <v>0</v>
      </c>
      <c r="AK72" s="292">
        <f t="shared" si="22"/>
        <v>0</v>
      </c>
      <c r="AL72" s="292">
        <f t="shared" si="23"/>
        <v>0</v>
      </c>
      <c r="AM72" s="292">
        <f t="shared" si="24"/>
        <v>0</v>
      </c>
      <c r="AN72" s="292">
        <f t="shared" si="25"/>
        <v>0</v>
      </c>
      <c r="AO72" s="292">
        <f t="shared" si="26"/>
        <v>0</v>
      </c>
      <c r="AP72" s="292">
        <f t="shared" si="27"/>
        <v>0</v>
      </c>
      <c r="AQ72" s="292">
        <f t="shared" si="28"/>
        <v>0</v>
      </c>
      <c r="AR72" s="292">
        <f t="shared" si="29"/>
        <v>0</v>
      </c>
      <c r="AS72" s="292">
        <f t="shared" si="30"/>
        <v>0</v>
      </c>
      <c r="AT72" s="292">
        <f t="shared" si="31"/>
        <v>0</v>
      </c>
      <c r="AU72" s="292">
        <f t="shared" si="32"/>
        <v>0</v>
      </c>
      <c r="AV72" s="292">
        <f t="shared" si="33"/>
        <v>0</v>
      </c>
      <c r="AW72" s="292">
        <f t="shared" si="34"/>
        <v>0</v>
      </c>
      <c r="AX72" s="292">
        <f t="shared" si="35"/>
        <v>0</v>
      </c>
      <c r="AY72" s="292">
        <f t="shared" si="36"/>
        <v>0</v>
      </c>
      <c r="AZ72" s="292">
        <f t="shared" si="37"/>
        <v>0</v>
      </c>
      <c r="BA72" s="292">
        <f t="shared" si="38"/>
        <v>0</v>
      </c>
    </row>
    <row r="73" spans="1:53" s="289" customFormat="1" ht="15.75" customHeight="1">
      <c r="A73" s="63" t="str">
        <f t="array" ref="A73">IF(C73&lt;&gt;0,SUM(($C$11:C73&lt;&gt;0)*1),"")</f>
        <v/>
      </c>
      <c r="B73" s="290"/>
      <c r="C73" s="290"/>
      <c r="D73" s="290"/>
      <c r="E73" s="396"/>
      <c r="F73" s="345"/>
      <c r="G73" s="347"/>
      <c r="H73" s="347"/>
      <c r="I73" s="63" t="str">
        <f t="shared" si="45"/>
        <v/>
      </c>
      <c r="J73" s="292">
        <f t="shared" si="1"/>
        <v>0</v>
      </c>
      <c r="K73" s="292">
        <f t="shared" si="2"/>
        <v>0</v>
      </c>
      <c r="L73" s="292">
        <f t="shared" si="3"/>
        <v>0</v>
      </c>
      <c r="M73" s="292">
        <f t="shared" si="4"/>
        <v>0</v>
      </c>
      <c r="N73" s="292">
        <f t="shared" si="39"/>
        <v>0</v>
      </c>
      <c r="O73" s="292">
        <f t="shared" si="40"/>
        <v>0</v>
      </c>
      <c r="P73" s="292">
        <f t="shared" si="5"/>
        <v>0</v>
      </c>
      <c r="Q73" s="292">
        <f t="shared" si="6"/>
        <v>0</v>
      </c>
      <c r="R73" s="292">
        <f t="shared" si="7"/>
        <v>0</v>
      </c>
      <c r="S73" s="292">
        <f t="shared" si="8"/>
        <v>0</v>
      </c>
      <c r="T73" s="292">
        <f t="shared" si="41"/>
        <v>0</v>
      </c>
      <c r="U73" s="292">
        <f t="shared" si="42"/>
        <v>0</v>
      </c>
      <c r="V73" s="292">
        <f t="shared" si="9"/>
        <v>0</v>
      </c>
      <c r="W73" s="292">
        <f t="shared" si="10"/>
        <v>0</v>
      </c>
      <c r="X73" s="292">
        <f t="shared" si="11"/>
        <v>0</v>
      </c>
      <c r="Y73" s="292">
        <f t="shared" si="12"/>
        <v>0</v>
      </c>
      <c r="Z73" s="292">
        <f t="shared" si="13"/>
        <v>0</v>
      </c>
      <c r="AA73" s="292">
        <f t="shared" si="14"/>
        <v>0</v>
      </c>
      <c r="AB73" s="292">
        <f t="shared" si="15"/>
        <v>0</v>
      </c>
      <c r="AC73" s="292">
        <f t="shared" si="16"/>
        <v>0</v>
      </c>
      <c r="AD73" s="292">
        <f t="shared" si="17"/>
        <v>0</v>
      </c>
      <c r="AE73" s="292">
        <f t="shared" si="18"/>
        <v>0</v>
      </c>
      <c r="AF73" s="292">
        <f t="shared" si="43"/>
        <v>0</v>
      </c>
      <c r="AG73" s="292">
        <f t="shared" si="44"/>
        <v>0</v>
      </c>
      <c r="AH73" s="292">
        <f t="shared" si="19"/>
        <v>0</v>
      </c>
      <c r="AI73" s="292">
        <f t="shared" si="20"/>
        <v>0</v>
      </c>
      <c r="AJ73" s="292">
        <f t="shared" si="21"/>
        <v>0</v>
      </c>
      <c r="AK73" s="292">
        <f t="shared" si="22"/>
        <v>0</v>
      </c>
      <c r="AL73" s="292">
        <f t="shared" si="23"/>
        <v>0</v>
      </c>
      <c r="AM73" s="292">
        <f t="shared" si="24"/>
        <v>0</v>
      </c>
      <c r="AN73" s="292">
        <f t="shared" si="25"/>
        <v>0</v>
      </c>
      <c r="AO73" s="292">
        <f t="shared" si="26"/>
        <v>0</v>
      </c>
      <c r="AP73" s="292">
        <f t="shared" si="27"/>
        <v>0</v>
      </c>
      <c r="AQ73" s="292">
        <f t="shared" si="28"/>
        <v>0</v>
      </c>
      <c r="AR73" s="292">
        <f t="shared" si="29"/>
        <v>0</v>
      </c>
      <c r="AS73" s="292">
        <f t="shared" si="30"/>
        <v>0</v>
      </c>
      <c r="AT73" s="292">
        <f t="shared" si="31"/>
        <v>0</v>
      </c>
      <c r="AU73" s="292">
        <f t="shared" si="32"/>
        <v>0</v>
      </c>
      <c r="AV73" s="292">
        <f t="shared" si="33"/>
        <v>0</v>
      </c>
      <c r="AW73" s="292">
        <f t="shared" si="34"/>
        <v>0</v>
      </c>
      <c r="AX73" s="292">
        <f t="shared" si="35"/>
        <v>0</v>
      </c>
      <c r="AY73" s="292">
        <f t="shared" si="36"/>
        <v>0</v>
      </c>
      <c r="AZ73" s="292">
        <f t="shared" si="37"/>
        <v>0</v>
      </c>
      <c r="BA73" s="292">
        <f t="shared" si="38"/>
        <v>0</v>
      </c>
    </row>
    <row r="74" spans="1:53" s="289" customFormat="1" ht="15.75" customHeight="1">
      <c r="A74" s="63" t="str">
        <f t="array" ref="A74">IF(C74&lt;&gt;0,SUM(($C$11:C74&lt;&gt;0)*1),"")</f>
        <v/>
      </c>
      <c r="B74" s="290"/>
      <c r="C74" s="290"/>
      <c r="D74" s="290"/>
      <c r="E74" s="396"/>
      <c r="F74" s="345"/>
      <c r="G74" s="347"/>
      <c r="H74" s="347"/>
      <c r="I74" s="63" t="str">
        <f t="shared" si="45"/>
        <v/>
      </c>
      <c r="J74" s="292">
        <f t="shared" si="1"/>
        <v>0</v>
      </c>
      <c r="K74" s="292">
        <f t="shared" si="2"/>
        <v>0</v>
      </c>
      <c r="L74" s="292">
        <f t="shared" si="3"/>
        <v>0</v>
      </c>
      <c r="M74" s="292">
        <f t="shared" si="4"/>
        <v>0</v>
      </c>
      <c r="N74" s="292">
        <f t="shared" si="39"/>
        <v>0</v>
      </c>
      <c r="O74" s="292">
        <f t="shared" si="40"/>
        <v>0</v>
      </c>
      <c r="P74" s="292">
        <f t="shared" si="5"/>
        <v>0</v>
      </c>
      <c r="Q74" s="292">
        <f t="shared" si="6"/>
        <v>0</v>
      </c>
      <c r="R74" s="292">
        <f t="shared" si="7"/>
        <v>0</v>
      </c>
      <c r="S74" s="292">
        <f t="shared" si="8"/>
        <v>0</v>
      </c>
      <c r="T74" s="292">
        <f t="shared" si="41"/>
        <v>0</v>
      </c>
      <c r="U74" s="292">
        <f t="shared" si="42"/>
        <v>0</v>
      </c>
      <c r="V74" s="292">
        <f t="shared" si="9"/>
        <v>0</v>
      </c>
      <c r="W74" s="292">
        <f t="shared" si="10"/>
        <v>0</v>
      </c>
      <c r="X74" s="292">
        <f t="shared" si="11"/>
        <v>0</v>
      </c>
      <c r="Y74" s="292">
        <f t="shared" si="12"/>
        <v>0</v>
      </c>
      <c r="Z74" s="292">
        <f t="shared" si="13"/>
        <v>0</v>
      </c>
      <c r="AA74" s="292">
        <f t="shared" si="14"/>
        <v>0</v>
      </c>
      <c r="AB74" s="292">
        <f t="shared" si="15"/>
        <v>0</v>
      </c>
      <c r="AC74" s="292">
        <f t="shared" si="16"/>
        <v>0</v>
      </c>
      <c r="AD74" s="292">
        <f t="shared" si="17"/>
        <v>0</v>
      </c>
      <c r="AE74" s="292">
        <f t="shared" si="18"/>
        <v>0</v>
      </c>
      <c r="AF74" s="292">
        <f t="shared" si="43"/>
        <v>0</v>
      </c>
      <c r="AG74" s="292">
        <f t="shared" si="44"/>
        <v>0</v>
      </c>
      <c r="AH74" s="292">
        <f t="shared" si="19"/>
        <v>0</v>
      </c>
      <c r="AI74" s="292">
        <f t="shared" si="20"/>
        <v>0</v>
      </c>
      <c r="AJ74" s="292">
        <f t="shared" si="21"/>
        <v>0</v>
      </c>
      <c r="AK74" s="292">
        <f t="shared" si="22"/>
        <v>0</v>
      </c>
      <c r="AL74" s="292">
        <f t="shared" si="23"/>
        <v>0</v>
      </c>
      <c r="AM74" s="292">
        <f t="shared" si="24"/>
        <v>0</v>
      </c>
      <c r="AN74" s="292">
        <f t="shared" si="25"/>
        <v>0</v>
      </c>
      <c r="AO74" s="292">
        <f t="shared" si="26"/>
        <v>0</v>
      </c>
      <c r="AP74" s="292">
        <f t="shared" si="27"/>
        <v>0</v>
      </c>
      <c r="AQ74" s="292">
        <f t="shared" si="28"/>
        <v>0</v>
      </c>
      <c r="AR74" s="292">
        <f t="shared" si="29"/>
        <v>0</v>
      </c>
      <c r="AS74" s="292">
        <f t="shared" si="30"/>
        <v>0</v>
      </c>
      <c r="AT74" s="292">
        <f t="shared" si="31"/>
        <v>0</v>
      </c>
      <c r="AU74" s="292">
        <f t="shared" si="32"/>
        <v>0</v>
      </c>
      <c r="AV74" s="292">
        <f t="shared" si="33"/>
        <v>0</v>
      </c>
      <c r="AW74" s="292">
        <f t="shared" si="34"/>
        <v>0</v>
      </c>
      <c r="AX74" s="292">
        <f t="shared" si="35"/>
        <v>0</v>
      </c>
      <c r="AY74" s="292">
        <f t="shared" si="36"/>
        <v>0</v>
      </c>
      <c r="AZ74" s="292">
        <f t="shared" si="37"/>
        <v>0</v>
      </c>
      <c r="BA74" s="292">
        <f t="shared" si="38"/>
        <v>0</v>
      </c>
    </row>
    <row r="75" spans="1:53" s="289" customFormat="1" ht="15.75" customHeight="1">
      <c r="A75" s="63" t="str">
        <f t="array" ref="A75">IF(C75&lt;&gt;0,SUM(($C$11:C75&lt;&gt;0)*1),"")</f>
        <v/>
      </c>
      <c r="B75" s="290"/>
      <c r="C75" s="290"/>
      <c r="D75" s="290"/>
      <c r="E75" s="396"/>
      <c r="F75" s="345"/>
      <c r="G75" s="347"/>
      <c r="H75" s="347"/>
      <c r="I75" s="63" t="str">
        <f t="shared" si="45"/>
        <v/>
      </c>
      <c r="J75" s="292">
        <f t="shared" ref="J75:J138" si="46">IF($G75="1111",$F75,0)</f>
        <v>0</v>
      </c>
      <c r="K75" s="292">
        <f t="shared" ref="K75:K138" si="47">IF($H75="1111",$F75,0)</f>
        <v>0</v>
      </c>
      <c r="L75" s="292">
        <f t="shared" ref="L75:L138" si="48">IF($G75="1121",$F75,0)</f>
        <v>0</v>
      </c>
      <c r="M75" s="292">
        <f t="shared" ref="M75:M138" si="49">IF($H75="1121",$F75,0)</f>
        <v>0</v>
      </c>
      <c r="N75" s="292">
        <f t="shared" si="39"/>
        <v>0</v>
      </c>
      <c r="O75" s="292">
        <f t="shared" si="40"/>
        <v>0</v>
      </c>
      <c r="P75" s="292">
        <f t="shared" ref="P75:P138" si="50">IF($G75="1331",$F75,0)</f>
        <v>0</v>
      </c>
      <c r="Q75" s="292">
        <f t="shared" ref="Q75:Q138" si="51">IF($H75="1331",$F75,0)</f>
        <v>0</v>
      </c>
      <c r="R75" s="292">
        <f t="shared" ref="R75:R138" si="52">IF($G75="1388",$F75,0)</f>
        <v>0</v>
      </c>
      <c r="S75" s="292">
        <f t="shared" ref="S75:S138" si="53">IF($H75="1388",$F75,0)</f>
        <v>0</v>
      </c>
      <c r="T75" s="292">
        <f t="shared" si="41"/>
        <v>0</v>
      </c>
      <c r="U75" s="292">
        <f t="shared" si="42"/>
        <v>0</v>
      </c>
      <c r="V75" s="292">
        <f t="shared" ref="V75:V138" si="54">IF($G75="331",$F75,0)</f>
        <v>0</v>
      </c>
      <c r="W75" s="292">
        <f t="shared" ref="W75:W138" si="55">IF($H75="331",$F75,0)</f>
        <v>0</v>
      </c>
      <c r="X75" s="292">
        <f t="shared" ref="X75:X138" si="56">IF($G75="3334",$F75,0)</f>
        <v>0</v>
      </c>
      <c r="Y75" s="292">
        <f t="shared" ref="Y75:Y138" si="57">IF($H75="3334",$F75,0)</f>
        <v>0</v>
      </c>
      <c r="Z75" s="292">
        <f t="shared" ref="Z75:Z138" si="58">IF($G75="33382",$F75,0)</f>
        <v>0</v>
      </c>
      <c r="AA75" s="292">
        <f t="shared" ref="AA75:AA138" si="59">IF($H75="33382",$F75,0)</f>
        <v>0</v>
      </c>
      <c r="AB75" s="292">
        <f t="shared" ref="AB75:AB138" si="60">IF($G75="3388",$F75,0)</f>
        <v>0</v>
      </c>
      <c r="AC75" s="292">
        <f t="shared" ref="AC75:AC138" si="61">IF($H75="3388",$F75,0)</f>
        <v>0</v>
      </c>
      <c r="AD75" s="292">
        <f t="shared" ref="AD75:AD138" si="62">IF($G75="3411",$F75,0)</f>
        <v>0</v>
      </c>
      <c r="AE75" s="292">
        <f t="shared" ref="AE75:AE138" si="63">IF($H75="3411",$F75,0)</f>
        <v>0</v>
      </c>
      <c r="AF75" s="292">
        <f t="shared" si="43"/>
        <v>0</v>
      </c>
      <c r="AG75" s="292">
        <f t="shared" si="44"/>
        <v>0</v>
      </c>
      <c r="AH75" s="292">
        <f t="shared" ref="AH75:AH138" si="64">IF($G75="4111",$F75,0)</f>
        <v>0</v>
      </c>
      <c r="AI75" s="292">
        <f t="shared" ref="AI75:AI138" si="65">IF($H75="4111",$F75,0)</f>
        <v>0</v>
      </c>
      <c r="AJ75" s="292">
        <f t="shared" ref="AJ75:AJ138" si="66">IF($G75="4211",$F75,0)</f>
        <v>0</v>
      </c>
      <c r="AK75" s="292">
        <f t="shared" ref="AK75:AK138" si="67">IF($H75="4211",$F75,0)</f>
        <v>0</v>
      </c>
      <c r="AL75" s="292">
        <f t="shared" ref="AL75:AL138" si="68">IF($G75="4212",$F75,0)</f>
        <v>0</v>
      </c>
      <c r="AM75" s="292">
        <f t="shared" ref="AM75:AM138" si="69">IF($H75="4212",$F75,0)</f>
        <v>0</v>
      </c>
      <c r="AN75" s="292">
        <f t="shared" ref="AN75:AN138" si="70">IF($G75="515",$F75,0)</f>
        <v>0</v>
      </c>
      <c r="AO75" s="292">
        <f t="shared" ref="AO75:AO138" si="71">IF($H75="515",$F75,0)</f>
        <v>0</v>
      </c>
      <c r="AP75" s="292">
        <f t="shared" ref="AP75:AP138" si="72">IF($G75="635",$F75,0)</f>
        <v>0</v>
      </c>
      <c r="AQ75" s="292">
        <f t="shared" ref="AQ75:AQ138" si="73">IF($H75="635",$F75,0)</f>
        <v>0</v>
      </c>
      <c r="AR75" s="292">
        <f t="shared" ref="AR75:AR138" si="74">IF($G75="642",$F75,0)</f>
        <v>0</v>
      </c>
      <c r="AS75" s="292">
        <f t="shared" ref="AS75:AS138" si="75">IF($H75="642",$F75,0)</f>
        <v>0</v>
      </c>
      <c r="AT75" s="292">
        <f t="shared" ref="AT75:AT138" si="76">IF($G75="711",$F75,0)</f>
        <v>0</v>
      </c>
      <c r="AU75" s="292">
        <f t="shared" ref="AU75:AU138" si="77">IF($H75="711",$F75,0)</f>
        <v>0</v>
      </c>
      <c r="AV75" s="292">
        <f t="shared" ref="AV75:AV138" si="78">IF($G75="811",$F75,0)</f>
        <v>0</v>
      </c>
      <c r="AW75" s="292">
        <f t="shared" ref="AW75:AW138" si="79">IF($H75="811",$F75,0)</f>
        <v>0</v>
      </c>
      <c r="AX75" s="292">
        <f t="shared" ref="AX75:AX138" si="80">IF($G75="821",$F75,0)</f>
        <v>0</v>
      </c>
      <c r="AY75" s="292">
        <f t="shared" ref="AY75:AY138" si="81">IF($H75="821",$F75,0)</f>
        <v>0</v>
      </c>
      <c r="AZ75" s="292">
        <f t="shared" ref="AZ75:AZ138" si="82">IF($G75="911",$F75,0)</f>
        <v>0</v>
      </c>
      <c r="BA75" s="292">
        <f t="shared" ref="BA75:BA138" si="83">IF($H75="911",$F75,0)</f>
        <v>0</v>
      </c>
    </row>
    <row r="76" spans="1:53" s="289" customFormat="1" ht="15.75" customHeight="1">
      <c r="A76" s="63" t="str">
        <f t="array" ref="A76">IF(C76&lt;&gt;0,SUM(($C$11:C76&lt;&gt;0)*1),"")</f>
        <v/>
      </c>
      <c r="B76" s="290"/>
      <c r="C76" s="290"/>
      <c r="D76" s="290"/>
      <c r="E76" s="396"/>
      <c r="F76" s="345"/>
      <c r="G76" s="347"/>
      <c r="H76" s="347"/>
      <c r="I76" s="63" t="str">
        <f t="shared" si="45"/>
        <v/>
      </c>
      <c r="J76" s="292">
        <f t="shared" si="46"/>
        <v>0</v>
      </c>
      <c r="K76" s="292">
        <f t="shared" si="47"/>
        <v>0</v>
      </c>
      <c r="L76" s="292">
        <f t="shared" si="48"/>
        <v>0</v>
      </c>
      <c r="M76" s="292">
        <f t="shared" si="49"/>
        <v>0</v>
      </c>
      <c r="N76" s="292">
        <f t="shared" ref="N76:N139" si="84">IF($G76="1122",$F76,0)</f>
        <v>0</v>
      </c>
      <c r="O76" s="292">
        <f t="shared" ref="O76:O139" si="85">IF($H76="1122",$F76,0)</f>
        <v>0</v>
      </c>
      <c r="P76" s="292">
        <f t="shared" si="50"/>
        <v>0</v>
      </c>
      <c r="Q76" s="292">
        <f t="shared" si="51"/>
        <v>0</v>
      </c>
      <c r="R76" s="292">
        <f t="shared" si="52"/>
        <v>0</v>
      </c>
      <c r="S76" s="292">
        <f t="shared" si="53"/>
        <v>0</v>
      </c>
      <c r="T76" s="292">
        <f t="shared" ref="T76:T139" si="86">IF($G76="2412",$F76,0)</f>
        <v>0</v>
      </c>
      <c r="U76" s="292">
        <f t="shared" ref="U76:U139" si="87">IF($H76="2412",$F76,0)</f>
        <v>0</v>
      </c>
      <c r="V76" s="292">
        <f t="shared" si="54"/>
        <v>0</v>
      </c>
      <c r="W76" s="292">
        <f t="shared" si="55"/>
        <v>0</v>
      </c>
      <c r="X76" s="292">
        <f t="shared" si="56"/>
        <v>0</v>
      </c>
      <c r="Y76" s="292">
        <f t="shared" si="57"/>
        <v>0</v>
      </c>
      <c r="Z76" s="292">
        <f t="shared" si="58"/>
        <v>0</v>
      </c>
      <c r="AA76" s="292">
        <f t="shared" si="59"/>
        <v>0</v>
      </c>
      <c r="AB76" s="292">
        <f t="shared" si="60"/>
        <v>0</v>
      </c>
      <c r="AC76" s="292">
        <f t="shared" si="61"/>
        <v>0</v>
      </c>
      <c r="AD76" s="292">
        <f t="shared" si="62"/>
        <v>0</v>
      </c>
      <c r="AE76" s="292">
        <f t="shared" si="63"/>
        <v>0</v>
      </c>
      <c r="AF76" s="292">
        <f t="shared" ref="AF76:AF139" si="88">IF($G76="3412",$F76,0)</f>
        <v>0</v>
      </c>
      <c r="AG76" s="292">
        <f t="shared" ref="AG76:AG139" si="89">IF($H76="3412",$F76,0)</f>
        <v>0</v>
      </c>
      <c r="AH76" s="292">
        <f t="shared" si="64"/>
        <v>0</v>
      </c>
      <c r="AI76" s="292">
        <f t="shared" si="65"/>
        <v>0</v>
      </c>
      <c r="AJ76" s="292">
        <f t="shared" si="66"/>
        <v>0</v>
      </c>
      <c r="AK76" s="292">
        <f t="shared" si="67"/>
        <v>0</v>
      </c>
      <c r="AL76" s="292">
        <f t="shared" si="68"/>
        <v>0</v>
      </c>
      <c r="AM76" s="292">
        <f t="shared" si="69"/>
        <v>0</v>
      </c>
      <c r="AN76" s="292">
        <f t="shared" si="70"/>
        <v>0</v>
      </c>
      <c r="AO76" s="292">
        <f t="shared" si="71"/>
        <v>0</v>
      </c>
      <c r="AP76" s="292">
        <f t="shared" si="72"/>
        <v>0</v>
      </c>
      <c r="AQ76" s="292">
        <f t="shared" si="73"/>
        <v>0</v>
      </c>
      <c r="AR76" s="292">
        <f t="shared" si="74"/>
        <v>0</v>
      </c>
      <c r="AS76" s="292">
        <f t="shared" si="75"/>
        <v>0</v>
      </c>
      <c r="AT76" s="292">
        <f t="shared" si="76"/>
        <v>0</v>
      </c>
      <c r="AU76" s="292">
        <f t="shared" si="77"/>
        <v>0</v>
      </c>
      <c r="AV76" s="292">
        <f t="shared" si="78"/>
        <v>0</v>
      </c>
      <c r="AW76" s="292">
        <f t="shared" si="79"/>
        <v>0</v>
      </c>
      <c r="AX76" s="292">
        <f t="shared" si="80"/>
        <v>0</v>
      </c>
      <c r="AY76" s="292">
        <f t="shared" si="81"/>
        <v>0</v>
      </c>
      <c r="AZ76" s="292">
        <f t="shared" si="82"/>
        <v>0</v>
      </c>
      <c r="BA76" s="292">
        <f t="shared" si="83"/>
        <v>0</v>
      </c>
    </row>
    <row r="77" spans="1:53" s="289" customFormat="1" ht="15.75" customHeight="1">
      <c r="A77" s="63" t="str">
        <f t="array" ref="A77">IF(C77&lt;&gt;0,SUM(($C$11:C77&lt;&gt;0)*1),"")</f>
        <v/>
      </c>
      <c r="B77" s="290"/>
      <c r="C77" s="290"/>
      <c r="D77" s="290"/>
      <c r="E77" s="396"/>
      <c r="F77" s="345"/>
      <c r="G77" s="347"/>
      <c r="H77" s="347"/>
      <c r="I77" s="63" t="str">
        <f t="shared" si="45"/>
        <v/>
      </c>
      <c r="J77" s="292">
        <f t="shared" si="46"/>
        <v>0</v>
      </c>
      <c r="K77" s="292">
        <f t="shared" si="47"/>
        <v>0</v>
      </c>
      <c r="L77" s="292">
        <f t="shared" si="48"/>
        <v>0</v>
      </c>
      <c r="M77" s="292">
        <f t="shared" si="49"/>
        <v>0</v>
      </c>
      <c r="N77" s="292">
        <f t="shared" si="84"/>
        <v>0</v>
      </c>
      <c r="O77" s="292">
        <f t="shared" si="85"/>
        <v>0</v>
      </c>
      <c r="P77" s="292">
        <f t="shared" si="50"/>
        <v>0</v>
      </c>
      <c r="Q77" s="292">
        <f t="shared" si="51"/>
        <v>0</v>
      </c>
      <c r="R77" s="292">
        <f t="shared" si="52"/>
        <v>0</v>
      </c>
      <c r="S77" s="292">
        <f t="shared" si="53"/>
        <v>0</v>
      </c>
      <c r="T77" s="292">
        <f t="shared" si="86"/>
        <v>0</v>
      </c>
      <c r="U77" s="292">
        <f t="shared" si="87"/>
        <v>0</v>
      </c>
      <c r="V77" s="292">
        <f t="shared" si="54"/>
        <v>0</v>
      </c>
      <c r="W77" s="292">
        <f t="shared" si="55"/>
        <v>0</v>
      </c>
      <c r="X77" s="292">
        <f t="shared" si="56"/>
        <v>0</v>
      </c>
      <c r="Y77" s="292">
        <f t="shared" si="57"/>
        <v>0</v>
      </c>
      <c r="Z77" s="292">
        <f t="shared" si="58"/>
        <v>0</v>
      </c>
      <c r="AA77" s="292">
        <f t="shared" si="59"/>
        <v>0</v>
      </c>
      <c r="AB77" s="292">
        <f t="shared" si="60"/>
        <v>0</v>
      </c>
      <c r="AC77" s="292">
        <f t="shared" si="61"/>
        <v>0</v>
      </c>
      <c r="AD77" s="292">
        <f t="shared" si="62"/>
        <v>0</v>
      </c>
      <c r="AE77" s="292">
        <f t="shared" si="63"/>
        <v>0</v>
      </c>
      <c r="AF77" s="292">
        <f t="shared" si="88"/>
        <v>0</v>
      </c>
      <c r="AG77" s="292">
        <f t="shared" si="89"/>
        <v>0</v>
      </c>
      <c r="AH77" s="292">
        <f t="shared" si="64"/>
        <v>0</v>
      </c>
      <c r="AI77" s="292">
        <f t="shared" si="65"/>
        <v>0</v>
      </c>
      <c r="AJ77" s="292">
        <f t="shared" si="66"/>
        <v>0</v>
      </c>
      <c r="AK77" s="292">
        <f t="shared" si="67"/>
        <v>0</v>
      </c>
      <c r="AL77" s="292">
        <f t="shared" si="68"/>
        <v>0</v>
      </c>
      <c r="AM77" s="292">
        <f t="shared" si="69"/>
        <v>0</v>
      </c>
      <c r="AN77" s="292">
        <f t="shared" si="70"/>
        <v>0</v>
      </c>
      <c r="AO77" s="292">
        <f t="shared" si="71"/>
        <v>0</v>
      </c>
      <c r="AP77" s="292">
        <f t="shared" si="72"/>
        <v>0</v>
      </c>
      <c r="AQ77" s="292">
        <f t="shared" si="73"/>
        <v>0</v>
      </c>
      <c r="AR77" s="292">
        <f t="shared" si="74"/>
        <v>0</v>
      </c>
      <c r="AS77" s="292">
        <f t="shared" si="75"/>
        <v>0</v>
      </c>
      <c r="AT77" s="292">
        <f t="shared" si="76"/>
        <v>0</v>
      </c>
      <c r="AU77" s="292">
        <f t="shared" si="77"/>
        <v>0</v>
      </c>
      <c r="AV77" s="292">
        <f t="shared" si="78"/>
        <v>0</v>
      </c>
      <c r="AW77" s="292">
        <f t="shared" si="79"/>
        <v>0</v>
      </c>
      <c r="AX77" s="292">
        <f t="shared" si="80"/>
        <v>0</v>
      </c>
      <c r="AY77" s="292">
        <f t="shared" si="81"/>
        <v>0</v>
      </c>
      <c r="AZ77" s="292">
        <f t="shared" si="82"/>
        <v>0</v>
      </c>
      <c r="BA77" s="292">
        <f t="shared" si="83"/>
        <v>0</v>
      </c>
    </row>
    <row r="78" spans="1:53" s="289" customFormat="1" ht="15.75" customHeight="1">
      <c r="A78" s="63" t="str">
        <f t="array" ref="A78">IF(C78&lt;&gt;0,SUM(($C$11:C78&lt;&gt;0)*1),"")</f>
        <v/>
      </c>
      <c r="B78" s="290"/>
      <c r="C78" s="290"/>
      <c r="D78" s="290"/>
      <c r="E78" s="396"/>
      <c r="F78" s="345"/>
      <c r="G78" s="347"/>
      <c r="H78" s="347"/>
      <c r="I78" s="63" t="str">
        <f t="shared" si="45"/>
        <v/>
      </c>
      <c r="J78" s="292">
        <f t="shared" si="46"/>
        <v>0</v>
      </c>
      <c r="K78" s="292">
        <f t="shared" si="47"/>
        <v>0</v>
      </c>
      <c r="L78" s="292">
        <f t="shared" si="48"/>
        <v>0</v>
      </c>
      <c r="M78" s="292">
        <f t="shared" si="49"/>
        <v>0</v>
      </c>
      <c r="N78" s="292">
        <f t="shared" si="84"/>
        <v>0</v>
      </c>
      <c r="O78" s="292">
        <f t="shared" si="85"/>
        <v>0</v>
      </c>
      <c r="P78" s="292">
        <f t="shared" si="50"/>
        <v>0</v>
      </c>
      <c r="Q78" s="292">
        <f t="shared" si="51"/>
        <v>0</v>
      </c>
      <c r="R78" s="292">
        <f t="shared" si="52"/>
        <v>0</v>
      </c>
      <c r="S78" s="292">
        <f t="shared" si="53"/>
        <v>0</v>
      </c>
      <c r="T78" s="292">
        <f t="shared" si="86"/>
        <v>0</v>
      </c>
      <c r="U78" s="292">
        <f t="shared" si="87"/>
        <v>0</v>
      </c>
      <c r="V78" s="292">
        <f t="shared" si="54"/>
        <v>0</v>
      </c>
      <c r="W78" s="292">
        <f t="shared" si="55"/>
        <v>0</v>
      </c>
      <c r="X78" s="292">
        <f t="shared" si="56"/>
        <v>0</v>
      </c>
      <c r="Y78" s="292">
        <f t="shared" si="57"/>
        <v>0</v>
      </c>
      <c r="Z78" s="292">
        <f t="shared" si="58"/>
        <v>0</v>
      </c>
      <c r="AA78" s="292">
        <f t="shared" si="59"/>
        <v>0</v>
      </c>
      <c r="AB78" s="292">
        <f t="shared" si="60"/>
        <v>0</v>
      </c>
      <c r="AC78" s="292">
        <f t="shared" si="61"/>
        <v>0</v>
      </c>
      <c r="AD78" s="292">
        <f t="shared" si="62"/>
        <v>0</v>
      </c>
      <c r="AE78" s="292">
        <f t="shared" si="63"/>
        <v>0</v>
      </c>
      <c r="AF78" s="292">
        <f t="shared" si="88"/>
        <v>0</v>
      </c>
      <c r="AG78" s="292">
        <f t="shared" si="89"/>
        <v>0</v>
      </c>
      <c r="AH78" s="292">
        <f t="shared" si="64"/>
        <v>0</v>
      </c>
      <c r="AI78" s="292">
        <f t="shared" si="65"/>
        <v>0</v>
      </c>
      <c r="AJ78" s="292">
        <f t="shared" si="66"/>
        <v>0</v>
      </c>
      <c r="AK78" s="292">
        <f t="shared" si="67"/>
        <v>0</v>
      </c>
      <c r="AL78" s="292">
        <f t="shared" si="68"/>
        <v>0</v>
      </c>
      <c r="AM78" s="292">
        <f t="shared" si="69"/>
        <v>0</v>
      </c>
      <c r="AN78" s="292">
        <f t="shared" si="70"/>
        <v>0</v>
      </c>
      <c r="AO78" s="292">
        <f t="shared" si="71"/>
        <v>0</v>
      </c>
      <c r="AP78" s="292">
        <f t="shared" si="72"/>
        <v>0</v>
      </c>
      <c r="AQ78" s="292">
        <f t="shared" si="73"/>
        <v>0</v>
      </c>
      <c r="AR78" s="292">
        <f t="shared" si="74"/>
        <v>0</v>
      </c>
      <c r="AS78" s="292">
        <f t="shared" si="75"/>
        <v>0</v>
      </c>
      <c r="AT78" s="292">
        <f t="shared" si="76"/>
        <v>0</v>
      </c>
      <c r="AU78" s="292">
        <f t="shared" si="77"/>
        <v>0</v>
      </c>
      <c r="AV78" s="292">
        <f t="shared" si="78"/>
        <v>0</v>
      </c>
      <c r="AW78" s="292">
        <f t="shared" si="79"/>
        <v>0</v>
      </c>
      <c r="AX78" s="292">
        <f t="shared" si="80"/>
        <v>0</v>
      </c>
      <c r="AY78" s="292">
        <f t="shared" si="81"/>
        <v>0</v>
      </c>
      <c r="AZ78" s="292">
        <f t="shared" si="82"/>
        <v>0</v>
      </c>
      <c r="BA78" s="292">
        <f t="shared" si="83"/>
        <v>0</v>
      </c>
    </row>
    <row r="79" spans="1:53" s="289" customFormat="1" ht="15.75" customHeight="1">
      <c r="A79" s="63" t="str">
        <f t="array" ref="A79">IF(C79&lt;&gt;0,SUM(($C$11:C79&lt;&gt;0)*1),"")</f>
        <v/>
      </c>
      <c r="B79" s="290"/>
      <c r="C79" s="290"/>
      <c r="D79" s="290"/>
      <c r="E79" s="396"/>
      <c r="F79" s="345"/>
      <c r="G79" s="347"/>
      <c r="H79" s="347"/>
      <c r="I79" s="63" t="str">
        <f t="shared" si="45"/>
        <v/>
      </c>
      <c r="J79" s="292">
        <f t="shared" si="46"/>
        <v>0</v>
      </c>
      <c r="K79" s="292">
        <f t="shared" si="47"/>
        <v>0</v>
      </c>
      <c r="L79" s="292">
        <f t="shared" si="48"/>
        <v>0</v>
      </c>
      <c r="M79" s="292">
        <f t="shared" si="49"/>
        <v>0</v>
      </c>
      <c r="N79" s="292">
        <f t="shared" si="84"/>
        <v>0</v>
      </c>
      <c r="O79" s="292">
        <f t="shared" si="85"/>
        <v>0</v>
      </c>
      <c r="P79" s="292">
        <f t="shared" si="50"/>
        <v>0</v>
      </c>
      <c r="Q79" s="292">
        <f t="shared" si="51"/>
        <v>0</v>
      </c>
      <c r="R79" s="292">
        <f t="shared" si="52"/>
        <v>0</v>
      </c>
      <c r="S79" s="292">
        <f t="shared" si="53"/>
        <v>0</v>
      </c>
      <c r="T79" s="292">
        <f t="shared" si="86"/>
        <v>0</v>
      </c>
      <c r="U79" s="292">
        <f t="shared" si="87"/>
        <v>0</v>
      </c>
      <c r="V79" s="292">
        <f t="shared" si="54"/>
        <v>0</v>
      </c>
      <c r="W79" s="292">
        <f t="shared" si="55"/>
        <v>0</v>
      </c>
      <c r="X79" s="292">
        <f t="shared" si="56"/>
        <v>0</v>
      </c>
      <c r="Y79" s="292">
        <f t="shared" si="57"/>
        <v>0</v>
      </c>
      <c r="Z79" s="292">
        <f t="shared" si="58"/>
        <v>0</v>
      </c>
      <c r="AA79" s="292">
        <f t="shared" si="59"/>
        <v>0</v>
      </c>
      <c r="AB79" s="292">
        <f t="shared" si="60"/>
        <v>0</v>
      </c>
      <c r="AC79" s="292">
        <f t="shared" si="61"/>
        <v>0</v>
      </c>
      <c r="AD79" s="292">
        <f t="shared" si="62"/>
        <v>0</v>
      </c>
      <c r="AE79" s="292">
        <f t="shared" si="63"/>
        <v>0</v>
      </c>
      <c r="AF79" s="292">
        <f t="shared" si="88"/>
        <v>0</v>
      </c>
      <c r="AG79" s="292">
        <f t="shared" si="89"/>
        <v>0</v>
      </c>
      <c r="AH79" s="292">
        <f t="shared" si="64"/>
        <v>0</v>
      </c>
      <c r="AI79" s="292">
        <f t="shared" si="65"/>
        <v>0</v>
      </c>
      <c r="AJ79" s="292">
        <f t="shared" si="66"/>
        <v>0</v>
      </c>
      <c r="AK79" s="292">
        <f t="shared" si="67"/>
        <v>0</v>
      </c>
      <c r="AL79" s="292">
        <f t="shared" si="68"/>
        <v>0</v>
      </c>
      <c r="AM79" s="292">
        <f t="shared" si="69"/>
        <v>0</v>
      </c>
      <c r="AN79" s="292">
        <f t="shared" si="70"/>
        <v>0</v>
      </c>
      <c r="AO79" s="292">
        <f t="shared" si="71"/>
        <v>0</v>
      </c>
      <c r="AP79" s="292">
        <f t="shared" si="72"/>
        <v>0</v>
      </c>
      <c r="AQ79" s="292">
        <f t="shared" si="73"/>
        <v>0</v>
      </c>
      <c r="AR79" s="292">
        <f t="shared" si="74"/>
        <v>0</v>
      </c>
      <c r="AS79" s="292">
        <f t="shared" si="75"/>
        <v>0</v>
      </c>
      <c r="AT79" s="292">
        <f t="shared" si="76"/>
        <v>0</v>
      </c>
      <c r="AU79" s="292">
        <f t="shared" si="77"/>
        <v>0</v>
      </c>
      <c r="AV79" s="292">
        <f t="shared" si="78"/>
        <v>0</v>
      </c>
      <c r="AW79" s="292">
        <f t="shared" si="79"/>
        <v>0</v>
      </c>
      <c r="AX79" s="292">
        <f t="shared" si="80"/>
        <v>0</v>
      </c>
      <c r="AY79" s="292">
        <f t="shared" si="81"/>
        <v>0</v>
      </c>
      <c r="AZ79" s="292">
        <f t="shared" si="82"/>
        <v>0</v>
      </c>
      <c r="BA79" s="292">
        <f t="shared" si="83"/>
        <v>0</v>
      </c>
    </row>
    <row r="80" spans="1:53" s="289" customFormat="1" ht="15.75" customHeight="1">
      <c r="A80" s="63" t="str">
        <f t="array" ref="A80">IF(C80&lt;&gt;0,SUM(($C$11:C80&lt;&gt;0)*1),"")</f>
        <v/>
      </c>
      <c r="B80" s="290"/>
      <c r="C80" s="290"/>
      <c r="D80" s="290"/>
      <c r="E80" s="396"/>
      <c r="F80" s="345"/>
      <c r="G80" s="347"/>
      <c r="H80" s="347"/>
      <c r="I80" s="63" t="str">
        <f t="shared" si="45"/>
        <v/>
      </c>
      <c r="J80" s="292">
        <f t="shared" si="46"/>
        <v>0</v>
      </c>
      <c r="K80" s="292">
        <f t="shared" si="47"/>
        <v>0</v>
      </c>
      <c r="L80" s="292">
        <f t="shared" si="48"/>
        <v>0</v>
      </c>
      <c r="M80" s="292">
        <f t="shared" si="49"/>
        <v>0</v>
      </c>
      <c r="N80" s="292">
        <f t="shared" si="84"/>
        <v>0</v>
      </c>
      <c r="O80" s="292">
        <f t="shared" si="85"/>
        <v>0</v>
      </c>
      <c r="P80" s="292">
        <f t="shared" si="50"/>
        <v>0</v>
      </c>
      <c r="Q80" s="292">
        <f t="shared" si="51"/>
        <v>0</v>
      </c>
      <c r="R80" s="292">
        <f t="shared" si="52"/>
        <v>0</v>
      </c>
      <c r="S80" s="292">
        <f t="shared" si="53"/>
        <v>0</v>
      </c>
      <c r="T80" s="292">
        <f t="shared" si="86"/>
        <v>0</v>
      </c>
      <c r="U80" s="292">
        <f t="shared" si="87"/>
        <v>0</v>
      </c>
      <c r="V80" s="292">
        <f t="shared" si="54"/>
        <v>0</v>
      </c>
      <c r="W80" s="292">
        <f t="shared" si="55"/>
        <v>0</v>
      </c>
      <c r="X80" s="292">
        <f t="shared" si="56"/>
        <v>0</v>
      </c>
      <c r="Y80" s="292">
        <f t="shared" si="57"/>
        <v>0</v>
      </c>
      <c r="Z80" s="292">
        <f t="shared" si="58"/>
        <v>0</v>
      </c>
      <c r="AA80" s="292">
        <f t="shared" si="59"/>
        <v>0</v>
      </c>
      <c r="AB80" s="292">
        <f t="shared" si="60"/>
        <v>0</v>
      </c>
      <c r="AC80" s="292">
        <f t="shared" si="61"/>
        <v>0</v>
      </c>
      <c r="AD80" s="292">
        <f t="shared" si="62"/>
        <v>0</v>
      </c>
      <c r="AE80" s="292">
        <f t="shared" si="63"/>
        <v>0</v>
      </c>
      <c r="AF80" s="292">
        <f t="shared" si="88"/>
        <v>0</v>
      </c>
      <c r="AG80" s="292">
        <f t="shared" si="89"/>
        <v>0</v>
      </c>
      <c r="AH80" s="292">
        <f t="shared" si="64"/>
        <v>0</v>
      </c>
      <c r="AI80" s="292">
        <f t="shared" si="65"/>
        <v>0</v>
      </c>
      <c r="AJ80" s="292">
        <f t="shared" si="66"/>
        <v>0</v>
      </c>
      <c r="AK80" s="292">
        <f t="shared" si="67"/>
        <v>0</v>
      </c>
      <c r="AL80" s="292">
        <f t="shared" si="68"/>
        <v>0</v>
      </c>
      <c r="AM80" s="292">
        <f t="shared" si="69"/>
        <v>0</v>
      </c>
      <c r="AN80" s="292">
        <f t="shared" si="70"/>
        <v>0</v>
      </c>
      <c r="AO80" s="292">
        <f t="shared" si="71"/>
        <v>0</v>
      </c>
      <c r="AP80" s="292">
        <f t="shared" si="72"/>
        <v>0</v>
      </c>
      <c r="AQ80" s="292">
        <f t="shared" si="73"/>
        <v>0</v>
      </c>
      <c r="AR80" s="292">
        <f t="shared" si="74"/>
        <v>0</v>
      </c>
      <c r="AS80" s="292">
        <f t="shared" si="75"/>
        <v>0</v>
      </c>
      <c r="AT80" s="292">
        <f t="shared" si="76"/>
        <v>0</v>
      </c>
      <c r="AU80" s="292">
        <f t="shared" si="77"/>
        <v>0</v>
      </c>
      <c r="AV80" s="292">
        <f t="shared" si="78"/>
        <v>0</v>
      </c>
      <c r="AW80" s="292">
        <f t="shared" si="79"/>
        <v>0</v>
      </c>
      <c r="AX80" s="292">
        <f t="shared" si="80"/>
        <v>0</v>
      </c>
      <c r="AY80" s="292">
        <f t="shared" si="81"/>
        <v>0</v>
      </c>
      <c r="AZ80" s="292">
        <f t="shared" si="82"/>
        <v>0</v>
      </c>
      <c r="BA80" s="292">
        <f t="shared" si="83"/>
        <v>0</v>
      </c>
    </row>
    <row r="81" spans="1:53" s="289" customFormat="1" ht="15.75" customHeight="1">
      <c r="A81" s="63" t="str">
        <f t="array" ref="A81">IF(C81&lt;&gt;0,SUM(($C$11:C81&lt;&gt;0)*1),"")</f>
        <v/>
      </c>
      <c r="B81" s="290"/>
      <c r="C81" s="290"/>
      <c r="D81" s="290"/>
      <c r="E81" s="396"/>
      <c r="F81" s="345"/>
      <c r="G81" s="347"/>
      <c r="H81" s="347"/>
      <c r="I81" s="63" t="str">
        <f t="shared" si="45"/>
        <v/>
      </c>
      <c r="J81" s="292">
        <f t="shared" si="46"/>
        <v>0</v>
      </c>
      <c r="K81" s="292">
        <f t="shared" si="47"/>
        <v>0</v>
      </c>
      <c r="L81" s="292">
        <f t="shared" si="48"/>
        <v>0</v>
      </c>
      <c r="M81" s="292">
        <f t="shared" si="49"/>
        <v>0</v>
      </c>
      <c r="N81" s="292">
        <f t="shared" si="84"/>
        <v>0</v>
      </c>
      <c r="O81" s="292">
        <f t="shared" si="85"/>
        <v>0</v>
      </c>
      <c r="P81" s="292">
        <f t="shared" si="50"/>
        <v>0</v>
      </c>
      <c r="Q81" s="292">
        <f t="shared" si="51"/>
        <v>0</v>
      </c>
      <c r="R81" s="292">
        <f t="shared" si="52"/>
        <v>0</v>
      </c>
      <c r="S81" s="292">
        <f t="shared" si="53"/>
        <v>0</v>
      </c>
      <c r="T81" s="292">
        <f t="shared" si="86"/>
        <v>0</v>
      </c>
      <c r="U81" s="292">
        <f t="shared" si="87"/>
        <v>0</v>
      </c>
      <c r="V81" s="292">
        <f t="shared" si="54"/>
        <v>0</v>
      </c>
      <c r="W81" s="292">
        <f t="shared" si="55"/>
        <v>0</v>
      </c>
      <c r="X81" s="292">
        <f t="shared" si="56"/>
        <v>0</v>
      </c>
      <c r="Y81" s="292">
        <f t="shared" si="57"/>
        <v>0</v>
      </c>
      <c r="Z81" s="292">
        <f t="shared" si="58"/>
        <v>0</v>
      </c>
      <c r="AA81" s="292">
        <f t="shared" si="59"/>
        <v>0</v>
      </c>
      <c r="AB81" s="292">
        <f t="shared" si="60"/>
        <v>0</v>
      </c>
      <c r="AC81" s="292">
        <f t="shared" si="61"/>
        <v>0</v>
      </c>
      <c r="AD81" s="292">
        <f t="shared" si="62"/>
        <v>0</v>
      </c>
      <c r="AE81" s="292">
        <f t="shared" si="63"/>
        <v>0</v>
      </c>
      <c r="AF81" s="292">
        <f t="shared" si="88"/>
        <v>0</v>
      </c>
      <c r="AG81" s="292">
        <f t="shared" si="89"/>
        <v>0</v>
      </c>
      <c r="AH81" s="292">
        <f t="shared" si="64"/>
        <v>0</v>
      </c>
      <c r="AI81" s="292">
        <f t="shared" si="65"/>
        <v>0</v>
      </c>
      <c r="AJ81" s="292">
        <f t="shared" si="66"/>
        <v>0</v>
      </c>
      <c r="AK81" s="292">
        <f t="shared" si="67"/>
        <v>0</v>
      </c>
      <c r="AL81" s="292">
        <f t="shared" si="68"/>
        <v>0</v>
      </c>
      <c r="AM81" s="292">
        <f t="shared" si="69"/>
        <v>0</v>
      </c>
      <c r="AN81" s="292">
        <f t="shared" si="70"/>
        <v>0</v>
      </c>
      <c r="AO81" s="292">
        <f t="shared" si="71"/>
        <v>0</v>
      </c>
      <c r="AP81" s="292">
        <f t="shared" si="72"/>
        <v>0</v>
      </c>
      <c r="AQ81" s="292">
        <f t="shared" si="73"/>
        <v>0</v>
      </c>
      <c r="AR81" s="292">
        <f t="shared" si="74"/>
        <v>0</v>
      </c>
      <c r="AS81" s="292">
        <f t="shared" si="75"/>
        <v>0</v>
      </c>
      <c r="AT81" s="292">
        <f t="shared" si="76"/>
        <v>0</v>
      </c>
      <c r="AU81" s="292">
        <f t="shared" si="77"/>
        <v>0</v>
      </c>
      <c r="AV81" s="292">
        <f t="shared" si="78"/>
        <v>0</v>
      </c>
      <c r="AW81" s="292">
        <f t="shared" si="79"/>
        <v>0</v>
      </c>
      <c r="AX81" s="292">
        <f t="shared" si="80"/>
        <v>0</v>
      </c>
      <c r="AY81" s="292">
        <f t="shared" si="81"/>
        <v>0</v>
      </c>
      <c r="AZ81" s="292">
        <f t="shared" si="82"/>
        <v>0</v>
      </c>
      <c r="BA81" s="292">
        <f t="shared" si="83"/>
        <v>0</v>
      </c>
    </row>
    <row r="82" spans="1:53" s="289" customFormat="1" ht="15.75" customHeight="1">
      <c r="A82" s="63" t="str">
        <f t="array" ref="A82">IF(C82&lt;&gt;0,SUM(($C$11:C82&lt;&gt;0)*1),"")</f>
        <v/>
      </c>
      <c r="B82" s="290"/>
      <c r="C82" s="290"/>
      <c r="D82" s="290"/>
      <c r="E82" s="396"/>
      <c r="F82" s="345"/>
      <c r="G82" s="347"/>
      <c r="H82" s="347"/>
      <c r="I82" s="63" t="str">
        <f t="shared" si="45"/>
        <v/>
      </c>
      <c r="J82" s="292">
        <f t="shared" si="46"/>
        <v>0</v>
      </c>
      <c r="K82" s="292">
        <f t="shared" si="47"/>
        <v>0</v>
      </c>
      <c r="L82" s="292">
        <f t="shared" si="48"/>
        <v>0</v>
      </c>
      <c r="M82" s="292">
        <f t="shared" si="49"/>
        <v>0</v>
      </c>
      <c r="N82" s="292">
        <f t="shared" si="84"/>
        <v>0</v>
      </c>
      <c r="O82" s="292">
        <f t="shared" si="85"/>
        <v>0</v>
      </c>
      <c r="P82" s="292">
        <f t="shared" si="50"/>
        <v>0</v>
      </c>
      <c r="Q82" s="292">
        <f t="shared" si="51"/>
        <v>0</v>
      </c>
      <c r="R82" s="292">
        <f t="shared" si="52"/>
        <v>0</v>
      </c>
      <c r="S82" s="292">
        <f t="shared" si="53"/>
        <v>0</v>
      </c>
      <c r="T82" s="292">
        <f t="shared" si="86"/>
        <v>0</v>
      </c>
      <c r="U82" s="292">
        <f t="shared" si="87"/>
        <v>0</v>
      </c>
      <c r="V82" s="292">
        <f t="shared" si="54"/>
        <v>0</v>
      </c>
      <c r="W82" s="292">
        <f t="shared" si="55"/>
        <v>0</v>
      </c>
      <c r="X82" s="292">
        <f t="shared" si="56"/>
        <v>0</v>
      </c>
      <c r="Y82" s="292">
        <f t="shared" si="57"/>
        <v>0</v>
      </c>
      <c r="Z82" s="292">
        <f t="shared" si="58"/>
        <v>0</v>
      </c>
      <c r="AA82" s="292">
        <f t="shared" si="59"/>
        <v>0</v>
      </c>
      <c r="AB82" s="292">
        <f t="shared" si="60"/>
        <v>0</v>
      </c>
      <c r="AC82" s="292">
        <f t="shared" si="61"/>
        <v>0</v>
      </c>
      <c r="AD82" s="292">
        <f t="shared" si="62"/>
        <v>0</v>
      </c>
      <c r="AE82" s="292">
        <f t="shared" si="63"/>
        <v>0</v>
      </c>
      <c r="AF82" s="292">
        <f t="shared" si="88"/>
        <v>0</v>
      </c>
      <c r="AG82" s="292">
        <f t="shared" si="89"/>
        <v>0</v>
      </c>
      <c r="AH82" s="292">
        <f t="shared" si="64"/>
        <v>0</v>
      </c>
      <c r="AI82" s="292">
        <f t="shared" si="65"/>
        <v>0</v>
      </c>
      <c r="AJ82" s="292">
        <f t="shared" si="66"/>
        <v>0</v>
      </c>
      <c r="AK82" s="292">
        <f t="shared" si="67"/>
        <v>0</v>
      </c>
      <c r="AL82" s="292">
        <f t="shared" si="68"/>
        <v>0</v>
      </c>
      <c r="AM82" s="292">
        <f t="shared" si="69"/>
        <v>0</v>
      </c>
      <c r="AN82" s="292">
        <f t="shared" si="70"/>
        <v>0</v>
      </c>
      <c r="AO82" s="292">
        <f t="shared" si="71"/>
        <v>0</v>
      </c>
      <c r="AP82" s="292">
        <f t="shared" si="72"/>
        <v>0</v>
      </c>
      <c r="AQ82" s="292">
        <f t="shared" si="73"/>
        <v>0</v>
      </c>
      <c r="AR82" s="292">
        <f t="shared" si="74"/>
        <v>0</v>
      </c>
      <c r="AS82" s="292">
        <f t="shared" si="75"/>
        <v>0</v>
      </c>
      <c r="AT82" s="292">
        <f t="shared" si="76"/>
        <v>0</v>
      </c>
      <c r="AU82" s="292">
        <f t="shared" si="77"/>
        <v>0</v>
      </c>
      <c r="AV82" s="292">
        <f t="shared" si="78"/>
        <v>0</v>
      </c>
      <c r="AW82" s="292">
        <f t="shared" si="79"/>
        <v>0</v>
      </c>
      <c r="AX82" s="292">
        <f t="shared" si="80"/>
        <v>0</v>
      </c>
      <c r="AY82" s="292">
        <f t="shared" si="81"/>
        <v>0</v>
      </c>
      <c r="AZ82" s="292">
        <f t="shared" si="82"/>
        <v>0</v>
      </c>
      <c r="BA82" s="292">
        <f t="shared" si="83"/>
        <v>0</v>
      </c>
    </row>
    <row r="83" spans="1:53" s="289" customFormat="1" ht="15.75" customHeight="1">
      <c r="A83" s="63" t="str">
        <f t="array" ref="A83">IF(C83&lt;&gt;0,SUM(($C$11:C83&lt;&gt;0)*1),"")</f>
        <v/>
      </c>
      <c r="B83" s="290"/>
      <c r="C83" s="290"/>
      <c r="D83" s="290"/>
      <c r="E83" s="396"/>
      <c r="F83" s="345"/>
      <c r="G83" s="347"/>
      <c r="H83" s="347"/>
      <c r="I83" s="63" t="str">
        <f t="shared" si="45"/>
        <v/>
      </c>
      <c r="J83" s="292">
        <f t="shared" si="46"/>
        <v>0</v>
      </c>
      <c r="K83" s="292">
        <f t="shared" si="47"/>
        <v>0</v>
      </c>
      <c r="L83" s="292">
        <f t="shared" si="48"/>
        <v>0</v>
      </c>
      <c r="M83" s="292">
        <f t="shared" si="49"/>
        <v>0</v>
      </c>
      <c r="N83" s="292">
        <f t="shared" si="84"/>
        <v>0</v>
      </c>
      <c r="O83" s="292">
        <f t="shared" si="85"/>
        <v>0</v>
      </c>
      <c r="P83" s="292">
        <f t="shared" si="50"/>
        <v>0</v>
      </c>
      <c r="Q83" s="292">
        <f t="shared" si="51"/>
        <v>0</v>
      </c>
      <c r="R83" s="292">
        <f t="shared" si="52"/>
        <v>0</v>
      </c>
      <c r="S83" s="292">
        <f t="shared" si="53"/>
        <v>0</v>
      </c>
      <c r="T83" s="292">
        <f t="shared" si="86"/>
        <v>0</v>
      </c>
      <c r="U83" s="292">
        <f t="shared" si="87"/>
        <v>0</v>
      </c>
      <c r="V83" s="292">
        <f t="shared" si="54"/>
        <v>0</v>
      </c>
      <c r="W83" s="292">
        <f t="shared" si="55"/>
        <v>0</v>
      </c>
      <c r="X83" s="292">
        <f t="shared" si="56"/>
        <v>0</v>
      </c>
      <c r="Y83" s="292">
        <f t="shared" si="57"/>
        <v>0</v>
      </c>
      <c r="Z83" s="292">
        <f t="shared" si="58"/>
        <v>0</v>
      </c>
      <c r="AA83" s="292">
        <f t="shared" si="59"/>
        <v>0</v>
      </c>
      <c r="AB83" s="292">
        <f t="shared" si="60"/>
        <v>0</v>
      </c>
      <c r="AC83" s="292">
        <f t="shared" si="61"/>
        <v>0</v>
      </c>
      <c r="AD83" s="292">
        <f t="shared" si="62"/>
        <v>0</v>
      </c>
      <c r="AE83" s="292">
        <f t="shared" si="63"/>
        <v>0</v>
      </c>
      <c r="AF83" s="292">
        <f t="shared" si="88"/>
        <v>0</v>
      </c>
      <c r="AG83" s="292">
        <f t="shared" si="89"/>
        <v>0</v>
      </c>
      <c r="AH83" s="292">
        <f t="shared" si="64"/>
        <v>0</v>
      </c>
      <c r="AI83" s="292">
        <f t="shared" si="65"/>
        <v>0</v>
      </c>
      <c r="AJ83" s="292">
        <f t="shared" si="66"/>
        <v>0</v>
      </c>
      <c r="AK83" s="292">
        <f t="shared" si="67"/>
        <v>0</v>
      </c>
      <c r="AL83" s="292">
        <f t="shared" si="68"/>
        <v>0</v>
      </c>
      <c r="AM83" s="292">
        <f t="shared" si="69"/>
        <v>0</v>
      </c>
      <c r="AN83" s="292">
        <f t="shared" si="70"/>
        <v>0</v>
      </c>
      <c r="AO83" s="292">
        <f t="shared" si="71"/>
        <v>0</v>
      </c>
      <c r="AP83" s="292">
        <f t="shared" si="72"/>
        <v>0</v>
      </c>
      <c r="AQ83" s="292">
        <f t="shared" si="73"/>
        <v>0</v>
      </c>
      <c r="AR83" s="292">
        <f t="shared" si="74"/>
        <v>0</v>
      </c>
      <c r="AS83" s="292">
        <f t="shared" si="75"/>
        <v>0</v>
      </c>
      <c r="AT83" s="292">
        <f t="shared" si="76"/>
        <v>0</v>
      </c>
      <c r="AU83" s="292">
        <f t="shared" si="77"/>
        <v>0</v>
      </c>
      <c r="AV83" s="292">
        <f t="shared" si="78"/>
        <v>0</v>
      </c>
      <c r="AW83" s="292">
        <f t="shared" si="79"/>
        <v>0</v>
      </c>
      <c r="AX83" s="292">
        <f t="shared" si="80"/>
        <v>0</v>
      </c>
      <c r="AY83" s="292">
        <f t="shared" si="81"/>
        <v>0</v>
      </c>
      <c r="AZ83" s="292">
        <f t="shared" si="82"/>
        <v>0</v>
      </c>
      <c r="BA83" s="292">
        <f t="shared" si="83"/>
        <v>0</v>
      </c>
    </row>
    <row r="84" spans="1:53" s="289" customFormat="1" ht="15.75" customHeight="1">
      <c r="A84" s="63" t="str">
        <f t="array" ref="A84">IF(C84&lt;&gt;0,SUM(($C$11:C84&lt;&gt;0)*1),"")</f>
        <v/>
      </c>
      <c r="B84" s="290"/>
      <c r="C84" s="290"/>
      <c r="D84" s="290"/>
      <c r="E84" s="396"/>
      <c r="F84" s="345"/>
      <c r="G84" s="347"/>
      <c r="H84" s="347"/>
      <c r="I84" s="63" t="str">
        <f t="shared" si="45"/>
        <v/>
      </c>
      <c r="J84" s="292">
        <f t="shared" si="46"/>
        <v>0</v>
      </c>
      <c r="K84" s="292">
        <f t="shared" si="47"/>
        <v>0</v>
      </c>
      <c r="L84" s="292">
        <f t="shared" si="48"/>
        <v>0</v>
      </c>
      <c r="M84" s="292">
        <f t="shared" si="49"/>
        <v>0</v>
      </c>
      <c r="N84" s="292">
        <f t="shared" si="84"/>
        <v>0</v>
      </c>
      <c r="O84" s="292">
        <f t="shared" si="85"/>
        <v>0</v>
      </c>
      <c r="P84" s="292">
        <f t="shared" si="50"/>
        <v>0</v>
      </c>
      <c r="Q84" s="292">
        <f t="shared" si="51"/>
        <v>0</v>
      </c>
      <c r="R84" s="292">
        <f t="shared" si="52"/>
        <v>0</v>
      </c>
      <c r="S84" s="292">
        <f t="shared" si="53"/>
        <v>0</v>
      </c>
      <c r="T84" s="292">
        <f t="shared" si="86"/>
        <v>0</v>
      </c>
      <c r="U84" s="292">
        <f t="shared" si="87"/>
        <v>0</v>
      </c>
      <c r="V84" s="292">
        <f t="shared" si="54"/>
        <v>0</v>
      </c>
      <c r="W84" s="292">
        <f t="shared" si="55"/>
        <v>0</v>
      </c>
      <c r="X84" s="292">
        <f t="shared" si="56"/>
        <v>0</v>
      </c>
      <c r="Y84" s="292">
        <f t="shared" si="57"/>
        <v>0</v>
      </c>
      <c r="Z84" s="292">
        <f t="shared" si="58"/>
        <v>0</v>
      </c>
      <c r="AA84" s="292">
        <f t="shared" si="59"/>
        <v>0</v>
      </c>
      <c r="AB84" s="292">
        <f t="shared" si="60"/>
        <v>0</v>
      </c>
      <c r="AC84" s="292">
        <f t="shared" si="61"/>
        <v>0</v>
      </c>
      <c r="AD84" s="292">
        <f t="shared" si="62"/>
        <v>0</v>
      </c>
      <c r="AE84" s="292">
        <f t="shared" si="63"/>
        <v>0</v>
      </c>
      <c r="AF84" s="292">
        <f t="shared" si="88"/>
        <v>0</v>
      </c>
      <c r="AG84" s="292">
        <f t="shared" si="89"/>
        <v>0</v>
      </c>
      <c r="AH84" s="292">
        <f t="shared" si="64"/>
        <v>0</v>
      </c>
      <c r="AI84" s="292">
        <f t="shared" si="65"/>
        <v>0</v>
      </c>
      <c r="AJ84" s="292">
        <f t="shared" si="66"/>
        <v>0</v>
      </c>
      <c r="AK84" s="292">
        <f t="shared" si="67"/>
        <v>0</v>
      </c>
      <c r="AL84" s="292">
        <f t="shared" si="68"/>
        <v>0</v>
      </c>
      <c r="AM84" s="292">
        <f t="shared" si="69"/>
        <v>0</v>
      </c>
      <c r="AN84" s="292">
        <f t="shared" si="70"/>
        <v>0</v>
      </c>
      <c r="AO84" s="292">
        <f t="shared" si="71"/>
        <v>0</v>
      </c>
      <c r="AP84" s="292">
        <f t="shared" si="72"/>
        <v>0</v>
      </c>
      <c r="AQ84" s="292">
        <f t="shared" si="73"/>
        <v>0</v>
      </c>
      <c r="AR84" s="292">
        <f t="shared" si="74"/>
        <v>0</v>
      </c>
      <c r="AS84" s="292">
        <f t="shared" si="75"/>
        <v>0</v>
      </c>
      <c r="AT84" s="292">
        <f t="shared" si="76"/>
        <v>0</v>
      </c>
      <c r="AU84" s="292">
        <f t="shared" si="77"/>
        <v>0</v>
      </c>
      <c r="AV84" s="292">
        <f t="shared" si="78"/>
        <v>0</v>
      </c>
      <c r="AW84" s="292">
        <f t="shared" si="79"/>
        <v>0</v>
      </c>
      <c r="AX84" s="292">
        <f t="shared" si="80"/>
        <v>0</v>
      </c>
      <c r="AY84" s="292">
        <f t="shared" si="81"/>
        <v>0</v>
      </c>
      <c r="AZ84" s="292">
        <f t="shared" si="82"/>
        <v>0</v>
      </c>
      <c r="BA84" s="292">
        <f t="shared" si="83"/>
        <v>0</v>
      </c>
    </row>
    <row r="85" spans="1:53" s="289" customFormat="1" ht="15.75" customHeight="1">
      <c r="A85" s="63" t="str">
        <f t="array" ref="A85">IF(C85&lt;&gt;0,SUM(($C$11:C85&lt;&gt;0)*1),"")</f>
        <v/>
      </c>
      <c r="B85" s="290"/>
      <c r="C85" s="290"/>
      <c r="D85" s="290"/>
      <c r="E85" s="396"/>
      <c r="F85" s="345"/>
      <c r="G85" s="347"/>
      <c r="H85" s="347"/>
      <c r="I85" s="63" t="str">
        <f t="shared" si="45"/>
        <v/>
      </c>
      <c r="J85" s="292">
        <f t="shared" si="46"/>
        <v>0</v>
      </c>
      <c r="K85" s="292">
        <f t="shared" si="47"/>
        <v>0</v>
      </c>
      <c r="L85" s="292">
        <f t="shared" si="48"/>
        <v>0</v>
      </c>
      <c r="M85" s="292">
        <f t="shared" si="49"/>
        <v>0</v>
      </c>
      <c r="N85" s="292">
        <f t="shared" si="84"/>
        <v>0</v>
      </c>
      <c r="O85" s="292">
        <f t="shared" si="85"/>
        <v>0</v>
      </c>
      <c r="P85" s="292">
        <f t="shared" si="50"/>
        <v>0</v>
      </c>
      <c r="Q85" s="292">
        <f t="shared" si="51"/>
        <v>0</v>
      </c>
      <c r="R85" s="292">
        <f t="shared" si="52"/>
        <v>0</v>
      </c>
      <c r="S85" s="292">
        <f t="shared" si="53"/>
        <v>0</v>
      </c>
      <c r="T85" s="292">
        <f t="shared" si="86"/>
        <v>0</v>
      </c>
      <c r="U85" s="292">
        <f t="shared" si="87"/>
        <v>0</v>
      </c>
      <c r="V85" s="292">
        <f t="shared" si="54"/>
        <v>0</v>
      </c>
      <c r="W85" s="292">
        <f t="shared" si="55"/>
        <v>0</v>
      </c>
      <c r="X85" s="292">
        <f t="shared" si="56"/>
        <v>0</v>
      </c>
      <c r="Y85" s="292">
        <f t="shared" si="57"/>
        <v>0</v>
      </c>
      <c r="Z85" s="292">
        <f t="shared" si="58"/>
        <v>0</v>
      </c>
      <c r="AA85" s="292">
        <f t="shared" si="59"/>
        <v>0</v>
      </c>
      <c r="AB85" s="292">
        <f t="shared" si="60"/>
        <v>0</v>
      </c>
      <c r="AC85" s="292">
        <f t="shared" si="61"/>
        <v>0</v>
      </c>
      <c r="AD85" s="292">
        <f t="shared" si="62"/>
        <v>0</v>
      </c>
      <c r="AE85" s="292">
        <f t="shared" si="63"/>
        <v>0</v>
      </c>
      <c r="AF85" s="292">
        <f t="shared" si="88"/>
        <v>0</v>
      </c>
      <c r="AG85" s="292">
        <f t="shared" si="89"/>
        <v>0</v>
      </c>
      <c r="AH85" s="292">
        <f t="shared" si="64"/>
        <v>0</v>
      </c>
      <c r="AI85" s="292">
        <f t="shared" si="65"/>
        <v>0</v>
      </c>
      <c r="AJ85" s="292">
        <f t="shared" si="66"/>
        <v>0</v>
      </c>
      <c r="AK85" s="292">
        <f t="shared" si="67"/>
        <v>0</v>
      </c>
      <c r="AL85" s="292">
        <f t="shared" si="68"/>
        <v>0</v>
      </c>
      <c r="AM85" s="292">
        <f t="shared" si="69"/>
        <v>0</v>
      </c>
      <c r="AN85" s="292">
        <f t="shared" si="70"/>
        <v>0</v>
      </c>
      <c r="AO85" s="292">
        <f t="shared" si="71"/>
        <v>0</v>
      </c>
      <c r="AP85" s="292">
        <f t="shared" si="72"/>
        <v>0</v>
      </c>
      <c r="AQ85" s="292">
        <f t="shared" si="73"/>
        <v>0</v>
      </c>
      <c r="AR85" s="292">
        <f t="shared" si="74"/>
        <v>0</v>
      </c>
      <c r="AS85" s="292">
        <f t="shared" si="75"/>
        <v>0</v>
      </c>
      <c r="AT85" s="292">
        <f t="shared" si="76"/>
        <v>0</v>
      </c>
      <c r="AU85" s="292">
        <f t="shared" si="77"/>
        <v>0</v>
      </c>
      <c r="AV85" s="292">
        <f t="shared" si="78"/>
        <v>0</v>
      </c>
      <c r="AW85" s="292">
        <f t="shared" si="79"/>
        <v>0</v>
      </c>
      <c r="AX85" s="292">
        <f t="shared" si="80"/>
        <v>0</v>
      </c>
      <c r="AY85" s="292">
        <f t="shared" si="81"/>
        <v>0</v>
      </c>
      <c r="AZ85" s="292">
        <f t="shared" si="82"/>
        <v>0</v>
      </c>
      <c r="BA85" s="292">
        <f t="shared" si="83"/>
        <v>0</v>
      </c>
    </row>
    <row r="86" spans="1:53" s="289" customFormat="1" ht="15.75" customHeight="1">
      <c r="A86" s="63" t="str">
        <f t="array" ref="A86">IF(C86&lt;&gt;0,SUM(($C$11:C86&lt;&gt;0)*1),"")</f>
        <v/>
      </c>
      <c r="B86" s="290"/>
      <c r="C86" s="290"/>
      <c r="D86" s="290"/>
      <c r="E86" s="396"/>
      <c r="F86" s="345"/>
      <c r="G86" s="347"/>
      <c r="H86" s="347"/>
      <c r="I86" s="63" t="str">
        <f t="shared" si="45"/>
        <v/>
      </c>
      <c r="J86" s="292">
        <f t="shared" si="46"/>
        <v>0</v>
      </c>
      <c r="K86" s="292">
        <f t="shared" si="47"/>
        <v>0</v>
      </c>
      <c r="L86" s="292">
        <f t="shared" si="48"/>
        <v>0</v>
      </c>
      <c r="M86" s="292">
        <f t="shared" si="49"/>
        <v>0</v>
      </c>
      <c r="N86" s="292">
        <f t="shared" si="84"/>
        <v>0</v>
      </c>
      <c r="O86" s="292">
        <f t="shared" si="85"/>
        <v>0</v>
      </c>
      <c r="P86" s="292">
        <f t="shared" si="50"/>
        <v>0</v>
      </c>
      <c r="Q86" s="292">
        <f t="shared" si="51"/>
        <v>0</v>
      </c>
      <c r="R86" s="292">
        <f t="shared" si="52"/>
        <v>0</v>
      </c>
      <c r="S86" s="292">
        <f t="shared" si="53"/>
        <v>0</v>
      </c>
      <c r="T86" s="292">
        <f t="shared" si="86"/>
        <v>0</v>
      </c>
      <c r="U86" s="292">
        <f t="shared" si="87"/>
        <v>0</v>
      </c>
      <c r="V86" s="292">
        <f t="shared" si="54"/>
        <v>0</v>
      </c>
      <c r="W86" s="292">
        <f t="shared" si="55"/>
        <v>0</v>
      </c>
      <c r="X86" s="292">
        <f t="shared" si="56"/>
        <v>0</v>
      </c>
      <c r="Y86" s="292">
        <f t="shared" si="57"/>
        <v>0</v>
      </c>
      <c r="Z86" s="292">
        <f t="shared" si="58"/>
        <v>0</v>
      </c>
      <c r="AA86" s="292">
        <f t="shared" si="59"/>
        <v>0</v>
      </c>
      <c r="AB86" s="292">
        <f t="shared" si="60"/>
        <v>0</v>
      </c>
      <c r="AC86" s="292">
        <f t="shared" si="61"/>
        <v>0</v>
      </c>
      <c r="AD86" s="292">
        <f t="shared" si="62"/>
        <v>0</v>
      </c>
      <c r="AE86" s="292">
        <f t="shared" si="63"/>
        <v>0</v>
      </c>
      <c r="AF86" s="292">
        <f t="shared" si="88"/>
        <v>0</v>
      </c>
      <c r="AG86" s="292">
        <f t="shared" si="89"/>
        <v>0</v>
      </c>
      <c r="AH86" s="292">
        <f t="shared" si="64"/>
        <v>0</v>
      </c>
      <c r="AI86" s="292">
        <f t="shared" si="65"/>
        <v>0</v>
      </c>
      <c r="AJ86" s="292">
        <f t="shared" si="66"/>
        <v>0</v>
      </c>
      <c r="AK86" s="292">
        <f t="shared" si="67"/>
        <v>0</v>
      </c>
      <c r="AL86" s="292">
        <f t="shared" si="68"/>
        <v>0</v>
      </c>
      <c r="AM86" s="292">
        <f t="shared" si="69"/>
        <v>0</v>
      </c>
      <c r="AN86" s="292">
        <f t="shared" si="70"/>
        <v>0</v>
      </c>
      <c r="AO86" s="292">
        <f t="shared" si="71"/>
        <v>0</v>
      </c>
      <c r="AP86" s="292">
        <f t="shared" si="72"/>
        <v>0</v>
      </c>
      <c r="AQ86" s="292">
        <f t="shared" si="73"/>
        <v>0</v>
      </c>
      <c r="AR86" s="292">
        <f t="shared" si="74"/>
        <v>0</v>
      </c>
      <c r="AS86" s="292">
        <f t="shared" si="75"/>
        <v>0</v>
      </c>
      <c r="AT86" s="292">
        <f t="shared" si="76"/>
        <v>0</v>
      </c>
      <c r="AU86" s="292">
        <f t="shared" si="77"/>
        <v>0</v>
      </c>
      <c r="AV86" s="292">
        <f t="shared" si="78"/>
        <v>0</v>
      </c>
      <c r="AW86" s="292">
        <f t="shared" si="79"/>
        <v>0</v>
      </c>
      <c r="AX86" s="292">
        <f t="shared" si="80"/>
        <v>0</v>
      </c>
      <c r="AY86" s="292">
        <f t="shared" si="81"/>
        <v>0</v>
      </c>
      <c r="AZ86" s="292">
        <f t="shared" si="82"/>
        <v>0</v>
      </c>
      <c r="BA86" s="292">
        <f t="shared" si="83"/>
        <v>0</v>
      </c>
    </row>
    <row r="87" spans="1:53" s="289" customFormat="1" ht="15.75" customHeight="1">
      <c r="A87" s="63" t="str">
        <f t="array" ref="A87">IF(C87&lt;&gt;0,SUM(($C$11:C87&lt;&gt;0)*1),"")</f>
        <v/>
      </c>
      <c r="B87" s="290"/>
      <c r="C87" s="290"/>
      <c r="D87" s="290"/>
      <c r="E87" s="396"/>
      <c r="F87" s="345"/>
      <c r="G87" s="347"/>
      <c r="H87" s="347"/>
      <c r="I87" s="63" t="str">
        <f t="shared" si="45"/>
        <v/>
      </c>
      <c r="J87" s="292">
        <f t="shared" si="46"/>
        <v>0</v>
      </c>
      <c r="K87" s="292">
        <f t="shared" si="47"/>
        <v>0</v>
      </c>
      <c r="L87" s="292">
        <f t="shared" si="48"/>
        <v>0</v>
      </c>
      <c r="M87" s="292">
        <f t="shared" si="49"/>
        <v>0</v>
      </c>
      <c r="N87" s="292">
        <f t="shared" si="84"/>
        <v>0</v>
      </c>
      <c r="O87" s="292">
        <f t="shared" si="85"/>
        <v>0</v>
      </c>
      <c r="P87" s="292">
        <f t="shared" si="50"/>
        <v>0</v>
      </c>
      <c r="Q87" s="292">
        <f t="shared" si="51"/>
        <v>0</v>
      </c>
      <c r="R87" s="292">
        <f t="shared" si="52"/>
        <v>0</v>
      </c>
      <c r="S87" s="292">
        <f t="shared" si="53"/>
        <v>0</v>
      </c>
      <c r="T87" s="292">
        <f t="shared" si="86"/>
        <v>0</v>
      </c>
      <c r="U87" s="292">
        <f t="shared" si="87"/>
        <v>0</v>
      </c>
      <c r="V87" s="292">
        <f t="shared" si="54"/>
        <v>0</v>
      </c>
      <c r="W87" s="292">
        <f t="shared" si="55"/>
        <v>0</v>
      </c>
      <c r="X87" s="292">
        <f t="shared" si="56"/>
        <v>0</v>
      </c>
      <c r="Y87" s="292">
        <f t="shared" si="57"/>
        <v>0</v>
      </c>
      <c r="Z87" s="292">
        <f t="shared" si="58"/>
        <v>0</v>
      </c>
      <c r="AA87" s="292">
        <f t="shared" si="59"/>
        <v>0</v>
      </c>
      <c r="AB87" s="292">
        <f t="shared" si="60"/>
        <v>0</v>
      </c>
      <c r="AC87" s="292">
        <f t="shared" si="61"/>
        <v>0</v>
      </c>
      <c r="AD87" s="292">
        <f t="shared" si="62"/>
        <v>0</v>
      </c>
      <c r="AE87" s="292">
        <f t="shared" si="63"/>
        <v>0</v>
      </c>
      <c r="AF87" s="292">
        <f t="shared" si="88"/>
        <v>0</v>
      </c>
      <c r="AG87" s="292">
        <f t="shared" si="89"/>
        <v>0</v>
      </c>
      <c r="AH87" s="292">
        <f t="shared" si="64"/>
        <v>0</v>
      </c>
      <c r="AI87" s="292">
        <f t="shared" si="65"/>
        <v>0</v>
      </c>
      <c r="AJ87" s="292">
        <f t="shared" si="66"/>
        <v>0</v>
      </c>
      <c r="AK87" s="292">
        <f t="shared" si="67"/>
        <v>0</v>
      </c>
      <c r="AL87" s="292">
        <f t="shared" si="68"/>
        <v>0</v>
      </c>
      <c r="AM87" s="292">
        <f t="shared" si="69"/>
        <v>0</v>
      </c>
      <c r="AN87" s="292">
        <f t="shared" si="70"/>
        <v>0</v>
      </c>
      <c r="AO87" s="292">
        <f t="shared" si="71"/>
        <v>0</v>
      </c>
      <c r="AP87" s="292">
        <f t="shared" si="72"/>
        <v>0</v>
      </c>
      <c r="AQ87" s="292">
        <f t="shared" si="73"/>
        <v>0</v>
      </c>
      <c r="AR87" s="292">
        <f t="shared" si="74"/>
        <v>0</v>
      </c>
      <c r="AS87" s="292">
        <f t="shared" si="75"/>
        <v>0</v>
      </c>
      <c r="AT87" s="292">
        <f t="shared" si="76"/>
        <v>0</v>
      </c>
      <c r="AU87" s="292">
        <f t="shared" si="77"/>
        <v>0</v>
      </c>
      <c r="AV87" s="292">
        <f t="shared" si="78"/>
        <v>0</v>
      </c>
      <c r="AW87" s="292">
        <f t="shared" si="79"/>
        <v>0</v>
      </c>
      <c r="AX87" s="292">
        <f t="shared" si="80"/>
        <v>0</v>
      </c>
      <c r="AY87" s="292">
        <f t="shared" si="81"/>
        <v>0</v>
      </c>
      <c r="AZ87" s="292">
        <f t="shared" si="82"/>
        <v>0</v>
      </c>
      <c r="BA87" s="292">
        <f t="shared" si="83"/>
        <v>0</v>
      </c>
    </row>
    <row r="88" spans="1:53" s="289" customFormat="1" ht="15.75" customHeight="1">
      <c r="A88" s="63" t="str">
        <f t="array" ref="A88">IF(C88&lt;&gt;0,SUM(($C$11:C88&lt;&gt;0)*1),"")</f>
        <v/>
      </c>
      <c r="B88" s="290"/>
      <c r="C88" s="290"/>
      <c r="D88" s="290"/>
      <c r="E88" s="396"/>
      <c r="F88" s="345"/>
      <c r="G88" s="347"/>
      <c r="H88" s="347"/>
      <c r="I88" s="63" t="str">
        <f t="shared" si="45"/>
        <v/>
      </c>
      <c r="J88" s="292">
        <f t="shared" si="46"/>
        <v>0</v>
      </c>
      <c r="K88" s="292">
        <f t="shared" si="47"/>
        <v>0</v>
      </c>
      <c r="L88" s="292">
        <f t="shared" si="48"/>
        <v>0</v>
      </c>
      <c r="M88" s="292">
        <f t="shared" si="49"/>
        <v>0</v>
      </c>
      <c r="N88" s="292">
        <f t="shared" si="84"/>
        <v>0</v>
      </c>
      <c r="O88" s="292">
        <f t="shared" si="85"/>
        <v>0</v>
      </c>
      <c r="P88" s="292">
        <f t="shared" si="50"/>
        <v>0</v>
      </c>
      <c r="Q88" s="292">
        <f t="shared" si="51"/>
        <v>0</v>
      </c>
      <c r="R88" s="292">
        <f t="shared" si="52"/>
        <v>0</v>
      </c>
      <c r="S88" s="292">
        <f t="shared" si="53"/>
        <v>0</v>
      </c>
      <c r="T88" s="292">
        <f t="shared" si="86"/>
        <v>0</v>
      </c>
      <c r="U88" s="292">
        <f t="shared" si="87"/>
        <v>0</v>
      </c>
      <c r="V88" s="292">
        <f t="shared" si="54"/>
        <v>0</v>
      </c>
      <c r="W88" s="292">
        <f t="shared" si="55"/>
        <v>0</v>
      </c>
      <c r="X88" s="292">
        <f t="shared" si="56"/>
        <v>0</v>
      </c>
      <c r="Y88" s="292">
        <f t="shared" si="57"/>
        <v>0</v>
      </c>
      <c r="Z88" s="292">
        <f t="shared" si="58"/>
        <v>0</v>
      </c>
      <c r="AA88" s="292">
        <f t="shared" si="59"/>
        <v>0</v>
      </c>
      <c r="AB88" s="292">
        <f t="shared" si="60"/>
        <v>0</v>
      </c>
      <c r="AC88" s="292">
        <f t="shared" si="61"/>
        <v>0</v>
      </c>
      <c r="AD88" s="292">
        <f t="shared" si="62"/>
        <v>0</v>
      </c>
      <c r="AE88" s="292">
        <f t="shared" si="63"/>
        <v>0</v>
      </c>
      <c r="AF88" s="292">
        <f t="shared" si="88"/>
        <v>0</v>
      </c>
      <c r="AG88" s="292">
        <f t="shared" si="89"/>
        <v>0</v>
      </c>
      <c r="AH88" s="292">
        <f t="shared" si="64"/>
        <v>0</v>
      </c>
      <c r="AI88" s="292">
        <f t="shared" si="65"/>
        <v>0</v>
      </c>
      <c r="AJ88" s="292">
        <f t="shared" si="66"/>
        <v>0</v>
      </c>
      <c r="AK88" s="292">
        <f t="shared" si="67"/>
        <v>0</v>
      </c>
      <c r="AL88" s="292">
        <f t="shared" si="68"/>
        <v>0</v>
      </c>
      <c r="AM88" s="292">
        <f t="shared" si="69"/>
        <v>0</v>
      </c>
      <c r="AN88" s="292">
        <f t="shared" si="70"/>
        <v>0</v>
      </c>
      <c r="AO88" s="292">
        <f t="shared" si="71"/>
        <v>0</v>
      </c>
      <c r="AP88" s="292">
        <f t="shared" si="72"/>
        <v>0</v>
      </c>
      <c r="AQ88" s="292">
        <f t="shared" si="73"/>
        <v>0</v>
      </c>
      <c r="AR88" s="292">
        <f t="shared" si="74"/>
        <v>0</v>
      </c>
      <c r="AS88" s="292">
        <f t="shared" si="75"/>
        <v>0</v>
      </c>
      <c r="AT88" s="292">
        <f t="shared" si="76"/>
        <v>0</v>
      </c>
      <c r="AU88" s="292">
        <f t="shared" si="77"/>
        <v>0</v>
      </c>
      <c r="AV88" s="292">
        <f t="shared" si="78"/>
        <v>0</v>
      </c>
      <c r="AW88" s="292">
        <f t="shared" si="79"/>
        <v>0</v>
      </c>
      <c r="AX88" s="292">
        <f t="shared" si="80"/>
        <v>0</v>
      </c>
      <c r="AY88" s="292">
        <f t="shared" si="81"/>
        <v>0</v>
      </c>
      <c r="AZ88" s="292">
        <f t="shared" si="82"/>
        <v>0</v>
      </c>
      <c r="BA88" s="292">
        <f t="shared" si="83"/>
        <v>0</v>
      </c>
    </row>
    <row r="89" spans="1:53" s="289" customFormat="1" ht="15.75" customHeight="1">
      <c r="A89" s="63" t="str">
        <f t="array" ref="A89">IF(C89&lt;&gt;0,SUM(($C$11:C89&lt;&gt;0)*1),"")</f>
        <v/>
      </c>
      <c r="B89" s="290"/>
      <c r="C89" s="290"/>
      <c r="D89" s="290"/>
      <c r="E89" s="396"/>
      <c r="F89" s="345"/>
      <c r="G89" s="347"/>
      <c r="H89" s="347"/>
      <c r="I89" s="63" t="str">
        <f t="shared" si="45"/>
        <v/>
      </c>
      <c r="J89" s="292">
        <f t="shared" si="46"/>
        <v>0</v>
      </c>
      <c r="K89" s="292">
        <f t="shared" si="47"/>
        <v>0</v>
      </c>
      <c r="L89" s="292">
        <f t="shared" si="48"/>
        <v>0</v>
      </c>
      <c r="M89" s="292">
        <f t="shared" si="49"/>
        <v>0</v>
      </c>
      <c r="N89" s="292">
        <f t="shared" si="84"/>
        <v>0</v>
      </c>
      <c r="O89" s="292">
        <f t="shared" si="85"/>
        <v>0</v>
      </c>
      <c r="P89" s="292">
        <f t="shared" si="50"/>
        <v>0</v>
      </c>
      <c r="Q89" s="292">
        <f t="shared" si="51"/>
        <v>0</v>
      </c>
      <c r="R89" s="292">
        <f t="shared" si="52"/>
        <v>0</v>
      </c>
      <c r="S89" s="292">
        <f t="shared" si="53"/>
        <v>0</v>
      </c>
      <c r="T89" s="292">
        <f t="shared" si="86"/>
        <v>0</v>
      </c>
      <c r="U89" s="292">
        <f t="shared" si="87"/>
        <v>0</v>
      </c>
      <c r="V89" s="292">
        <f t="shared" si="54"/>
        <v>0</v>
      </c>
      <c r="W89" s="292">
        <f t="shared" si="55"/>
        <v>0</v>
      </c>
      <c r="X89" s="292">
        <f t="shared" si="56"/>
        <v>0</v>
      </c>
      <c r="Y89" s="292">
        <f t="shared" si="57"/>
        <v>0</v>
      </c>
      <c r="Z89" s="292">
        <f t="shared" si="58"/>
        <v>0</v>
      </c>
      <c r="AA89" s="292">
        <f t="shared" si="59"/>
        <v>0</v>
      </c>
      <c r="AB89" s="292">
        <f t="shared" si="60"/>
        <v>0</v>
      </c>
      <c r="AC89" s="292">
        <f t="shared" si="61"/>
        <v>0</v>
      </c>
      <c r="AD89" s="292">
        <f t="shared" si="62"/>
        <v>0</v>
      </c>
      <c r="AE89" s="292">
        <f t="shared" si="63"/>
        <v>0</v>
      </c>
      <c r="AF89" s="292">
        <f t="shared" si="88"/>
        <v>0</v>
      </c>
      <c r="AG89" s="292">
        <f t="shared" si="89"/>
        <v>0</v>
      </c>
      <c r="AH89" s="292">
        <f t="shared" si="64"/>
        <v>0</v>
      </c>
      <c r="AI89" s="292">
        <f t="shared" si="65"/>
        <v>0</v>
      </c>
      <c r="AJ89" s="292">
        <f t="shared" si="66"/>
        <v>0</v>
      </c>
      <c r="AK89" s="292">
        <f t="shared" si="67"/>
        <v>0</v>
      </c>
      <c r="AL89" s="292">
        <f t="shared" si="68"/>
        <v>0</v>
      </c>
      <c r="AM89" s="292">
        <f t="shared" si="69"/>
        <v>0</v>
      </c>
      <c r="AN89" s="292">
        <f t="shared" si="70"/>
        <v>0</v>
      </c>
      <c r="AO89" s="292">
        <f t="shared" si="71"/>
        <v>0</v>
      </c>
      <c r="AP89" s="292">
        <f t="shared" si="72"/>
        <v>0</v>
      </c>
      <c r="AQ89" s="292">
        <f t="shared" si="73"/>
        <v>0</v>
      </c>
      <c r="AR89" s="292">
        <f t="shared" si="74"/>
        <v>0</v>
      </c>
      <c r="AS89" s="292">
        <f t="shared" si="75"/>
        <v>0</v>
      </c>
      <c r="AT89" s="292">
        <f t="shared" si="76"/>
        <v>0</v>
      </c>
      <c r="AU89" s="292">
        <f t="shared" si="77"/>
        <v>0</v>
      </c>
      <c r="AV89" s="292">
        <f t="shared" si="78"/>
        <v>0</v>
      </c>
      <c r="AW89" s="292">
        <f t="shared" si="79"/>
        <v>0</v>
      </c>
      <c r="AX89" s="292">
        <f t="shared" si="80"/>
        <v>0</v>
      </c>
      <c r="AY89" s="292">
        <f t="shared" si="81"/>
        <v>0</v>
      </c>
      <c r="AZ89" s="292">
        <f t="shared" si="82"/>
        <v>0</v>
      </c>
      <c r="BA89" s="292">
        <f t="shared" si="83"/>
        <v>0</v>
      </c>
    </row>
    <row r="90" spans="1:53" s="289" customFormat="1" ht="15.75" customHeight="1">
      <c r="A90" s="63" t="str">
        <f t="array" ref="A90">IF(C90&lt;&gt;0,SUM(($C$11:C90&lt;&gt;0)*1),"")</f>
        <v/>
      </c>
      <c r="B90" s="290"/>
      <c r="C90" s="290"/>
      <c r="D90" s="290"/>
      <c r="E90" s="396"/>
      <c r="F90" s="345"/>
      <c r="G90" s="347"/>
      <c r="H90" s="347"/>
      <c r="I90" s="63" t="str">
        <f t="shared" si="45"/>
        <v/>
      </c>
      <c r="J90" s="292">
        <f t="shared" si="46"/>
        <v>0</v>
      </c>
      <c r="K90" s="292">
        <f t="shared" si="47"/>
        <v>0</v>
      </c>
      <c r="L90" s="292">
        <f t="shared" si="48"/>
        <v>0</v>
      </c>
      <c r="M90" s="292">
        <f t="shared" si="49"/>
        <v>0</v>
      </c>
      <c r="N90" s="292">
        <f t="shared" si="84"/>
        <v>0</v>
      </c>
      <c r="O90" s="292">
        <f t="shared" si="85"/>
        <v>0</v>
      </c>
      <c r="P90" s="292">
        <f t="shared" si="50"/>
        <v>0</v>
      </c>
      <c r="Q90" s="292">
        <f t="shared" si="51"/>
        <v>0</v>
      </c>
      <c r="R90" s="292">
        <f t="shared" si="52"/>
        <v>0</v>
      </c>
      <c r="S90" s="292">
        <f t="shared" si="53"/>
        <v>0</v>
      </c>
      <c r="T90" s="292">
        <f t="shared" si="86"/>
        <v>0</v>
      </c>
      <c r="U90" s="292">
        <f t="shared" si="87"/>
        <v>0</v>
      </c>
      <c r="V90" s="292">
        <f t="shared" si="54"/>
        <v>0</v>
      </c>
      <c r="W90" s="292">
        <f t="shared" si="55"/>
        <v>0</v>
      </c>
      <c r="X90" s="292">
        <f t="shared" si="56"/>
        <v>0</v>
      </c>
      <c r="Y90" s="292">
        <f t="shared" si="57"/>
        <v>0</v>
      </c>
      <c r="Z90" s="292">
        <f t="shared" si="58"/>
        <v>0</v>
      </c>
      <c r="AA90" s="292">
        <f t="shared" si="59"/>
        <v>0</v>
      </c>
      <c r="AB90" s="292">
        <f t="shared" si="60"/>
        <v>0</v>
      </c>
      <c r="AC90" s="292">
        <f t="shared" si="61"/>
        <v>0</v>
      </c>
      <c r="AD90" s="292">
        <f t="shared" si="62"/>
        <v>0</v>
      </c>
      <c r="AE90" s="292">
        <f t="shared" si="63"/>
        <v>0</v>
      </c>
      <c r="AF90" s="292">
        <f t="shared" si="88"/>
        <v>0</v>
      </c>
      <c r="AG90" s="292">
        <f t="shared" si="89"/>
        <v>0</v>
      </c>
      <c r="AH90" s="292">
        <f t="shared" si="64"/>
        <v>0</v>
      </c>
      <c r="AI90" s="292">
        <f t="shared" si="65"/>
        <v>0</v>
      </c>
      <c r="AJ90" s="292">
        <f t="shared" si="66"/>
        <v>0</v>
      </c>
      <c r="AK90" s="292">
        <f t="shared" si="67"/>
        <v>0</v>
      </c>
      <c r="AL90" s="292">
        <f t="shared" si="68"/>
        <v>0</v>
      </c>
      <c r="AM90" s="292">
        <f t="shared" si="69"/>
        <v>0</v>
      </c>
      <c r="AN90" s="292">
        <f t="shared" si="70"/>
        <v>0</v>
      </c>
      <c r="AO90" s="292">
        <f t="shared" si="71"/>
        <v>0</v>
      </c>
      <c r="AP90" s="292">
        <f t="shared" si="72"/>
        <v>0</v>
      </c>
      <c r="AQ90" s="292">
        <f t="shared" si="73"/>
        <v>0</v>
      </c>
      <c r="AR90" s="292">
        <f t="shared" si="74"/>
        <v>0</v>
      </c>
      <c r="AS90" s="292">
        <f t="shared" si="75"/>
        <v>0</v>
      </c>
      <c r="AT90" s="292">
        <f t="shared" si="76"/>
        <v>0</v>
      </c>
      <c r="AU90" s="292">
        <f t="shared" si="77"/>
        <v>0</v>
      </c>
      <c r="AV90" s="292">
        <f t="shared" si="78"/>
        <v>0</v>
      </c>
      <c r="AW90" s="292">
        <f t="shared" si="79"/>
        <v>0</v>
      </c>
      <c r="AX90" s="292">
        <f t="shared" si="80"/>
        <v>0</v>
      </c>
      <c r="AY90" s="292">
        <f t="shared" si="81"/>
        <v>0</v>
      </c>
      <c r="AZ90" s="292">
        <f t="shared" si="82"/>
        <v>0</v>
      </c>
      <c r="BA90" s="292">
        <f t="shared" si="83"/>
        <v>0</v>
      </c>
    </row>
    <row r="91" spans="1:53" s="289" customFormat="1" ht="15.75" customHeight="1">
      <c r="A91" s="63" t="str">
        <f t="array" ref="A91">IF(C91&lt;&gt;0,SUM(($C$11:C91&lt;&gt;0)*1),"")</f>
        <v/>
      </c>
      <c r="B91" s="290"/>
      <c r="C91" s="290"/>
      <c r="D91" s="290"/>
      <c r="E91" s="396"/>
      <c r="F91" s="345"/>
      <c r="G91" s="347"/>
      <c r="H91" s="347"/>
      <c r="I91" s="63" t="str">
        <f t="shared" si="45"/>
        <v/>
      </c>
      <c r="J91" s="292">
        <f t="shared" si="46"/>
        <v>0</v>
      </c>
      <c r="K91" s="292">
        <f t="shared" si="47"/>
        <v>0</v>
      </c>
      <c r="L91" s="292">
        <f t="shared" si="48"/>
        <v>0</v>
      </c>
      <c r="M91" s="292">
        <f t="shared" si="49"/>
        <v>0</v>
      </c>
      <c r="N91" s="292">
        <f t="shared" si="84"/>
        <v>0</v>
      </c>
      <c r="O91" s="292">
        <f t="shared" si="85"/>
        <v>0</v>
      </c>
      <c r="P91" s="292">
        <f t="shared" si="50"/>
        <v>0</v>
      </c>
      <c r="Q91" s="292">
        <f t="shared" si="51"/>
        <v>0</v>
      </c>
      <c r="R91" s="292">
        <f t="shared" si="52"/>
        <v>0</v>
      </c>
      <c r="S91" s="292">
        <f t="shared" si="53"/>
        <v>0</v>
      </c>
      <c r="T91" s="292">
        <f t="shared" si="86"/>
        <v>0</v>
      </c>
      <c r="U91" s="292">
        <f t="shared" si="87"/>
        <v>0</v>
      </c>
      <c r="V91" s="292">
        <f t="shared" si="54"/>
        <v>0</v>
      </c>
      <c r="W91" s="292">
        <f t="shared" si="55"/>
        <v>0</v>
      </c>
      <c r="X91" s="292">
        <f t="shared" si="56"/>
        <v>0</v>
      </c>
      <c r="Y91" s="292">
        <f t="shared" si="57"/>
        <v>0</v>
      </c>
      <c r="Z91" s="292">
        <f t="shared" si="58"/>
        <v>0</v>
      </c>
      <c r="AA91" s="292">
        <f t="shared" si="59"/>
        <v>0</v>
      </c>
      <c r="AB91" s="292">
        <f t="shared" si="60"/>
        <v>0</v>
      </c>
      <c r="AC91" s="292">
        <f t="shared" si="61"/>
        <v>0</v>
      </c>
      <c r="AD91" s="292">
        <f t="shared" si="62"/>
        <v>0</v>
      </c>
      <c r="AE91" s="292">
        <f t="shared" si="63"/>
        <v>0</v>
      </c>
      <c r="AF91" s="292">
        <f t="shared" si="88"/>
        <v>0</v>
      </c>
      <c r="AG91" s="292">
        <f t="shared" si="89"/>
        <v>0</v>
      </c>
      <c r="AH91" s="292">
        <f t="shared" si="64"/>
        <v>0</v>
      </c>
      <c r="AI91" s="292">
        <f t="shared" si="65"/>
        <v>0</v>
      </c>
      <c r="AJ91" s="292">
        <f t="shared" si="66"/>
        <v>0</v>
      </c>
      <c r="AK91" s="292">
        <f t="shared" si="67"/>
        <v>0</v>
      </c>
      <c r="AL91" s="292">
        <f t="shared" si="68"/>
        <v>0</v>
      </c>
      <c r="AM91" s="292">
        <f t="shared" si="69"/>
        <v>0</v>
      </c>
      <c r="AN91" s="292">
        <f t="shared" si="70"/>
        <v>0</v>
      </c>
      <c r="AO91" s="292">
        <f t="shared" si="71"/>
        <v>0</v>
      </c>
      <c r="AP91" s="292">
        <f t="shared" si="72"/>
        <v>0</v>
      </c>
      <c r="AQ91" s="292">
        <f t="shared" si="73"/>
        <v>0</v>
      </c>
      <c r="AR91" s="292">
        <f t="shared" si="74"/>
        <v>0</v>
      </c>
      <c r="AS91" s="292">
        <f t="shared" si="75"/>
        <v>0</v>
      </c>
      <c r="AT91" s="292">
        <f t="shared" si="76"/>
        <v>0</v>
      </c>
      <c r="AU91" s="292">
        <f t="shared" si="77"/>
        <v>0</v>
      </c>
      <c r="AV91" s="292">
        <f t="shared" si="78"/>
        <v>0</v>
      </c>
      <c r="AW91" s="292">
        <f t="shared" si="79"/>
        <v>0</v>
      </c>
      <c r="AX91" s="292">
        <f t="shared" si="80"/>
        <v>0</v>
      </c>
      <c r="AY91" s="292">
        <f t="shared" si="81"/>
        <v>0</v>
      </c>
      <c r="AZ91" s="292">
        <f t="shared" si="82"/>
        <v>0</v>
      </c>
      <c r="BA91" s="292">
        <f t="shared" si="83"/>
        <v>0</v>
      </c>
    </row>
    <row r="92" spans="1:53" s="289" customFormat="1" ht="15.75" customHeight="1">
      <c r="A92" s="63" t="str">
        <f t="array" ref="A92">IF(C92&lt;&gt;0,SUM(($C$11:C92&lt;&gt;0)*1),"")</f>
        <v/>
      </c>
      <c r="B92" s="290"/>
      <c r="C92" s="290"/>
      <c r="D92" s="290"/>
      <c r="E92" s="396"/>
      <c r="F92" s="345"/>
      <c r="G92" s="347"/>
      <c r="H92" s="347"/>
      <c r="I92" s="63" t="str">
        <f t="shared" ref="I92:I104" si="90">A92</f>
        <v/>
      </c>
      <c r="J92" s="292">
        <f t="shared" si="46"/>
        <v>0</v>
      </c>
      <c r="K92" s="292">
        <f t="shared" si="47"/>
        <v>0</v>
      </c>
      <c r="L92" s="292">
        <f t="shared" si="48"/>
        <v>0</v>
      </c>
      <c r="M92" s="292">
        <f t="shared" si="49"/>
        <v>0</v>
      </c>
      <c r="N92" s="292">
        <f t="shared" si="84"/>
        <v>0</v>
      </c>
      <c r="O92" s="292">
        <f t="shared" si="85"/>
        <v>0</v>
      </c>
      <c r="P92" s="292">
        <f t="shared" si="50"/>
        <v>0</v>
      </c>
      <c r="Q92" s="292">
        <f t="shared" si="51"/>
        <v>0</v>
      </c>
      <c r="R92" s="292">
        <f t="shared" si="52"/>
        <v>0</v>
      </c>
      <c r="S92" s="292">
        <f t="shared" si="53"/>
        <v>0</v>
      </c>
      <c r="T92" s="292">
        <f t="shared" si="86"/>
        <v>0</v>
      </c>
      <c r="U92" s="292">
        <f t="shared" si="87"/>
        <v>0</v>
      </c>
      <c r="V92" s="292">
        <f t="shared" si="54"/>
        <v>0</v>
      </c>
      <c r="W92" s="292">
        <f t="shared" si="55"/>
        <v>0</v>
      </c>
      <c r="X92" s="292">
        <f t="shared" si="56"/>
        <v>0</v>
      </c>
      <c r="Y92" s="292">
        <f t="shared" si="57"/>
        <v>0</v>
      </c>
      <c r="Z92" s="292">
        <f t="shared" si="58"/>
        <v>0</v>
      </c>
      <c r="AA92" s="292">
        <f t="shared" si="59"/>
        <v>0</v>
      </c>
      <c r="AB92" s="292">
        <f t="shared" si="60"/>
        <v>0</v>
      </c>
      <c r="AC92" s="292">
        <f t="shared" si="61"/>
        <v>0</v>
      </c>
      <c r="AD92" s="292">
        <f t="shared" si="62"/>
        <v>0</v>
      </c>
      <c r="AE92" s="292">
        <f t="shared" si="63"/>
        <v>0</v>
      </c>
      <c r="AF92" s="292">
        <f t="shared" si="88"/>
        <v>0</v>
      </c>
      <c r="AG92" s="292">
        <f t="shared" si="89"/>
        <v>0</v>
      </c>
      <c r="AH92" s="292">
        <f t="shared" si="64"/>
        <v>0</v>
      </c>
      <c r="AI92" s="292">
        <f t="shared" si="65"/>
        <v>0</v>
      </c>
      <c r="AJ92" s="292">
        <f t="shared" si="66"/>
        <v>0</v>
      </c>
      <c r="AK92" s="292">
        <f t="shared" si="67"/>
        <v>0</v>
      </c>
      <c r="AL92" s="292">
        <f t="shared" si="68"/>
        <v>0</v>
      </c>
      <c r="AM92" s="292">
        <f t="shared" si="69"/>
        <v>0</v>
      </c>
      <c r="AN92" s="292">
        <f t="shared" si="70"/>
        <v>0</v>
      </c>
      <c r="AO92" s="292">
        <f t="shared" si="71"/>
        <v>0</v>
      </c>
      <c r="AP92" s="292">
        <f t="shared" si="72"/>
        <v>0</v>
      </c>
      <c r="AQ92" s="292">
        <f t="shared" si="73"/>
        <v>0</v>
      </c>
      <c r="AR92" s="292">
        <f t="shared" si="74"/>
        <v>0</v>
      </c>
      <c r="AS92" s="292">
        <f t="shared" si="75"/>
        <v>0</v>
      </c>
      <c r="AT92" s="292">
        <f t="shared" si="76"/>
        <v>0</v>
      </c>
      <c r="AU92" s="292">
        <f t="shared" si="77"/>
        <v>0</v>
      </c>
      <c r="AV92" s="292">
        <f t="shared" si="78"/>
        <v>0</v>
      </c>
      <c r="AW92" s="292">
        <f t="shared" si="79"/>
        <v>0</v>
      </c>
      <c r="AX92" s="292">
        <f t="shared" si="80"/>
        <v>0</v>
      </c>
      <c r="AY92" s="292">
        <f t="shared" si="81"/>
        <v>0</v>
      </c>
      <c r="AZ92" s="292">
        <f t="shared" si="82"/>
        <v>0</v>
      </c>
      <c r="BA92" s="292">
        <f t="shared" si="83"/>
        <v>0</v>
      </c>
    </row>
    <row r="93" spans="1:53" s="289" customFormat="1" ht="15.75" customHeight="1">
      <c r="A93" s="63" t="str">
        <f t="array" ref="A93">IF(C93&lt;&gt;0,SUM(($C$11:C93&lt;&gt;0)*1),"")</f>
        <v/>
      </c>
      <c r="B93" s="290"/>
      <c r="C93" s="290"/>
      <c r="D93" s="290"/>
      <c r="E93" s="396"/>
      <c r="F93" s="345"/>
      <c r="G93" s="347"/>
      <c r="H93" s="347"/>
      <c r="I93" s="63" t="str">
        <f t="shared" si="90"/>
        <v/>
      </c>
      <c r="J93" s="292">
        <f t="shared" si="46"/>
        <v>0</v>
      </c>
      <c r="K93" s="292">
        <f t="shared" si="47"/>
        <v>0</v>
      </c>
      <c r="L93" s="292">
        <f t="shared" si="48"/>
        <v>0</v>
      </c>
      <c r="M93" s="292">
        <f t="shared" si="49"/>
        <v>0</v>
      </c>
      <c r="N93" s="292">
        <f t="shared" si="84"/>
        <v>0</v>
      </c>
      <c r="O93" s="292">
        <f t="shared" si="85"/>
        <v>0</v>
      </c>
      <c r="P93" s="292">
        <f t="shared" si="50"/>
        <v>0</v>
      </c>
      <c r="Q93" s="292">
        <f t="shared" si="51"/>
        <v>0</v>
      </c>
      <c r="R93" s="292">
        <f t="shared" si="52"/>
        <v>0</v>
      </c>
      <c r="S93" s="292">
        <f t="shared" si="53"/>
        <v>0</v>
      </c>
      <c r="T93" s="292">
        <f t="shared" si="86"/>
        <v>0</v>
      </c>
      <c r="U93" s="292">
        <f t="shared" si="87"/>
        <v>0</v>
      </c>
      <c r="V93" s="292">
        <f t="shared" si="54"/>
        <v>0</v>
      </c>
      <c r="W93" s="292">
        <f t="shared" si="55"/>
        <v>0</v>
      </c>
      <c r="X93" s="292">
        <f t="shared" si="56"/>
        <v>0</v>
      </c>
      <c r="Y93" s="292">
        <f t="shared" si="57"/>
        <v>0</v>
      </c>
      <c r="Z93" s="292">
        <f t="shared" si="58"/>
        <v>0</v>
      </c>
      <c r="AA93" s="292">
        <f t="shared" si="59"/>
        <v>0</v>
      </c>
      <c r="AB93" s="292">
        <f t="shared" si="60"/>
        <v>0</v>
      </c>
      <c r="AC93" s="292">
        <f t="shared" si="61"/>
        <v>0</v>
      </c>
      <c r="AD93" s="292">
        <f t="shared" si="62"/>
        <v>0</v>
      </c>
      <c r="AE93" s="292">
        <f t="shared" si="63"/>
        <v>0</v>
      </c>
      <c r="AF93" s="292">
        <f t="shared" si="88"/>
        <v>0</v>
      </c>
      <c r="AG93" s="292">
        <f t="shared" si="89"/>
        <v>0</v>
      </c>
      <c r="AH93" s="292">
        <f t="shared" si="64"/>
        <v>0</v>
      </c>
      <c r="AI93" s="292">
        <f t="shared" si="65"/>
        <v>0</v>
      </c>
      <c r="AJ93" s="292">
        <f t="shared" si="66"/>
        <v>0</v>
      </c>
      <c r="AK93" s="292">
        <f t="shared" si="67"/>
        <v>0</v>
      </c>
      <c r="AL93" s="292">
        <f t="shared" si="68"/>
        <v>0</v>
      </c>
      <c r="AM93" s="292">
        <f t="shared" si="69"/>
        <v>0</v>
      </c>
      <c r="AN93" s="292">
        <f t="shared" si="70"/>
        <v>0</v>
      </c>
      <c r="AO93" s="292">
        <f t="shared" si="71"/>
        <v>0</v>
      </c>
      <c r="AP93" s="292">
        <f t="shared" si="72"/>
        <v>0</v>
      </c>
      <c r="AQ93" s="292">
        <f t="shared" si="73"/>
        <v>0</v>
      </c>
      <c r="AR93" s="292">
        <f t="shared" si="74"/>
        <v>0</v>
      </c>
      <c r="AS93" s="292">
        <f t="shared" si="75"/>
        <v>0</v>
      </c>
      <c r="AT93" s="292">
        <f t="shared" si="76"/>
        <v>0</v>
      </c>
      <c r="AU93" s="292">
        <f t="shared" si="77"/>
        <v>0</v>
      </c>
      <c r="AV93" s="292">
        <f t="shared" si="78"/>
        <v>0</v>
      </c>
      <c r="AW93" s="292">
        <f t="shared" si="79"/>
        <v>0</v>
      </c>
      <c r="AX93" s="292">
        <f t="shared" si="80"/>
        <v>0</v>
      </c>
      <c r="AY93" s="292">
        <f t="shared" si="81"/>
        <v>0</v>
      </c>
      <c r="AZ93" s="292">
        <f t="shared" si="82"/>
        <v>0</v>
      </c>
      <c r="BA93" s="292">
        <f t="shared" si="83"/>
        <v>0</v>
      </c>
    </row>
    <row r="94" spans="1:53" s="289" customFormat="1" ht="15.75" customHeight="1">
      <c r="A94" s="63" t="str">
        <f t="array" ref="A94">IF(C94&lt;&gt;0,SUM(($C$11:C94&lt;&gt;0)*1),"")</f>
        <v/>
      </c>
      <c r="B94" s="290"/>
      <c r="C94" s="290"/>
      <c r="D94" s="290"/>
      <c r="E94" s="396"/>
      <c r="F94" s="345"/>
      <c r="G94" s="347"/>
      <c r="H94" s="347"/>
      <c r="I94" s="63" t="str">
        <f t="shared" si="90"/>
        <v/>
      </c>
      <c r="J94" s="292">
        <f t="shared" si="46"/>
        <v>0</v>
      </c>
      <c r="K94" s="292">
        <f t="shared" si="47"/>
        <v>0</v>
      </c>
      <c r="L94" s="292">
        <f t="shared" si="48"/>
        <v>0</v>
      </c>
      <c r="M94" s="292">
        <f t="shared" si="49"/>
        <v>0</v>
      </c>
      <c r="N94" s="292">
        <f t="shared" si="84"/>
        <v>0</v>
      </c>
      <c r="O94" s="292">
        <f t="shared" si="85"/>
        <v>0</v>
      </c>
      <c r="P94" s="292">
        <f t="shared" si="50"/>
        <v>0</v>
      </c>
      <c r="Q94" s="292">
        <f t="shared" si="51"/>
        <v>0</v>
      </c>
      <c r="R94" s="292">
        <f t="shared" si="52"/>
        <v>0</v>
      </c>
      <c r="S94" s="292">
        <f t="shared" si="53"/>
        <v>0</v>
      </c>
      <c r="T94" s="292">
        <f t="shared" si="86"/>
        <v>0</v>
      </c>
      <c r="U94" s="292">
        <f t="shared" si="87"/>
        <v>0</v>
      </c>
      <c r="V94" s="292">
        <f t="shared" si="54"/>
        <v>0</v>
      </c>
      <c r="W94" s="292">
        <f t="shared" si="55"/>
        <v>0</v>
      </c>
      <c r="X94" s="292">
        <f t="shared" si="56"/>
        <v>0</v>
      </c>
      <c r="Y94" s="292">
        <f t="shared" si="57"/>
        <v>0</v>
      </c>
      <c r="Z94" s="292">
        <f t="shared" si="58"/>
        <v>0</v>
      </c>
      <c r="AA94" s="292">
        <f t="shared" si="59"/>
        <v>0</v>
      </c>
      <c r="AB94" s="292">
        <f t="shared" si="60"/>
        <v>0</v>
      </c>
      <c r="AC94" s="292">
        <f t="shared" si="61"/>
        <v>0</v>
      </c>
      <c r="AD94" s="292">
        <f t="shared" si="62"/>
        <v>0</v>
      </c>
      <c r="AE94" s="292">
        <f t="shared" si="63"/>
        <v>0</v>
      </c>
      <c r="AF94" s="292">
        <f t="shared" si="88"/>
        <v>0</v>
      </c>
      <c r="AG94" s="292">
        <f t="shared" si="89"/>
        <v>0</v>
      </c>
      <c r="AH94" s="292">
        <f t="shared" si="64"/>
        <v>0</v>
      </c>
      <c r="AI94" s="292">
        <f t="shared" si="65"/>
        <v>0</v>
      </c>
      <c r="AJ94" s="292">
        <f t="shared" si="66"/>
        <v>0</v>
      </c>
      <c r="AK94" s="292">
        <f t="shared" si="67"/>
        <v>0</v>
      </c>
      <c r="AL94" s="292">
        <f t="shared" si="68"/>
        <v>0</v>
      </c>
      <c r="AM94" s="292">
        <f t="shared" si="69"/>
        <v>0</v>
      </c>
      <c r="AN94" s="292">
        <f t="shared" si="70"/>
        <v>0</v>
      </c>
      <c r="AO94" s="292">
        <f t="shared" si="71"/>
        <v>0</v>
      </c>
      <c r="AP94" s="292">
        <f t="shared" si="72"/>
        <v>0</v>
      </c>
      <c r="AQ94" s="292">
        <f t="shared" si="73"/>
        <v>0</v>
      </c>
      <c r="AR94" s="292">
        <f t="shared" si="74"/>
        <v>0</v>
      </c>
      <c r="AS94" s="292">
        <f t="shared" si="75"/>
        <v>0</v>
      </c>
      <c r="AT94" s="292">
        <f t="shared" si="76"/>
        <v>0</v>
      </c>
      <c r="AU94" s="292">
        <f t="shared" si="77"/>
        <v>0</v>
      </c>
      <c r="AV94" s="292">
        <f t="shared" si="78"/>
        <v>0</v>
      </c>
      <c r="AW94" s="292">
        <f t="shared" si="79"/>
        <v>0</v>
      </c>
      <c r="AX94" s="292">
        <f t="shared" si="80"/>
        <v>0</v>
      </c>
      <c r="AY94" s="292">
        <f t="shared" si="81"/>
        <v>0</v>
      </c>
      <c r="AZ94" s="292">
        <f t="shared" si="82"/>
        <v>0</v>
      </c>
      <c r="BA94" s="292">
        <f t="shared" si="83"/>
        <v>0</v>
      </c>
    </row>
    <row r="95" spans="1:53" s="289" customFormat="1" ht="15.75" customHeight="1">
      <c r="A95" s="63" t="str">
        <f t="array" ref="A95">IF(C95&lt;&gt;0,SUM(($C$11:C95&lt;&gt;0)*1),"")</f>
        <v/>
      </c>
      <c r="B95" s="290"/>
      <c r="C95" s="290"/>
      <c r="D95" s="290"/>
      <c r="E95" s="396"/>
      <c r="F95" s="345"/>
      <c r="G95" s="347"/>
      <c r="H95" s="347"/>
      <c r="I95" s="63" t="str">
        <f t="shared" si="90"/>
        <v/>
      </c>
      <c r="J95" s="292">
        <f t="shared" si="46"/>
        <v>0</v>
      </c>
      <c r="K95" s="292">
        <f t="shared" si="47"/>
        <v>0</v>
      </c>
      <c r="L95" s="292">
        <f t="shared" si="48"/>
        <v>0</v>
      </c>
      <c r="M95" s="292">
        <f t="shared" si="49"/>
        <v>0</v>
      </c>
      <c r="N95" s="292">
        <f t="shared" si="84"/>
        <v>0</v>
      </c>
      <c r="O95" s="292">
        <f t="shared" si="85"/>
        <v>0</v>
      </c>
      <c r="P95" s="292">
        <f t="shared" si="50"/>
        <v>0</v>
      </c>
      <c r="Q95" s="292">
        <f t="shared" si="51"/>
        <v>0</v>
      </c>
      <c r="R95" s="292">
        <f t="shared" si="52"/>
        <v>0</v>
      </c>
      <c r="S95" s="292">
        <f t="shared" si="53"/>
        <v>0</v>
      </c>
      <c r="T95" s="292">
        <f t="shared" si="86"/>
        <v>0</v>
      </c>
      <c r="U95" s="292">
        <f t="shared" si="87"/>
        <v>0</v>
      </c>
      <c r="V95" s="292">
        <f t="shared" si="54"/>
        <v>0</v>
      </c>
      <c r="W95" s="292">
        <f t="shared" si="55"/>
        <v>0</v>
      </c>
      <c r="X95" s="292">
        <f t="shared" si="56"/>
        <v>0</v>
      </c>
      <c r="Y95" s="292">
        <f t="shared" si="57"/>
        <v>0</v>
      </c>
      <c r="Z95" s="292">
        <f t="shared" si="58"/>
        <v>0</v>
      </c>
      <c r="AA95" s="292">
        <f t="shared" si="59"/>
        <v>0</v>
      </c>
      <c r="AB95" s="292">
        <f t="shared" si="60"/>
        <v>0</v>
      </c>
      <c r="AC95" s="292">
        <f t="shared" si="61"/>
        <v>0</v>
      </c>
      <c r="AD95" s="292">
        <f t="shared" si="62"/>
        <v>0</v>
      </c>
      <c r="AE95" s="292">
        <f t="shared" si="63"/>
        <v>0</v>
      </c>
      <c r="AF95" s="292">
        <f t="shared" si="88"/>
        <v>0</v>
      </c>
      <c r="AG95" s="292">
        <f t="shared" si="89"/>
        <v>0</v>
      </c>
      <c r="AH95" s="292">
        <f t="shared" si="64"/>
        <v>0</v>
      </c>
      <c r="AI95" s="292">
        <f t="shared" si="65"/>
        <v>0</v>
      </c>
      <c r="AJ95" s="292">
        <f t="shared" si="66"/>
        <v>0</v>
      </c>
      <c r="AK95" s="292">
        <f t="shared" si="67"/>
        <v>0</v>
      </c>
      <c r="AL95" s="292">
        <f t="shared" si="68"/>
        <v>0</v>
      </c>
      <c r="AM95" s="292">
        <f t="shared" si="69"/>
        <v>0</v>
      </c>
      <c r="AN95" s="292">
        <f t="shared" si="70"/>
        <v>0</v>
      </c>
      <c r="AO95" s="292">
        <f t="shared" si="71"/>
        <v>0</v>
      </c>
      <c r="AP95" s="292">
        <f t="shared" si="72"/>
        <v>0</v>
      </c>
      <c r="AQ95" s="292">
        <f t="shared" si="73"/>
        <v>0</v>
      </c>
      <c r="AR95" s="292">
        <f t="shared" si="74"/>
        <v>0</v>
      </c>
      <c r="AS95" s="292">
        <f t="shared" si="75"/>
        <v>0</v>
      </c>
      <c r="AT95" s="292">
        <f t="shared" si="76"/>
        <v>0</v>
      </c>
      <c r="AU95" s="292">
        <f t="shared" si="77"/>
        <v>0</v>
      </c>
      <c r="AV95" s="292">
        <f t="shared" si="78"/>
        <v>0</v>
      </c>
      <c r="AW95" s="292">
        <f t="shared" si="79"/>
        <v>0</v>
      </c>
      <c r="AX95" s="292">
        <f t="shared" si="80"/>
        <v>0</v>
      </c>
      <c r="AY95" s="292">
        <f t="shared" si="81"/>
        <v>0</v>
      </c>
      <c r="AZ95" s="292">
        <f t="shared" si="82"/>
        <v>0</v>
      </c>
      <c r="BA95" s="292">
        <f t="shared" si="83"/>
        <v>0</v>
      </c>
    </row>
    <row r="96" spans="1:53" s="289" customFormat="1" ht="15.75" customHeight="1">
      <c r="A96" s="63" t="str">
        <f t="array" ref="A96">IF(C96&lt;&gt;0,SUM(($C$11:C96&lt;&gt;0)*1),"")</f>
        <v/>
      </c>
      <c r="B96" s="290"/>
      <c r="C96" s="290"/>
      <c r="D96" s="290"/>
      <c r="E96" s="396"/>
      <c r="F96" s="345"/>
      <c r="G96" s="347"/>
      <c r="H96" s="347"/>
      <c r="I96" s="63" t="str">
        <f t="shared" si="90"/>
        <v/>
      </c>
      <c r="J96" s="292">
        <f t="shared" si="46"/>
        <v>0</v>
      </c>
      <c r="K96" s="292">
        <f t="shared" si="47"/>
        <v>0</v>
      </c>
      <c r="L96" s="292">
        <f t="shared" si="48"/>
        <v>0</v>
      </c>
      <c r="M96" s="292">
        <f t="shared" si="49"/>
        <v>0</v>
      </c>
      <c r="N96" s="292">
        <f t="shared" si="84"/>
        <v>0</v>
      </c>
      <c r="O96" s="292">
        <f t="shared" si="85"/>
        <v>0</v>
      </c>
      <c r="P96" s="292">
        <f t="shared" si="50"/>
        <v>0</v>
      </c>
      <c r="Q96" s="292">
        <f t="shared" si="51"/>
        <v>0</v>
      </c>
      <c r="R96" s="292">
        <f t="shared" si="52"/>
        <v>0</v>
      </c>
      <c r="S96" s="292">
        <f t="shared" si="53"/>
        <v>0</v>
      </c>
      <c r="T96" s="292">
        <f t="shared" si="86"/>
        <v>0</v>
      </c>
      <c r="U96" s="292">
        <f t="shared" si="87"/>
        <v>0</v>
      </c>
      <c r="V96" s="292">
        <f t="shared" si="54"/>
        <v>0</v>
      </c>
      <c r="W96" s="292">
        <f t="shared" si="55"/>
        <v>0</v>
      </c>
      <c r="X96" s="292">
        <f t="shared" si="56"/>
        <v>0</v>
      </c>
      <c r="Y96" s="292">
        <f t="shared" si="57"/>
        <v>0</v>
      </c>
      <c r="Z96" s="292">
        <f t="shared" si="58"/>
        <v>0</v>
      </c>
      <c r="AA96" s="292">
        <f t="shared" si="59"/>
        <v>0</v>
      </c>
      <c r="AB96" s="292">
        <f t="shared" si="60"/>
        <v>0</v>
      </c>
      <c r="AC96" s="292">
        <f t="shared" si="61"/>
        <v>0</v>
      </c>
      <c r="AD96" s="292">
        <f t="shared" si="62"/>
        <v>0</v>
      </c>
      <c r="AE96" s="292">
        <f t="shared" si="63"/>
        <v>0</v>
      </c>
      <c r="AF96" s="292">
        <f t="shared" si="88"/>
        <v>0</v>
      </c>
      <c r="AG96" s="292">
        <f t="shared" si="89"/>
        <v>0</v>
      </c>
      <c r="AH96" s="292">
        <f t="shared" si="64"/>
        <v>0</v>
      </c>
      <c r="AI96" s="292">
        <f t="shared" si="65"/>
        <v>0</v>
      </c>
      <c r="AJ96" s="292">
        <f t="shared" si="66"/>
        <v>0</v>
      </c>
      <c r="AK96" s="292">
        <f t="shared" si="67"/>
        <v>0</v>
      </c>
      <c r="AL96" s="292">
        <f t="shared" si="68"/>
        <v>0</v>
      </c>
      <c r="AM96" s="292">
        <f t="shared" si="69"/>
        <v>0</v>
      </c>
      <c r="AN96" s="292">
        <f t="shared" si="70"/>
        <v>0</v>
      </c>
      <c r="AO96" s="292">
        <f t="shared" si="71"/>
        <v>0</v>
      </c>
      <c r="AP96" s="292">
        <f t="shared" si="72"/>
        <v>0</v>
      </c>
      <c r="AQ96" s="292">
        <f t="shared" si="73"/>
        <v>0</v>
      </c>
      <c r="AR96" s="292">
        <f t="shared" si="74"/>
        <v>0</v>
      </c>
      <c r="AS96" s="292">
        <f t="shared" si="75"/>
        <v>0</v>
      </c>
      <c r="AT96" s="292">
        <f t="shared" si="76"/>
        <v>0</v>
      </c>
      <c r="AU96" s="292">
        <f t="shared" si="77"/>
        <v>0</v>
      </c>
      <c r="AV96" s="292">
        <f t="shared" si="78"/>
        <v>0</v>
      </c>
      <c r="AW96" s="292">
        <f t="shared" si="79"/>
        <v>0</v>
      </c>
      <c r="AX96" s="292">
        <f t="shared" si="80"/>
        <v>0</v>
      </c>
      <c r="AY96" s="292">
        <f t="shared" si="81"/>
        <v>0</v>
      </c>
      <c r="AZ96" s="292">
        <f t="shared" si="82"/>
        <v>0</v>
      </c>
      <c r="BA96" s="292">
        <f t="shared" si="83"/>
        <v>0</v>
      </c>
    </row>
    <row r="97" spans="1:53" s="289" customFormat="1" ht="15.75" customHeight="1">
      <c r="A97" s="63" t="str">
        <f t="array" ref="A97">IF(C97&lt;&gt;0,SUM(($C$11:C97&lt;&gt;0)*1),"")</f>
        <v/>
      </c>
      <c r="B97" s="290"/>
      <c r="C97" s="290"/>
      <c r="D97" s="290"/>
      <c r="E97" s="396"/>
      <c r="F97" s="345"/>
      <c r="G97" s="347"/>
      <c r="H97" s="347"/>
      <c r="I97" s="63" t="str">
        <f t="shared" si="90"/>
        <v/>
      </c>
      <c r="J97" s="292">
        <f t="shared" si="46"/>
        <v>0</v>
      </c>
      <c r="K97" s="292">
        <f t="shared" si="47"/>
        <v>0</v>
      </c>
      <c r="L97" s="292">
        <f t="shared" si="48"/>
        <v>0</v>
      </c>
      <c r="M97" s="292">
        <f t="shared" si="49"/>
        <v>0</v>
      </c>
      <c r="N97" s="292">
        <f t="shared" si="84"/>
        <v>0</v>
      </c>
      <c r="O97" s="292">
        <f t="shared" si="85"/>
        <v>0</v>
      </c>
      <c r="P97" s="292">
        <f t="shared" si="50"/>
        <v>0</v>
      </c>
      <c r="Q97" s="292">
        <f t="shared" si="51"/>
        <v>0</v>
      </c>
      <c r="R97" s="292">
        <f t="shared" si="52"/>
        <v>0</v>
      </c>
      <c r="S97" s="292">
        <f t="shared" si="53"/>
        <v>0</v>
      </c>
      <c r="T97" s="292">
        <f t="shared" si="86"/>
        <v>0</v>
      </c>
      <c r="U97" s="292">
        <f t="shared" si="87"/>
        <v>0</v>
      </c>
      <c r="V97" s="292">
        <f t="shared" si="54"/>
        <v>0</v>
      </c>
      <c r="W97" s="292">
        <f t="shared" si="55"/>
        <v>0</v>
      </c>
      <c r="X97" s="292">
        <f t="shared" si="56"/>
        <v>0</v>
      </c>
      <c r="Y97" s="292">
        <f t="shared" si="57"/>
        <v>0</v>
      </c>
      <c r="Z97" s="292">
        <f t="shared" si="58"/>
        <v>0</v>
      </c>
      <c r="AA97" s="292">
        <f t="shared" si="59"/>
        <v>0</v>
      </c>
      <c r="AB97" s="292">
        <f t="shared" si="60"/>
        <v>0</v>
      </c>
      <c r="AC97" s="292">
        <f t="shared" si="61"/>
        <v>0</v>
      </c>
      <c r="AD97" s="292">
        <f t="shared" si="62"/>
        <v>0</v>
      </c>
      <c r="AE97" s="292">
        <f t="shared" si="63"/>
        <v>0</v>
      </c>
      <c r="AF97" s="292">
        <f t="shared" si="88"/>
        <v>0</v>
      </c>
      <c r="AG97" s="292">
        <f t="shared" si="89"/>
        <v>0</v>
      </c>
      <c r="AH97" s="292">
        <f t="shared" si="64"/>
        <v>0</v>
      </c>
      <c r="AI97" s="292">
        <f t="shared" si="65"/>
        <v>0</v>
      </c>
      <c r="AJ97" s="292">
        <f t="shared" si="66"/>
        <v>0</v>
      </c>
      <c r="AK97" s="292">
        <f t="shared" si="67"/>
        <v>0</v>
      </c>
      <c r="AL97" s="292">
        <f t="shared" si="68"/>
        <v>0</v>
      </c>
      <c r="AM97" s="292">
        <f t="shared" si="69"/>
        <v>0</v>
      </c>
      <c r="AN97" s="292">
        <f t="shared" si="70"/>
        <v>0</v>
      </c>
      <c r="AO97" s="292">
        <f t="shared" si="71"/>
        <v>0</v>
      </c>
      <c r="AP97" s="292">
        <f t="shared" si="72"/>
        <v>0</v>
      </c>
      <c r="AQ97" s="292">
        <f t="shared" si="73"/>
        <v>0</v>
      </c>
      <c r="AR97" s="292">
        <f t="shared" si="74"/>
        <v>0</v>
      </c>
      <c r="AS97" s="292">
        <f t="shared" si="75"/>
        <v>0</v>
      </c>
      <c r="AT97" s="292">
        <f t="shared" si="76"/>
        <v>0</v>
      </c>
      <c r="AU97" s="292">
        <f t="shared" si="77"/>
        <v>0</v>
      </c>
      <c r="AV97" s="292">
        <f t="shared" si="78"/>
        <v>0</v>
      </c>
      <c r="AW97" s="292">
        <f t="shared" si="79"/>
        <v>0</v>
      </c>
      <c r="AX97" s="292">
        <f t="shared" si="80"/>
        <v>0</v>
      </c>
      <c r="AY97" s="292">
        <f t="shared" si="81"/>
        <v>0</v>
      </c>
      <c r="AZ97" s="292">
        <f t="shared" si="82"/>
        <v>0</v>
      </c>
      <c r="BA97" s="292">
        <f t="shared" si="83"/>
        <v>0</v>
      </c>
    </row>
    <row r="98" spans="1:53" s="289" customFormat="1" ht="15.75" customHeight="1">
      <c r="A98" s="63" t="str">
        <f t="array" ref="A98">IF(C98&lt;&gt;0,SUM(($C$11:C98&lt;&gt;0)*1),"")</f>
        <v/>
      </c>
      <c r="B98" s="290"/>
      <c r="C98" s="290"/>
      <c r="D98" s="290"/>
      <c r="E98" s="396"/>
      <c r="F98" s="345"/>
      <c r="G98" s="347"/>
      <c r="H98" s="347"/>
      <c r="I98" s="63" t="str">
        <f t="shared" si="90"/>
        <v/>
      </c>
      <c r="J98" s="292">
        <f t="shared" si="46"/>
        <v>0</v>
      </c>
      <c r="K98" s="292">
        <f t="shared" si="47"/>
        <v>0</v>
      </c>
      <c r="L98" s="292">
        <f t="shared" si="48"/>
        <v>0</v>
      </c>
      <c r="M98" s="292">
        <f t="shared" si="49"/>
        <v>0</v>
      </c>
      <c r="N98" s="292">
        <f t="shared" si="84"/>
        <v>0</v>
      </c>
      <c r="O98" s="292">
        <f t="shared" si="85"/>
        <v>0</v>
      </c>
      <c r="P98" s="292">
        <f t="shared" si="50"/>
        <v>0</v>
      </c>
      <c r="Q98" s="292">
        <f t="shared" si="51"/>
        <v>0</v>
      </c>
      <c r="R98" s="292">
        <f t="shared" si="52"/>
        <v>0</v>
      </c>
      <c r="S98" s="292">
        <f t="shared" si="53"/>
        <v>0</v>
      </c>
      <c r="T98" s="292">
        <f t="shared" si="86"/>
        <v>0</v>
      </c>
      <c r="U98" s="292">
        <f t="shared" si="87"/>
        <v>0</v>
      </c>
      <c r="V98" s="292">
        <f t="shared" si="54"/>
        <v>0</v>
      </c>
      <c r="W98" s="292">
        <f t="shared" si="55"/>
        <v>0</v>
      </c>
      <c r="X98" s="292">
        <f t="shared" si="56"/>
        <v>0</v>
      </c>
      <c r="Y98" s="292">
        <f t="shared" si="57"/>
        <v>0</v>
      </c>
      <c r="Z98" s="292">
        <f t="shared" si="58"/>
        <v>0</v>
      </c>
      <c r="AA98" s="292">
        <f t="shared" si="59"/>
        <v>0</v>
      </c>
      <c r="AB98" s="292">
        <f t="shared" si="60"/>
        <v>0</v>
      </c>
      <c r="AC98" s="292">
        <f t="shared" si="61"/>
        <v>0</v>
      </c>
      <c r="AD98" s="292">
        <f t="shared" si="62"/>
        <v>0</v>
      </c>
      <c r="AE98" s="292">
        <f t="shared" si="63"/>
        <v>0</v>
      </c>
      <c r="AF98" s="292">
        <f t="shared" si="88"/>
        <v>0</v>
      </c>
      <c r="AG98" s="292">
        <f t="shared" si="89"/>
        <v>0</v>
      </c>
      <c r="AH98" s="292">
        <f t="shared" si="64"/>
        <v>0</v>
      </c>
      <c r="AI98" s="292">
        <f t="shared" si="65"/>
        <v>0</v>
      </c>
      <c r="AJ98" s="292">
        <f t="shared" si="66"/>
        <v>0</v>
      </c>
      <c r="AK98" s="292">
        <f t="shared" si="67"/>
        <v>0</v>
      </c>
      <c r="AL98" s="292">
        <f t="shared" si="68"/>
        <v>0</v>
      </c>
      <c r="AM98" s="292">
        <f t="shared" si="69"/>
        <v>0</v>
      </c>
      <c r="AN98" s="292">
        <f t="shared" si="70"/>
        <v>0</v>
      </c>
      <c r="AO98" s="292">
        <f t="shared" si="71"/>
        <v>0</v>
      </c>
      <c r="AP98" s="292">
        <f t="shared" si="72"/>
        <v>0</v>
      </c>
      <c r="AQ98" s="292">
        <f t="shared" si="73"/>
        <v>0</v>
      </c>
      <c r="AR98" s="292">
        <f t="shared" si="74"/>
        <v>0</v>
      </c>
      <c r="AS98" s="292">
        <f t="shared" si="75"/>
        <v>0</v>
      </c>
      <c r="AT98" s="292">
        <f t="shared" si="76"/>
        <v>0</v>
      </c>
      <c r="AU98" s="292">
        <f t="shared" si="77"/>
        <v>0</v>
      </c>
      <c r="AV98" s="292">
        <f t="shared" si="78"/>
        <v>0</v>
      </c>
      <c r="AW98" s="292">
        <f t="shared" si="79"/>
        <v>0</v>
      </c>
      <c r="AX98" s="292">
        <f t="shared" si="80"/>
        <v>0</v>
      </c>
      <c r="AY98" s="292">
        <f t="shared" si="81"/>
        <v>0</v>
      </c>
      <c r="AZ98" s="292">
        <f t="shared" si="82"/>
        <v>0</v>
      </c>
      <c r="BA98" s="292">
        <f t="shared" si="83"/>
        <v>0</v>
      </c>
    </row>
    <row r="99" spans="1:53" s="289" customFormat="1" ht="15.75" customHeight="1">
      <c r="A99" s="63" t="str">
        <f t="array" ref="A99">IF(C99&lt;&gt;0,SUM(($C$11:C99&lt;&gt;0)*1),"")</f>
        <v/>
      </c>
      <c r="B99" s="290"/>
      <c r="C99" s="290"/>
      <c r="D99" s="290"/>
      <c r="E99" s="396"/>
      <c r="F99" s="345"/>
      <c r="G99" s="347"/>
      <c r="H99" s="347"/>
      <c r="I99" s="63" t="str">
        <f t="shared" si="90"/>
        <v/>
      </c>
      <c r="J99" s="292">
        <f t="shared" si="46"/>
        <v>0</v>
      </c>
      <c r="K99" s="292">
        <f t="shared" si="47"/>
        <v>0</v>
      </c>
      <c r="L99" s="292">
        <f t="shared" si="48"/>
        <v>0</v>
      </c>
      <c r="M99" s="292">
        <f t="shared" si="49"/>
        <v>0</v>
      </c>
      <c r="N99" s="292">
        <f t="shared" si="84"/>
        <v>0</v>
      </c>
      <c r="O99" s="292">
        <f t="shared" si="85"/>
        <v>0</v>
      </c>
      <c r="P99" s="292">
        <f t="shared" si="50"/>
        <v>0</v>
      </c>
      <c r="Q99" s="292">
        <f t="shared" si="51"/>
        <v>0</v>
      </c>
      <c r="R99" s="292">
        <f t="shared" si="52"/>
        <v>0</v>
      </c>
      <c r="S99" s="292">
        <f t="shared" si="53"/>
        <v>0</v>
      </c>
      <c r="T99" s="292">
        <f t="shared" si="86"/>
        <v>0</v>
      </c>
      <c r="U99" s="292">
        <f t="shared" si="87"/>
        <v>0</v>
      </c>
      <c r="V99" s="292">
        <f t="shared" si="54"/>
        <v>0</v>
      </c>
      <c r="W99" s="292">
        <f t="shared" si="55"/>
        <v>0</v>
      </c>
      <c r="X99" s="292">
        <f t="shared" si="56"/>
        <v>0</v>
      </c>
      <c r="Y99" s="292">
        <f t="shared" si="57"/>
        <v>0</v>
      </c>
      <c r="Z99" s="292">
        <f t="shared" si="58"/>
        <v>0</v>
      </c>
      <c r="AA99" s="292">
        <f t="shared" si="59"/>
        <v>0</v>
      </c>
      <c r="AB99" s="292">
        <f t="shared" si="60"/>
        <v>0</v>
      </c>
      <c r="AC99" s="292">
        <f t="shared" si="61"/>
        <v>0</v>
      </c>
      <c r="AD99" s="292">
        <f t="shared" si="62"/>
        <v>0</v>
      </c>
      <c r="AE99" s="292">
        <f t="shared" si="63"/>
        <v>0</v>
      </c>
      <c r="AF99" s="292">
        <f t="shared" si="88"/>
        <v>0</v>
      </c>
      <c r="AG99" s="292">
        <f t="shared" si="89"/>
        <v>0</v>
      </c>
      <c r="AH99" s="292">
        <f t="shared" si="64"/>
        <v>0</v>
      </c>
      <c r="AI99" s="292">
        <f t="shared" si="65"/>
        <v>0</v>
      </c>
      <c r="AJ99" s="292">
        <f t="shared" si="66"/>
        <v>0</v>
      </c>
      <c r="AK99" s="292">
        <f t="shared" si="67"/>
        <v>0</v>
      </c>
      <c r="AL99" s="292">
        <f t="shared" si="68"/>
        <v>0</v>
      </c>
      <c r="AM99" s="292">
        <f t="shared" si="69"/>
        <v>0</v>
      </c>
      <c r="AN99" s="292">
        <f t="shared" si="70"/>
        <v>0</v>
      </c>
      <c r="AO99" s="292">
        <f t="shared" si="71"/>
        <v>0</v>
      </c>
      <c r="AP99" s="292">
        <f t="shared" si="72"/>
        <v>0</v>
      </c>
      <c r="AQ99" s="292">
        <f t="shared" si="73"/>
        <v>0</v>
      </c>
      <c r="AR99" s="292">
        <f t="shared" si="74"/>
        <v>0</v>
      </c>
      <c r="AS99" s="292">
        <f t="shared" si="75"/>
        <v>0</v>
      </c>
      <c r="AT99" s="292">
        <f t="shared" si="76"/>
        <v>0</v>
      </c>
      <c r="AU99" s="292">
        <f t="shared" si="77"/>
        <v>0</v>
      </c>
      <c r="AV99" s="292">
        <f t="shared" si="78"/>
        <v>0</v>
      </c>
      <c r="AW99" s="292">
        <f t="shared" si="79"/>
        <v>0</v>
      </c>
      <c r="AX99" s="292">
        <f t="shared" si="80"/>
        <v>0</v>
      </c>
      <c r="AY99" s="292">
        <f t="shared" si="81"/>
        <v>0</v>
      </c>
      <c r="AZ99" s="292">
        <f t="shared" si="82"/>
        <v>0</v>
      </c>
      <c r="BA99" s="292">
        <f t="shared" si="83"/>
        <v>0</v>
      </c>
    </row>
    <row r="100" spans="1:53" s="289" customFormat="1" ht="15.75" customHeight="1">
      <c r="A100" s="63" t="str">
        <f t="array" ref="A100">IF(C100&lt;&gt;0,SUM(($C$11:C100&lt;&gt;0)*1),"")</f>
        <v/>
      </c>
      <c r="B100" s="290"/>
      <c r="C100" s="290"/>
      <c r="D100" s="290"/>
      <c r="E100" s="396"/>
      <c r="F100" s="345"/>
      <c r="G100" s="347"/>
      <c r="H100" s="347"/>
      <c r="I100" s="63" t="str">
        <f t="shared" si="90"/>
        <v/>
      </c>
      <c r="J100" s="292">
        <f t="shared" si="46"/>
        <v>0</v>
      </c>
      <c r="K100" s="292">
        <f t="shared" si="47"/>
        <v>0</v>
      </c>
      <c r="L100" s="292">
        <f t="shared" si="48"/>
        <v>0</v>
      </c>
      <c r="M100" s="292">
        <f t="shared" si="49"/>
        <v>0</v>
      </c>
      <c r="N100" s="292">
        <f t="shared" si="84"/>
        <v>0</v>
      </c>
      <c r="O100" s="292">
        <f t="shared" si="85"/>
        <v>0</v>
      </c>
      <c r="P100" s="292">
        <f t="shared" si="50"/>
        <v>0</v>
      </c>
      <c r="Q100" s="292">
        <f t="shared" si="51"/>
        <v>0</v>
      </c>
      <c r="R100" s="292">
        <f t="shared" si="52"/>
        <v>0</v>
      </c>
      <c r="S100" s="292">
        <f t="shared" si="53"/>
        <v>0</v>
      </c>
      <c r="T100" s="292">
        <f t="shared" si="86"/>
        <v>0</v>
      </c>
      <c r="U100" s="292">
        <f t="shared" si="87"/>
        <v>0</v>
      </c>
      <c r="V100" s="292">
        <f t="shared" si="54"/>
        <v>0</v>
      </c>
      <c r="W100" s="292">
        <f t="shared" si="55"/>
        <v>0</v>
      </c>
      <c r="X100" s="292">
        <f t="shared" si="56"/>
        <v>0</v>
      </c>
      <c r="Y100" s="292">
        <f t="shared" si="57"/>
        <v>0</v>
      </c>
      <c r="Z100" s="292">
        <f t="shared" si="58"/>
        <v>0</v>
      </c>
      <c r="AA100" s="292">
        <f t="shared" si="59"/>
        <v>0</v>
      </c>
      <c r="AB100" s="292">
        <f t="shared" si="60"/>
        <v>0</v>
      </c>
      <c r="AC100" s="292">
        <f t="shared" si="61"/>
        <v>0</v>
      </c>
      <c r="AD100" s="292">
        <f t="shared" si="62"/>
        <v>0</v>
      </c>
      <c r="AE100" s="292">
        <f t="shared" si="63"/>
        <v>0</v>
      </c>
      <c r="AF100" s="292">
        <f t="shared" si="88"/>
        <v>0</v>
      </c>
      <c r="AG100" s="292">
        <f t="shared" si="89"/>
        <v>0</v>
      </c>
      <c r="AH100" s="292">
        <f t="shared" si="64"/>
        <v>0</v>
      </c>
      <c r="AI100" s="292">
        <f t="shared" si="65"/>
        <v>0</v>
      </c>
      <c r="AJ100" s="292">
        <f t="shared" si="66"/>
        <v>0</v>
      </c>
      <c r="AK100" s="292">
        <f t="shared" si="67"/>
        <v>0</v>
      </c>
      <c r="AL100" s="292">
        <f t="shared" si="68"/>
        <v>0</v>
      </c>
      <c r="AM100" s="292">
        <f t="shared" si="69"/>
        <v>0</v>
      </c>
      <c r="AN100" s="292">
        <f t="shared" si="70"/>
        <v>0</v>
      </c>
      <c r="AO100" s="292">
        <f t="shared" si="71"/>
        <v>0</v>
      </c>
      <c r="AP100" s="292">
        <f t="shared" si="72"/>
        <v>0</v>
      </c>
      <c r="AQ100" s="292">
        <f t="shared" si="73"/>
        <v>0</v>
      </c>
      <c r="AR100" s="292">
        <f t="shared" si="74"/>
        <v>0</v>
      </c>
      <c r="AS100" s="292">
        <f t="shared" si="75"/>
        <v>0</v>
      </c>
      <c r="AT100" s="292">
        <f t="shared" si="76"/>
        <v>0</v>
      </c>
      <c r="AU100" s="292">
        <f t="shared" si="77"/>
        <v>0</v>
      </c>
      <c r="AV100" s="292">
        <f t="shared" si="78"/>
        <v>0</v>
      </c>
      <c r="AW100" s="292">
        <f t="shared" si="79"/>
        <v>0</v>
      </c>
      <c r="AX100" s="292">
        <f t="shared" si="80"/>
        <v>0</v>
      </c>
      <c r="AY100" s="292">
        <f t="shared" si="81"/>
        <v>0</v>
      </c>
      <c r="AZ100" s="292">
        <f t="shared" si="82"/>
        <v>0</v>
      </c>
      <c r="BA100" s="292">
        <f t="shared" si="83"/>
        <v>0</v>
      </c>
    </row>
    <row r="101" spans="1:53" s="289" customFormat="1" ht="15.75" customHeight="1">
      <c r="A101" s="63" t="str">
        <f t="array" ref="A101">IF(C101&lt;&gt;0,SUM(($C$11:C101&lt;&gt;0)*1),"")</f>
        <v/>
      </c>
      <c r="B101" s="290"/>
      <c r="C101" s="290"/>
      <c r="D101" s="290"/>
      <c r="E101" s="396"/>
      <c r="F101" s="345"/>
      <c r="G101" s="347"/>
      <c r="H101" s="347"/>
      <c r="I101" s="63" t="str">
        <f t="shared" si="90"/>
        <v/>
      </c>
      <c r="J101" s="292">
        <f t="shared" si="46"/>
        <v>0</v>
      </c>
      <c r="K101" s="292">
        <f t="shared" si="47"/>
        <v>0</v>
      </c>
      <c r="L101" s="292">
        <f t="shared" si="48"/>
        <v>0</v>
      </c>
      <c r="M101" s="292">
        <f t="shared" si="49"/>
        <v>0</v>
      </c>
      <c r="N101" s="292">
        <f t="shared" si="84"/>
        <v>0</v>
      </c>
      <c r="O101" s="292">
        <f t="shared" si="85"/>
        <v>0</v>
      </c>
      <c r="P101" s="292">
        <f t="shared" si="50"/>
        <v>0</v>
      </c>
      <c r="Q101" s="292">
        <f t="shared" si="51"/>
        <v>0</v>
      </c>
      <c r="R101" s="292">
        <f t="shared" si="52"/>
        <v>0</v>
      </c>
      <c r="S101" s="292">
        <f t="shared" si="53"/>
        <v>0</v>
      </c>
      <c r="T101" s="292">
        <f t="shared" si="86"/>
        <v>0</v>
      </c>
      <c r="U101" s="292">
        <f t="shared" si="87"/>
        <v>0</v>
      </c>
      <c r="V101" s="292">
        <f t="shared" si="54"/>
        <v>0</v>
      </c>
      <c r="W101" s="292">
        <f t="shared" si="55"/>
        <v>0</v>
      </c>
      <c r="X101" s="292">
        <f t="shared" si="56"/>
        <v>0</v>
      </c>
      <c r="Y101" s="292">
        <f t="shared" si="57"/>
        <v>0</v>
      </c>
      <c r="Z101" s="292">
        <f t="shared" si="58"/>
        <v>0</v>
      </c>
      <c r="AA101" s="292">
        <f t="shared" si="59"/>
        <v>0</v>
      </c>
      <c r="AB101" s="292">
        <f t="shared" si="60"/>
        <v>0</v>
      </c>
      <c r="AC101" s="292">
        <f t="shared" si="61"/>
        <v>0</v>
      </c>
      <c r="AD101" s="292">
        <f t="shared" si="62"/>
        <v>0</v>
      </c>
      <c r="AE101" s="292">
        <f t="shared" si="63"/>
        <v>0</v>
      </c>
      <c r="AF101" s="292">
        <f t="shared" si="88"/>
        <v>0</v>
      </c>
      <c r="AG101" s="292">
        <f t="shared" si="89"/>
        <v>0</v>
      </c>
      <c r="AH101" s="292">
        <f t="shared" si="64"/>
        <v>0</v>
      </c>
      <c r="AI101" s="292">
        <f t="shared" si="65"/>
        <v>0</v>
      </c>
      <c r="AJ101" s="292">
        <f t="shared" si="66"/>
        <v>0</v>
      </c>
      <c r="AK101" s="292">
        <f t="shared" si="67"/>
        <v>0</v>
      </c>
      <c r="AL101" s="292">
        <f t="shared" si="68"/>
        <v>0</v>
      </c>
      <c r="AM101" s="292">
        <f t="shared" si="69"/>
        <v>0</v>
      </c>
      <c r="AN101" s="292">
        <f t="shared" si="70"/>
        <v>0</v>
      </c>
      <c r="AO101" s="292">
        <f t="shared" si="71"/>
        <v>0</v>
      </c>
      <c r="AP101" s="292">
        <f t="shared" si="72"/>
        <v>0</v>
      </c>
      <c r="AQ101" s="292">
        <f t="shared" si="73"/>
        <v>0</v>
      </c>
      <c r="AR101" s="292">
        <f t="shared" si="74"/>
        <v>0</v>
      </c>
      <c r="AS101" s="292">
        <f t="shared" si="75"/>
        <v>0</v>
      </c>
      <c r="AT101" s="292">
        <f t="shared" si="76"/>
        <v>0</v>
      </c>
      <c r="AU101" s="292">
        <f t="shared" si="77"/>
        <v>0</v>
      </c>
      <c r="AV101" s="292">
        <f t="shared" si="78"/>
        <v>0</v>
      </c>
      <c r="AW101" s="292">
        <f t="shared" si="79"/>
        <v>0</v>
      </c>
      <c r="AX101" s="292">
        <f t="shared" si="80"/>
        <v>0</v>
      </c>
      <c r="AY101" s="292">
        <f t="shared" si="81"/>
        <v>0</v>
      </c>
      <c r="AZ101" s="292">
        <f t="shared" si="82"/>
        <v>0</v>
      </c>
      <c r="BA101" s="292">
        <f t="shared" si="83"/>
        <v>0</v>
      </c>
    </row>
    <row r="102" spans="1:53" s="289" customFormat="1" ht="15.75" customHeight="1">
      <c r="A102" s="63" t="str">
        <f t="array" ref="A102">IF(C102&lt;&gt;0,SUM(($C$11:C102&lt;&gt;0)*1),"")</f>
        <v/>
      </c>
      <c r="B102" s="290"/>
      <c r="C102" s="290"/>
      <c r="D102" s="290"/>
      <c r="E102" s="396"/>
      <c r="F102" s="345"/>
      <c r="G102" s="347"/>
      <c r="H102" s="347"/>
      <c r="I102" s="63" t="str">
        <f t="shared" si="90"/>
        <v/>
      </c>
      <c r="J102" s="292">
        <f t="shared" si="46"/>
        <v>0</v>
      </c>
      <c r="K102" s="292">
        <f t="shared" si="47"/>
        <v>0</v>
      </c>
      <c r="L102" s="292">
        <f t="shared" si="48"/>
        <v>0</v>
      </c>
      <c r="M102" s="292">
        <f t="shared" si="49"/>
        <v>0</v>
      </c>
      <c r="N102" s="292">
        <f t="shared" si="84"/>
        <v>0</v>
      </c>
      <c r="O102" s="292">
        <f t="shared" si="85"/>
        <v>0</v>
      </c>
      <c r="P102" s="292">
        <f t="shared" si="50"/>
        <v>0</v>
      </c>
      <c r="Q102" s="292">
        <f t="shared" si="51"/>
        <v>0</v>
      </c>
      <c r="R102" s="292">
        <f t="shared" si="52"/>
        <v>0</v>
      </c>
      <c r="S102" s="292">
        <f t="shared" si="53"/>
        <v>0</v>
      </c>
      <c r="T102" s="292">
        <f t="shared" si="86"/>
        <v>0</v>
      </c>
      <c r="U102" s="292">
        <f t="shared" si="87"/>
        <v>0</v>
      </c>
      <c r="V102" s="292">
        <f t="shared" si="54"/>
        <v>0</v>
      </c>
      <c r="W102" s="292">
        <f t="shared" si="55"/>
        <v>0</v>
      </c>
      <c r="X102" s="292">
        <f t="shared" si="56"/>
        <v>0</v>
      </c>
      <c r="Y102" s="292">
        <f t="shared" si="57"/>
        <v>0</v>
      </c>
      <c r="Z102" s="292">
        <f t="shared" si="58"/>
        <v>0</v>
      </c>
      <c r="AA102" s="292">
        <f t="shared" si="59"/>
        <v>0</v>
      </c>
      <c r="AB102" s="292">
        <f t="shared" si="60"/>
        <v>0</v>
      </c>
      <c r="AC102" s="292">
        <f t="shared" si="61"/>
        <v>0</v>
      </c>
      <c r="AD102" s="292">
        <f t="shared" si="62"/>
        <v>0</v>
      </c>
      <c r="AE102" s="292">
        <f t="shared" si="63"/>
        <v>0</v>
      </c>
      <c r="AF102" s="292">
        <f t="shared" si="88"/>
        <v>0</v>
      </c>
      <c r="AG102" s="292">
        <f t="shared" si="89"/>
        <v>0</v>
      </c>
      <c r="AH102" s="292">
        <f t="shared" si="64"/>
        <v>0</v>
      </c>
      <c r="AI102" s="292">
        <f t="shared" si="65"/>
        <v>0</v>
      </c>
      <c r="AJ102" s="292">
        <f t="shared" si="66"/>
        <v>0</v>
      </c>
      <c r="AK102" s="292">
        <f t="shared" si="67"/>
        <v>0</v>
      </c>
      <c r="AL102" s="292">
        <f t="shared" si="68"/>
        <v>0</v>
      </c>
      <c r="AM102" s="292">
        <f t="shared" si="69"/>
        <v>0</v>
      </c>
      <c r="AN102" s="292">
        <f t="shared" si="70"/>
        <v>0</v>
      </c>
      <c r="AO102" s="292">
        <f t="shared" si="71"/>
        <v>0</v>
      </c>
      <c r="AP102" s="292">
        <f t="shared" si="72"/>
        <v>0</v>
      </c>
      <c r="AQ102" s="292">
        <f t="shared" si="73"/>
        <v>0</v>
      </c>
      <c r="AR102" s="292">
        <f t="shared" si="74"/>
        <v>0</v>
      </c>
      <c r="AS102" s="292">
        <f t="shared" si="75"/>
        <v>0</v>
      </c>
      <c r="AT102" s="292">
        <f t="shared" si="76"/>
        <v>0</v>
      </c>
      <c r="AU102" s="292">
        <f t="shared" si="77"/>
        <v>0</v>
      </c>
      <c r="AV102" s="292">
        <f t="shared" si="78"/>
        <v>0</v>
      </c>
      <c r="AW102" s="292">
        <f t="shared" si="79"/>
        <v>0</v>
      </c>
      <c r="AX102" s="292">
        <f t="shared" si="80"/>
        <v>0</v>
      </c>
      <c r="AY102" s="292">
        <f t="shared" si="81"/>
        <v>0</v>
      </c>
      <c r="AZ102" s="292">
        <f t="shared" si="82"/>
        <v>0</v>
      </c>
      <c r="BA102" s="292">
        <f t="shared" si="83"/>
        <v>0</v>
      </c>
    </row>
    <row r="103" spans="1:53" s="289" customFormat="1" ht="15.75" customHeight="1">
      <c r="A103" s="63" t="str">
        <f t="array" ref="A103">IF(C103&lt;&gt;0,SUM(($C$11:C103&lt;&gt;0)*1),"")</f>
        <v/>
      </c>
      <c r="B103" s="290"/>
      <c r="C103" s="290"/>
      <c r="D103" s="290"/>
      <c r="E103" s="396"/>
      <c r="F103" s="345"/>
      <c r="G103" s="347"/>
      <c r="H103" s="347"/>
      <c r="I103" s="63" t="str">
        <f t="shared" si="90"/>
        <v/>
      </c>
      <c r="J103" s="292">
        <f t="shared" si="46"/>
        <v>0</v>
      </c>
      <c r="K103" s="292">
        <f t="shared" si="47"/>
        <v>0</v>
      </c>
      <c r="L103" s="292">
        <f t="shared" si="48"/>
        <v>0</v>
      </c>
      <c r="M103" s="292">
        <f t="shared" si="49"/>
        <v>0</v>
      </c>
      <c r="N103" s="292">
        <f t="shared" si="84"/>
        <v>0</v>
      </c>
      <c r="O103" s="292">
        <f t="shared" si="85"/>
        <v>0</v>
      </c>
      <c r="P103" s="292">
        <f t="shared" si="50"/>
        <v>0</v>
      </c>
      <c r="Q103" s="292">
        <f t="shared" si="51"/>
        <v>0</v>
      </c>
      <c r="R103" s="292">
        <f t="shared" si="52"/>
        <v>0</v>
      </c>
      <c r="S103" s="292">
        <f t="shared" si="53"/>
        <v>0</v>
      </c>
      <c r="T103" s="292">
        <f t="shared" si="86"/>
        <v>0</v>
      </c>
      <c r="U103" s="292">
        <f t="shared" si="87"/>
        <v>0</v>
      </c>
      <c r="V103" s="292">
        <f t="shared" si="54"/>
        <v>0</v>
      </c>
      <c r="W103" s="292">
        <f t="shared" si="55"/>
        <v>0</v>
      </c>
      <c r="X103" s="292">
        <f t="shared" si="56"/>
        <v>0</v>
      </c>
      <c r="Y103" s="292">
        <f t="shared" si="57"/>
        <v>0</v>
      </c>
      <c r="Z103" s="292">
        <f t="shared" si="58"/>
        <v>0</v>
      </c>
      <c r="AA103" s="292">
        <f t="shared" si="59"/>
        <v>0</v>
      </c>
      <c r="AB103" s="292">
        <f t="shared" si="60"/>
        <v>0</v>
      </c>
      <c r="AC103" s="292">
        <f t="shared" si="61"/>
        <v>0</v>
      </c>
      <c r="AD103" s="292">
        <f t="shared" si="62"/>
        <v>0</v>
      </c>
      <c r="AE103" s="292">
        <f t="shared" si="63"/>
        <v>0</v>
      </c>
      <c r="AF103" s="292">
        <f t="shared" si="88"/>
        <v>0</v>
      </c>
      <c r="AG103" s="292">
        <f t="shared" si="89"/>
        <v>0</v>
      </c>
      <c r="AH103" s="292">
        <f t="shared" si="64"/>
        <v>0</v>
      </c>
      <c r="AI103" s="292">
        <f t="shared" si="65"/>
        <v>0</v>
      </c>
      <c r="AJ103" s="292">
        <f t="shared" si="66"/>
        <v>0</v>
      </c>
      <c r="AK103" s="292">
        <f t="shared" si="67"/>
        <v>0</v>
      </c>
      <c r="AL103" s="292">
        <f t="shared" si="68"/>
        <v>0</v>
      </c>
      <c r="AM103" s="292">
        <f t="shared" si="69"/>
        <v>0</v>
      </c>
      <c r="AN103" s="292">
        <f t="shared" si="70"/>
        <v>0</v>
      </c>
      <c r="AO103" s="292">
        <f t="shared" si="71"/>
        <v>0</v>
      </c>
      <c r="AP103" s="292">
        <f t="shared" si="72"/>
        <v>0</v>
      </c>
      <c r="AQ103" s="292">
        <f t="shared" si="73"/>
        <v>0</v>
      </c>
      <c r="AR103" s="292">
        <f t="shared" si="74"/>
        <v>0</v>
      </c>
      <c r="AS103" s="292">
        <f t="shared" si="75"/>
        <v>0</v>
      </c>
      <c r="AT103" s="292">
        <f t="shared" si="76"/>
        <v>0</v>
      </c>
      <c r="AU103" s="292">
        <f t="shared" si="77"/>
        <v>0</v>
      </c>
      <c r="AV103" s="292">
        <f t="shared" si="78"/>
        <v>0</v>
      </c>
      <c r="AW103" s="292">
        <f t="shared" si="79"/>
        <v>0</v>
      </c>
      <c r="AX103" s="292">
        <f t="shared" si="80"/>
        <v>0</v>
      </c>
      <c r="AY103" s="292">
        <f t="shared" si="81"/>
        <v>0</v>
      </c>
      <c r="AZ103" s="292">
        <f t="shared" si="82"/>
        <v>0</v>
      </c>
      <c r="BA103" s="292">
        <f t="shared" si="83"/>
        <v>0</v>
      </c>
    </row>
    <row r="104" spans="1:53" s="289" customFormat="1" ht="15.75" customHeight="1">
      <c r="A104" s="63" t="str">
        <f t="array" ref="A104">IF(C104&lt;&gt;0,SUM(($C$11:C104&lt;&gt;0)*1),"")</f>
        <v/>
      </c>
      <c r="B104" s="290"/>
      <c r="C104" s="290"/>
      <c r="D104" s="290"/>
      <c r="E104" s="396"/>
      <c r="F104" s="345"/>
      <c r="G104" s="347"/>
      <c r="H104" s="347"/>
      <c r="I104" s="63" t="str">
        <f t="shared" si="90"/>
        <v/>
      </c>
      <c r="J104" s="292">
        <f t="shared" si="46"/>
        <v>0</v>
      </c>
      <c r="K104" s="292">
        <f t="shared" si="47"/>
        <v>0</v>
      </c>
      <c r="L104" s="292">
        <f t="shared" si="48"/>
        <v>0</v>
      </c>
      <c r="M104" s="292">
        <f t="shared" si="49"/>
        <v>0</v>
      </c>
      <c r="N104" s="292">
        <f t="shared" si="84"/>
        <v>0</v>
      </c>
      <c r="O104" s="292">
        <f t="shared" si="85"/>
        <v>0</v>
      </c>
      <c r="P104" s="292">
        <f t="shared" si="50"/>
        <v>0</v>
      </c>
      <c r="Q104" s="292">
        <f t="shared" si="51"/>
        <v>0</v>
      </c>
      <c r="R104" s="292">
        <f t="shared" si="52"/>
        <v>0</v>
      </c>
      <c r="S104" s="292">
        <f t="shared" si="53"/>
        <v>0</v>
      </c>
      <c r="T104" s="292">
        <f t="shared" si="86"/>
        <v>0</v>
      </c>
      <c r="U104" s="292">
        <f t="shared" si="87"/>
        <v>0</v>
      </c>
      <c r="V104" s="292">
        <f t="shared" si="54"/>
        <v>0</v>
      </c>
      <c r="W104" s="292">
        <f t="shared" si="55"/>
        <v>0</v>
      </c>
      <c r="X104" s="292">
        <f t="shared" si="56"/>
        <v>0</v>
      </c>
      <c r="Y104" s="292">
        <f t="shared" si="57"/>
        <v>0</v>
      </c>
      <c r="Z104" s="292">
        <f t="shared" si="58"/>
        <v>0</v>
      </c>
      <c r="AA104" s="292">
        <f t="shared" si="59"/>
        <v>0</v>
      </c>
      <c r="AB104" s="292">
        <f t="shared" si="60"/>
        <v>0</v>
      </c>
      <c r="AC104" s="292">
        <f t="shared" si="61"/>
        <v>0</v>
      </c>
      <c r="AD104" s="292">
        <f t="shared" si="62"/>
        <v>0</v>
      </c>
      <c r="AE104" s="292">
        <f t="shared" si="63"/>
        <v>0</v>
      </c>
      <c r="AF104" s="292">
        <f t="shared" si="88"/>
        <v>0</v>
      </c>
      <c r="AG104" s="292">
        <f t="shared" si="89"/>
        <v>0</v>
      </c>
      <c r="AH104" s="292">
        <f t="shared" si="64"/>
        <v>0</v>
      </c>
      <c r="AI104" s="292">
        <f t="shared" si="65"/>
        <v>0</v>
      </c>
      <c r="AJ104" s="292">
        <f t="shared" si="66"/>
        <v>0</v>
      </c>
      <c r="AK104" s="292">
        <f t="shared" si="67"/>
        <v>0</v>
      </c>
      <c r="AL104" s="292">
        <f t="shared" si="68"/>
        <v>0</v>
      </c>
      <c r="AM104" s="292">
        <f t="shared" si="69"/>
        <v>0</v>
      </c>
      <c r="AN104" s="292">
        <f t="shared" si="70"/>
        <v>0</v>
      </c>
      <c r="AO104" s="292">
        <f t="shared" si="71"/>
        <v>0</v>
      </c>
      <c r="AP104" s="292">
        <f t="shared" si="72"/>
        <v>0</v>
      </c>
      <c r="AQ104" s="292">
        <f t="shared" si="73"/>
        <v>0</v>
      </c>
      <c r="AR104" s="292">
        <f t="shared" si="74"/>
        <v>0</v>
      </c>
      <c r="AS104" s="292">
        <f t="shared" si="75"/>
        <v>0</v>
      </c>
      <c r="AT104" s="292">
        <f t="shared" si="76"/>
        <v>0</v>
      </c>
      <c r="AU104" s="292">
        <f t="shared" si="77"/>
        <v>0</v>
      </c>
      <c r="AV104" s="292">
        <f t="shared" si="78"/>
        <v>0</v>
      </c>
      <c r="AW104" s="292">
        <f t="shared" si="79"/>
        <v>0</v>
      </c>
      <c r="AX104" s="292">
        <f t="shared" si="80"/>
        <v>0</v>
      </c>
      <c r="AY104" s="292">
        <f t="shared" si="81"/>
        <v>0</v>
      </c>
      <c r="AZ104" s="292">
        <f t="shared" si="82"/>
        <v>0</v>
      </c>
      <c r="BA104" s="292">
        <f t="shared" si="83"/>
        <v>0</v>
      </c>
    </row>
    <row r="105" spans="1:53" s="289" customFormat="1" ht="15.75" customHeight="1">
      <c r="A105" s="63" t="str">
        <f t="array" ref="A105">IF(C105&lt;&gt;0,SUM(($C$11:C105&lt;&gt;0)*1),"")</f>
        <v/>
      </c>
      <c r="B105" s="290"/>
      <c r="C105" s="290"/>
      <c r="D105" s="290"/>
      <c r="E105" s="396"/>
      <c r="F105" s="345"/>
      <c r="G105" s="347"/>
      <c r="H105" s="347"/>
      <c r="I105" s="63" t="str">
        <f>A105</f>
        <v/>
      </c>
      <c r="J105" s="292">
        <f t="shared" si="46"/>
        <v>0</v>
      </c>
      <c r="K105" s="292">
        <f t="shared" si="47"/>
        <v>0</v>
      </c>
      <c r="L105" s="292">
        <f t="shared" si="48"/>
        <v>0</v>
      </c>
      <c r="M105" s="292">
        <f t="shared" si="49"/>
        <v>0</v>
      </c>
      <c r="N105" s="292">
        <f t="shared" si="84"/>
        <v>0</v>
      </c>
      <c r="O105" s="292">
        <f t="shared" si="85"/>
        <v>0</v>
      </c>
      <c r="P105" s="292">
        <f t="shared" si="50"/>
        <v>0</v>
      </c>
      <c r="Q105" s="292">
        <f t="shared" si="51"/>
        <v>0</v>
      </c>
      <c r="R105" s="292">
        <f t="shared" si="52"/>
        <v>0</v>
      </c>
      <c r="S105" s="292">
        <f t="shared" si="53"/>
        <v>0</v>
      </c>
      <c r="T105" s="292">
        <f t="shared" si="86"/>
        <v>0</v>
      </c>
      <c r="U105" s="292">
        <f t="shared" si="87"/>
        <v>0</v>
      </c>
      <c r="V105" s="292">
        <f t="shared" si="54"/>
        <v>0</v>
      </c>
      <c r="W105" s="292">
        <f t="shared" si="55"/>
        <v>0</v>
      </c>
      <c r="X105" s="292">
        <f t="shared" si="56"/>
        <v>0</v>
      </c>
      <c r="Y105" s="292">
        <f t="shared" si="57"/>
        <v>0</v>
      </c>
      <c r="Z105" s="292">
        <f t="shared" si="58"/>
        <v>0</v>
      </c>
      <c r="AA105" s="292">
        <f t="shared" si="59"/>
        <v>0</v>
      </c>
      <c r="AB105" s="292">
        <f t="shared" si="60"/>
        <v>0</v>
      </c>
      <c r="AC105" s="292">
        <f t="shared" si="61"/>
        <v>0</v>
      </c>
      <c r="AD105" s="292">
        <f t="shared" si="62"/>
        <v>0</v>
      </c>
      <c r="AE105" s="292">
        <f t="shared" si="63"/>
        <v>0</v>
      </c>
      <c r="AF105" s="292">
        <f t="shared" si="88"/>
        <v>0</v>
      </c>
      <c r="AG105" s="292">
        <f t="shared" si="89"/>
        <v>0</v>
      </c>
      <c r="AH105" s="292">
        <f t="shared" si="64"/>
        <v>0</v>
      </c>
      <c r="AI105" s="292">
        <f t="shared" si="65"/>
        <v>0</v>
      </c>
      <c r="AJ105" s="292">
        <f t="shared" si="66"/>
        <v>0</v>
      </c>
      <c r="AK105" s="292">
        <f t="shared" si="67"/>
        <v>0</v>
      </c>
      <c r="AL105" s="292">
        <f t="shared" si="68"/>
        <v>0</v>
      </c>
      <c r="AM105" s="292">
        <f t="shared" si="69"/>
        <v>0</v>
      </c>
      <c r="AN105" s="292">
        <f t="shared" si="70"/>
        <v>0</v>
      </c>
      <c r="AO105" s="292">
        <f t="shared" si="71"/>
        <v>0</v>
      </c>
      <c r="AP105" s="292">
        <f t="shared" si="72"/>
        <v>0</v>
      </c>
      <c r="AQ105" s="292">
        <f t="shared" si="73"/>
        <v>0</v>
      </c>
      <c r="AR105" s="292">
        <f t="shared" si="74"/>
        <v>0</v>
      </c>
      <c r="AS105" s="292">
        <f t="shared" si="75"/>
        <v>0</v>
      </c>
      <c r="AT105" s="292">
        <f t="shared" si="76"/>
        <v>0</v>
      </c>
      <c r="AU105" s="292">
        <f t="shared" si="77"/>
        <v>0</v>
      </c>
      <c r="AV105" s="292">
        <f t="shared" si="78"/>
        <v>0</v>
      </c>
      <c r="AW105" s="292">
        <f t="shared" si="79"/>
        <v>0</v>
      </c>
      <c r="AX105" s="292">
        <f t="shared" si="80"/>
        <v>0</v>
      </c>
      <c r="AY105" s="292">
        <f t="shared" si="81"/>
        <v>0</v>
      </c>
      <c r="AZ105" s="292">
        <f t="shared" si="82"/>
        <v>0</v>
      </c>
      <c r="BA105" s="292">
        <f t="shared" si="83"/>
        <v>0</v>
      </c>
    </row>
    <row r="106" spans="1:53" s="289" customFormat="1" ht="15.75" customHeight="1">
      <c r="A106" s="63" t="str">
        <f t="array" ref="A106">IF(C106&lt;&gt;0,SUM(($C$11:C106&lt;&gt;0)*1),"")</f>
        <v/>
      </c>
      <c r="B106" s="290"/>
      <c r="C106" s="290"/>
      <c r="D106" s="290"/>
      <c r="E106" s="396"/>
      <c r="F106" s="345"/>
      <c r="G106" s="347"/>
      <c r="H106" s="347"/>
      <c r="I106" s="63" t="str">
        <f t="shared" ref="I106:I159" si="91">A106</f>
        <v/>
      </c>
      <c r="J106" s="292">
        <f t="shared" si="46"/>
        <v>0</v>
      </c>
      <c r="K106" s="292">
        <f t="shared" si="47"/>
        <v>0</v>
      </c>
      <c r="L106" s="292">
        <f t="shared" si="48"/>
        <v>0</v>
      </c>
      <c r="M106" s="292">
        <f t="shared" si="49"/>
        <v>0</v>
      </c>
      <c r="N106" s="292">
        <f t="shared" si="84"/>
        <v>0</v>
      </c>
      <c r="O106" s="292">
        <f t="shared" si="85"/>
        <v>0</v>
      </c>
      <c r="P106" s="292">
        <f t="shared" si="50"/>
        <v>0</v>
      </c>
      <c r="Q106" s="292">
        <f t="shared" si="51"/>
        <v>0</v>
      </c>
      <c r="R106" s="292">
        <f t="shared" si="52"/>
        <v>0</v>
      </c>
      <c r="S106" s="292">
        <f t="shared" si="53"/>
        <v>0</v>
      </c>
      <c r="T106" s="292">
        <f t="shared" si="86"/>
        <v>0</v>
      </c>
      <c r="U106" s="292">
        <f t="shared" si="87"/>
        <v>0</v>
      </c>
      <c r="V106" s="292">
        <f t="shared" si="54"/>
        <v>0</v>
      </c>
      <c r="W106" s="292">
        <f t="shared" si="55"/>
        <v>0</v>
      </c>
      <c r="X106" s="292">
        <f t="shared" si="56"/>
        <v>0</v>
      </c>
      <c r="Y106" s="292">
        <f t="shared" si="57"/>
        <v>0</v>
      </c>
      <c r="Z106" s="292">
        <f t="shared" si="58"/>
        <v>0</v>
      </c>
      <c r="AA106" s="292">
        <f t="shared" si="59"/>
        <v>0</v>
      </c>
      <c r="AB106" s="292">
        <f t="shared" si="60"/>
        <v>0</v>
      </c>
      <c r="AC106" s="292">
        <f t="shared" si="61"/>
        <v>0</v>
      </c>
      <c r="AD106" s="292">
        <f t="shared" si="62"/>
        <v>0</v>
      </c>
      <c r="AE106" s="292">
        <f t="shared" si="63"/>
        <v>0</v>
      </c>
      <c r="AF106" s="292">
        <f t="shared" si="88"/>
        <v>0</v>
      </c>
      <c r="AG106" s="292">
        <f t="shared" si="89"/>
        <v>0</v>
      </c>
      <c r="AH106" s="292">
        <f t="shared" si="64"/>
        <v>0</v>
      </c>
      <c r="AI106" s="292">
        <f t="shared" si="65"/>
        <v>0</v>
      </c>
      <c r="AJ106" s="292">
        <f t="shared" si="66"/>
        <v>0</v>
      </c>
      <c r="AK106" s="292">
        <f t="shared" si="67"/>
        <v>0</v>
      </c>
      <c r="AL106" s="292">
        <f t="shared" si="68"/>
        <v>0</v>
      </c>
      <c r="AM106" s="292">
        <f t="shared" si="69"/>
        <v>0</v>
      </c>
      <c r="AN106" s="292">
        <f t="shared" si="70"/>
        <v>0</v>
      </c>
      <c r="AO106" s="292">
        <f t="shared" si="71"/>
        <v>0</v>
      </c>
      <c r="AP106" s="292">
        <f t="shared" si="72"/>
        <v>0</v>
      </c>
      <c r="AQ106" s="292">
        <f t="shared" si="73"/>
        <v>0</v>
      </c>
      <c r="AR106" s="292">
        <f t="shared" si="74"/>
        <v>0</v>
      </c>
      <c r="AS106" s="292">
        <f t="shared" si="75"/>
        <v>0</v>
      </c>
      <c r="AT106" s="292">
        <f t="shared" si="76"/>
        <v>0</v>
      </c>
      <c r="AU106" s="292">
        <f t="shared" si="77"/>
        <v>0</v>
      </c>
      <c r="AV106" s="292">
        <f t="shared" si="78"/>
        <v>0</v>
      </c>
      <c r="AW106" s="292">
        <f t="shared" si="79"/>
        <v>0</v>
      </c>
      <c r="AX106" s="292">
        <f t="shared" si="80"/>
        <v>0</v>
      </c>
      <c r="AY106" s="292">
        <f t="shared" si="81"/>
        <v>0</v>
      </c>
      <c r="AZ106" s="292">
        <f t="shared" si="82"/>
        <v>0</v>
      </c>
      <c r="BA106" s="292">
        <f t="shared" si="83"/>
        <v>0</v>
      </c>
    </row>
    <row r="107" spans="1:53" s="289" customFormat="1" ht="15.75" customHeight="1">
      <c r="A107" s="63" t="str">
        <f t="array" ref="A107">IF(C107&lt;&gt;0,SUM(($C$11:C107&lt;&gt;0)*1),"")</f>
        <v/>
      </c>
      <c r="B107" s="290"/>
      <c r="C107" s="290"/>
      <c r="D107" s="290"/>
      <c r="E107" s="396"/>
      <c r="F107" s="345"/>
      <c r="G107" s="347"/>
      <c r="H107" s="347"/>
      <c r="I107" s="63" t="str">
        <f t="shared" si="91"/>
        <v/>
      </c>
      <c r="J107" s="292">
        <f t="shared" si="46"/>
        <v>0</v>
      </c>
      <c r="K107" s="292">
        <f t="shared" si="47"/>
        <v>0</v>
      </c>
      <c r="L107" s="292">
        <f t="shared" si="48"/>
        <v>0</v>
      </c>
      <c r="M107" s="292">
        <f t="shared" si="49"/>
        <v>0</v>
      </c>
      <c r="N107" s="292">
        <f t="shared" si="84"/>
        <v>0</v>
      </c>
      <c r="O107" s="292">
        <f t="shared" si="85"/>
        <v>0</v>
      </c>
      <c r="P107" s="292">
        <f t="shared" si="50"/>
        <v>0</v>
      </c>
      <c r="Q107" s="292">
        <f t="shared" si="51"/>
        <v>0</v>
      </c>
      <c r="R107" s="292">
        <f t="shared" si="52"/>
        <v>0</v>
      </c>
      <c r="S107" s="292">
        <f t="shared" si="53"/>
        <v>0</v>
      </c>
      <c r="T107" s="292">
        <f t="shared" si="86"/>
        <v>0</v>
      </c>
      <c r="U107" s="292">
        <f t="shared" si="87"/>
        <v>0</v>
      </c>
      <c r="V107" s="292">
        <f t="shared" si="54"/>
        <v>0</v>
      </c>
      <c r="W107" s="292">
        <f t="shared" si="55"/>
        <v>0</v>
      </c>
      <c r="X107" s="292">
        <f t="shared" si="56"/>
        <v>0</v>
      </c>
      <c r="Y107" s="292">
        <f t="shared" si="57"/>
        <v>0</v>
      </c>
      <c r="Z107" s="292">
        <f t="shared" si="58"/>
        <v>0</v>
      </c>
      <c r="AA107" s="292">
        <f t="shared" si="59"/>
        <v>0</v>
      </c>
      <c r="AB107" s="292">
        <f t="shared" si="60"/>
        <v>0</v>
      </c>
      <c r="AC107" s="292">
        <f t="shared" si="61"/>
        <v>0</v>
      </c>
      <c r="AD107" s="292">
        <f t="shared" si="62"/>
        <v>0</v>
      </c>
      <c r="AE107" s="292">
        <f t="shared" si="63"/>
        <v>0</v>
      </c>
      <c r="AF107" s="292">
        <f t="shared" si="88"/>
        <v>0</v>
      </c>
      <c r="AG107" s="292">
        <f t="shared" si="89"/>
        <v>0</v>
      </c>
      <c r="AH107" s="292">
        <f t="shared" si="64"/>
        <v>0</v>
      </c>
      <c r="AI107" s="292">
        <f t="shared" si="65"/>
        <v>0</v>
      </c>
      <c r="AJ107" s="292">
        <f t="shared" si="66"/>
        <v>0</v>
      </c>
      <c r="AK107" s="292">
        <f t="shared" si="67"/>
        <v>0</v>
      </c>
      <c r="AL107" s="292">
        <f t="shared" si="68"/>
        <v>0</v>
      </c>
      <c r="AM107" s="292">
        <f t="shared" si="69"/>
        <v>0</v>
      </c>
      <c r="AN107" s="292">
        <f t="shared" si="70"/>
        <v>0</v>
      </c>
      <c r="AO107" s="292">
        <f t="shared" si="71"/>
        <v>0</v>
      </c>
      <c r="AP107" s="292">
        <f t="shared" si="72"/>
        <v>0</v>
      </c>
      <c r="AQ107" s="292">
        <f t="shared" si="73"/>
        <v>0</v>
      </c>
      <c r="AR107" s="292">
        <f t="shared" si="74"/>
        <v>0</v>
      </c>
      <c r="AS107" s="292">
        <f t="shared" si="75"/>
        <v>0</v>
      </c>
      <c r="AT107" s="292">
        <f t="shared" si="76"/>
        <v>0</v>
      </c>
      <c r="AU107" s="292">
        <f t="shared" si="77"/>
        <v>0</v>
      </c>
      <c r="AV107" s="292">
        <f t="shared" si="78"/>
        <v>0</v>
      </c>
      <c r="AW107" s="292">
        <f t="shared" si="79"/>
        <v>0</v>
      </c>
      <c r="AX107" s="292">
        <f t="shared" si="80"/>
        <v>0</v>
      </c>
      <c r="AY107" s="292">
        <f t="shared" si="81"/>
        <v>0</v>
      </c>
      <c r="AZ107" s="292">
        <f t="shared" si="82"/>
        <v>0</v>
      </c>
      <c r="BA107" s="292">
        <f t="shared" si="83"/>
        <v>0</v>
      </c>
    </row>
    <row r="108" spans="1:53" s="289" customFormat="1" ht="15.75" customHeight="1">
      <c r="A108" s="63" t="str">
        <f t="array" ref="A108">IF(C108&lt;&gt;0,SUM(($C$11:C108&lt;&gt;0)*1),"")</f>
        <v/>
      </c>
      <c r="B108" s="290"/>
      <c r="C108" s="290"/>
      <c r="D108" s="290"/>
      <c r="E108" s="396"/>
      <c r="F108" s="345"/>
      <c r="G108" s="347"/>
      <c r="H108" s="347"/>
      <c r="I108" s="63" t="str">
        <f t="shared" si="91"/>
        <v/>
      </c>
      <c r="J108" s="292">
        <f t="shared" si="46"/>
        <v>0</v>
      </c>
      <c r="K108" s="292">
        <f t="shared" si="47"/>
        <v>0</v>
      </c>
      <c r="L108" s="292">
        <f t="shared" si="48"/>
        <v>0</v>
      </c>
      <c r="M108" s="292">
        <f t="shared" si="49"/>
        <v>0</v>
      </c>
      <c r="N108" s="292">
        <f t="shared" si="84"/>
        <v>0</v>
      </c>
      <c r="O108" s="292">
        <f t="shared" si="85"/>
        <v>0</v>
      </c>
      <c r="P108" s="292">
        <f t="shared" si="50"/>
        <v>0</v>
      </c>
      <c r="Q108" s="292">
        <f t="shared" si="51"/>
        <v>0</v>
      </c>
      <c r="R108" s="292">
        <f t="shared" si="52"/>
        <v>0</v>
      </c>
      <c r="S108" s="292">
        <f t="shared" si="53"/>
        <v>0</v>
      </c>
      <c r="T108" s="292">
        <f t="shared" si="86"/>
        <v>0</v>
      </c>
      <c r="U108" s="292">
        <f t="shared" si="87"/>
        <v>0</v>
      </c>
      <c r="V108" s="292">
        <f t="shared" si="54"/>
        <v>0</v>
      </c>
      <c r="W108" s="292">
        <f t="shared" si="55"/>
        <v>0</v>
      </c>
      <c r="X108" s="292">
        <f t="shared" si="56"/>
        <v>0</v>
      </c>
      <c r="Y108" s="292">
        <f t="shared" si="57"/>
        <v>0</v>
      </c>
      <c r="Z108" s="292">
        <f t="shared" si="58"/>
        <v>0</v>
      </c>
      <c r="AA108" s="292">
        <f t="shared" si="59"/>
        <v>0</v>
      </c>
      <c r="AB108" s="292">
        <f t="shared" si="60"/>
        <v>0</v>
      </c>
      <c r="AC108" s="292">
        <f t="shared" si="61"/>
        <v>0</v>
      </c>
      <c r="AD108" s="292">
        <f t="shared" si="62"/>
        <v>0</v>
      </c>
      <c r="AE108" s="292">
        <f t="shared" si="63"/>
        <v>0</v>
      </c>
      <c r="AF108" s="292">
        <f t="shared" si="88"/>
        <v>0</v>
      </c>
      <c r="AG108" s="292">
        <f t="shared" si="89"/>
        <v>0</v>
      </c>
      <c r="AH108" s="292">
        <f t="shared" si="64"/>
        <v>0</v>
      </c>
      <c r="AI108" s="292">
        <f t="shared" si="65"/>
        <v>0</v>
      </c>
      <c r="AJ108" s="292">
        <f t="shared" si="66"/>
        <v>0</v>
      </c>
      <c r="AK108" s="292">
        <f t="shared" si="67"/>
        <v>0</v>
      </c>
      <c r="AL108" s="292">
        <f t="shared" si="68"/>
        <v>0</v>
      </c>
      <c r="AM108" s="292">
        <f t="shared" si="69"/>
        <v>0</v>
      </c>
      <c r="AN108" s="292">
        <f t="shared" si="70"/>
        <v>0</v>
      </c>
      <c r="AO108" s="292">
        <f t="shared" si="71"/>
        <v>0</v>
      </c>
      <c r="AP108" s="292">
        <f t="shared" si="72"/>
        <v>0</v>
      </c>
      <c r="AQ108" s="292">
        <f t="shared" si="73"/>
        <v>0</v>
      </c>
      <c r="AR108" s="292">
        <f t="shared" si="74"/>
        <v>0</v>
      </c>
      <c r="AS108" s="292">
        <f t="shared" si="75"/>
        <v>0</v>
      </c>
      <c r="AT108" s="292">
        <f t="shared" si="76"/>
        <v>0</v>
      </c>
      <c r="AU108" s="292">
        <f t="shared" si="77"/>
        <v>0</v>
      </c>
      <c r="AV108" s="292">
        <f t="shared" si="78"/>
        <v>0</v>
      </c>
      <c r="AW108" s="292">
        <f t="shared" si="79"/>
        <v>0</v>
      </c>
      <c r="AX108" s="292">
        <f t="shared" si="80"/>
        <v>0</v>
      </c>
      <c r="AY108" s="292">
        <f t="shared" si="81"/>
        <v>0</v>
      </c>
      <c r="AZ108" s="292">
        <f t="shared" si="82"/>
        <v>0</v>
      </c>
      <c r="BA108" s="292">
        <f t="shared" si="83"/>
        <v>0</v>
      </c>
    </row>
    <row r="109" spans="1:53" s="289" customFormat="1" ht="15.75" customHeight="1">
      <c r="A109" s="63" t="str">
        <f t="array" ref="A109">IF(C109&lt;&gt;0,SUM(($C$11:C109&lt;&gt;0)*1),"")</f>
        <v/>
      </c>
      <c r="B109" s="290"/>
      <c r="C109" s="290"/>
      <c r="D109" s="290"/>
      <c r="E109" s="396"/>
      <c r="F109" s="345"/>
      <c r="G109" s="347"/>
      <c r="H109" s="347"/>
      <c r="I109" s="63" t="str">
        <f t="shared" si="91"/>
        <v/>
      </c>
      <c r="J109" s="292">
        <f t="shared" si="46"/>
        <v>0</v>
      </c>
      <c r="K109" s="292">
        <f t="shared" si="47"/>
        <v>0</v>
      </c>
      <c r="L109" s="292">
        <f t="shared" si="48"/>
        <v>0</v>
      </c>
      <c r="M109" s="292">
        <f t="shared" si="49"/>
        <v>0</v>
      </c>
      <c r="N109" s="292">
        <f t="shared" si="84"/>
        <v>0</v>
      </c>
      <c r="O109" s="292">
        <f t="shared" si="85"/>
        <v>0</v>
      </c>
      <c r="P109" s="292">
        <f t="shared" si="50"/>
        <v>0</v>
      </c>
      <c r="Q109" s="292">
        <f t="shared" si="51"/>
        <v>0</v>
      </c>
      <c r="R109" s="292">
        <f t="shared" si="52"/>
        <v>0</v>
      </c>
      <c r="S109" s="292">
        <f t="shared" si="53"/>
        <v>0</v>
      </c>
      <c r="T109" s="292">
        <f t="shared" si="86"/>
        <v>0</v>
      </c>
      <c r="U109" s="292">
        <f t="shared" si="87"/>
        <v>0</v>
      </c>
      <c r="V109" s="292">
        <f t="shared" si="54"/>
        <v>0</v>
      </c>
      <c r="W109" s="292">
        <f t="shared" si="55"/>
        <v>0</v>
      </c>
      <c r="X109" s="292">
        <f t="shared" si="56"/>
        <v>0</v>
      </c>
      <c r="Y109" s="292">
        <f t="shared" si="57"/>
        <v>0</v>
      </c>
      <c r="Z109" s="292">
        <f t="shared" si="58"/>
        <v>0</v>
      </c>
      <c r="AA109" s="292">
        <f t="shared" si="59"/>
        <v>0</v>
      </c>
      <c r="AB109" s="292">
        <f t="shared" si="60"/>
        <v>0</v>
      </c>
      <c r="AC109" s="292">
        <f t="shared" si="61"/>
        <v>0</v>
      </c>
      <c r="AD109" s="292">
        <f t="shared" si="62"/>
        <v>0</v>
      </c>
      <c r="AE109" s="292">
        <f t="shared" si="63"/>
        <v>0</v>
      </c>
      <c r="AF109" s="292">
        <f t="shared" si="88"/>
        <v>0</v>
      </c>
      <c r="AG109" s="292">
        <f t="shared" si="89"/>
        <v>0</v>
      </c>
      <c r="AH109" s="292">
        <f t="shared" si="64"/>
        <v>0</v>
      </c>
      <c r="AI109" s="292">
        <f t="shared" si="65"/>
        <v>0</v>
      </c>
      <c r="AJ109" s="292">
        <f t="shared" si="66"/>
        <v>0</v>
      </c>
      <c r="AK109" s="292">
        <f t="shared" si="67"/>
        <v>0</v>
      </c>
      <c r="AL109" s="292">
        <f t="shared" si="68"/>
        <v>0</v>
      </c>
      <c r="AM109" s="292">
        <f t="shared" si="69"/>
        <v>0</v>
      </c>
      <c r="AN109" s="292">
        <f t="shared" si="70"/>
        <v>0</v>
      </c>
      <c r="AO109" s="292">
        <f t="shared" si="71"/>
        <v>0</v>
      </c>
      <c r="AP109" s="292">
        <f t="shared" si="72"/>
        <v>0</v>
      </c>
      <c r="AQ109" s="292">
        <f t="shared" si="73"/>
        <v>0</v>
      </c>
      <c r="AR109" s="292">
        <f t="shared" si="74"/>
        <v>0</v>
      </c>
      <c r="AS109" s="292">
        <f t="shared" si="75"/>
        <v>0</v>
      </c>
      <c r="AT109" s="292">
        <f t="shared" si="76"/>
        <v>0</v>
      </c>
      <c r="AU109" s="292">
        <f t="shared" si="77"/>
        <v>0</v>
      </c>
      <c r="AV109" s="292">
        <f t="shared" si="78"/>
        <v>0</v>
      </c>
      <c r="AW109" s="292">
        <f t="shared" si="79"/>
        <v>0</v>
      </c>
      <c r="AX109" s="292">
        <f t="shared" si="80"/>
        <v>0</v>
      </c>
      <c r="AY109" s="292">
        <f t="shared" si="81"/>
        <v>0</v>
      </c>
      <c r="AZ109" s="292">
        <f t="shared" si="82"/>
        <v>0</v>
      </c>
      <c r="BA109" s="292">
        <f t="shared" si="83"/>
        <v>0</v>
      </c>
    </row>
    <row r="110" spans="1:53" s="289" customFormat="1" ht="15.75" customHeight="1">
      <c r="A110" s="63" t="str">
        <f t="array" ref="A110">IF(C110&lt;&gt;0,SUM(($C$11:C110&lt;&gt;0)*1),"")</f>
        <v/>
      </c>
      <c r="B110" s="290"/>
      <c r="C110" s="290"/>
      <c r="D110" s="290"/>
      <c r="E110" s="396"/>
      <c r="F110" s="345"/>
      <c r="G110" s="347"/>
      <c r="H110" s="347"/>
      <c r="I110" s="63" t="str">
        <f t="shared" si="91"/>
        <v/>
      </c>
      <c r="J110" s="292">
        <f t="shared" si="46"/>
        <v>0</v>
      </c>
      <c r="K110" s="292">
        <f t="shared" si="47"/>
        <v>0</v>
      </c>
      <c r="L110" s="292">
        <f t="shared" si="48"/>
        <v>0</v>
      </c>
      <c r="M110" s="292">
        <f t="shared" si="49"/>
        <v>0</v>
      </c>
      <c r="N110" s="292">
        <f t="shared" si="84"/>
        <v>0</v>
      </c>
      <c r="O110" s="292">
        <f t="shared" si="85"/>
        <v>0</v>
      </c>
      <c r="P110" s="292">
        <f t="shared" si="50"/>
        <v>0</v>
      </c>
      <c r="Q110" s="292">
        <f t="shared" si="51"/>
        <v>0</v>
      </c>
      <c r="R110" s="292">
        <f t="shared" si="52"/>
        <v>0</v>
      </c>
      <c r="S110" s="292">
        <f t="shared" si="53"/>
        <v>0</v>
      </c>
      <c r="T110" s="292">
        <f t="shared" si="86"/>
        <v>0</v>
      </c>
      <c r="U110" s="292">
        <f t="shared" si="87"/>
        <v>0</v>
      </c>
      <c r="V110" s="292">
        <f t="shared" si="54"/>
        <v>0</v>
      </c>
      <c r="W110" s="292">
        <f t="shared" si="55"/>
        <v>0</v>
      </c>
      <c r="X110" s="292">
        <f t="shared" si="56"/>
        <v>0</v>
      </c>
      <c r="Y110" s="292">
        <f t="shared" si="57"/>
        <v>0</v>
      </c>
      <c r="Z110" s="292">
        <f t="shared" si="58"/>
        <v>0</v>
      </c>
      <c r="AA110" s="292">
        <f t="shared" si="59"/>
        <v>0</v>
      </c>
      <c r="AB110" s="292">
        <f t="shared" si="60"/>
        <v>0</v>
      </c>
      <c r="AC110" s="292">
        <f t="shared" si="61"/>
        <v>0</v>
      </c>
      <c r="AD110" s="292">
        <f t="shared" si="62"/>
        <v>0</v>
      </c>
      <c r="AE110" s="292">
        <f t="shared" si="63"/>
        <v>0</v>
      </c>
      <c r="AF110" s="292">
        <f t="shared" si="88"/>
        <v>0</v>
      </c>
      <c r="AG110" s="292">
        <f t="shared" si="89"/>
        <v>0</v>
      </c>
      <c r="AH110" s="292">
        <f t="shared" si="64"/>
        <v>0</v>
      </c>
      <c r="AI110" s="292">
        <f t="shared" si="65"/>
        <v>0</v>
      </c>
      <c r="AJ110" s="292">
        <f t="shared" si="66"/>
        <v>0</v>
      </c>
      <c r="AK110" s="292">
        <f t="shared" si="67"/>
        <v>0</v>
      </c>
      <c r="AL110" s="292">
        <f t="shared" si="68"/>
        <v>0</v>
      </c>
      <c r="AM110" s="292">
        <f t="shared" si="69"/>
        <v>0</v>
      </c>
      <c r="AN110" s="292">
        <f t="shared" si="70"/>
        <v>0</v>
      </c>
      <c r="AO110" s="292">
        <f t="shared" si="71"/>
        <v>0</v>
      </c>
      <c r="AP110" s="292">
        <f t="shared" si="72"/>
        <v>0</v>
      </c>
      <c r="AQ110" s="292">
        <f t="shared" si="73"/>
        <v>0</v>
      </c>
      <c r="AR110" s="292">
        <f t="shared" si="74"/>
        <v>0</v>
      </c>
      <c r="AS110" s="292">
        <f t="shared" si="75"/>
        <v>0</v>
      </c>
      <c r="AT110" s="292">
        <f t="shared" si="76"/>
        <v>0</v>
      </c>
      <c r="AU110" s="292">
        <f t="shared" si="77"/>
        <v>0</v>
      </c>
      <c r="AV110" s="292">
        <f t="shared" si="78"/>
        <v>0</v>
      </c>
      <c r="AW110" s="292">
        <f t="shared" si="79"/>
        <v>0</v>
      </c>
      <c r="AX110" s="292">
        <f t="shared" si="80"/>
        <v>0</v>
      </c>
      <c r="AY110" s="292">
        <f t="shared" si="81"/>
        <v>0</v>
      </c>
      <c r="AZ110" s="292">
        <f t="shared" si="82"/>
        <v>0</v>
      </c>
      <c r="BA110" s="292">
        <f t="shared" si="83"/>
        <v>0</v>
      </c>
    </row>
    <row r="111" spans="1:53" s="289" customFormat="1" ht="15.75" customHeight="1">
      <c r="A111" s="63" t="str">
        <f t="array" ref="A111">IF(C111&lt;&gt;0,SUM(($C$11:C111&lt;&gt;0)*1),"")</f>
        <v/>
      </c>
      <c r="B111" s="290"/>
      <c r="C111" s="290"/>
      <c r="D111" s="290"/>
      <c r="E111" s="396"/>
      <c r="F111" s="345"/>
      <c r="G111" s="347"/>
      <c r="H111" s="347"/>
      <c r="I111" s="63" t="str">
        <f t="shared" si="91"/>
        <v/>
      </c>
      <c r="J111" s="292">
        <f t="shared" si="46"/>
        <v>0</v>
      </c>
      <c r="K111" s="292">
        <f t="shared" si="47"/>
        <v>0</v>
      </c>
      <c r="L111" s="292">
        <f t="shared" si="48"/>
        <v>0</v>
      </c>
      <c r="M111" s="292">
        <f t="shared" si="49"/>
        <v>0</v>
      </c>
      <c r="N111" s="292">
        <f t="shared" si="84"/>
        <v>0</v>
      </c>
      <c r="O111" s="292">
        <f t="shared" si="85"/>
        <v>0</v>
      </c>
      <c r="P111" s="292">
        <f t="shared" si="50"/>
        <v>0</v>
      </c>
      <c r="Q111" s="292">
        <f t="shared" si="51"/>
        <v>0</v>
      </c>
      <c r="R111" s="292">
        <f t="shared" si="52"/>
        <v>0</v>
      </c>
      <c r="S111" s="292">
        <f t="shared" si="53"/>
        <v>0</v>
      </c>
      <c r="T111" s="292">
        <f t="shared" si="86"/>
        <v>0</v>
      </c>
      <c r="U111" s="292">
        <f t="shared" si="87"/>
        <v>0</v>
      </c>
      <c r="V111" s="292">
        <f t="shared" si="54"/>
        <v>0</v>
      </c>
      <c r="W111" s="292">
        <f t="shared" si="55"/>
        <v>0</v>
      </c>
      <c r="X111" s="292">
        <f t="shared" si="56"/>
        <v>0</v>
      </c>
      <c r="Y111" s="292">
        <f t="shared" si="57"/>
        <v>0</v>
      </c>
      <c r="Z111" s="292">
        <f t="shared" si="58"/>
        <v>0</v>
      </c>
      <c r="AA111" s="292">
        <f t="shared" si="59"/>
        <v>0</v>
      </c>
      <c r="AB111" s="292">
        <f t="shared" si="60"/>
        <v>0</v>
      </c>
      <c r="AC111" s="292">
        <f t="shared" si="61"/>
        <v>0</v>
      </c>
      <c r="AD111" s="292">
        <f t="shared" si="62"/>
        <v>0</v>
      </c>
      <c r="AE111" s="292">
        <f t="shared" si="63"/>
        <v>0</v>
      </c>
      <c r="AF111" s="292">
        <f t="shared" si="88"/>
        <v>0</v>
      </c>
      <c r="AG111" s="292">
        <f t="shared" si="89"/>
        <v>0</v>
      </c>
      <c r="AH111" s="292">
        <f t="shared" si="64"/>
        <v>0</v>
      </c>
      <c r="AI111" s="292">
        <f t="shared" si="65"/>
        <v>0</v>
      </c>
      <c r="AJ111" s="292">
        <f t="shared" si="66"/>
        <v>0</v>
      </c>
      <c r="AK111" s="292">
        <f t="shared" si="67"/>
        <v>0</v>
      </c>
      <c r="AL111" s="292">
        <f t="shared" si="68"/>
        <v>0</v>
      </c>
      <c r="AM111" s="292">
        <f t="shared" si="69"/>
        <v>0</v>
      </c>
      <c r="AN111" s="292">
        <f t="shared" si="70"/>
        <v>0</v>
      </c>
      <c r="AO111" s="292">
        <f t="shared" si="71"/>
        <v>0</v>
      </c>
      <c r="AP111" s="292">
        <f t="shared" si="72"/>
        <v>0</v>
      </c>
      <c r="AQ111" s="292">
        <f t="shared" si="73"/>
        <v>0</v>
      </c>
      <c r="AR111" s="292">
        <f t="shared" si="74"/>
        <v>0</v>
      </c>
      <c r="AS111" s="292">
        <f t="shared" si="75"/>
        <v>0</v>
      </c>
      <c r="AT111" s="292">
        <f t="shared" si="76"/>
        <v>0</v>
      </c>
      <c r="AU111" s="292">
        <f t="shared" si="77"/>
        <v>0</v>
      </c>
      <c r="AV111" s="292">
        <f t="shared" si="78"/>
        <v>0</v>
      </c>
      <c r="AW111" s="292">
        <f t="shared" si="79"/>
        <v>0</v>
      </c>
      <c r="AX111" s="292">
        <f t="shared" si="80"/>
        <v>0</v>
      </c>
      <c r="AY111" s="292">
        <f t="shared" si="81"/>
        <v>0</v>
      </c>
      <c r="AZ111" s="292">
        <f t="shared" si="82"/>
        <v>0</v>
      </c>
      <c r="BA111" s="292">
        <f t="shared" si="83"/>
        <v>0</v>
      </c>
    </row>
    <row r="112" spans="1:53" s="289" customFormat="1" ht="15.75" customHeight="1">
      <c r="A112" s="63" t="str">
        <f t="array" ref="A112">IF(C112&lt;&gt;0,SUM(($C$11:C112&lt;&gt;0)*1),"")</f>
        <v/>
      </c>
      <c r="B112" s="290"/>
      <c r="C112" s="290"/>
      <c r="D112" s="290"/>
      <c r="E112" s="396"/>
      <c r="F112" s="345"/>
      <c r="G112" s="347"/>
      <c r="H112" s="347"/>
      <c r="I112" s="63" t="str">
        <f t="shared" si="91"/>
        <v/>
      </c>
      <c r="J112" s="292">
        <f t="shared" si="46"/>
        <v>0</v>
      </c>
      <c r="K112" s="292">
        <f t="shared" si="47"/>
        <v>0</v>
      </c>
      <c r="L112" s="292">
        <f t="shared" si="48"/>
        <v>0</v>
      </c>
      <c r="M112" s="292">
        <f t="shared" si="49"/>
        <v>0</v>
      </c>
      <c r="N112" s="292">
        <f t="shared" si="84"/>
        <v>0</v>
      </c>
      <c r="O112" s="292">
        <f t="shared" si="85"/>
        <v>0</v>
      </c>
      <c r="P112" s="292">
        <f t="shared" si="50"/>
        <v>0</v>
      </c>
      <c r="Q112" s="292">
        <f t="shared" si="51"/>
        <v>0</v>
      </c>
      <c r="R112" s="292">
        <f t="shared" si="52"/>
        <v>0</v>
      </c>
      <c r="S112" s="292">
        <f t="shared" si="53"/>
        <v>0</v>
      </c>
      <c r="T112" s="292">
        <f t="shared" si="86"/>
        <v>0</v>
      </c>
      <c r="U112" s="292">
        <f t="shared" si="87"/>
        <v>0</v>
      </c>
      <c r="V112" s="292">
        <f t="shared" si="54"/>
        <v>0</v>
      </c>
      <c r="W112" s="292">
        <f t="shared" si="55"/>
        <v>0</v>
      </c>
      <c r="X112" s="292">
        <f t="shared" si="56"/>
        <v>0</v>
      </c>
      <c r="Y112" s="292">
        <f t="shared" si="57"/>
        <v>0</v>
      </c>
      <c r="Z112" s="292">
        <f t="shared" si="58"/>
        <v>0</v>
      </c>
      <c r="AA112" s="292">
        <f t="shared" si="59"/>
        <v>0</v>
      </c>
      <c r="AB112" s="292">
        <f t="shared" si="60"/>
        <v>0</v>
      </c>
      <c r="AC112" s="292">
        <f t="shared" si="61"/>
        <v>0</v>
      </c>
      <c r="AD112" s="292">
        <f t="shared" si="62"/>
        <v>0</v>
      </c>
      <c r="AE112" s="292">
        <f t="shared" si="63"/>
        <v>0</v>
      </c>
      <c r="AF112" s="292">
        <f t="shared" si="88"/>
        <v>0</v>
      </c>
      <c r="AG112" s="292">
        <f t="shared" si="89"/>
        <v>0</v>
      </c>
      <c r="AH112" s="292">
        <f t="shared" si="64"/>
        <v>0</v>
      </c>
      <c r="AI112" s="292">
        <f t="shared" si="65"/>
        <v>0</v>
      </c>
      <c r="AJ112" s="292">
        <f t="shared" si="66"/>
        <v>0</v>
      </c>
      <c r="AK112" s="292">
        <f t="shared" si="67"/>
        <v>0</v>
      </c>
      <c r="AL112" s="292">
        <f t="shared" si="68"/>
        <v>0</v>
      </c>
      <c r="AM112" s="292">
        <f t="shared" si="69"/>
        <v>0</v>
      </c>
      <c r="AN112" s="292">
        <f t="shared" si="70"/>
        <v>0</v>
      </c>
      <c r="AO112" s="292">
        <f t="shared" si="71"/>
        <v>0</v>
      </c>
      <c r="AP112" s="292">
        <f t="shared" si="72"/>
        <v>0</v>
      </c>
      <c r="AQ112" s="292">
        <f t="shared" si="73"/>
        <v>0</v>
      </c>
      <c r="AR112" s="292">
        <f t="shared" si="74"/>
        <v>0</v>
      </c>
      <c r="AS112" s="292">
        <f t="shared" si="75"/>
        <v>0</v>
      </c>
      <c r="AT112" s="292">
        <f t="shared" si="76"/>
        <v>0</v>
      </c>
      <c r="AU112" s="292">
        <f t="shared" si="77"/>
        <v>0</v>
      </c>
      <c r="AV112" s="292">
        <f t="shared" si="78"/>
        <v>0</v>
      </c>
      <c r="AW112" s="292">
        <f t="shared" si="79"/>
        <v>0</v>
      </c>
      <c r="AX112" s="292">
        <f t="shared" si="80"/>
        <v>0</v>
      </c>
      <c r="AY112" s="292">
        <f t="shared" si="81"/>
        <v>0</v>
      </c>
      <c r="AZ112" s="292">
        <f t="shared" si="82"/>
        <v>0</v>
      </c>
      <c r="BA112" s="292">
        <f t="shared" si="83"/>
        <v>0</v>
      </c>
    </row>
    <row r="113" spans="1:53" s="289" customFormat="1" ht="15.75" customHeight="1">
      <c r="A113" s="63" t="str">
        <f t="array" ref="A113">IF(C113&lt;&gt;0,SUM(($C$11:C113&lt;&gt;0)*1),"")</f>
        <v/>
      </c>
      <c r="B113" s="290"/>
      <c r="C113" s="290"/>
      <c r="D113" s="290"/>
      <c r="E113" s="396"/>
      <c r="F113" s="345"/>
      <c r="G113" s="347"/>
      <c r="H113" s="347"/>
      <c r="I113" s="63" t="str">
        <f t="shared" si="91"/>
        <v/>
      </c>
      <c r="J113" s="292">
        <f t="shared" si="46"/>
        <v>0</v>
      </c>
      <c r="K113" s="292">
        <f t="shared" si="47"/>
        <v>0</v>
      </c>
      <c r="L113" s="292">
        <f t="shared" si="48"/>
        <v>0</v>
      </c>
      <c r="M113" s="292">
        <f t="shared" si="49"/>
        <v>0</v>
      </c>
      <c r="N113" s="292">
        <f t="shared" si="84"/>
        <v>0</v>
      </c>
      <c r="O113" s="292">
        <f t="shared" si="85"/>
        <v>0</v>
      </c>
      <c r="P113" s="292">
        <f t="shared" si="50"/>
        <v>0</v>
      </c>
      <c r="Q113" s="292">
        <f t="shared" si="51"/>
        <v>0</v>
      </c>
      <c r="R113" s="292">
        <f t="shared" si="52"/>
        <v>0</v>
      </c>
      <c r="S113" s="292">
        <f t="shared" si="53"/>
        <v>0</v>
      </c>
      <c r="T113" s="292">
        <f t="shared" si="86"/>
        <v>0</v>
      </c>
      <c r="U113" s="292">
        <f t="shared" si="87"/>
        <v>0</v>
      </c>
      <c r="V113" s="292">
        <f t="shared" si="54"/>
        <v>0</v>
      </c>
      <c r="W113" s="292">
        <f t="shared" si="55"/>
        <v>0</v>
      </c>
      <c r="X113" s="292">
        <f t="shared" si="56"/>
        <v>0</v>
      </c>
      <c r="Y113" s="292">
        <f t="shared" si="57"/>
        <v>0</v>
      </c>
      <c r="Z113" s="292">
        <f t="shared" si="58"/>
        <v>0</v>
      </c>
      <c r="AA113" s="292">
        <f t="shared" si="59"/>
        <v>0</v>
      </c>
      <c r="AB113" s="292">
        <f t="shared" si="60"/>
        <v>0</v>
      </c>
      <c r="AC113" s="292">
        <f t="shared" si="61"/>
        <v>0</v>
      </c>
      <c r="AD113" s="292">
        <f t="shared" si="62"/>
        <v>0</v>
      </c>
      <c r="AE113" s="292">
        <f t="shared" si="63"/>
        <v>0</v>
      </c>
      <c r="AF113" s="292">
        <f t="shared" si="88"/>
        <v>0</v>
      </c>
      <c r="AG113" s="292">
        <f t="shared" si="89"/>
        <v>0</v>
      </c>
      <c r="AH113" s="292">
        <f t="shared" si="64"/>
        <v>0</v>
      </c>
      <c r="AI113" s="292">
        <f t="shared" si="65"/>
        <v>0</v>
      </c>
      <c r="AJ113" s="292">
        <f t="shared" si="66"/>
        <v>0</v>
      </c>
      <c r="AK113" s="292">
        <f t="shared" si="67"/>
        <v>0</v>
      </c>
      <c r="AL113" s="292">
        <f t="shared" si="68"/>
        <v>0</v>
      </c>
      <c r="AM113" s="292">
        <f t="shared" si="69"/>
        <v>0</v>
      </c>
      <c r="AN113" s="292">
        <f t="shared" si="70"/>
        <v>0</v>
      </c>
      <c r="AO113" s="292">
        <f t="shared" si="71"/>
        <v>0</v>
      </c>
      <c r="AP113" s="292">
        <f t="shared" si="72"/>
        <v>0</v>
      </c>
      <c r="AQ113" s="292">
        <f t="shared" si="73"/>
        <v>0</v>
      </c>
      <c r="AR113" s="292">
        <f t="shared" si="74"/>
        <v>0</v>
      </c>
      <c r="AS113" s="292">
        <f t="shared" si="75"/>
        <v>0</v>
      </c>
      <c r="AT113" s="292">
        <f t="shared" si="76"/>
        <v>0</v>
      </c>
      <c r="AU113" s="292">
        <f t="shared" si="77"/>
        <v>0</v>
      </c>
      <c r="AV113" s="292">
        <f t="shared" si="78"/>
        <v>0</v>
      </c>
      <c r="AW113" s="292">
        <f t="shared" si="79"/>
        <v>0</v>
      </c>
      <c r="AX113" s="292">
        <f t="shared" si="80"/>
        <v>0</v>
      </c>
      <c r="AY113" s="292">
        <f t="shared" si="81"/>
        <v>0</v>
      </c>
      <c r="AZ113" s="292">
        <f t="shared" si="82"/>
        <v>0</v>
      </c>
      <c r="BA113" s="292">
        <f t="shared" si="83"/>
        <v>0</v>
      </c>
    </row>
    <row r="114" spans="1:53" s="289" customFormat="1" ht="15.75" customHeight="1">
      <c r="A114" s="63" t="str">
        <f t="array" ref="A114">IF(C114&lt;&gt;0,SUM(($C$11:C114&lt;&gt;0)*1),"")</f>
        <v/>
      </c>
      <c r="B114" s="290"/>
      <c r="C114" s="290"/>
      <c r="D114" s="290"/>
      <c r="E114" s="396"/>
      <c r="F114" s="345"/>
      <c r="G114" s="347"/>
      <c r="H114" s="347"/>
      <c r="I114" s="63" t="str">
        <f t="shared" si="91"/>
        <v/>
      </c>
      <c r="J114" s="292">
        <f t="shared" si="46"/>
        <v>0</v>
      </c>
      <c r="K114" s="292">
        <f t="shared" si="47"/>
        <v>0</v>
      </c>
      <c r="L114" s="292">
        <f t="shared" si="48"/>
        <v>0</v>
      </c>
      <c r="M114" s="292">
        <f t="shared" si="49"/>
        <v>0</v>
      </c>
      <c r="N114" s="292">
        <f t="shared" si="84"/>
        <v>0</v>
      </c>
      <c r="O114" s="292">
        <f t="shared" si="85"/>
        <v>0</v>
      </c>
      <c r="P114" s="292">
        <f t="shared" si="50"/>
        <v>0</v>
      </c>
      <c r="Q114" s="292">
        <f t="shared" si="51"/>
        <v>0</v>
      </c>
      <c r="R114" s="292">
        <f t="shared" si="52"/>
        <v>0</v>
      </c>
      <c r="S114" s="292">
        <f t="shared" si="53"/>
        <v>0</v>
      </c>
      <c r="T114" s="292">
        <f t="shared" si="86"/>
        <v>0</v>
      </c>
      <c r="U114" s="292">
        <f t="shared" si="87"/>
        <v>0</v>
      </c>
      <c r="V114" s="292">
        <f t="shared" si="54"/>
        <v>0</v>
      </c>
      <c r="W114" s="292">
        <f t="shared" si="55"/>
        <v>0</v>
      </c>
      <c r="X114" s="292">
        <f t="shared" si="56"/>
        <v>0</v>
      </c>
      <c r="Y114" s="292">
        <f t="shared" si="57"/>
        <v>0</v>
      </c>
      <c r="Z114" s="292">
        <f t="shared" si="58"/>
        <v>0</v>
      </c>
      <c r="AA114" s="292">
        <f t="shared" si="59"/>
        <v>0</v>
      </c>
      <c r="AB114" s="292">
        <f t="shared" si="60"/>
        <v>0</v>
      </c>
      <c r="AC114" s="292">
        <f t="shared" si="61"/>
        <v>0</v>
      </c>
      <c r="AD114" s="292">
        <f t="shared" si="62"/>
        <v>0</v>
      </c>
      <c r="AE114" s="292">
        <f t="shared" si="63"/>
        <v>0</v>
      </c>
      <c r="AF114" s="292">
        <f t="shared" si="88"/>
        <v>0</v>
      </c>
      <c r="AG114" s="292">
        <f t="shared" si="89"/>
        <v>0</v>
      </c>
      <c r="AH114" s="292">
        <f t="shared" si="64"/>
        <v>0</v>
      </c>
      <c r="AI114" s="292">
        <f t="shared" si="65"/>
        <v>0</v>
      </c>
      <c r="AJ114" s="292">
        <f t="shared" si="66"/>
        <v>0</v>
      </c>
      <c r="AK114" s="292">
        <f t="shared" si="67"/>
        <v>0</v>
      </c>
      <c r="AL114" s="292">
        <f t="shared" si="68"/>
        <v>0</v>
      </c>
      <c r="AM114" s="292">
        <f t="shared" si="69"/>
        <v>0</v>
      </c>
      <c r="AN114" s="292">
        <f t="shared" si="70"/>
        <v>0</v>
      </c>
      <c r="AO114" s="292">
        <f t="shared" si="71"/>
        <v>0</v>
      </c>
      <c r="AP114" s="292">
        <f t="shared" si="72"/>
        <v>0</v>
      </c>
      <c r="AQ114" s="292">
        <f t="shared" si="73"/>
        <v>0</v>
      </c>
      <c r="AR114" s="292">
        <f t="shared" si="74"/>
        <v>0</v>
      </c>
      <c r="AS114" s="292">
        <f t="shared" si="75"/>
        <v>0</v>
      </c>
      <c r="AT114" s="292">
        <f t="shared" si="76"/>
        <v>0</v>
      </c>
      <c r="AU114" s="292">
        <f t="shared" si="77"/>
        <v>0</v>
      </c>
      <c r="AV114" s="292">
        <f t="shared" si="78"/>
        <v>0</v>
      </c>
      <c r="AW114" s="292">
        <f t="shared" si="79"/>
        <v>0</v>
      </c>
      <c r="AX114" s="292">
        <f t="shared" si="80"/>
        <v>0</v>
      </c>
      <c r="AY114" s="292">
        <f t="shared" si="81"/>
        <v>0</v>
      </c>
      <c r="AZ114" s="292">
        <f t="shared" si="82"/>
        <v>0</v>
      </c>
      <c r="BA114" s="292">
        <f t="shared" si="83"/>
        <v>0</v>
      </c>
    </row>
    <row r="115" spans="1:53" s="289" customFormat="1" ht="15.75" customHeight="1">
      <c r="A115" s="63" t="str">
        <f t="array" ref="A115">IF(C115&lt;&gt;0,SUM(($C$11:C115&lt;&gt;0)*1),"")</f>
        <v/>
      </c>
      <c r="B115" s="290"/>
      <c r="C115" s="290"/>
      <c r="D115" s="290"/>
      <c r="E115" s="396"/>
      <c r="F115" s="345"/>
      <c r="G115" s="347"/>
      <c r="H115" s="347"/>
      <c r="I115" s="63" t="str">
        <f t="shared" si="91"/>
        <v/>
      </c>
      <c r="J115" s="292">
        <f t="shared" si="46"/>
        <v>0</v>
      </c>
      <c r="K115" s="292">
        <f t="shared" si="47"/>
        <v>0</v>
      </c>
      <c r="L115" s="292">
        <f t="shared" si="48"/>
        <v>0</v>
      </c>
      <c r="M115" s="292">
        <f t="shared" si="49"/>
        <v>0</v>
      </c>
      <c r="N115" s="292">
        <f t="shared" si="84"/>
        <v>0</v>
      </c>
      <c r="O115" s="292">
        <f t="shared" si="85"/>
        <v>0</v>
      </c>
      <c r="P115" s="292">
        <f t="shared" si="50"/>
        <v>0</v>
      </c>
      <c r="Q115" s="292">
        <f t="shared" si="51"/>
        <v>0</v>
      </c>
      <c r="R115" s="292">
        <f t="shared" si="52"/>
        <v>0</v>
      </c>
      <c r="S115" s="292">
        <f t="shared" si="53"/>
        <v>0</v>
      </c>
      <c r="T115" s="292">
        <f t="shared" si="86"/>
        <v>0</v>
      </c>
      <c r="U115" s="292">
        <f t="shared" si="87"/>
        <v>0</v>
      </c>
      <c r="V115" s="292">
        <f t="shared" si="54"/>
        <v>0</v>
      </c>
      <c r="W115" s="292">
        <f t="shared" si="55"/>
        <v>0</v>
      </c>
      <c r="X115" s="292">
        <f t="shared" si="56"/>
        <v>0</v>
      </c>
      <c r="Y115" s="292">
        <f t="shared" si="57"/>
        <v>0</v>
      </c>
      <c r="Z115" s="292">
        <f t="shared" si="58"/>
        <v>0</v>
      </c>
      <c r="AA115" s="292">
        <f t="shared" si="59"/>
        <v>0</v>
      </c>
      <c r="AB115" s="292">
        <f t="shared" si="60"/>
        <v>0</v>
      </c>
      <c r="AC115" s="292">
        <f t="shared" si="61"/>
        <v>0</v>
      </c>
      <c r="AD115" s="292">
        <f t="shared" si="62"/>
        <v>0</v>
      </c>
      <c r="AE115" s="292">
        <f t="shared" si="63"/>
        <v>0</v>
      </c>
      <c r="AF115" s="292">
        <f t="shared" si="88"/>
        <v>0</v>
      </c>
      <c r="AG115" s="292">
        <f t="shared" si="89"/>
        <v>0</v>
      </c>
      <c r="AH115" s="292">
        <f t="shared" si="64"/>
        <v>0</v>
      </c>
      <c r="AI115" s="292">
        <f t="shared" si="65"/>
        <v>0</v>
      </c>
      <c r="AJ115" s="292">
        <f t="shared" si="66"/>
        <v>0</v>
      </c>
      <c r="AK115" s="292">
        <f t="shared" si="67"/>
        <v>0</v>
      </c>
      <c r="AL115" s="292">
        <f t="shared" si="68"/>
        <v>0</v>
      </c>
      <c r="AM115" s="292">
        <f t="shared" si="69"/>
        <v>0</v>
      </c>
      <c r="AN115" s="292">
        <f t="shared" si="70"/>
        <v>0</v>
      </c>
      <c r="AO115" s="292">
        <f t="shared" si="71"/>
        <v>0</v>
      </c>
      <c r="AP115" s="292">
        <f t="shared" si="72"/>
        <v>0</v>
      </c>
      <c r="AQ115" s="292">
        <f t="shared" si="73"/>
        <v>0</v>
      </c>
      <c r="AR115" s="292">
        <f t="shared" si="74"/>
        <v>0</v>
      </c>
      <c r="AS115" s="292">
        <f t="shared" si="75"/>
        <v>0</v>
      </c>
      <c r="AT115" s="292">
        <f t="shared" si="76"/>
        <v>0</v>
      </c>
      <c r="AU115" s="292">
        <f t="shared" si="77"/>
        <v>0</v>
      </c>
      <c r="AV115" s="292">
        <f t="shared" si="78"/>
        <v>0</v>
      </c>
      <c r="AW115" s="292">
        <f t="shared" si="79"/>
        <v>0</v>
      </c>
      <c r="AX115" s="292">
        <f t="shared" si="80"/>
        <v>0</v>
      </c>
      <c r="AY115" s="292">
        <f t="shared" si="81"/>
        <v>0</v>
      </c>
      <c r="AZ115" s="292">
        <f t="shared" si="82"/>
        <v>0</v>
      </c>
      <c r="BA115" s="292">
        <f t="shared" si="83"/>
        <v>0</v>
      </c>
    </row>
    <row r="116" spans="1:53" s="289" customFormat="1" ht="15.75" customHeight="1">
      <c r="A116" s="63" t="str">
        <f t="array" ref="A116">IF(C116&lt;&gt;0,SUM(($C$11:C116&lt;&gt;0)*1),"")</f>
        <v/>
      </c>
      <c r="B116" s="290"/>
      <c r="C116" s="290"/>
      <c r="D116" s="290"/>
      <c r="E116" s="396"/>
      <c r="F116" s="345"/>
      <c r="G116" s="347"/>
      <c r="H116" s="347"/>
      <c r="I116" s="63" t="str">
        <f t="shared" si="91"/>
        <v/>
      </c>
      <c r="J116" s="292">
        <f t="shared" si="46"/>
        <v>0</v>
      </c>
      <c r="K116" s="292">
        <f t="shared" si="47"/>
        <v>0</v>
      </c>
      <c r="L116" s="292">
        <f t="shared" si="48"/>
        <v>0</v>
      </c>
      <c r="M116" s="292">
        <f t="shared" si="49"/>
        <v>0</v>
      </c>
      <c r="N116" s="292">
        <f t="shared" si="84"/>
        <v>0</v>
      </c>
      <c r="O116" s="292">
        <f t="shared" si="85"/>
        <v>0</v>
      </c>
      <c r="P116" s="292">
        <f t="shared" si="50"/>
        <v>0</v>
      </c>
      <c r="Q116" s="292">
        <f t="shared" si="51"/>
        <v>0</v>
      </c>
      <c r="R116" s="292">
        <f t="shared" si="52"/>
        <v>0</v>
      </c>
      <c r="S116" s="292">
        <f t="shared" si="53"/>
        <v>0</v>
      </c>
      <c r="T116" s="292">
        <f t="shared" si="86"/>
        <v>0</v>
      </c>
      <c r="U116" s="292">
        <f t="shared" si="87"/>
        <v>0</v>
      </c>
      <c r="V116" s="292">
        <f t="shared" si="54"/>
        <v>0</v>
      </c>
      <c r="W116" s="292">
        <f t="shared" si="55"/>
        <v>0</v>
      </c>
      <c r="X116" s="292">
        <f t="shared" si="56"/>
        <v>0</v>
      </c>
      <c r="Y116" s="292">
        <f t="shared" si="57"/>
        <v>0</v>
      </c>
      <c r="Z116" s="292">
        <f t="shared" si="58"/>
        <v>0</v>
      </c>
      <c r="AA116" s="292">
        <f t="shared" si="59"/>
        <v>0</v>
      </c>
      <c r="AB116" s="292">
        <f t="shared" si="60"/>
        <v>0</v>
      </c>
      <c r="AC116" s="292">
        <f t="shared" si="61"/>
        <v>0</v>
      </c>
      <c r="AD116" s="292">
        <f t="shared" si="62"/>
        <v>0</v>
      </c>
      <c r="AE116" s="292">
        <f t="shared" si="63"/>
        <v>0</v>
      </c>
      <c r="AF116" s="292">
        <f t="shared" si="88"/>
        <v>0</v>
      </c>
      <c r="AG116" s="292">
        <f t="shared" si="89"/>
        <v>0</v>
      </c>
      <c r="AH116" s="292">
        <f t="shared" si="64"/>
        <v>0</v>
      </c>
      <c r="AI116" s="292">
        <f t="shared" si="65"/>
        <v>0</v>
      </c>
      <c r="AJ116" s="292">
        <f t="shared" si="66"/>
        <v>0</v>
      </c>
      <c r="AK116" s="292">
        <f t="shared" si="67"/>
        <v>0</v>
      </c>
      <c r="AL116" s="292">
        <f t="shared" si="68"/>
        <v>0</v>
      </c>
      <c r="AM116" s="292">
        <f t="shared" si="69"/>
        <v>0</v>
      </c>
      <c r="AN116" s="292">
        <f t="shared" si="70"/>
        <v>0</v>
      </c>
      <c r="AO116" s="292">
        <f t="shared" si="71"/>
        <v>0</v>
      </c>
      <c r="AP116" s="292">
        <f t="shared" si="72"/>
        <v>0</v>
      </c>
      <c r="AQ116" s="292">
        <f t="shared" si="73"/>
        <v>0</v>
      </c>
      <c r="AR116" s="292">
        <f t="shared" si="74"/>
        <v>0</v>
      </c>
      <c r="AS116" s="292">
        <f t="shared" si="75"/>
        <v>0</v>
      </c>
      <c r="AT116" s="292">
        <f t="shared" si="76"/>
        <v>0</v>
      </c>
      <c r="AU116" s="292">
        <f t="shared" si="77"/>
        <v>0</v>
      </c>
      <c r="AV116" s="292">
        <f t="shared" si="78"/>
        <v>0</v>
      </c>
      <c r="AW116" s="292">
        <f t="shared" si="79"/>
        <v>0</v>
      </c>
      <c r="AX116" s="292">
        <f t="shared" si="80"/>
        <v>0</v>
      </c>
      <c r="AY116" s="292">
        <f t="shared" si="81"/>
        <v>0</v>
      </c>
      <c r="AZ116" s="292">
        <f t="shared" si="82"/>
        <v>0</v>
      </c>
      <c r="BA116" s="292">
        <f t="shared" si="83"/>
        <v>0</v>
      </c>
    </row>
    <row r="117" spans="1:53" s="289" customFormat="1" ht="15.75" customHeight="1">
      <c r="A117" s="63" t="str">
        <f t="array" ref="A117">IF(C117&lt;&gt;0,SUM(($C$11:C117&lt;&gt;0)*1),"")</f>
        <v/>
      </c>
      <c r="B117" s="290"/>
      <c r="C117" s="290"/>
      <c r="D117" s="290"/>
      <c r="E117" s="396"/>
      <c r="F117" s="345"/>
      <c r="G117" s="347"/>
      <c r="H117" s="347"/>
      <c r="I117" s="63" t="str">
        <f t="shared" si="91"/>
        <v/>
      </c>
      <c r="J117" s="292">
        <f t="shared" si="46"/>
        <v>0</v>
      </c>
      <c r="K117" s="292">
        <f t="shared" si="47"/>
        <v>0</v>
      </c>
      <c r="L117" s="292">
        <f t="shared" si="48"/>
        <v>0</v>
      </c>
      <c r="M117" s="292">
        <f t="shared" si="49"/>
        <v>0</v>
      </c>
      <c r="N117" s="292">
        <f t="shared" si="84"/>
        <v>0</v>
      </c>
      <c r="O117" s="292">
        <f t="shared" si="85"/>
        <v>0</v>
      </c>
      <c r="P117" s="292">
        <f t="shared" si="50"/>
        <v>0</v>
      </c>
      <c r="Q117" s="292">
        <f t="shared" si="51"/>
        <v>0</v>
      </c>
      <c r="R117" s="292">
        <f t="shared" si="52"/>
        <v>0</v>
      </c>
      <c r="S117" s="292">
        <f t="shared" si="53"/>
        <v>0</v>
      </c>
      <c r="T117" s="292">
        <f t="shared" si="86"/>
        <v>0</v>
      </c>
      <c r="U117" s="292">
        <f t="shared" si="87"/>
        <v>0</v>
      </c>
      <c r="V117" s="292">
        <f t="shared" si="54"/>
        <v>0</v>
      </c>
      <c r="W117" s="292">
        <f t="shared" si="55"/>
        <v>0</v>
      </c>
      <c r="X117" s="292">
        <f t="shared" si="56"/>
        <v>0</v>
      </c>
      <c r="Y117" s="292">
        <f t="shared" si="57"/>
        <v>0</v>
      </c>
      <c r="Z117" s="292">
        <f t="shared" si="58"/>
        <v>0</v>
      </c>
      <c r="AA117" s="292">
        <f t="shared" si="59"/>
        <v>0</v>
      </c>
      <c r="AB117" s="292">
        <f t="shared" si="60"/>
        <v>0</v>
      </c>
      <c r="AC117" s="292">
        <f t="shared" si="61"/>
        <v>0</v>
      </c>
      <c r="AD117" s="292">
        <f t="shared" si="62"/>
        <v>0</v>
      </c>
      <c r="AE117" s="292">
        <f t="shared" si="63"/>
        <v>0</v>
      </c>
      <c r="AF117" s="292">
        <f t="shared" si="88"/>
        <v>0</v>
      </c>
      <c r="AG117" s="292">
        <f t="shared" si="89"/>
        <v>0</v>
      </c>
      <c r="AH117" s="292">
        <f t="shared" si="64"/>
        <v>0</v>
      </c>
      <c r="AI117" s="292">
        <f t="shared" si="65"/>
        <v>0</v>
      </c>
      <c r="AJ117" s="292">
        <f t="shared" si="66"/>
        <v>0</v>
      </c>
      <c r="AK117" s="292">
        <f t="shared" si="67"/>
        <v>0</v>
      </c>
      <c r="AL117" s="292">
        <f t="shared" si="68"/>
        <v>0</v>
      </c>
      <c r="AM117" s="292">
        <f t="shared" si="69"/>
        <v>0</v>
      </c>
      <c r="AN117" s="292">
        <f t="shared" si="70"/>
        <v>0</v>
      </c>
      <c r="AO117" s="292">
        <f t="shared" si="71"/>
        <v>0</v>
      </c>
      <c r="AP117" s="292">
        <f t="shared" si="72"/>
        <v>0</v>
      </c>
      <c r="AQ117" s="292">
        <f t="shared" si="73"/>
        <v>0</v>
      </c>
      <c r="AR117" s="292">
        <f t="shared" si="74"/>
        <v>0</v>
      </c>
      <c r="AS117" s="292">
        <f t="shared" si="75"/>
        <v>0</v>
      </c>
      <c r="AT117" s="292">
        <f t="shared" si="76"/>
        <v>0</v>
      </c>
      <c r="AU117" s="292">
        <f t="shared" si="77"/>
        <v>0</v>
      </c>
      <c r="AV117" s="292">
        <f t="shared" si="78"/>
        <v>0</v>
      </c>
      <c r="AW117" s="292">
        <f t="shared" si="79"/>
        <v>0</v>
      </c>
      <c r="AX117" s="292">
        <f t="shared" si="80"/>
        <v>0</v>
      </c>
      <c r="AY117" s="292">
        <f t="shared" si="81"/>
        <v>0</v>
      </c>
      <c r="AZ117" s="292">
        <f t="shared" si="82"/>
        <v>0</v>
      </c>
      <c r="BA117" s="292">
        <f t="shared" si="83"/>
        <v>0</v>
      </c>
    </row>
    <row r="118" spans="1:53" s="289" customFormat="1" ht="15.75" customHeight="1">
      <c r="A118" s="63" t="str">
        <f t="array" ref="A118">IF(C118&lt;&gt;0,SUM(($C$11:C118&lt;&gt;0)*1),"")</f>
        <v/>
      </c>
      <c r="B118" s="290"/>
      <c r="C118" s="290"/>
      <c r="D118" s="290"/>
      <c r="E118" s="396"/>
      <c r="F118" s="345"/>
      <c r="G118" s="347"/>
      <c r="H118" s="347"/>
      <c r="I118" s="63" t="str">
        <f t="shared" si="91"/>
        <v/>
      </c>
      <c r="J118" s="292">
        <f t="shared" si="46"/>
        <v>0</v>
      </c>
      <c r="K118" s="292">
        <f t="shared" si="47"/>
        <v>0</v>
      </c>
      <c r="L118" s="292">
        <f t="shared" si="48"/>
        <v>0</v>
      </c>
      <c r="M118" s="292">
        <f t="shared" si="49"/>
        <v>0</v>
      </c>
      <c r="N118" s="292">
        <f t="shared" si="84"/>
        <v>0</v>
      </c>
      <c r="O118" s="292">
        <f t="shared" si="85"/>
        <v>0</v>
      </c>
      <c r="P118" s="292">
        <f t="shared" si="50"/>
        <v>0</v>
      </c>
      <c r="Q118" s="292">
        <f t="shared" si="51"/>
        <v>0</v>
      </c>
      <c r="R118" s="292">
        <f t="shared" si="52"/>
        <v>0</v>
      </c>
      <c r="S118" s="292">
        <f t="shared" si="53"/>
        <v>0</v>
      </c>
      <c r="T118" s="292">
        <f t="shared" si="86"/>
        <v>0</v>
      </c>
      <c r="U118" s="292">
        <f t="shared" si="87"/>
        <v>0</v>
      </c>
      <c r="V118" s="292">
        <f t="shared" si="54"/>
        <v>0</v>
      </c>
      <c r="W118" s="292">
        <f t="shared" si="55"/>
        <v>0</v>
      </c>
      <c r="X118" s="292">
        <f t="shared" si="56"/>
        <v>0</v>
      </c>
      <c r="Y118" s="292">
        <f t="shared" si="57"/>
        <v>0</v>
      </c>
      <c r="Z118" s="292">
        <f t="shared" si="58"/>
        <v>0</v>
      </c>
      <c r="AA118" s="292">
        <f t="shared" si="59"/>
        <v>0</v>
      </c>
      <c r="AB118" s="292">
        <f t="shared" si="60"/>
        <v>0</v>
      </c>
      <c r="AC118" s="292">
        <f t="shared" si="61"/>
        <v>0</v>
      </c>
      <c r="AD118" s="292">
        <f t="shared" si="62"/>
        <v>0</v>
      </c>
      <c r="AE118" s="292">
        <f t="shared" si="63"/>
        <v>0</v>
      </c>
      <c r="AF118" s="292">
        <f t="shared" si="88"/>
        <v>0</v>
      </c>
      <c r="AG118" s="292">
        <f t="shared" si="89"/>
        <v>0</v>
      </c>
      <c r="AH118" s="292">
        <f t="shared" si="64"/>
        <v>0</v>
      </c>
      <c r="AI118" s="292">
        <f t="shared" si="65"/>
        <v>0</v>
      </c>
      <c r="AJ118" s="292">
        <f t="shared" si="66"/>
        <v>0</v>
      </c>
      <c r="AK118" s="292">
        <f t="shared" si="67"/>
        <v>0</v>
      </c>
      <c r="AL118" s="292">
        <f t="shared" si="68"/>
        <v>0</v>
      </c>
      <c r="AM118" s="292">
        <f t="shared" si="69"/>
        <v>0</v>
      </c>
      <c r="AN118" s="292">
        <f t="shared" si="70"/>
        <v>0</v>
      </c>
      <c r="AO118" s="292">
        <f t="shared" si="71"/>
        <v>0</v>
      </c>
      <c r="AP118" s="292">
        <f t="shared" si="72"/>
        <v>0</v>
      </c>
      <c r="AQ118" s="292">
        <f t="shared" si="73"/>
        <v>0</v>
      </c>
      <c r="AR118" s="292">
        <f t="shared" si="74"/>
        <v>0</v>
      </c>
      <c r="AS118" s="292">
        <f t="shared" si="75"/>
        <v>0</v>
      </c>
      <c r="AT118" s="292">
        <f t="shared" si="76"/>
        <v>0</v>
      </c>
      <c r="AU118" s="292">
        <f t="shared" si="77"/>
        <v>0</v>
      </c>
      <c r="AV118" s="292">
        <f t="shared" si="78"/>
        <v>0</v>
      </c>
      <c r="AW118" s="292">
        <f t="shared" si="79"/>
        <v>0</v>
      </c>
      <c r="AX118" s="292">
        <f t="shared" si="80"/>
        <v>0</v>
      </c>
      <c r="AY118" s="292">
        <f t="shared" si="81"/>
        <v>0</v>
      </c>
      <c r="AZ118" s="292">
        <f t="shared" si="82"/>
        <v>0</v>
      </c>
      <c r="BA118" s="292">
        <f t="shared" si="83"/>
        <v>0</v>
      </c>
    </row>
    <row r="119" spans="1:53" s="289" customFormat="1" ht="15.75" customHeight="1">
      <c r="A119" s="63" t="str">
        <f t="array" ref="A119">IF(C119&lt;&gt;0,SUM(($C$11:C119&lt;&gt;0)*1),"")</f>
        <v/>
      </c>
      <c r="B119" s="290"/>
      <c r="C119" s="290"/>
      <c r="D119" s="290"/>
      <c r="E119" s="396"/>
      <c r="F119" s="345"/>
      <c r="G119" s="347"/>
      <c r="H119" s="347"/>
      <c r="I119" s="63" t="str">
        <f t="shared" si="91"/>
        <v/>
      </c>
      <c r="J119" s="292">
        <f t="shared" si="46"/>
        <v>0</v>
      </c>
      <c r="K119" s="292">
        <f t="shared" si="47"/>
        <v>0</v>
      </c>
      <c r="L119" s="292">
        <f t="shared" si="48"/>
        <v>0</v>
      </c>
      <c r="M119" s="292">
        <f t="shared" si="49"/>
        <v>0</v>
      </c>
      <c r="N119" s="292">
        <f t="shared" si="84"/>
        <v>0</v>
      </c>
      <c r="O119" s="292">
        <f t="shared" si="85"/>
        <v>0</v>
      </c>
      <c r="P119" s="292">
        <f t="shared" si="50"/>
        <v>0</v>
      </c>
      <c r="Q119" s="292">
        <f t="shared" si="51"/>
        <v>0</v>
      </c>
      <c r="R119" s="292">
        <f t="shared" si="52"/>
        <v>0</v>
      </c>
      <c r="S119" s="292">
        <f t="shared" si="53"/>
        <v>0</v>
      </c>
      <c r="T119" s="292">
        <f t="shared" si="86"/>
        <v>0</v>
      </c>
      <c r="U119" s="292">
        <f t="shared" si="87"/>
        <v>0</v>
      </c>
      <c r="V119" s="292">
        <f t="shared" si="54"/>
        <v>0</v>
      </c>
      <c r="W119" s="292">
        <f t="shared" si="55"/>
        <v>0</v>
      </c>
      <c r="X119" s="292">
        <f t="shared" si="56"/>
        <v>0</v>
      </c>
      <c r="Y119" s="292">
        <f t="shared" si="57"/>
        <v>0</v>
      </c>
      <c r="Z119" s="292">
        <f t="shared" si="58"/>
        <v>0</v>
      </c>
      <c r="AA119" s="292">
        <f t="shared" si="59"/>
        <v>0</v>
      </c>
      <c r="AB119" s="292">
        <f t="shared" si="60"/>
        <v>0</v>
      </c>
      <c r="AC119" s="292">
        <f t="shared" si="61"/>
        <v>0</v>
      </c>
      <c r="AD119" s="292">
        <f t="shared" si="62"/>
        <v>0</v>
      </c>
      <c r="AE119" s="292">
        <f t="shared" si="63"/>
        <v>0</v>
      </c>
      <c r="AF119" s="292">
        <f t="shared" si="88"/>
        <v>0</v>
      </c>
      <c r="AG119" s="292">
        <f t="shared" si="89"/>
        <v>0</v>
      </c>
      <c r="AH119" s="292">
        <f t="shared" si="64"/>
        <v>0</v>
      </c>
      <c r="AI119" s="292">
        <f t="shared" si="65"/>
        <v>0</v>
      </c>
      <c r="AJ119" s="292">
        <f t="shared" si="66"/>
        <v>0</v>
      </c>
      <c r="AK119" s="292">
        <f t="shared" si="67"/>
        <v>0</v>
      </c>
      <c r="AL119" s="292">
        <f t="shared" si="68"/>
        <v>0</v>
      </c>
      <c r="AM119" s="292">
        <f t="shared" si="69"/>
        <v>0</v>
      </c>
      <c r="AN119" s="292">
        <f t="shared" si="70"/>
        <v>0</v>
      </c>
      <c r="AO119" s="292">
        <f t="shared" si="71"/>
        <v>0</v>
      </c>
      <c r="AP119" s="292">
        <f t="shared" si="72"/>
        <v>0</v>
      </c>
      <c r="AQ119" s="292">
        <f t="shared" si="73"/>
        <v>0</v>
      </c>
      <c r="AR119" s="292">
        <f t="shared" si="74"/>
        <v>0</v>
      </c>
      <c r="AS119" s="292">
        <f t="shared" si="75"/>
        <v>0</v>
      </c>
      <c r="AT119" s="292">
        <f t="shared" si="76"/>
        <v>0</v>
      </c>
      <c r="AU119" s="292">
        <f t="shared" si="77"/>
        <v>0</v>
      </c>
      <c r="AV119" s="292">
        <f t="shared" si="78"/>
        <v>0</v>
      </c>
      <c r="AW119" s="292">
        <f t="shared" si="79"/>
        <v>0</v>
      </c>
      <c r="AX119" s="292">
        <f t="shared" si="80"/>
        <v>0</v>
      </c>
      <c r="AY119" s="292">
        <f t="shared" si="81"/>
        <v>0</v>
      </c>
      <c r="AZ119" s="292">
        <f t="shared" si="82"/>
        <v>0</v>
      </c>
      <c r="BA119" s="292">
        <f t="shared" si="83"/>
        <v>0</v>
      </c>
    </row>
    <row r="120" spans="1:53" s="289" customFormat="1" ht="15.75" customHeight="1">
      <c r="A120" s="63" t="str">
        <f t="array" ref="A120">IF(C120&lt;&gt;0,SUM(($C$11:C120&lt;&gt;0)*1),"")</f>
        <v/>
      </c>
      <c r="B120" s="290"/>
      <c r="C120" s="290"/>
      <c r="D120" s="290"/>
      <c r="E120" s="396"/>
      <c r="F120" s="345"/>
      <c r="G120" s="347"/>
      <c r="H120" s="347"/>
      <c r="I120" s="63" t="str">
        <f t="shared" si="91"/>
        <v/>
      </c>
      <c r="J120" s="292">
        <f t="shared" si="46"/>
        <v>0</v>
      </c>
      <c r="K120" s="292">
        <f t="shared" si="47"/>
        <v>0</v>
      </c>
      <c r="L120" s="292">
        <f t="shared" si="48"/>
        <v>0</v>
      </c>
      <c r="M120" s="292">
        <f t="shared" si="49"/>
        <v>0</v>
      </c>
      <c r="N120" s="292">
        <f t="shared" si="84"/>
        <v>0</v>
      </c>
      <c r="O120" s="292">
        <f t="shared" si="85"/>
        <v>0</v>
      </c>
      <c r="P120" s="292">
        <f t="shared" si="50"/>
        <v>0</v>
      </c>
      <c r="Q120" s="292">
        <f t="shared" si="51"/>
        <v>0</v>
      </c>
      <c r="R120" s="292">
        <f t="shared" si="52"/>
        <v>0</v>
      </c>
      <c r="S120" s="292">
        <f t="shared" si="53"/>
        <v>0</v>
      </c>
      <c r="T120" s="292">
        <f t="shared" si="86"/>
        <v>0</v>
      </c>
      <c r="U120" s="292">
        <f t="shared" si="87"/>
        <v>0</v>
      </c>
      <c r="V120" s="292">
        <f t="shared" si="54"/>
        <v>0</v>
      </c>
      <c r="W120" s="292">
        <f t="shared" si="55"/>
        <v>0</v>
      </c>
      <c r="X120" s="292">
        <f t="shared" si="56"/>
        <v>0</v>
      </c>
      <c r="Y120" s="292">
        <f t="shared" si="57"/>
        <v>0</v>
      </c>
      <c r="Z120" s="292">
        <f t="shared" si="58"/>
        <v>0</v>
      </c>
      <c r="AA120" s="292">
        <f t="shared" si="59"/>
        <v>0</v>
      </c>
      <c r="AB120" s="292">
        <f t="shared" si="60"/>
        <v>0</v>
      </c>
      <c r="AC120" s="292">
        <f t="shared" si="61"/>
        <v>0</v>
      </c>
      <c r="AD120" s="292">
        <f t="shared" si="62"/>
        <v>0</v>
      </c>
      <c r="AE120" s="292">
        <f t="shared" si="63"/>
        <v>0</v>
      </c>
      <c r="AF120" s="292">
        <f t="shared" si="88"/>
        <v>0</v>
      </c>
      <c r="AG120" s="292">
        <f t="shared" si="89"/>
        <v>0</v>
      </c>
      <c r="AH120" s="292">
        <f t="shared" si="64"/>
        <v>0</v>
      </c>
      <c r="AI120" s="292">
        <f t="shared" si="65"/>
        <v>0</v>
      </c>
      <c r="AJ120" s="292">
        <f t="shared" si="66"/>
        <v>0</v>
      </c>
      <c r="AK120" s="292">
        <f t="shared" si="67"/>
        <v>0</v>
      </c>
      <c r="AL120" s="292">
        <f t="shared" si="68"/>
        <v>0</v>
      </c>
      <c r="AM120" s="292">
        <f t="shared" si="69"/>
        <v>0</v>
      </c>
      <c r="AN120" s="292">
        <f t="shared" si="70"/>
        <v>0</v>
      </c>
      <c r="AO120" s="292">
        <f t="shared" si="71"/>
        <v>0</v>
      </c>
      <c r="AP120" s="292">
        <f t="shared" si="72"/>
        <v>0</v>
      </c>
      <c r="AQ120" s="292">
        <f t="shared" si="73"/>
        <v>0</v>
      </c>
      <c r="AR120" s="292">
        <f t="shared" si="74"/>
        <v>0</v>
      </c>
      <c r="AS120" s="292">
        <f t="shared" si="75"/>
        <v>0</v>
      </c>
      <c r="AT120" s="292">
        <f t="shared" si="76"/>
        <v>0</v>
      </c>
      <c r="AU120" s="292">
        <f t="shared" si="77"/>
        <v>0</v>
      </c>
      <c r="AV120" s="292">
        <f t="shared" si="78"/>
        <v>0</v>
      </c>
      <c r="AW120" s="292">
        <f t="shared" si="79"/>
        <v>0</v>
      </c>
      <c r="AX120" s="292">
        <f t="shared" si="80"/>
        <v>0</v>
      </c>
      <c r="AY120" s="292">
        <f t="shared" si="81"/>
        <v>0</v>
      </c>
      <c r="AZ120" s="292">
        <f t="shared" si="82"/>
        <v>0</v>
      </c>
      <c r="BA120" s="292">
        <f t="shared" si="83"/>
        <v>0</v>
      </c>
    </row>
    <row r="121" spans="1:53" s="289" customFormat="1" ht="15.75" customHeight="1">
      <c r="A121" s="63" t="str">
        <f t="array" ref="A121">IF(C121&lt;&gt;0,SUM(($C$11:C121&lt;&gt;0)*1),"")</f>
        <v/>
      </c>
      <c r="B121" s="290"/>
      <c r="C121" s="290"/>
      <c r="D121" s="290"/>
      <c r="E121" s="396"/>
      <c r="F121" s="345"/>
      <c r="G121" s="347"/>
      <c r="H121" s="347"/>
      <c r="I121" s="63" t="str">
        <f t="shared" si="91"/>
        <v/>
      </c>
      <c r="J121" s="292">
        <f t="shared" si="46"/>
        <v>0</v>
      </c>
      <c r="K121" s="292">
        <f t="shared" si="47"/>
        <v>0</v>
      </c>
      <c r="L121" s="292">
        <f t="shared" si="48"/>
        <v>0</v>
      </c>
      <c r="M121" s="292">
        <f t="shared" si="49"/>
        <v>0</v>
      </c>
      <c r="N121" s="292">
        <f t="shared" si="84"/>
        <v>0</v>
      </c>
      <c r="O121" s="292">
        <f t="shared" si="85"/>
        <v>0</v>
      </c>
      <c r="P121" s="292">
        <f t="shared" si="50"/>
        <v>0</v>
      </c>
      <c r="Q121" s="292">
        <f t="shared" si="51"/>
        <v>0</v>
      </c>
      <c r="R121" s="292">
        <f t="shared" si="52"/>
        <v>0</v>
      </c>
      <c r="S121" s="292">
        <f t="shared" si="53"/>
        <v>0</v>
      </c>
      <c r="T121" s="292">
        <f t="shared" si="86"/>
        <v>0</v>
      </c>
      <c r="U121" s="292">
        <f t="shared" si="87"/>
        <v>0</v>
      </c>
      <c r="V121" s="292">
        <f t="shared" si="54"/>
        <v>0</v>
      </c>
      <c r="W121" s="292">
        <f t="shared" si="55"/>
        <v>0</v>
      </c>
      <c r="X121" s="292">
        <f t="shared" si="56"/>
        <v>0</v>
      </c>
      <c r="Y121" s="292">
        <f t="shared" si="57"/>
        <v>0</v>
      </c>
      <c r="Z121" s="292">
        <f t="shared" si="58"/>
        <v>0</v>
      </c>
      <c r="AA121" s="292">
        <f t="shared" si="59"/>
        <v>0</v>
      </c>
      <c r="AB121" s="292">
        <f t="shared" si="60"/>
        <v>0</v>
      </c>
      <c r="AC121" s="292">
        <f t="shared" si="61"/>
        <v>0</v>
      </c>
      <c r="AD121" s="292">
        <f t="shared" si="62"/>
        <v>0</v>
      </c>
      <c r="AE121" s="292">
        <f t="shared" si="63"/>
        <v>0</v>
      </c>
      <c r="AF121" s="292">
        <f t="shared" si="88"/>
        <v>0</v>
      </c>
      <c r="AG121" s="292">
        <f t="shared" si="89"/>
        <v>0</v>
      </c>
      <c r="AH121" s="292">
        <f t="shared" si="64"/>
        <v>0</v>
      </c>
      <c r="AI121" s="292">
        <f t="shared" si="65"/>
        <v>0</v>
      </c>
      <c r="AJ121" s="292">
        <f t="shared" si="66"/>
        <v>0</v>
      </c>
      <c r="AK121" s="292">
        <f t="shared" si="67"/>
        <v>0</v>
      </c>
      <c r="AL121" s="292">
        <f t="shared" si="68"/>
        <v>0</v>
      </c>
      <c r="AM121" s="292">
        <f t="shared" si="69"/>
        <v>0</v>
      </c>
      <c r="AN121" s="292">
        <f t="shared" si="70"/>
        <v>0</v>
      </c>
      <c r="AO121" s="292">
        <f t="shared" si="71"/>
        <v>0</v>
      </c>
      <c r="AP121" s="292">
        <f t="shared" si="72"/>
        <v>0</v>
      </c>
      <c r="AQ121" s="292">
        <f t="shared" si="73"/>
        <v>0</v>
      </c>
      <c r="AR121" s="292">
        <f t="shared" si="74"/>
        <v>0</v>
      </c>
      <c r="AS121" s="292">
        <f t="shared" si="75"/>
        <v>0</v>
      </c>
      <c r="AT121" s="292">
        <f t="shared" si="76"/>
        <v>0</v>
      </c>
      <c r="AU121" s="292">
        <f t="shared" si="77"/>
        <v>0</v>
      </c>
      <c r="AV121" s="292">
        <f t="shared" si="78"/>
        <v>0</v>
      </c>
      <c r="AW121" s="292">
        <f t="shared" si="79"/>
        <v>0</v>
      </c>
      <c r="AX121" s="292">
        <f t="shared" si="80"/>
        <v>0</v>
      </c>
      <c r="AY121" s="292">
        <f t="shared" si="81"/>
        <v>0</v>
      </c>
      <c r="AZ121" s="292">
        <f t="shared" si="82"/>
        <v>0</v>
      </c>
      <c r="BA121" s="292">
        <f t="shared" si="83"/>
        <v>0</v>
      </c>
    </row>
    <row r="122" spans="1:53" s="289" customFormat="1" ht="15.75" customHeight="1">
      <c r="A122" s="63" t="str">
        <f t="array" ref="A122">IF(C122&lt;&gt;0,SUM(($C$11:C122&lt;&gt;0)*1),"")</f>
        <v/>
      </c>
      <c r="B122" s="290"/>
      <c r="C122" s="290"/>
      <c r="D122" s="290"/>
      <c r="E122" s="396"/>
      <c r="F122" s="345"/>
      <c r="G122" s="347"/>
      <c r="H122" s="347"/>
      <c r="I122" s="63" t="str">
        <f t="shared" si="91"/>
        <v/>
      </c>
      <c r="J122" s="292">
        <f t="shared" si="46"/>
        <v>0</v>
      </c>
      <c r="K122" s="292">
        <f t="shared" si="47"/>
        <v>0</v>
      </c>
      <c r="L122" s="292">
        <f t="shared" si="48"/>
        <v>0</v>
      </c>
      <c r="M122" s="292">
        <f t="shared" si="49"/>
        <v>0</v>
      </c>
      <c r="N122" s="292">
        <f t="shared" si="84"/>
        <v>0</v>
      </c>
      <c r="O122" s="292">
        <f t="shared" si="85"/>
        <v>0</v>
      </c>
      <c r="P122" s="292">
        <f t="shared" si="50"/>
        <v>0</v>
      </c>
      <c r="Q122" s="292">
        <f t="shared" si="51"/>
        <v>0</v>
      </c>
      <c r="R122" s="292">
        <f t="shared" si="52"/>
        <v>0</v>
      </c>
      <c r="S122" s="292">
        <f t="shared" si="53"/>
        <v>0</v>
      </c>
      <c r="T122" s="292">
        <f t="shared" si="86"/>
        <v>0</v>
      </c>
      <c r="U122" s="292">
        <f t="shared" si="87"/>
        <v>0</v>
      </c>
      <c r="V122" s="292">
        <f t="shared" si="54"/>
        <v>0</v>
      </c>
      <c r="W122" s="292">
        <f t="shared" si="55"/>
        <v>0</v>
      </c>
      <c r="X122" s="292">
        <f t="shared" si="56"/>
        <v>0</v>
      </c>
      <c r="Y122" s="292">
        <f t="shared" si="57"/>
        <v>0</v>
      </c>
      <c r="Z122" s="292">
        <f t="shared" si="58"/>
        <v>0</v>
      </c>
      <c r="AA122" s="292">
        <f t="shared" si="59"/>
        <v>0</v>
      </c>
      <c r="AB122" s="292">
        <f t="shared" si="60"/>
        <v>0</v>
      </c>
      <c r="AC122" s="292">
        <f t="shared" si="61"/>
        <v>0</v>
      </c>
      <c r="AD122" s="292">
        <f t="shared" si="62"/>
        <v>0</v>
      </c>
      <c r="AE122" s="292">
        <f t="shared" si="63"/>
        <v>0</v>
      </c>
      <c r="AF122" s="292">
        <f t="shared" si="88"/>
        <v>0</v>
      </c>
      <c r="AG122" s="292">
        <f t="shared" si="89"/>
        <v>0</v>
      </c>
      <c r="AH122" s="292">
        <f t="shared" si="64"/>
        <v>0</v>
      </c>
      <c r="AI122" s="292">
        <f t="shared" si="65"/>
        <v>0</v>
      </c>
      <c r="AJ122" s="292">
        <f t="shared" si="66"/>
        <v>0</v>
      </c>
      <c r="AK122" s="292">
        <f t="shared" si="67"/>
        <v>0</v>
      </c>
      <c r="AL122" s="292">
        <f t="shared" si="68"/>
        <v>0</v>
      </c>
      <c r="AM122" s="292">
        <f t="shared" si="69"/>
        <v>0</v>
      </c>
      <c r="AN122" s="292">
        <f t="shared" si="70"/>
        <v>0</v>
      </c>
      <c r="AO122" s="292">
        <f t="shared" si="71"/>
        <v>0</v>
      </c>
      <c r="AP122" s="292">
        <f t="shared" si="72"/>
        <v>0</v>
      </c>
      <c r="AQ122" s="292">
        <f t="shared" si="73"/>
        <v>0</v>
      </c>
      <c r="AR122" s="292">
        <f t="shared" si="74"/>
        <v>0</v>
      </c>
      <c r="AS122" s="292">
        <f t="shared" si="75"/>
        <v>0</v>
      </c>
      <c r="AT122" s="292">
        <f t="shared" si="76"/>
        <v>0</v>
      </c>
      <c r="AU122" s="292">
        <f t="shared" si="77"/>
        <v>0</v>
      </c>
      <c r="AV122" s="292">
        <f t="shared" si="78"/>
        <v>0</v>
      </c>
      <c r="AW122" s="292">
        <f t="shared" si="79"/>
        <v>0</v>
      </c>
      <c r="AX122" s="292">
        <f t="shared" si="80"/>
        <v>0</v>
      </c>
      <c r="AY122" s="292">
        <f t="shared" si="81"/>
        <v>0</v>
      </c>
      <c r="AZ122" s="292">
        <f t="shared" si="82"/>
        <v>0</v>
      </c>
      <c r="BA122" s="292">
        <f t="shared" si="83"/>
        <v>0</v>
      </c>
    </row>
    <row r="123" spans="1:53" s="289" customFormat="1" ht="15.75" customHeight="1">
      <c r="A123" s="63" t="str">
        <f t="array" ref="A123">IF(C123&lt;&gt;0,SUM(($C$11:C123&lt;&gt;0)*1),"")</f>
        <v/>
      </c>
      <c r="B123" s="290"/>
      <c r="C123" s="290"/>
      <c r="D123" s="290"/>
      <c r="E123" s="396"/>
      <c r="F123" s="345"/>
      <c r="G123" s="347"/>
      <c r="H123" s="347"/>
      <c r="I123" s="63" t="str">
        <f t="shared" si="91"/>
        <v/>
      </c>
      <c r="J123" s="292">
        <f t="shared" si="46"/>
        <v>0</v>
      </c>
      <c r="K123" s="292">
        <f t="shared" si="47"/>
        <v>0</v>
      </c>
      <c r="L123" s="292">
        <f t="shared" si="48"/>
        <v>0</v>
      </c>
      <c r="M123" s="292">
        <f t="shared" si="49"/>
        <v>0</v>
      </c>
      <c r="N123" s="292">
        <f t="shared" si="84"/>
        <v>0</v>
      </c>
      <c r="O123" s="292">
        <f t="shared" si="85"/>
        <v>0</v>
      </c>
      <c r="P123" s="292">
        <f t="shared" si="50"/>
        <v>0</v>
      </c>
      <c r="Q123" s="292">
        <f t="shared" si="51"/>
        <v>0</v>
      </c>
      <c r="R123" s="292">
        <f t="shared" si="52"/>
        <v>0</v>
      </c>
      <c r="S123" s="292">
        <f t="shared" si="53"/>
        <v>0</v>
      </c>
      <c r="T123" s="292">
        <f t="shared" si="86"/>
        <v>0</v>
      </c>
      <c r="U123" s="292">
        <f t="shared" si="87"/>
        <v>0</v>
      </c>
      <c r="V123" s="292">
        <f t="shared" si="54"/>
        <v>0</v>
      </c>
      <c r="W123" s="292">
        <f t="shared" si="55"/>
        <v>0</v>
      </c>
      <c r="X123" s="292">
        <f t="shared" si="56"/>
        <v>0</v>
      </c>
      <c r="Y123" s="292">
        <f t="shared" si="57"/>
        <v>0</v>
      </c>
      <c r="Z123" s="292">
        <f t="shared" si="58"/>
        <v>0</v>
      </c>
      <c r="AA123" s="292">
        <f t="shared" si="59"/>
        <v>0</v>
      </c>
      <c r="AB123" s="292">
        <f t="shared" si="60"/>
        <v>0</v>
      </c>
      <c r="AC123" s="292">
        <f t="shared" si="61"/>
        <v>0</v>
      </c>
      <c r="AD123" s="292">
        <f t="shared" si="62"/>
        <v>0</v>
      </c>
      <c r="AE123" s="292">
        <f t="shared" si="63"/>
        <v>0</v>
      </c>
      <c r="AF123" s="292">
        <f t="shared" si="88"/>
        <v>0</v>
      </c>
      <c r="AG123" s="292">
        <f t="shared" si="89"/>
        <v>0</v>
      </c>
      <c r="AH123" s="292">
        <f t="shared" si="64"/>
        <v>0</v>
      </c>
      <c r="AI123" s="292">
        <f t="shared" si="65"/>
        <v>0</v>
      </c>
      <c r="AJ123" s="292">
        <f t="shared" si="66"/>
        <v>0</v>
      </c>
      <c r="AK123" s="292">
        <f t="shared" si="67"/>
        <v>0</v>
      </c>
      <c r="AL123" s="292">
        <f t="shared" si="68"/>
        <v>0</v>
      </c>
      <c r="AM123" s="292">
        <f t="shared" si="69"/>
        <v>0</v>
      </c>
      <c r="AN123" s="292">
        <f t="shared" si="70"/>
        <v>0</v>
      </c>
      <c r="AO123" s="292">
        <f t="shared" si="71"/>
        <v>0</v>
      </c>
      <c r="AP123" s="292">
        <f t="shared" si="72"/>
        <v>0</v>
      </c>
      <c r="AQ123" s="292">
        <f t="shared" si="73"/>
        <v>0</v>
      </c>
      <c r="AR123" s="292">
        <f t="shared" si="74"/>
        <v>0</v>
      </c>
      <c r="AS123" s="292">
        <f t="shared" si="75"/>
        <v>0</v>
      </c>
      <c r="AT123" s="292">
        <f t="shared" si="76"/>
        <v>0</v>
      </c>
      <c r="AU123" s="292">
        <f t="shared" si="77"/>
        <v>0</v>
      </c>
      <c r="AV123" s="292">
        <f t="shared" si="78"/>
        <v>0</v>
      </c>
      <c r="AW123" s="292">
        <f t="shared" si="79"/>
        <v>0</v>
      </c>
      <c r="AX123" s="292">
        <f t="shared" si="80"/>
        <v>0</v>
      </c>
      <c r="AY123" s="292">
        <f t="shared" si="81"/>
        <v>0</v>
      </c>
      <c r="AZ123" s="292">
        <f t="shared" si="82"/>
        <v>0</v>
      </c>
      <c r="BA123" s="292">
        <f t="shared" si="83"/>
        <v>0</v>
      </c>
    </row>
    <row r="124" spans="1:53" s="289" customFormat="1" ht="15.75" customHeight="1">
      <c r="A124" s="63" t="str">
        <f t="array" ref="A124">IF(C124&lt;&gt;0,SUM(($C$11:C124&lt;&gt;0)*1),"")</f>
        <v/>
      </c>
      <c r="B124" s="290"/>
      <c r="C124" s="290"/>
      <c r="D124" s="290"/>
      <c r="E124" s="396"/>
      <c r="F124" s="345"/>
      <c r="G124" s="347"/>
      <c r="H124" s="347"/>
      <c r="I124" s="63" t="str">
        <f t="shared" si="91"/>
        <v/>
      </c>
      <c r="J124" s="292">
        <f t="shared" si="46"/>
        <v>0</v>
      </c>
      <c r="K124" s="292">
        <f t="shared" si="47"/>
        <v>0</v>
      </c>
      <c r="L124" s="292">
        <f t="shared" si="48"/>
        <v>0</v>
      </c>
      <c r="M124" s="292">
        <f t="shared" si="49"/>
        <v>0</v>
      </c>
      <c r="N124" s="292">
        <f t="shared" si="84"/>
        <v>0</v>
      </c>
      <c r="O124" s="292">
        <f t="shared" si="85"/>
        <v>0</v>
      </c>
      <c r="P124" s="292">
        <f t="shared" si="50"/>
        <v>0</v>
      </c>
      <c r="Q124" s="292">
        <f t="shared" si="51"/>
        <v>0</v>
      </c>
      <c r="R124" s="292">
        <f t="shared" si="52"/>
        <v>0</v>
      </c>
      <c r="S124" s="292">
        <f t="shared" si="53"/>
        <v>0</v>
      </c>
      <c r="T124" s="292">
        <f t="shared" si="86"/>
        <v>0</v>
      </c>
      <c r="U124" s="292">
        <f t="shared" si="87"/>
        <v>0</v>
      </c>
      <c r="V124" s="292">
        <f t="shared" si="54"/>
        <v>0</v>
      </c>
      <c r="W124" s="292">
        <f t="shared" si="55"/>
        <v>0</v>
      </c>
      <c r="X124" s="292">
        <f t="shared" si="56"/>
        <v>0</v>
      </c>
      <c r="Y124" s="292">
        <f t="shared" si="57"/>
        <v>0</v>
      </c>
      <c r="Z124" s="292">
        <f t="shared" si="58"/>
        <v>0</v>
      </c>
      <c r="AA124" s="292">
        <f t="shared" si="59"/>
        <v>0</v>
      </c>
      <c r="AB124" s="292">
        <f t="shared" si="60"/>
        <v>0</v>
      </c>
      <c r="AC124" s="292">
        <f t="shared" si="61"/>
        <v>0</v>
      </c>
      <c r="AD124" s="292">
        <f t="shared" si="62"/>
        <v>0</v>
      </c>
      <c r="AE124" s="292">
        <f t="shared" si="63"/>
        <v>0</v>
      </c>
      <c r="AF124" s="292">
        <f t="shared" si="88"/>
        <v>0</v>
      </c>
      <c r="AG124" s="292">
        <f t="shared" si="89"/>
        <v>0</v>
      </c>
      <c r="AH124" s="292">
        <f t="shared" si="64"/>
        <v>0</v>
      </c>
      <c r="AI124" s="292">
        <f t="shared" si="65"/>
        <v>0</v>
      </c>
      <c r="AJ124" s="292">
        <f t="shared" si="66"/>
        <v>0</v>
      </c>
      <c r="AK124" s="292">
        <f t="shared" si="67"/>
        <v>0</v>
      </c>
      <c r="AL124" s="292">
        <f t="shared" si="68"/>
        <v>0</v>
      </c>
      <c r="AM124" s="292">
        <f t="shared" si="69"/>
        <v>0</v>
      </c>
      <c r="AN124" s="292">
        <f t="shared" si="70"/>
        <v>0</v>
      </c>
      <c r="AO124" s="292">
        <f t="shared" si="71"/>
        <v>0</v>
      </c>
      <c r="AP124" s="292">
        <f t="shared" si="72"/>
        <v>0</v>
      </c>
      <c r="AQ124" s="292">
        <f t="shared" si="73"/>
        <v>0</v>
      </c>
      <c r="AR124" s="292">
        <f t="shared" si="74"/>
        <v>0</v>
      </c>
      <c r="AS124" s="292">
        <f t="shared" si="75"/>
        <v>0</v>
      </c>
      <c r="AT124" s="292">
        <f t="shared" si="76"/>
        <v>0</v>
      </c>
      <c r="AU124" s="292">
        <f t="shared" si="77"/>
        <v>0</v>
      </c>
      <c r="AV124" s="292">
        <f t="shared" si="78"/>
        <v>0</v>
      </c>
      <c r="AW124" s="292">
        <f t="shared" si="79"/>
        <v>0</v>
      </c>
      <c r="AX124" s="292">
        <f t="shared" si="80"/>
        <v>0</v>
      </c>
      <c r="AY124" s="292">
        <f t="shared" si="81"/>
        <v>0</v>
      </c>
      <c r="AZ124" s="292">
        <f t="shared" si="82"/>
        <v>0</v>
      </c>
      <c r="BA124" s="292">
        <f t="shared" si="83"/>
        <v>0</v>
      </c>
    </row>
    <row r="125" spans="1:53" s="289" customFormat="1" ht="15.75" customHeight="1">
      <c r="A125" s="63" t="str">
        <f t="array" ref="A125">IF(C125&lt;&gt;0,SUM(($C$11:C125&lt;&gt;0)*1),"")</f>
        <v/>
      </c>
      <c r="B125" s="290"/>
      <c r="C125" s="290"/>
      <c r="D125" s="290"/>
      <c r="E125" s="396"/>
      <c r="F125" s="345"/>
      <c r="G125" s="347"/>
      <c r="H125" s="347"/>
      <c r="I125" s="63" t="str">
        <f t="shared" si="91"/>
        <v/>
      </c>
      <c r="J125" s="292">
        <f t="shared" si="46"/>
        <v>0</v>
      </c>
      <c r="K125" s="292">
        <f t="shared" si="47"/>
        <v>0</v>
      </c>
      <c r="L125" s="292">
        <f t="shared" si="48"/>
        <v>0</v>
      </c>
      <c r="M125" s="292">
        <f t="shared" si="49"/>
        <v>0</v>
      </c>
      <c r="N125" s="292">
        <f t="shared" si="84"/>
        <v>0</v>
      </c>
      <c r="O125" s="292">
        <f t="shared" si="85"/>
        <v>0</v>
      </c>
      <c r="P125" s="292">
        <f t="shared" si="50"/>
        <v>0</v>
      </c>
      <c r="Q125" s="292">
        <f t="shared" si="51"/>
        <v>0</v>
      </c>
      <c r="R125" s="292">
        <f t="shared" si="52"/>
        <v>0</v>
      </c>
      <c r="S125" s="292">
        <f t="shared" si="53"/>
        <v>0</v>
      </c>
      <c r="T125" s="292">
        <f t="shared" si="86"/>
        <v>0</v>
      </c>
      <c r="U125" s="292">
        <f t="shared" si="87"/>
        <v>0</v>
      </c>
      <c r="V125" s="292">
        <f t="shared" si="54"/>
        <v>0</v>
      </c>
      <c r="W125" s="292">
        <f t="shared" si="55"/>
        <v>0</v>
      </c>
      <c r="X125" s="292">
        <f t="shared" si="56"/>
        <v>0</v>
      </c>
      <c r="Y125" s="292">
        <f t="shared" si="57"/>
        <v>0</v>
      </c>
      <c r="Z125" s="292">
        <f t="shared" si="58"/>
        <v>0</v>
      </c>
      <c r="AA125" s="292">
        <f t="shared" si="59"/>
        <v>0</v>
      </c>
      <c r="AB125" s="292">
        <f t="shared" si="60"/>
        <v>0</v>
      </c>
      <c r="AC125" s="292">
        <f t="shared" si="61"/>
        <v>0</v>
      </c>
      <c r="AD125" s="292">
        <f t="shared" si="62"/>
        <v>0</v>
      </c>
      <c r="AE125" s="292">
        <f t="shared" si="63"/>
        <v>0</v>
      </c>
      <c r="AF125" s="292">
        <f t="shared" si="88"/>
        <v>0</v>
      </c>
      <c r="AG125" s="292">
        <f t="shared" si="89"/>
        <v>0</v>
      </c>
      <c r="AH125" s="292">
        <f t="shared" si="64"/>
        <v>0</v>
      </c>
      <c r="AI125" s="292">
        <f t="shared" si="65"/>
        <v>0</v>
      </c>
      <c r="AJ125" s="292">
        <f t="shared" si="66"/>
        <v>0</v>
      </c>
      <c r="AK125" s="292">
        <f t="shared" si="67"/>
        <v>0</v>
      </c>
      <c r="AL125" s="292">
        <f t="shared" si="68"/>
        <v>0</v>
      </c>
      <c r="AM125" s="292">
        <f t="shared" si="69"/>
        <v>0</v>
      </c>
      <c r="AN125" s="292">
        <f t="shared" si="70"/>
        <v>0</v>
      </c>
      <c r="AO125" s="292">
        <f t="shared" si="71"/>
        <v>0</v>
      </c>
      <c r="AP125" s="292">
        <f t="shared" si="72"/>
        <v>0</v>
      </c>
      <c r="AQ125" s="292">
        <f t="shared" si="73"/>
        <v>0</v>
      </c>
      <c r="AR125" s="292">
        <f t="shared" si="74"/>
        <v>0</v>
      </c>
      <c r="AS125" s="292">
        <f t="shared" si="75"/>
        <v>0</v>
      </c>
      <c r="AT125" s="292">
        <f t="shared" si="76"/>
        <v>0</v>
      </c>
      <c r="AU125" s="292">
        <f t="shared" si="77"/>
        <v>0</v>
      </c>
      <c r="AV125" s="292">
        <f t="shared" si="78"/>
        <v>0</v>
      </c>
      <c r="AW125" s="292">
        <f t="shared" si="79"/>
        <v>0</v>
      </c>
      <c r="AX125" s="292">
        <f t="shared" si="80"/>
        <v>0</v>
      </c>
      <c r="AY125" s="292">
        <f t="shared" si="81"/>
        <v>0</v>
      </c>
      <c r="AZ125" s="292">
        <f t="shared" si="82"/>
        <v>0</v>
      </c>
      <c r="BA125" s="292">
        <f t="shared" si="83"/>
        <v>0</v>
      </c>
    </row>
    <row r="126" spans="1:53" s="289" customFormat="1" ht="15.75" customHeight="1">
      <c r="A126" s="63" t="str">
        <f t="array" ref="A126">IF(C126&lt;&gt;0,SUM(($C$11:C126&lt;&gt;0)*1),"")</f>
        <v/>
      </c>
      <c r="B126" s="290"/>
      <c r="C126" s="290"/>
      <c r="D126" s="290"/>
      <c r="E126" s="396"/>
      <c r="F126" s="345"/>
      <c r="G126" s="347"/>
      <c r="H126" s="347"/>
      <c r="I126" s="63" t="str">
        <f t="shared" si="91"/>
        <v/>
      </c>
      <c r="J126" s="292">
        <f t="shared" si="46"/>
        <v>0</v>
      </c>
      <c r="K126" s="292">
        <f t="shared" si="47"/>
        <v>0</v>
      </c>
      <c r="L126" s="292">
        <f t="shared" si="48"/>
        <v>0</v>
      </c>
      <c r="M126" s="292">
        <f t="shared" si="49"/>
        <v>0</v>
      </c>
      <c r="N126" s="292">
        <f t="shared" si="84"/>
        <v>0</v>
      </c>
      <c r="O126" s="292">
        <f t="shared" si="85"/>
        <v>0</v>
      </c>
      <c r="P126" s="292">
        <f t="shared" si="50"/>
        <v>0</v>
      </c>
      <c r="Q126" s="292">
        <f t="shared" si="51"/>
        <v>0</v>
      </c>
      <c r="R126" s="292">
        <f t="shared" si="52"/>
        <v>0</v>
      </c>
      <c r="S126" s="292">
        <f t="shared" si="53"/>
        <v>0</v>
      </c>
      <c r="T126" s="292">
        <f t="shared" si="86"/>
        <v>0</v>
      </c>
      <c r="U126" s="292">
        <f t="shared" si="87"/>
        <v>0</v>
      </c>
      <c r="V126" s="292">
        <f t="shared" si="54"/>
        <v>0</v>
      </c>
      <c r="W126" s="292">
        <f t="shared" si="55"/>
        <v>0</v>
      </c>
      <c r="X126" s="292">
        <f t="shared" si="56"/>
        <v>0</v>
      </c>
      <c r="Y126" s="292">
        <f t="shared" si="57"/>
        <v>0</v>
      </c>
      <c r="Z126" s="292">
        <f t="shared" si="58"/>
        <v>0</v>
      </c>
      <c r="AA126" s="292">
        <f t="shared" si="59"/>
        <v>0</v>
      </c>
      <c r="AB126" s="292">
        <f t="shared" si="60"/>
        <v>0</v>
      </c>
      <c r="AC126" s="292">
        <f t="shared" si="61"/>
        <v>0</v>
      </c>
      <c r="AD126" s="292">
        <f t="shared" si="62"/>
        <v>0</v>
      </c>
      <c r="AE126" s="292">
        <f t="shared" si="63"/>
        <v>0</v>
      </c>
      <c r="AF126" s="292">
        <f t="shared" si="88"/>
        <v>0</v>
      </c>
      <c r="AG126" s="292">
        <f t="shared" si="89"/>
        <v>0</v>
      </c>
      <c r="AH126" s="292">
        <f t="shared" si="64"/>
        <v>0</v>
      </c>
      <c r="AI126" s="292">
        <f t="shared" si="65"/>
        <v>0</v>
      </c>
      <c r="AJ126" s="292">
        <f t="shared" si="66"/>
        <v>0</v>
      </c>
      <c r="AK126" s="292">
        <f t="shared" si="67"/>
        <v>0</v>
      </c>
      <c r="AL126" s="292">
        <f t="shared" si="68"/>
        <v>0</v>
      </c>
      <c r="AM126" s="292">
        <f t="shared" si="69"/>
        <v>0</v>
      </c>
      <c r="AN126" s="292">
        <f t="shared" si="70"/>
        <v>0</v>
      </c>
      <c r="AO126" s="292">
        <f t="shared" si="71"/>
        <v>0</v>
      </c>
      <c r="AP126" s="292">
        <f t="shared" si="72"/>
        <v>0</v>
      </c>
      <c r="AQ126" s="292">
        <f t="shared" si="73"/>
        <v>0</v>
      </c>
      <c r="AR126" s="292">
        <f t="shared" si="74"/>
        <v>0</v>
      </c>
      <c r="AS126" s="292">
        <f t="shared" si="75"/>
        <v>0</v>
      </c>
      <c r="AT126" s="292">
        <f t="shared" si="76"/>
        <v>0</v>
      </c>
      <c r="AU126" s="292">
        <f t="shared" si="77"/>
        <v>0</v>
      </c>
      <c r="AV126" s="292">
        <f t="shared" si="78"/>
        <v>0</v>
      </c>
      <c r="AW126" s="292">
        <f t="shared" si="79"/>
        <v>0</v>
      </c>
      <c r="AX126" s="292">
        <f t="shared" si="80"/>
        <v>0</v>
      </c>
      <c r="AY126" s="292">
        <f t="shared" si="81"/>
        <v>0</v>
      </c>
      <c r="AZ126" s="292">
        <f t="shared" si="82"/>
        <v>0</v>
      </c>
      <c r="BA126" s="292">
        <f t="shared" si="83"/>
        <v>0</v>
      </c>
    </row>
    <row r="127" spans="1:53" s="289" customFormat="1" ht="15.75" customHeight="1">
      <c r="A127" s="63" t="str">
        <f t="array" ref="A127">IF(C127&lt;&gt;0,SUM(($C$11:C127&lt;&gt;0)*1),"")</f>
        <v/>
      </c>
      <c r="B127" s="290"/>
      <c r="C127" s="290"/>
      <c r="D127" s="290"/>
      <c r="E127" s="396"/>
      <c r="F127" s="345"/>
      <c r="G127" s="347"/>
      <c r="H127" s="347"/>
      <c r="I127" s="63" t="str">
        <f t="shared" si="91"/>
        <v/>
      </c>
      <c r="J127" s="292">
        <f t="shared" si="46"/>
        <v>0</v>
      </c>
      <c r="K127" s="292">
        <f t="shared" si="47"/>
        <v>0</v>
      </c>
      <c r="L127" s="292">
        <f t="shared" si="48"/>
        <v>0</v>
      </c>
      <c r="M127" s="292">
        <f t="shared" si="49"/>
        <v>0</v>
      </c>
      <c r="N127" s="292">
        <f t="shared" si="84"/>
        <v>0</v>
      </c>
      <c r="O127" s="292">
        <f t="shared" si="85"/>
        <v>0</v>
      </c>
      <c r="P127" s="292">
        <f t="shared" si="50"/>
        <v>0</v>
      </c>
      <c r="Q127" s="292">
        <f t="shared" si="51"/>
        <v>0</v>
      </c>
      <c r="R127" s="292">
        <f t="shared" si="52"/>
        <v>0</v>
      </c>
      <c r="S127" s="292">
        <f t="shared" si="53"/>
        <v>0</v>
      </c>
      <c r="T127" s="292">
        <f t="shared" si="86"/>
        <v>0</v>
      </c>
      <c r="U127" s="292">
        <f t="shared" si="87"/>
        <v>0</v>
      </c>
      <c r="V127" s="292">
        <f t="shared" si="54"/>
        <v>0</v>
      </c>
      <c r="W127" s="292">
        <f t="shared" si="55"/>
        <v>0</v>
      </c>
      <c r="X127" s="292">
        <f t="shared" si="56"/>
        <v>0</v>
      </c>
      <c r="Y127" s="292">
        <f t="shared" si="57"/>
        <v>0</v>
      </c>
      <c r="Z127" s="292">
        <f t="shared" si="58"/>
        <v>0</v>
      </c>
      <c r="AA127" s="292">
        <f t="shared" si="59"/>
        <v>0</v>
      </c>
      <c r="AB127" s="292">
        <f t="shared" si="60"/>
        <v>0</v>
      </c>
      <c r="AC127" s="292">
        <f t="shared" si="61"/>
        <v>0</v>
      </c>
      <c r="AD127" s="292">
        <f t="shared" si="62"/>
        <v>0</v>
      </c>
      <c r="AE127" s="292">
        <f t="shared" si="63"/>
        <v>0</v>
      </c>
      <c r="AF127" s="292">
        <f t="shared" si="88"/>
        <v>0</v>
      </c>
      <c r="AG127" s="292">
        <f t="shared" si="89"/>
        <v>0</v>
      </c>
      <c r="AH127" s="292">
        <f t="shared" si="64"/>
        <v>0</v>
      </c>
      <c r="AI127" s="292">
        <f t="shared" si="65"/>
        <v>0</v>
      </c>
      <c r="AJ127" s="292">
        <f t="shared" si="66"/>
        <v>0</v>
      </c>
      <c r="AK127" s="292">
        <f t="shared" si="67"/>
        <v>0</v>
      </c>
      <c r="AL127" s="292">
        <f t="shared" si="68"/>
        <v>0</v>
      </c>
      <c r="AM127" s="292">
        <f t="shared" si="69"/>
        <v>0</v>
      </c>
      <c r="AN127" s="292">
        <f t="shared" si="70"/>
        <v>0</v>
      </c>
      <c r="AO127" s="292">
        <f t="shared" si="71"/>
        <v>0</v>
      </c>
      <c r="AP127" s="292">
        <f t="shared" si="72"/>
        <v>0</v>
      </c>
      <c r="AQ127" s="292">
        <f t="shared" si="73"/>
        <v>0</v>
      </c>
      <c r="AR127" s="292">
        <f t="shared" si="74"/>
        <v>0</v>
      </c>
      <c r="AS127" s="292">
        <f t="shared" si="75"/>
        <v>0</v>
      </c>
      <c r="AT127" s="292">
        <f t="shared" si="76"/>
        <v>0</v>
      </c>
      <c r="AU127" s="292">
        <f t="shared" si="77"/>
        <v>0</v>
      </c>
      <c r="AV127" s="292">
        <f t="shared" si="78"/>
        <v>0</v>
      </c>
      <c r="AW127" s="292">
        <f t="shared" si="79"/>
        <v>0</v>
      </c>
      <c r="AX127" s="292">
        <f t="shared" si="80"/>
        <v>0</v>
      </c>
      <c r="AY127" s="292">
        <f t="shared" si="81"/>
        <v>0</v>
      </c>
      <c r="AZ127" s="292">
        <f t="shared" si="82"/>
        <v>0</v>
      </c>
      <c r="BA127" s="292">
        <f t="shared" si="83"/>
        <v>0</v>
      </c>
    </row>
    <row r="128" spans="1:53" s="289" customFormat="1" ht="15.75" customHeight="1">
      <c r="A128" s="63" t="str">
        <f t="array" ref="A128">IF(C128&lt;&gt;0,SUM(($C$11:C128&lt;&gt;0)*1),"")</f>
        <v/>
      </c>
      <c r="B128" s="290"/>
      <c r="C128" s="290"/>
      <c r="D128" s="290"/>
      <c r="E128" s="396"/>
      <c r="F128" s="345"/>
      <c r="G128" s="347"/>
      <c r="H128" s="347"/>
      <c r="I128" s="63" t="str">
        <f t="shared" si="91"/>
        <v/>
      </c>
      <c r="J128" s="292">
        <f t="shared" si="46"/>
        <v>0</v>
      </c>
      <c r="K128" s="292">
        <f t="shared" si="47"/>
        <v>0</v>
      </c>
      <c r="L128" s="292">
        <f t="shared" si="48"/>
        <v>0</v>
      </c>
      <c r="M128" s="292">
        <f t="shared" si="49"/>
        <v>0</v>
      </c>
      <c r="N128" s="292">
        <f t="shared" si="84"/>
        <v>0</v>
      </c>
      <c r="O128" s="292">
        <f t="shared" si="85"/>
        <v>0</v>
      </c>
      <c r="P128" s="292">
        <f t="shared" si="50"/>
        <v>0</v>
      </c>
      <c r="Q128" s="292">
        <f t="shared" si="51"/>
        <v>0</v>
      </c>
      <c r="R128" s="292">
        <f t="shared" si="52"/>
        <v>0</v>
      </c>
      <c r="S128" s="292">
        <f t="shared" si="53"/>
        <v>0</v>
      </c>
      <c r="T128" s="292">
        <f t="shared" si="86"/>
        <v>0</v>
      </c>
      <c r="U128" s="292">
        <f t="shared" si="87"/>
        <v>0</v>
      </c>
      <c r="V128" s="292">
        <f t="shared" si="54"/>
        <v>0</v>
      </c>
      <c r="W128" s="292">
        <f t="shared" si="55"/>
        <v>0</v>
      </c>
      <c r="X128" s="292">
        <f t="shared" si="56"/>
        <v>0</v>
      </c>
      <c r="Y128" s="292">
        <f t="shared" si="57"/>
        <v>0</v>
      </c>
      <c r="Z128" s="292">
        <f t="shared" si="58"/>
        <v>0</v>
      </c>
      <c r="AA128" s="292">
        <f t="shared" si="59"/>
        <v>0</v>
      </c>
      <c r="AB128" s="292">
        <f t="shared" si="60"/>
        <v>0</v>
      </c>
      <c r="AC128" s="292">
        <f t="shared" si="61"/>
        <v>0</v>
      </c>
      <c r="AD128" s="292">
        <f t="shared" si="62"/>
        <v>0</v>
      </c>
      <c r="AE128" s="292">
        <f t="shared" si="63"/>
        <v>0</v>
      </c>
      <c r="AF128" s="292">
        <f t="shared" si="88"/>
        <v>0</v>
      </c>
      <c r="AG128" s="292">
        <f t="shared" si="89"/>
        <v>0</v>
      </c>
      <c r="AH128" s="292">
        <f t="shared" si="64"/>
        <v>0</v>
      </c>
      <c r="AI128" s="292">
        <f t="shared" si="65"/>
        <v>0</v>
      </c>
      <c r="AJ128" s="292">
        <f t="shared" si="66"/>
        <v>0</v>
      </c>
      <c r="AK128" s="292">
        <f t="shared" si="67"/>
        <v>0</v>
      </c>
      <c r="AL128" s="292">
        <f t="shared" si="68"/>
        <v>0</v>
      </c>
      <c r="AM128" s="292">
        <f t="shared" si="69"/>
        <v>0</v>
      </c>
      <c r="AN128" s="292">
        <f t="shared" si="70"/>
        <v>0</v>
      </c>
      <c r="AO128" s="292">
        <f t="shared" si="71"/>
        <v>0</v>
      </c>
      <c r="AP128" s="292">
        <f t="shared" si="72"/>
        <v>0</v>
      </c>
      <c r="AQ128" s="292">
        <f t="shared" si="73"/>
        <v>0</v>
      </c>
      <c r="AR128" s="292">
        <f t="shared" si="74"/>
        <v>0</v>
      </c>
      <c r="AS128" s="292">
        <f t="shared" si="75"/>
        <v>0</v>
      </c>
      <c r="AT128" s="292">
        <f t="shared" si="76"/>
        <v>0</v>
      </c>
      <c r="AU128" s="292">
        <f t="shared" si="77"/>
        <v>0</v>
      </c>
      <c r="AV128" s="292">
        <f t="shared" si="78"/>
        <v>0</v>
      </c>
      <c r="AW128" s="292">
        <f t="shared" si="79"/>
        <v>0</v>
      </c>
      <c r="AX128" s="292">
        <f t="shared" si="80"/>
        <v>0</v>
      </c>
      <c r="AY128" s="292">
        <f t="shared" si="81"/>
        <v>0</v>
      </c>
      <c r="AZ128" s="292">
        <f t="shared" si="82"/>
        <v>0</v>
      </c>
      <c r="BA128" s="292">
        <f t="shared" si="83"/>
        <v>0</v>
      </c>
    </row>
    <row r="129" spans="1:53" s="289" customFormat="1" ht="15.75" customHeight="1">
      <c r="A129" s="63" t="str">
        <f t="array" ref="A129">IF(C129&lt;&gt;0,SUM(($C$11:C129&lt;&gt;0)*1),"")</f>
        <v/>
      </c>
      <c r="B129" s="290"/>
      <c r="C129" s="290"/>
      <c r="D129" s="290"/>
      <c r="E129" s="396"/>
      <c r="F129" s="345"/>
      <c r="G129" s="347"/>
      <c r="H129" s="347"/>
      <c r="I129" s="63" t="str">
        <f t="shared" si="91"/>
        <v/>
      </c>
      <c r="J129" s="292">
        <f t="shared" si="46"/>
        <v>0</v>
      </c>
      <c r="K129" s="292">
        <f t="shared" si="47"/>
        <v>0</v>
      </c>
      <c r="L129" s="292">
        <f t="shared" si="48"/>
        <v>0</v>
      </c>
      <c r="M129" s="292">
        <f t="shared" si="49"/>
        <v>0</v>
      </c>
      <c r="N129" s="292">
        <f t="shared" si="84"/>
        <v>0</v>
      </c>
      <c r="O129" s="292">
        <f t="shared" si="85"/>
        <v>0</v>
      </c>
      <c r="P129" s="292">
        <f t="shared" si="50"/>
        <v>0</v>
      </c>
      <c r="Q129" s="292">
        <f t="shared" si="51"/>
        <v>0</v>
      </c>
      <c r="R129" s="292">
        <f t="shared" si="52"/>
        <v>0</v>
      </c>
      <c r="S129" s="292">
        <f t="shared" si="53"/>
        <v>0</v>
      </c>
      <c r="T129" s="292">
        <f t="shared" si="86"/>
        <v>0</v>
      </c>
      <c r="U129" s="292">
        <f t="shared" si="87"/>
        <v>0</v>
      </c>
      <c r="V129" s="292">
        <f t="shared" si="54"/>
        <v>0</v>
      </c>
      <c r="W129" s="292">
        <f t="shared" si="55"/>
        <v>0</v>
      </c>
      <c r="X129" s="292">
        <f t="shared" si="56"/>
        <v>0</v>
      </c>
      <c r="Y129" s="292">
        <f t="shared" si="57"/>
        <v>0</v>
      </c>
      <c r="Z129" s="292">
        <f t="shared" si="58"/>
        <v>0</v>
      </c>
      <c r="AA129" s="292">
        <f t="shared" si="59"/>
        <v>0</v>
      </c>
      <c r="AB129" s="292">
        <f t="shared" si="60"/>
        <v>0</v>
      </c>
      <c r="AC129" s="292">
        <f t="shared" si="61"/>
        <v>0</v>
      </c>
      <c r="AD129" s="292">
        <f t="shared" si="62"/>
        <v>0</v>
      </c>
      <c r="AE129" s="292">
        <f t="shared" si="63"/>
        <v>0</v>
      </c>
      <c r="AF129" s="292">
        <f t="shared" si="88"/>
        <v>0</v>
      </c>
      <c r="AG129" s="292">
        <f t="shared" si="89"/>
        <v>0</v>
      </c>
      <c r="AH129" s="292">
        <f t="shared" si="64"/>
        <v>0</v>
      </c>
      <c r="AI129" s="292">
        <f t="shared" si="65"/>
        <v>0</v>
      </c>
      <c r="AJ129" s="292">
        <f t="shared" si="66"/>
        <v>0</v>
      </c>
      <c r="AK129" s="292">
        <f t="shared" si="67"/>
        <v>0</v>
      </c>
      <c r="AL129" s="292">
        <f t="shared" si="68"/>
        <v>0</v>
      </c>
      <c r="AM129" s="292">
        <f t="shared" si="69"/>
        <v>0</v>
      </c>
      <c r="AN129" s="292">
        <f t="shared" si="70"/>
        <v>0</v>
      </c>
      <c r="AO129" s="292">
        <f t="shared" si="71"/>
        <v>0</v>
      </c>
      <c r="AP129" s="292">
        <f t="shared" si="72"/>
        <v>0</v>
      </c>
      <c r="AQ129" s="292">
        <f t="shared" si="73"/>
        <v>0</v>
      </c>
      <c r="AR129" s="292">
        <f t="shared" si="74"/>
        <v>0</v>
      </c>
      <c r="AS129" s="292">
        <f t="shared" si="75"/>
        <v>0</v>
      </c>
      <c r="AT129" s="292">
        <f t="shared" si="76"/>
        <v>0</v>
      </c>
      <c r="AU129" s="292">
        <f t="shared" si="77"/>
        <v>0</v>
      </c>
      <c r="AV129" s="292">
        <f t="shared" si="78"/>
        <v>0</v>
      </c>
      <c r="AW129" s="292">
        <f t="shared" si="79"/>
        <v>0</v>
      </c>
      <c r="AX129" s="292">
        <f t="shared" si="80"/>
        <v>0</v>
      </c>
      <c r="AY129" s="292">
        <f t="shared" si="81"/>
        <v>0</v>
      </c>
      <c r="AZ129" s="292">
        <f t="shared" si="82"/>
        <v>0</v>
      </c>
      <c r="BA129" s="292">
        <f t="shared" si="83"/>
        <v>0</v>
      </c>
    </row>
    <row r="130" spans="1:53" s="289" customFormat="1" ht="15.75" customHeight="1">
      <c r="A130" s="63" t="str">
        <f t="array" ref="A130">IF(C130&lt;&gt;0,SUM(($C$11:C130&lt;&gt;0)*1),"")</f>
        <v/>
      </c>
      <c r="B130" s="290"/>
      <c r="C130" s="290"/>
      <c r="D130" s="290"/>
      <c r="E130" s="396"/>
      <c r="F130" s="345"/>
      <c r="G130" s="347"/>
      <c r="H130" s="347"/>
      <c r="I130" s="63" t="str">
        <f t="shared" si="91"/>
        <v/>
      </c>
      <c r="J130" s="292">
        <f t="shared" si="46"/>
        <v>0</v>
      </c>
      <c r="K130" s="292">
        <f t="shared" si="47"/>
        <v>0</v>
      </c>
      <c r="L130" s="292">
        <f t="shared" si="48"/>
        <v>0</v>
      </c>
      <c r="M130" s="292">
        <f t="shared" si="49"/>
        <v>0</v>
      </c>
      <c r="N130" s="292">
        <f t="shared" si="84"/>
        <v>0</v>
      </c>
      <c r="O130" s="292">
        <f t="shared" si="85"/>
        <v>0</v>
      </c>
      <c r="P130" s="292">
        <f t="shared" si="50"/>
        <v>0</v>
      </c>
      <c r="Q130" s="292">
        <f t="shared" si="51"/>
        <v>0</v>
      </c>
      <c r="R130" s="292">
        <f t="shared" si="52"/>
        <v>0</v>
      </c>
      <c r="S130" s="292">
        <f t="shared" si="53"/>
        <v>0</v>
      </c>
      <c r="T130" s="292">
        <f t="shared" si="86"/>
        <v>0</v>
      </c>
      <c r="U130" s="292">
        <f t="shared" si="87"/>
        <v>0</v>
      </c>
      <c r="V130" s="292">
        <f t="shared" si="54"/>
        <v>0</v>
      </c>
      <c r="W130" s="292">
        <f t="shared" si="55"/>
        <v>0</v>
      </c>
      <c r="X130" s="292">
        <f t="shared" si="56"/>
        <v>0</v>
      </c>
      <c r="Y130" s="292">
        <f t="shared" si="57"/>
        <v>0</v>
      </c>
      <c r="Z130" s="292">
        <f t="shared" si="58"/>
        <v>0</v>
      </c>
      <c r="AA130" s="292">
        <f t="shared" si="59"/>
        <v>0</v>
      </c>
      <c r="AB130" s="292">
        <f t="shared" si="60"/>
        <v>0</v>
      </c>
      <c r="AC130" s="292">
        <f t="shared" si="61"/>
        <v>0</v>
      </c>
      <c r="AD130" s="292">
        <f t="shared" si="62"/>
        <v>0</v>
      </c>
      <c r="AE130" s="292">
        <f t="shared" si="63"/>
        <v>0</v>
      </c>
      <c r="AF130" s="292">
        <f t="shared" si="88"/>
        <v>0</v>
      </c>
      <c r="AG130" s="292">
        <f t="shared" si="89"/>
        <v>0</v>
      </c>
      <c r="AH130" s="292">
        <f t="shared" si="64"/>
        <v>0</v>
      </c>
      <c r="AI130" s="292">
        <f t="shared" si="65"/>
        <v>0</v>
      </c>
      <c r="AJ130" s="292">
        <f t="shared" si="66"/>
        <v>0</v>
      </c>
      <c r="AK130" s="292">
        <f t="shared" si="67"/>
        <v>0</v>
      </c>
      <c r="AL130" s="292">
        <f t="shared" si="68"/>
        <v>0</v>
      </c>
      <c r="AM130" s="292">
        <f t="shared" si="69"/>
        <v>0</v>
      </c>
      <c r="AN130" s="292">
        <f t="shared" si="70"/>
        <v>0</v>
      </c>
      <c r="AO130" s="292">
        <f t="shared" si="71"/>
        <v>0</v>
      </c>
      <c r="AP130" s="292">
        <f t="shared" si="72"/>
        <v>0</v>
      </c>
      <c r="AQ130" s="292">
        <f t="shared" si="73"/>
        <v>0</v>
      </c>
      <c r="AR130" s="292">
        <f t="shared" si="74"/>
        <v>0</v>
      </c>
      <c r="AS130" s="292">
        <f t="shared" si="75"/>
        <v>0</v>
      </c>
      <c r="AT130" s="292">
        <f t="shared" si="76"/>
        <v>0</v>
      </c>
      <c r="AU130" s="292">
        <f t="shared" si="77"/>
        <v>0</v>
      </c>
      <c r="AV130" s="292">
        <f t="shared" si="78"/>
        <v>0</v>
      </c>
      <c r="AW130" s="292">
        <f t="shared" si="79"/>
        <v>0</v>
      </c>
      <c r="AX130" s="292">
        <f t="shared" si="80"/>
        <v>0</v>
      </c>
      <c r="AY130" s="292">
        <f t="shared" si="81"/>
        <v>0</v>
      </c>
      <c r="AZ130" s="292">
        <f t="shared" si="82"/>
        <v>0</v>
      </c>
      <c r="BA130" s="292">
        <f t="shared" si="83"/>
        <v>0</v>
      </c>
    </row>
    <row r="131" spans="1:53" s="289" customFormat="1" ht="15.75" customHeight="1">
      <c r="A131" s="63" t="str">
        <f t="array" ref="A131">IF(C131&lt;&gt;0,SUM(($C$11:C131&lt;&gt;0)*1),"")</f>
        <v/>
      </c>
      <c r="B131" s="290"/>
      <c r="C131" s="290"/>
      <c r="D131" s="290"/>
      <c r="E131" s="396"/>
      <c r="F131" s="345"/>
      <c r="G131" s="347"/>
      <c r="H131" s="347"/>
      <c r="I131" s="63" t="str">
        <f t="shared" si="91"/>
        <v/>
      </c>
      <c r="J131" s="292">
        <f t="shared" si="46"/>
        <v>0</v>
      </c>
      <c r="K131" s="292">
        <f t="shared" si="47"/>
        <v>0</v>
      </c>
      <c r="L131" s="292">
        <f t="shared" si="48"/>
        <v>0</v>
      </c>
      <c r="M131" s="292">
        <f t="shared" si="49"/>
        <v>0</v>
      </c>
      <c r="N131" s="292">
        <f t="shared" si="84"/>
        <v>0</v>
      </c>
      <c r="O131" s="292">
        <f t="shared" si="85"/>
        <v>0</v>
      </c>
      <c r="P131" s="292">
        <f t="shared" si="50"/>
        <v>0</v>
      </c>
      <c r="Q131" s="292">
        <f t="shared" si="51"/>
        <v>0</v>
      </c>
      <c r="R131" s="292">
        <f t="shared" si="52"/>
        <v>0</v>
      </c>
      <c r="S131" s="292">
        <f t="shared" si="53"/>
        <v>0</v>
      </c>
      <c r="T131" s="292">
        <f t="shared" si="86"/>
        <v>0</v>
      </c>
      <c r="U131" s="292">
        <f t="shared" si="87"/>
        <v>0</v>
      </c>
      <c r="V131" s="292">
        <f t="shared" si="54"/>
        <v>0</v>
      </c>
      <c r="W131" s="292">
        <f t="shared" si="55"/>
        <v>0</v>
      </c>
      <c r="X131" s="292">
        <f t="shared" si="56"/>
        <v>0</v>
      </c>
      <c r="Y131" s="292">
        <f t="shared" si="57"/>
        <v>0</v>
      </c>
      <c r="Z131" s="292">
        <f t="shared" si="58"/>
        <v>0</v>
      </c>
      <c r="AA131" s="292">
        <f t="shared" si="59"/>
        <v>0</v>
      </c>
      <c r="AB131" s="292">
        <f t="shared" si="60"/>
        <v>0</v>
      </c>
      <c r="AC131" s="292">
        <f t="shared" si="61"/>
        <v>0</v>
      </c>
      <c r="AD131" s="292">
        <f t="shared" si="62"/>
        <v>0</v>
      </c>
      <c r="AE131" s="292">
        <f t="shared" si="63"/>
        <v>0</v>
      </c>
      <c r="AF131" s="292">
        <f t="shared" si="88"/>
        <v>0</v>
      </c>
      <c r="AG131" s="292">
        <f t="shared" si="89"/>
        <v>0</v>
      </c>
      <c r="AH131" s="292">
        <f t="shared" si="64"/>
        <v>0</v>
      </c>
      <c r="AI131" s="292">
        <f t="shared" si="65"/>
        <v>0</v>
      </c>
      <c r="AJ131" s="292">
        <f t="shared" si="66"/>
        <v>0</v>
      </c>
      <c r="AK131" s="292">
        <f t="shared" si="67"/>
        <v>0</v>
      </c>
      <c r="AL131" s="292">
        <f t="shared" si="68"/>
        <v>0</v>
      </c>
      <c r="AM131" s="292">
        <f t="shared" si="69"/>
        <v>0</v>
      </c>
      <c r="AN131" s="292">
        <f t="shared" si="70"/>
        <v>0</v>
      </c>
      <c r="AO131" s="292">
        <f t="shared" si="71"/>
        <v>0</v>
      </c>
      <c r="AP131" s="292">
        <f t="shared" si="72"/>
        <v>0</v>
      </c>
      <c r="AQ131" s="292">
        <f t="shared" si="73"/>
        <v>0</v>
      </c>
      <c r="AR131" s="292">
        <f t="shared" si="74"/>
        <v>0</v>
      </c>
      <c r="AS131" s="292">
        <f t="shared" si="75"/>
        <v>0</v>
      </c>
      <c r="AT131" s="292">
        <f t="shared" si="76"/>
        <v>0</v>
      </c>
      <c r="AU131" s="292">
        <f t="shared" si="77"/>
        <v>0</v>
      </c>
      <c r="AV131" s="292">
        <f t="shared" si="78"/>
        <v>0</v>
      </c>
      <c r="AW131" s="292">
        <f t="shared" si="79"/>
        <v>0</v>
      </c>
      <c r="AX131" s="292">
        <f t="shared" si="80"/>
        <v>0</v>
      </c>
      <c r="AY131" s="292">
        <f t="shared" si="81"/>
        <v>0</v>
      </c>
      <c r="AZ131" s="292">
        <f t="shared" si="82"/>
        <v>0</v>
      </c>
      <c r="BA131" s="292">
        <f t="shared" si="83"/>
        <v>0</v>
      </c>
    </row>
    <row r="132" spans="1:53" s="289" customFormat="1" ht="15.75" customHeight="1">
      <c r="A132" s="63" t="str">
        <f t="array" ref="A132">IF(C132&lt;&gt;0,SUM(($C$11:C132&lt;&gt;0)*1),"")</f>
        <v/>
      </c>
      <c r="B132" s="290"/>
      <c r="C132" s="290"/>
      <c r="D132" s="290"/>
      <c r="E132" s="396"/>
      <c r="F132" s="345"/>
      <c r="G132" s="347"/>
      <c r="H132" s="347"/>
      <c r="I132" s="63" t="str">
        <f t="shared" si="91"/>
        <v/>
      </c>
      <c r="J132" s="292">
        <f t="shared" si="46"/>
        <v>0</v>
      </c>
      <c r="K132" s="292">
        <f t="shared" si="47"/>
        <v>0</v>
      </c>
      <c r="L132" s="292">
        <f t="shared" si="48"/>
        <v>0</v>
      </c>
      <c r="M132" s="292">
        <f t="shared" si="49"/>
        <v>0</v>
      </c>
      <c r="N132" s="292">
        <f t="shared" si="84"/>
        <v>0</v>
      </c>
      <c r="O132" s="292">
        <f t="shared" si="85"/>
        <v>0</v>
      </c>
      <c r="P132" s="292">
        <f t="shared" si="50"/>
        <v>0</v>
      </c>
      <c r="Q132" s="292">
        <f t="shared" si="51"/>
        <v>0</v>
      </c>
      <c r="R132" s="292">
        <f t="shared" si="52"/>
        <v>0</v>
      </c>
      <c r="S132" s="292">
        <f t="shared" si="53"/>
        <v>0</v>
      </c>
      <c r="T132" s="292">
        <f t="shared" si="86"/>
        <v>0</v>
      </c>
      <c r="U132" s="292">
        <f t="shared" si="87"/>
        <v>0</v>
      </c>
      <c r="V132" s="292">
        <f t="shared" si="54"/>
        <v>0</v>
      </c>
      <c r="W132" s="292">
        <f t="shared" si="55"/>
        <v>0</v>
      </c>
      <c r="X132" s="292">
        <f t="shared" si="56"/>
        <v>0</v>
      </c>
      <c r="Y132" s="292">
        <f t="shared" si="57"/>
        <v>0</v>
      </c>
      <c r="Z132" s="292">
        <f t="shared" si="58"/>
        <v>0</v>
      </c>
      <c r="AA132" s="292">
        <f t="shared" si="59"/>
        <v>0</v>
      </c>
      <c r="AB132" s="292">
        <f t="shared" si="60"/>
        <v>0</v>
      </c>
      <c r="AC132" s="292">
        <f t="shared" si="61"/>
        <v>0</v>
      </c>
      <c r="AD132" s="292">
        <f t="shared" si="62"/>
        <v>0</v>
      </c>
      <c r="AE132" s="292">
        <f t="shared" si="63"/>
        <v>0</v>
      </c>
      <c r="AF132" s="292">
        <f t="shared" si="88"/>
        <v>0</v>
      </c>
      <c r="AG132" s="292">
        <f t="shared" si="89"/>
        <v>0</v>
      </c>
      <c r="AH132" s="292">
        <f t="shared" si="64"/>
        <v>0</v>
      </c>
      <c r="AI132" s="292">
        <f t="shared" si="65"/>
        <v>0</v>
      </c>
      <c r="AJ132" s="292">
        <f t="shared" si="66"/>
        <v>0</v>
      </c>
      <c r="AK132" s="292">
        <f t="shared" si="67"/>
        <v>0</v>
      </c>
      <c r="AL132" s="292">
        <f t="shared" si="68"/>
        <v>0</v>
      </c>
      <c r="AM132" s="292">
        <f t="shared" si="69"/>
        <v>0</v>
      </c>
      <c r="AN132" s="292">
        <f t="shared" si="70"/>
        <v>0</v>
      </c>
      <c r="AO132" s="292">
        <f t="shared" si="71"/>
        <v>0</v>
      </c>
      <c r="AP132" s="292">
        <f t="shared" si="72"/>
        <v>0</v>
      </c>
      <c r="AQ132" s="292">
        <f t="shared" si="73"/>
        <v>0</v>
      </c>
      <c r="AR132" s="292">
        <f t="shared" si="74"/>
        <v>0</v>
      </c>
      <c r="AS132" s="292">
        <f t="shared" si="75"/>
        <v>0</v>
      </c>
      <c r="AT132" s="292">
        <f t="shared" si="76"/>
        <v>0</v>
      </c>
      <c r="AU132" s="292">
        <f t="shared" si="77"/>
        <v>0</v>
      </c>
      <c r="AV132" s="292">
        <f t="shared" si="78"/>
        <v>0</v>
      </c>
      <c r="AW132" s="292">
        <f t="shared" si="79"/>
        <v>0</v>
      </c>
      <c r="AX132" s="292">
        <f t="shared" si="80"/>
        <v>0</v>
      </c>
      <c r="AY132" s="292">
        <f t="shared" si="81"/>
        <v>0</v>
      </c>
      <c r="AZ132" s="292">
        <f t="shared" si="82"/>
        <v>0</v>
      </c>
      <c r="BA132" s="292">
        <f t="shared" si="83"/>
        <v>0</v>
      </c>
    </row>
    <row r="133" spans="1:53" s="289" customFormat="1" ht="15.75" customHeight="1">
      <c r="A133" s="63" t="str">
        <f t="array" ref="A133">IF(C133&lt;&gt;0,SUM(($C$11:C133&lt;&gt;0)*1),"")</f>
        <v/>
      </c>
      <c r="B133" s="290"/>
      <c r="C133" s="290"/>
      <c r="D133" s="290"/>
      <c r="E133" s="396"/>
      <c r="F133" s="345"/>
      <c r="G133" s="347"/>
      <c r="H133" s="347"/>
      <c r="I133" s="63" t="str">
        <f t="shared" si="91"/>
        <v/>
      </c>
      <c r="J133" s="292">
        <f t="shared" si="46"/>
        <v>0</v>
      </c>
      <c r="K133" s="292">
        <f t="shared" si="47"/>
        <v>0</v>
      </c>
      <c r="L133" s="292">
        <f t="shared" si="48"/>
        <v>0</v>
      </c>
      <c r="M133" s="292">
        <f t="shared" si="49"/>
        <v>0</v>
      </c>
      <c r="N133" s="292">
        <f t="shared" si="84"/>
        <v>0</v>
      </c>
      <c r="O133" s="292">
        <f t="shared" si="85"/>
        <v>0</v>
      </c>
      <c r="P133" s="292">
        <f t="shared" si="50"/>
        <v>0</v>
      </c>
      <c r="Q133" s="292">
        <f t="shared" si="51"/>
        <v>0</v>
      </c>
      <c r="R133" s="292">
        <f t="shared" si="52"/>
        <v>0</v>
      </c>
      <c r="S133" s="292">
        <f t="shared" si="53"/>
        <v>0</v>
      </c>
      <c r="T133" s="292">
        <f t="shared" si="86"/>
        <v>0</v>
      </c>
      <c r="U133" s="292">
        <f t="shared" si="87"/>
        <v>0</v>
      </c>
      <c r="V133" s="292">
        <f t="shared" si="54"/>
        <v>0</v>
      </c>
      <c r="W133" s="292">
        <f t="shared" si="55"/>
        <v>0</v>
      </c>
      <c r="X133" s="292">
        <f t="shared" si="56"/>
        <v>0</v>
      </c>
      <c r="Y133" s="292">
        <f t="shared" si="57"/>
        <v>0</v>
      </c>
      <c r="Z133" s="292">
        <f t="shared" si="58"/>
        <v>0</v>
      </c>
      <c r="AA133" s="292">
        <f t="shared" si="59"/>
        <v>0</v>
      </c>
      <c r="AB133" s="292">
        <f t="shared" si="60"/>
        <v>0</v>
      </c>
      <c r="AC133" s="292">
        <f t="shared" si="61"/>
        <v>0</v>
      </c>
      <c r="AD133" s="292">
        <f t="shared" si="62"/>
        <v>0</v>
      </c>
      <c r="AE133" s="292">
        <f t="shared" si="63"/>
        <v>0</v>
      </c>
      <c r="AF133" s="292">
        <f t="shared" si="88"/>
        <v>0</v>
      </c>
      <c r="AG133" s="292">
        <f t="shared" si="89"/>
        <v>0</v>
      </c>
      <c r="AH133" s="292">
        <f t="shared" si="64"/>
        <v>0</v>
      </c>
      <c r="AI133" s="292">
        <f t="shared" si="65"/>
        <v>0</v>
      </c>
      <c r="AJ133" s="292">
        <f t="shared" si="66"/>
        <v>0</v>
      </c>
      <c r="AK133" s="292">
        <f t="shared" si="67"/>
        <v>0</v>
      </c>
      <c r="AL133" s="292">
        <f t="shared" si="68"/>
        <v>0</v>
      </c>
      <c r="AM133" s="292">
        <f t="shared" si="69"/>
        <v>0</v>
      </c>
      <c r="AN133" s="292">
        <f t="shared" si="70"/>
        <v>0</v>
      </c>
      <c r="AO133" s="292">
        <f t="shared" si="71"/>
        <v>0</v>
      </c>
      <c r="AP133" s="292">
        <f t="shared" si="72"/>
        <v>0</v>
      </c>
      <c r="AQ133" s="292">
        <f t="shared" si="73"/>
        <v>0</v>
      </c>
      <c r="AR133" s="292">
        <f t="shared" si="74"/>
        <v>0</v>
      </c>
      <c r="AS133" s="292">
        <f t="shared" si="75"/>
        <v>0</v>
      </c>
      <c r="AT133" s="292">
        <f t="shared" si="76"/>
        <v>0</v>
      </c>
      <c r="AU133" s="292">
        <f t="shared" si="77"/>
        <v>0</v>
      </c>
      <c r="AV133" s="292">
        <f t="shared" si="78"/>
        <v>0</v>
      </c>
      <c r="AW133" s="292">
        <f t="shared" si="79"/>
        <v>0</v>
      </c>
      <c r="AX133" s="292">
        <f t="shared" si="80"/>
        <v>0</v>
      </c>
      <c r="AY133" s="292">
        <f t="shared" si="81"/>
        <v>0</v>
      </c>
      <c r="AZ133" s="292">
        <f t="shared" si="82"/>
        <v>0</v>
      </c>
      <c r="BA133" s="292">
        <f t="shared" si="83"/>
        <v>0</v>
      </c>
    </row>
    <row r="134" spans="1:53" s="289" customFormat="1" ht="15.75" customHeight="1">
      <c r="A134" s="63" t="str">
        <f t="array" ref="A134">IF(C134&lt;&gt;0,SUM(($C$11:C134&lt;&gt;0)*1),"")</f>
        <v/>
      </c>
      <c r="B134" s="290"/>
      <c r="C134" s="290"/>
      <c r="D134" s="290"/>
      <c r="E134" s="396"/>
      <c r="F134" s="345"/>
      <c r="G134" s="347"/>
      <c r="H134" s="347"/>
      <c r="I134" s="63" t="str">
        <f t="shared" si="91"/>
        <v/>
      </c>
      <c r="J134" s="292">
        <f t="shared" si="46"/>
        <v>0</v>
      </c>
      <c r="K134" s="292">
        <f t="shared" si="47"/>
        <v>0</v>
      </c>
      <c r="L134" s="292">
        <f t="shared" si="48"/>
        <v>0</v>
      </c>
      <c r="M134" s="292">
        <f t="shared" si="49"/>
        <v>0</v>
      </c>
      <c r="N134" s="292">
        <f t="shared" si="84"/>
        <v>0</v>
      </c>
      <c r="O134" s="292">
        <f t="shared" si="85"/>
        <v>0</v>
      </c>
      <c r="P134" s="292">
        <f t="shared" si="50"/>
        <v>0</v>
      </c>
      <c r="Q134" s="292">
        <f t="shared" si="51"/>
        <v>0</v>
      </c>
      <c r="R134" s="292">
        <f t="shared" si="52"/>
        <v>0</v>
      </c>
      <c r="S134" s="292">
        <f t="shared" si="53"/>
        <v>0</v>
      </c>
      <c r="T134" s="292">
        <f t="shared" si="86"/>
        <v>0</v>
      </c>
      <c r="U134" s="292">
        <f t="shared" si="87"/>
        <v>0</v>
      </c>
      <c r="V134" s="292">
        <f t="shared" si="54"/>
        <v>0</v>
      </c>
      <c r="W134" s="292">
        <f t="shared" si="55"/>
        <v>0</v>
      </c>
      <c r="X134" s="292">
        <f t="shared" si="56"/>
        <v>0</v>
      </c>
      <c r="Y134" s="292">
        <f t="shared" si="57"/>
        <v>0</v>
      </c>
      <c r="Z134" s="292">
        <f t="shared" si="58"/>
        <v>0</v>
      </c>
      <c r="AA134" s="292">
        <f t="shared" si="59"/>
        <v>0</v>
      </c>
      <c r="AB134" s="292">
        <f t="shared" si="60"/>
        <v>0</v>
      </c>
      <c r="AC134" s="292">
        <f t="shared" si="61"/>
        <v>0</v>
      </c>
      <c r="AD134" s="292">
        <f t="shared" si="62"/>
        <v>0</v>
      </c>
      <c r="AE134" s="292">
        <f t="shared" si="63"/>
        <v>0</v>
      </c>
      <c r="AF134" s="292">
        <f t="shared" si="88"/>
        <v>0</v>
      </c>
      <c r="AG134" s="292">
        <f t="shared" si="89"/>
        <v>0</v>
      </c>
      <c r="AH134" s="292">
        <f t="shared" si="64"/>
        <v>0</v>
      </c>
      <c r="AI134" s="292">
        <f t="shared" si="65"/>
        <v>0</v>
      </c>
      <c r="AJ134" s="292">
        <f t="shared" si="66"/>
        <v>0</v>
      </c>
      <c r="AK134" s="292">
        <f t="shared" si="67"/>
        <v>0</v>
      </c>
      <c r="AL134" s="292">
        <f t="shared" si="68"/>
        <v>0</v>
      </c>
      <c r="AM134" s="292">
        <f t="shared" si="69"/>
        <v>0</v>
      </c>
      <c r="AN134" s="292">
        <f t="shared" si="70"/>
        <v>0</v>
      </c>
      <c r="AO134" s="292">
        <f t="shared" si="71"/>
        <v>0</v>
      </c>
      <c r="AP134" s="292">
        <f t="shared" si="72"/>
        <v>0</v>
      </c>
      <c r="AQ134" s="292">
        <f t="shared" si="73"/>
        <v>0</v>
      </c>
      <c r="AR134" s="292">
        <f t="shared" si="74"/>
        <v>0</v>
      </c>
      <c r="AS134" s="292">
        <f t="shared" si="75"/>
        <v>0</v>
      </c>
      <c r="AT134" s="292">
        <f t="shared" si="76"/>
        <v>0</v>
      </c>
      <c r="AU134" s="292">
        <f t="shared" si="77"/>
        <v>0</v>
      </c>
      <c r="AV134" s="292">
        <f t="shared" si="78"/>
        <v>0</v>
      </c>
      <c r="AW134" s="292">
        <f t="shared" si="79"/>
        <v>0</v>
      </c>
      <c r="AX134" s="292">
        <f t="shared" si="80"/>
        <v>0</v>
      </c>
      <c r="AY134" s="292">
        <f t="shared" si="81"/>
        <v>0</v>
      </c>
      <c r="AZ134" s="292">
        <f t="shared" si="82"/>
        <v>0</v>
      </c>
      <c r="BA134" s="292">
        <f t="shared" si="83"/>
        <v>0</v>
      </c>
    </row>
    <row r="135" spans="1:53" s="289" customFormat="1" ht="15.75" customHeight="1">
      <c r="A135" s="63" t="str">
        <f t="array" ref="A135">IF(C135&lt;&gt;0,SUM(($C$11:C135&lt;&gt;0)*1),"")</f>
        <v/>
      </c>
      <c r="B135" s="290"/>
      <c r="C135" s="290"/>
      <c r="D135" s="290"/>
      <c r="E135" s="396"/>
      <c r="F135" s="345"/>
      <c r="G135" s="347"/>
      <c r="H135" s="347"/>
      <c r="I135" s="63" t="str">
        <f t="shared" si="91"/>
        <v/>
      </c>
      <c r="J135" s="292">
        <f t="shared" si="46"/>
        <v>0</v>
      </c>
      <c r="K135" s="292">
        <f t="shared" si="47"/>
        <v>0</v>
      </c>
      <c r="L135" s="292">
        <f t="shared" si="48"/>
        <v>0</v>
      </c>
      <c r="M135" s="292">
        <f t="shared" si="49"/>
        <v>0</v>
      </c>
      <c r="N135" s="292">
        <f t="shared" si="84"/>
        <v>0</v>
      </c>
      <c r="O135" s="292">
        <f t="shared" si="85"/>
        <v>0</v>
      </c>
      <c r="P135" s="292">
        <f t="shared" si="50"/>
        <v>0</v>
      </c>
      <c r="Q135" s="292">
        <f t="shared" si="51"/>
        <v>0</v>
      </c>
      <c r="R135" s="292">
        <f t="shared" si="52"/>
        <v>0</v>
      </c>
      <c r="S135" s="292">
        <f t="shared" si="53"/>
        <v>0</v>
      </c>
      <c r="T135" s="292">
        <f t="shared" si="86"/>
        <v>0</v>
      </c>
      <c r="U135" s="292">
        <f t="shared" si="87"/>
        <v>0</v>
      </c>
      <c r="V135" s="292">
        <f t="shared" si="54"/>
        <v>0</v>
      </c>
      <c r="W135" s="292">
        <f t="shared" si="55"/>
        <v>0</v>
      </c>
      <c r="X135" s="292">
        <f t="shared" si="56"/>
        <v>0</v>
      </c>
      <c r="Y135" s="292">
        <f t="shared" si="57"/>
        <v>0</v>
      </c>
      <c r="Z135" s="292">
        <f t="shared" si="58"/>
        <v>0</v>
      </c>
      <c r="AA135" s="292">
        <f t="shared" si="59"/>
        <v>0</v>
      </c>
      <c r="AB135" s="292">
        <f t="shared" si="60"/>
        <v>0</v>
      </c>
      <c r="AC135" s="292">
        <f t="shared" si="61"/>
        <v>0</v>
      </c>
      <c r="AD135" s="292">
        <f t="shared" si="62"/>
        <v>0</v>
      </c>
      <c r="AE135" s="292">
        <f t="shared" si="63"/>
        <v>0</v>
      </c>
      <c r="AF135" s="292">
        <f t="shared" si="88"/>
        <v>0</v>
      </c>
      <c r="AG135" s="292">
        <f t="shared" si="89"/>
        <v>0</v>
      </c>
      <c r="AH135" s="292">
        <f t="shared" si="64"/>
        <v>0</v>
      </c>
      <c r="AI135" s="292">
        <f t="shared" si="65"/>
        <v>0</v>
      </c>
      <c r="AJ135" s="292">
        <f t="shared" si="66"/>
        <v>0</v>
      </c>
      <c r="AK135" s="292">
        <f t="shared" si="67"/>
        <v>0</v>
      </c>
      <c r="AL135" s="292">
        <f t="shared" si="68"/>
        <v>0</v>
      </c>
      <c r="AM135" s="292">
        <f t="shared" si="69"/>
        <v>0</v>
      </c>
      <c r="AN135" s="292">
        <f t="shared" si="70"/>
        <v>0</v>
      </c>
      <c r="AO135" s="292">
        <f t="shared" si="71"/>
        <v>0</v>
      </c>
      <c r="AP135" s="292">
        <f t="shared" si="72"/>
        <v>0</v>
      </c>
      <c r="AQ135" s="292">
        <f t="shared" si="73"/>
        <v>0</v>
      </c>
      <c r="AR135" s="292">
        <f t="shared" si="74"/>
        <v>0</v>
      </c>
      <c r="AS135" s="292">
        <f t="shared" si="75"/>
        <v>0</v>
      </c>
      <c r="AT135" s="292">
        <f t="shared" si="76"/>
        <v>0</v>
      </c>
      <c r="AU135" s="292">
        <f t="shared" si="77"/>
        <v>0</v>
      </c>
      <c r="AV135" s="292">
        <f t="shared" si="78"/>
        <v>0</v>
      </c>
      <c r="AW135" s="292">
        <f t="shared" si="79"/>
        <v>0</v>
      </c>
      <c r="AX135" s="292">
        <f t="shared" si="80"/>
        <v>0</v>
      </c>
      <c r="AY135" s="292">
        <f t="shared" si="81"/>
        <v>0</v>
      </c>
      <c r="AZ135" s="292">
        <f t="shared" si="82"/>
        <v>0</v>
      </c>
      <c r="BA135" s="292">
        <f t="shared" si="83"/>
        <v>0</v>
      </c>
    </row>
    <row r="136" spans="1:53" s="289" customFormat="1" ht="15.75" customHeight="1">
      <c r="A136" s="63" t="str">
        <f t="array" ref="A136">IF(C136&lt;&gt;0,SUM(($C$11:C136&lt;&gt;0)*1),"")</f>
        <v/>
      </c>
      <c r="B136" s="290"/>
      <c r="C136" s="290"/>
      <c r="D136" s="290"/>
      <c r="E136" s="396"/>
      <c r="F136" s="345"/>
      <c r="G136" s="347"/>
      <c r="H136" s="347"/>
      <c r="I136" s="63" t="str">
        <f t="shared" si="91"/>
        <v/>
      </c>
      <c r="J136" s="292">
        <f t="shared" si="46"/>
        <v>0</v>
      </c>
      <c r="K136" s="292">
        <f t="shared" si="47"/>
        <v>0</v>
      </c>
      <c r="L136" s="292">
        <f t="shared" si="48"/>
        <v>0</v>
      </c>
      <c r="M136" s="292">
        <f t="shared" si="49"/>
        <v>0</v>
      </c>
      <c r="N136" s="292">
        <f t="shared" si="84"/>
        <v>0</v>
      </c>
      <c r="O136" s="292">
        <f t="shared" si="85"/>
        <v>0</v>
      </c>
      <c r="P136" s="292">
        <f t="shared" si="50"/>
        <v>0</v>
      </c>
      <c r="Q136" s="292">
        <f t="shared" si="51"/>
        <v>0</v>
      </c>
      <c r="R136" s="292">
        <f t="shared" si="52"/>
        <v>0</v>
      </c>
      <c r="S136" s="292">
        <f t="shared" si="53"/>
        <v>0</v>
      </c>
      <c r="T136" s="292">
        <f t="shared" si="86"/>
        <v>0</v>
      </c>
      <c r="U136" s="292">
        <f t="shared" si="87"/>
        <v>0</v>
      </c>
      <c r="V136" s="292">
        <f t="shared" si="54"/>
        <v>0</v>
      </c>
      <c r="W136" s="292">
        <f t="shared" si="55"/>
        <v>0</v>
      </c>
      <c r="X136" s="292">
        <f t="shared" si="56"/>
        <v>0</v>
      </c>
      <c r="Y136" s="292">
        <f t="shared" si="57"/>
        <v>0</v>
      </c>
      <c r="Z136" s="292">
        <f t="shared" si="58"/>
        <v>0</v>
      </c>
      <c r="AA136" s="292">
        <f t="shared" si="59"/>
        <v>0</v>
      </c>
      <c r="AB136" s="292">
        <f t="shared" si="60"/>
        <v>0</v>
      </c>
      <c r="AC136" s="292">
        <f t="shared" si="61"/>
        <v>0</v>
      </c>
      <c r="AD136" s="292">
        <f t="shared" si="62"/>
        <v>0</v>
      </c>
      <c r="AE136" s="292">
        <f t="shared" si="63"/>
        <v>0</v>
      </c>
      <c r="AF136" s="292">
        <f t="shared" si="88"/>
        <v>0</v>
      </c>
      <c r="AG136" s="292">
        <f t="shared" si="89"/>
        <v>0</v>
      </c>
      <c r="AH136" s="292">
        <f t="shared" si="64"/>
        <v>0</v>
      </c>
      <c r="AI136" s="292">
        <f t="shared" si="65"/>
        <v>0</v>
      </c>
      <c r="AJ136" s="292">
        <f t="shared" si="66"/>
        <v>0</v>
      </c>
      <c r="AK136" s="292">
        <f t="shared" si="67"/>
        <v>0</v>
      </c>
      <c r="AL136" s="292">
        <f t="shared" si="68"/>
        <v>0</v>
      </c>
      <c r="AM136" s="292">
        <f t="shared" si="69"/>
        <v>0</v>
      </c>
      <c r="AN136" s="292">
        <f t="shared" si="70"/>
        <v>0</v>
      </c>
      <c r="AO136" s="292">
        <f t="shared" si="71"/>
        <v>0</v>
      </c>
      <c r="AP136" s="292">
        <f t="shared" si="72"/>
        <v>0</v>
      </c>
      <c r="AQ136" s="292">
        <f t="shared" si="73"/>
        <v>0</v>
      </c>
      <c r="AR136" s="292">
        <f t="shared" si="74"/>
        <v>0</v>
      </c>
      <c r="AS136" s="292">
        <f t="shared" si="75"/>
        <v>0</v>
      </c>
      <c r="AT136" s="292">
        <f t="shared" si="76"/>
        <v>0</v>
      </c>
      <c r="AU136" s="292">
        <f t="shared" si="77"/>
        <v>0</v>
      </c>
      <c r="AV136" s="292">
        <f t="shared" si="78"/>
        <v>0</v>
      </c>
      <c r="AW136" s="292">
        <f t="shared" si="79"/>
        <v>0</v>
      </c>
      <c r="AX136" s="292">
        <f t="shared" si="80"/>
        <v>0</v>
      </c>
      <c r="AY136" s="292">
        <f t="shared" si="81"/>
        <v>0</v>
      </c>
      <c r="AZ136" s="292">
        <f t="shared" si="82"/>
        <v>0</v>
      </c>
      <c r="BA136" s="292">
        <f t="shared" si="83"/>
        <v>0</v>
      </c>
    </row>
    <row r="137" spans="1:53" s="289" customFormat="1" ht="15.75" customHeight="1">
      <c r="A137" s="63" t="str">
        <f t="array" ref="A137">IF(C137&lt;&gt;0,SUM(($C$11:C137&lt;&gt;0)*1),"")</f>
        <v/>
      </c>
      <c r="B137" s="290"/>
      <c r="C137" s="290"/>
      <c r="D137" s="290"/>
      <c r="E137" s="396"/>
      <c r="F137" s="345"/>
      <c r="G137" s="347"/>
      <c r="H137" s="347"/>
      <c r="I137" s="63" t="str">
        <f t="shared" si="91"/>
        <v/>
      </c>
      <c r="J137" s="292">
        <f t="shared" si="46"/>
        <v>0</v>
      </c>
      <c r="K137" s="292">
        <f t="shared" si="47"/>
        <v>0</v>
      </c>
      <c r="L137" s="292">
        <f t="shared" si="48"/>
        <v>0</v>
      </c>
      <c r="M137" s="292">
        <f t="shared" si="49"/>
        <v>0</v>
      </c>
      <c r="N137" s="292">
        <f t="shared" si="84"/>
        <v>0</v>
      </c>
      <c r="O137" s="292">
        <f t="shared" si="85"/>
        <v>0</v>
      </c>
      <c r="P137" s="292">
        <f t="shared" si="50"/>
        <v>0</v>
      </c>
      <c r="Q137" s="292">
        <f t="shared" si="51"/>
        <v>0</v>
      </c>
      <c r="R137" s="292">
        <f t="shared" si="52"/>
        <v>0</v>
      </c>
      <c r="S137" s="292">
        <f t="shared" si="53"/>
        <v>0</v>
      </c>
      <c r="T137" s="292">
        <f t="shared" si="86"/>
        <v>0</v>
      </c>
      <c r="U137" s="292">
        <f t="shared" si="87"/>
        <v>0</v>
      </c>
      <c r="V137" s="292">
        <f t="shared" si="54"/>
        <v>0</v>
      </c>
      <c r="W137" s="292">
        <f t="shared" si="55"/>
        <v>0</v>
      </c>
      <c r="X137" s="292">
        <f t="shared" si="56"/>
        <v>0</v>
      </c>
      <c r="Y137" s="292">
        <f t="shared" si="57"/>
        <v>0</v>
      </c>
      <c r="Z137" s="292">
        <f t="shared" si="58"/>
        <v>0</v>
      </c>
      <c r="AA137" s="292">
        <f t="shared" si="59"/>
        <v>0</v>
      </c>
      <c r="AB137" s="292">
        <f t="shared" si="60"/>
        <v>0</v>
      </c>
      <c r="AC137" s="292">
        <f t="shared" si="61"/>
        <v>0</v>
      </c>
      <c r="AD137" s="292">
        <f t="shared" si="62"/>
        <v>0</v>
      </c>
      <c r="AE137" s="292">
        <f t="shared" si="63"/>
        <v>0</v>
      </c>
      <c r="AF137" s="292">
        <f t="shared" si="88"/>
        <v>0</v>
      </c>
      <c r="AG137" s="292">
        <f t="shared" si="89"/>
        <v>0</v>
      </c>
      <c r="AH137" s="292">
        <f t="shared" si="64"/>
        <v>0</v>
      </c>
      <c r="AI137" s="292">
        <f t="shared" si="65"/>
        <v>0</v>
      </c>
      <c r="AJ137" s="292">
        <f t="shared" si="66"/>
        <v>0</v>
      </c>
      <c r="AK137" s="292">
        <f t="shared" si="67"/>
        <v>0</v>
      </c>
      <c r="AL137" s="292">
        <f t="shared" si="68"/>
        <v>0</v>
      </c>
      <c r="AM137" s="292">
        <f t="shared" si="69"/>
        <v>0</v>
      </c>
      <c r="AN137" s="292">
        <f t="shared" si="70"/>
        <v>0</v>
      </c>
      <c r="AO137" s="292">
        <f t="shared" si="71"/>
        <v>0</v>
      </c>
      <c r="AP137" s="292">
        <f t="shared" si="72"/>
        <v>0</v>
      </c>
      <c r="AQ137" s="292">
        <f t="shared" si="73"/>
        <v>0</v>
      </c>
      <c r="AR137" s="292">
        <f t="shared" si="74"/>
        <v>0</v>
      </c>
      <c r="AS137" s="292">
        <f t="shared" si="75"/>
        <v>0</v>
      </c>
      <c r="AT137" s="292">
        <f t="shared" si="76"/>
        <v>0</v>
      </c>
      <c r="AU137" s="292">
        <f t="shared" si="77"/>
        <v>0</v>
      </c>
      <c r="AV137" s="292">
        <f t="shared" si="78"/>
        <v>0</v>
      </c>
      <c r="AW137" s="292">
        <f t="shared" si="79"/>
        <v>0</v>
      </c>
      <c r="AX137" s="292">
        <f t="shared" si="80"/>
        <v>0</v>
      </c>
      <c r="AY137" s="292">
        <f t="shared" si="81"/>
        <v>0</v>
      </c>
      <c r="AZ137" s="292">
        <f t="shared" si="82"/>
        <v>0</v>
      </c>
      <c r="BA137" s="292">
        <f t="shared" si="83"/>
        <v>0</v>
      </c>
    </row>
    <row r="138" spans="1:53" s="289" customFormat="1" ht="15.75" customHeight="1">
      <c r="A138" s="63" t="str">
        <f t="array" ref="A138">IF(C138&lt;&gt;0,SUM(($C$11:C138&lt;&gt;0)*1),"")</f>
        <v/>
      </c>
      <c r="B138" s="290"/>
      <c r="C138" s="290"/>
      <c r="D138" s="290"/>
      <c r="E138" s="396"/>
      <c r="F138" s="345"/>
      <c r="G138" s="347"/>
      <c r="H138" s="347"/>
      <c r="I138" s="63" t="str">
        <f t="shared" si="91"/>
        <v/>
      </c>
      <c r="J138" s="292">
        <f t="shared" si="46"/>
        <v>0</v>
      </c>
      <c r="K138" s="292">
        <f t="shared" si="47"/>
        <v>0</v>
      </c>
      <c r="L138" s="292">
        <f t="shared" si="48"/>
        <v>0</v>
      </c>
      <c r="M138" s="292">
        <f t="shared" si="49"/>
        <v>0</v>
      </c>
      <c r="N138" s="292">
        <f t="shared" si="84"/>
        <v>0</v>
      </c>
      <c r="O138" s="292">
        <f t="shared" si="85"/>
        <v>0</v>
      </c>
      <c r="P138" s="292">
        <f t="shared" si="50"/>
        <v>0</v>
      </c>
      <c r="Q138" s="292">
        <f t="shared" si="51"/>
        <v>0</v>
      </c>
      <c r="R138" s="292">
        <f t="shared" si="52"/>
        <v>0</v>
      </c>
      <c r="S138" s="292">
        <f t="shared" si="53"/>
        <v>0</v>
      </c>
      <c r="T138" s="292">
        <f t="shared" si="86"/>
        <v>0</v>
      </c>
      <c r="U138" s="292">
        <f t="shared" si="87"/>
        <v>0</v>
      </c>
      <c r="V138" s="292">
        <f t="shared" si="54"/>
        <v>0</v>
      </c>
      <c r="W138" s="292">
        <f t="shared" si="55"/>
        <v>0</v>
      </c>
      <c r="X138" s="292">
        <f t="shared" si="56"/>
        <v>0</v>
      </c>
      <c r="Y138" s="292">
        <f t="shared" si="57"/>
        <v>0</v>
      </c>
      <c r="Z138" s="292">
        <f t="shared" si="58"/>
        <v>0</v>
      </c>
      <c r="AA138" s="292">
        <f t="shared" si="59"/>
        <v>0</v>
      </c>
      <c r="AB138" s="292">
        <f t="shared" si="60"/>
        <v>0</v>
      </c>
      <c r="AC138" s="292">
        <f t="shared" si="61"/>
        <v>0</v>
      </c>
      <c r="AD138" s="292">
        <f t="shared" si="62"/>
        <v>0</v>
      </c>
      <c r="AE138" s="292">
        <f t="shared" si="63"/>
        <v>0</v>
      </c>
      <c r="AF138" s="292">
        <f t="shared" si="88"/>
        <v>0</v>
      </c>
      <c r="AG138" s="292">
        <f t="shared" si="89"/>
        <v>0</v>
      </c>
      <c r="AH138" s="292">
        <f t="shared" si="64"/>
        <v>0</v>
      </c>
      <c r="AI138" s="292">
        <f t="shared" si="65"/>
        <v>0</v>
      </c>
      <c r="AJ138" s="292">
        <f t="shared" si="66"/>
        <v>0</v>
      </c>
      <c r="AK138" s="292">
        <f t="shared" si="67"/>
        <v>0</v>
      </c>
      <c r="AL138" s="292">
        <f t="shared" si="68"/>
        <v>0</v>
      </c>
      <c r="AM138" s="292">
        <f t="shared" si="69"/>
        <v>0</v>
      </c>
      <c r="AN138" s="292">
        <f t="shared" si="70"/>
        <v>0</v>
      </c>
      <c r="AO138" s="292">
        <f t="shared" si="71"/>
        <v>0</v>
      </c>
      <c r="AP138" s="292">
        <f t="shared" si="72"/>
        <v>0</v>
      </c>
      <c r="AQ138" s="292">
        <f t="shared" si="73"/>
        <v>0</v>
      </c>
      <c r="AR138" s="292">
        <f t="shared" si="74"/>
        <v>0</v>
      </c>
      <c r="AS138" s="292">
        <f t="shared" si="75"/>
        <v>0</v>
      </c>
      <c r="AT138" s="292">
        <f t="shared" si="76"/>
        <v>0</v>
      </c>
      <c r="AU138" s="292">
        <f t="shared" si="77"/>
        <v>0</v>
      </c>
      <c r="AV138" s="292">
        <f t="shared" si="78"/>
        <v>0</v>
      </c>
      <c r="AW138" s="292">
        <f t="shared" si="79"/>
        <v>0</v>
      </c>
      <c r="AX138" s="292">
        <f t="shared" si="80"/>
        <v>0</v>
      </c>
      <c r="AY138" s="292">
        <f t="shared" si="81"/>
        <v>0</v>
      </c>
      <c r="AZ138" s="292">
        <f t="shared" si="82"/>
        <v>0</v>
      </c>
      <c r="BA138" s="292">
        <f t="shared" si="83"/>
        <v>0</v>
      </c>
    </row>
    <row r="139" spans="1:53" s="289" customFormat="1" ht="15.75" customHeight="1">
      <c r="A139" s="63" t="str">
        <f t="array" ref="A139">IF(C139&lt;&gt;0,SUM(($C$11:C139&lt;&gt;0)*1),"")</f>
        <v/>
      </c>
      <c r="B139" s="290"/>
      <c r="C139" s="290"/>
      <c r="D139" s="290"/>
      <c r="E139" s="396"/>
      <c r="F139" s="345"/>
      <c r="G139" s="347"/>
      <c r="H139" s="347"/>
      <c r="I139" s="63" t="str">
        <f t="shared" si="91"/>
        <v/>
      </c>
      <c r="J139" s="292">
        <f t="shared" ref="J139:J202" si="92">IF($G139="1111",$F139,0)</f>
        <v>0</v>
      </c>
      <c r="K139" s="292">
        <f t="shared" ref="K139:K202" si="93">IF($H139="1111",$F139,0)</f>
        <v>0</v>
      </c>
      <c r="L139" s="292">
        <f t="shared" ref="L139:L202" si="94">IF($G139="1121",$F139,0)</f>
        <v>0</v>
      </c>
      <c r="M139" s="292">
        <f t="shared" ref="M139:M202" si="95">IF($H139="1121",$F139,0)</f>
        <v>0</v>
      </c>
      <c r="N139" s="292">
        <f t="shared" si="84"/>
        <v>0</v>
      </c>
      <c r="O139" s="292">
        <f t="shared" si="85"/>
        <v>0</v>
      </c>
      <c r="P139" s="292">
        <f t="shared" ref="P139:P202" si="96">IF($G139="1331",$F139,0)</f>
        <v>0</v>
      </c>
      <c r="Q139" s="292">
        <f t="shared" ref="Q139:Q202" si="97">IF($H139="1331",$F139,0)</f>
        <v>0</v>
      </c>
      <c r="R139" s="292">
        <f t="shared" ref="R139:R202" si="98">IF($G139="1388",$F139,0)</f>
        <v>0</v>
      </c>
      <c r="S139" s="292">
        <f t="shared" ref="S139:S202" si="99">IF($H139="1388",$F139,0)</f>
        <v>0</v>
      </c>
      <c r="T139" s="292">
        <f t="shared" si="86"/>
        <v>0</v>
      </c>
      <c r="U139" s="292">
        <f t="shared" si="87"/>
        <v>0</v>
      </c>
      <c r="V139" s="292">
        <f t="shared" ref="V139:V202" si="100">IF($G139="331",$F139,0)</f>
        <v>0</v>
      </c>
      <c r="W139" s="292">
        <f t="shared" ref="W139:W202" si="101">IF($H139="331",$F139,0)</f>
        <v>0</v>
      </c>
      <c r="X139" s="292">
        <f t="shared" ref="X139:X202" si="102">IF($G139="3334",$F139,0)</f>
        <v>0</v>
      </c>
      <c r="Y139" s="292">
        <f t="shared" ref="Y139:Y202" si="103">IF($H139="3334",$F139,0)</f>
        <v>0</v>
      </c>
      <c r="Z139" s="292">
        <f t="shared" ref="Z139:Z202" si="104">IF($G139="33382",$F139,0)</f>
        <v>0</v>
      </c>
      <c r="AA139" s="292">
        <f t="shared" ref="AA139:AA202" si="105">IF($H139="33382",$F139,0)</f>
        <v>0</v>
      </c>
      <c r="AB139" s="292">
        <f t="shared" ref="AB139:AB202" si="106">IF($G139="3388",$F139,0)</f>
        <v>0</v>
      </c>
      <c r="AC139" s="292">
        <f t="shared" ref="AC139:AC202" si="107">IF($H139="3388",$F139,0)</f>
        <v>0</v>
      </c>
      <c r="AD139" s="292">
        <f t="shared" ref="AD139:AD202" si="108">IF($G139="3411",$F139,0)</f>
        <v>0</v>
      </c>
      <c r="AE139" s="292">
        <f t="shared" ref="AE139:AE202" si="109">IF($H139="3411",$F139,0)</f>
        <v>0</v>
      </c>
      <c r="AF139" s="292">
        <f t="shared" si="88"/>
        <v>0</v>
      </c>
      <c r="AG139" s="292">
        <f t="shared" si="89"/>
        <v>0</v>
      </c>
      <c r="AH139" s="292">
        <f t="shared" ref="AH139:AH202" si="110">IF($G139="4111",$F139,0)</f>
        <v>0</v>
      </c>
      <c r="AI139" s="292">
        <f t="shared" ref="AI139:AI202" si="111">IF($H139="4111",$F139,0)</f>
        <v>0</v>
      </c>
      <c r="AJ139" s="292">
        <f t="shared" ref="AJ139:AJ202" si="112">IF($G139="4211",$F139,0)</f>
        <v>0</v>
      </c>
      <c r="AK139" s="292">
        <f t="shared" ref="AK139:AK202" si="113">IF($H139="4211",$F139,0)</f>
        <v>0</v>
      </c>
      <c r="AL139" s="292">
        <f t="shared" ref="AL139:AL202" si="114">IF($G139="4212",$F139,0)</f>
        <v>0</v>
      </c>
      <c r="AM139" s="292">
        <f t="shared" ref="AM139:AM202" si="115">IF($H139="4212",$F139,0)</f>
        <v>0</v>
      </c>
      <c r="AN139" s="292">
        <f t="shared" ref="AN139:AN202" si="116">IF($G139="515",$F139,0)</f>
        <v>0</v>
      </c>
      <c r="AO139" s="292">
        <f t="shared" ref="AO139:AO202" si="117">IF($H139="515",$F139,0)</f>
        <v>0</v>
      </c>
      <c r="AP139" s="292">
        <f t="shared" ref="AP139:AP202" si="118">IF($G139="635",$F139,0)</f>
        <v>0</v>
      </c>
      <c r="AQ139" s="292">
        <f t="shared" ref="AQ139:AQ202" si="119">IF($H139="635",$F139,0)</f>
        <v>0</v>
      </c>
      <c r="AR139" s="292">
        <f t="shared" ref="AR139:AR202" si="120">IF($G139="642",$F139,0)</f>
        <v>0</v>
      </c>
      <c r="AS139" s="292">
        <f t="shared" ref="AS139:AS202" si="121">IF($H139="642",$F139,0)</f>
        <v>0</v>
      </c>
      <c r="AT139" s="292">
        <f t="shared" ref="AT139:AT202" si="122">IF($G139="711",$F139,0)</f>
        <v>0</v>
      </c>
      <c r="AU139" s="292">
        <f t="shared" ref="AU139:AU202" si="123">IF($H139="711",$F139,0)</f>
        <v>0</v>
      </c>
      <c r="AV139" s="292">
        <f t="shared" ref="AV139:AV202" si="124">IF($G139="811",$F139,0)</f>
        <v>0</v>
      </c>
      <c r="AW139" s="292">
        <f t="shared" ref="AW139:AW202" si="125">IF($H139="811",$F139,0)</f>
        <v>0</v>
      </c>
      <c r="AX139" s="292">
        <f t="shared" ref="AX139:AX202" si="126">IF($G139="821",$F139,0)</f>
        <v>0</v>
      </c>
      <c r="AY139" s="292">
        <f t="shared" ref="AY139:AY202" si="127">IF($H139="821",$F139,0)</f>
        <v>0</v>
      </c>
      <c r="AZ139" s="292">
        <f t="shared" ref="AZ139:AZ202" si="128">IF($G139="911",$F139,0)</f>
        <v>0</v>
      </c>
      <c r="BA139" s="292">
        <f t="shared" ref="BA139:BA202" si="129">IF($H139="911",$F139,0)</f>
        <v>0</v>
      </c>
    </row>
    <row r="140" spans="1:53" s="289" customFormat="1" ht="15.75" customHeight="1">
      <c r="A140" s="63" t="str">
        <f t="array" ref="A140">IF(C140&lt;&gt;0,SUM(($C$11:C140&lt;&gt;0)*1),"")</f>
        <v/>
      </c>
      <c r="B140" s="290"/>
      <c r="C140" s="290"/>
      <c r="D140" s="290"/>
      <c r="E140" s="396"/>
      <c r="F140" s="345"/>
      <c r="G140" s="347"/>
      <c r="H140" s="347"/>
      <c r="I140" s="63" t="str">
        <f t="shared" si="91"/>
        <v/>
      </c>
      <c r="J140" s="292">
        <f t="shared" si="92"/>
        <v>0</v>
      </c>
      <c r="K140" s="292">
        <f t="shared" si="93"/>
        <v>0</v>
      </c>
      <c r="L140" s="292">
        <f t="shared" si="94"/>
        <v>0</v>
      </c>
      <c r="M140" s="292">
        <f t="shared" si="95"/>
        <v>0</v>
      </c>
      <c r="N140" s="292">
        <f t="shared" ref="N140:N203" si="130">IF($G140="1122",$F140,0)</f>
        <v>0</v>
      </c>
      <c r="O140" s="292">
        <f t="shared" ref="O140:O203" si="131">IF($H140="1122",$F140,0)</f>
        <v>0</v>
      </c>
      <c r="P140" s="292">
        <f t="shared" si="96"/>
        <v>0</v>
      </c>
      <c r="Q140" s="292">
        <f t="shared" si="97"/>
        <v>0</v>
      </c>
      <c r="R140" s="292">
        <f t="shared" si="98"/>
        <v>0</v>
      </c>
      <c r="S140" s="292">
        <f t="shared" si="99"/>
        <v>0</v>
      </c>
      <c r="T140" s="292">
        <f t="shared" ref="T140:T203" si="132">IF($G140="2412",$F140,0)</f>
        <v>0</v>
      </c>
      <c r="U140" s="292">
        <f t="shared" ref="U140:U203" si="133">IF($H140="2412",$F140,0)</f>
        <v>0</v>
      </c>
      <c r="V140" s="292">
        <f t="shared" si="100"/>
        <v>0</v>
      </c>
      <c r="W140" s="292">
        <f t="shared" si="101"/>
        <v>0</v>
      </c>
      <c r="X140" s="292">
        <f t="shared" si="102"/>
        <v>0</v>
      </c>
      <c r="Y140" s="292">
        <f t="shared" si="103"/>
        <v>0</v>
      </c>
      <c r="Z140" s="292">
        <f t="shared" si="104"/>
        <v>0</v>
      </c>
      <c r="AA140" s="292">
        <f t="shared" si="105"/>
        <v>0</v>
      </c>
      <c r="AB140" s="292">
        <f t="shared" si="106"/>
        <v>0</v>
      </c>
      <c r="AC140" s="292">
        <f t="shared" si="107"/>
        <v>0</v>
      </c>
      <c r="AD140" s="292">
        <f t="shared" si="108"/>
        <v>0</v>
      </c>
      <c r="AE140" s="292">
        <f t="shared" si="109"/>
        <v>0</v>
      </c>
      <c r="AF140" s="292">
        <f t="shared" ref="AF140:AF203" si="134">IF($G140="3412",$F140,0)</f>
        <v>0</v>
      </c>
      <c r="AG140" s="292">
        <f t="shared" ref="AG140:AG203" si="135">IF($H140="3412",$F140,0)</f>
        <v>0</v>
      </c>
      <c r="AH140" s="292">
        <f t="shared" si="110"/>
        <v>0</v>
      </c>
      <c r="AI140" s="292">
        <f t="shared" si="111"/>
        <v>0</v>
      </c>
      <c r="AJ140" s="292">
        <f t="shared" si="112"/>
        <v>0</v>
      </c>
      <c r="AK140" s="292">
        <f t="shared" si="113"/>
        <v>0</v>
      </c>
      <c r="AL140" s="292">
        <f t="shared" si="114"/>
        <v>0</v>
      </c>
      <c r="AM140" s="292">
        <f t="shared" si="115"/>
        <v>0</v>
      </c>
      <c r="AN140" s="292">
        <f t="shared" si="116"/>
        <v>0</v>
      </c>
      <c r="AO140" s="292">
        <f t="shared" si="117"/>
        <v>0</v>
      </c>
      <c r="AP140" s="292">
        <f t="shared" si="118"/>
        <v>0</v>
      </c>
      <c r="AQ140" s="292">
        <f t="shared" si="119"/>
        <v>0</v>
      </c>
      <c r="AR140" s="292">
        <f t="shared" si="120"/>
        <v>0</v>
      </c>
      <c r="AS140" s="292">
        <f t="shared" si="121"/>
        <v>0</v>
      </c>
      <c r="AT140" s="292">
        <f t="shared" si="122"/>
        <v>0</v>
      </c>
      <c r="AU140" s="292">
        <f t="shared" si="123"/>
        <v>0</v>
      </c>
      <c r="AV140" s="292">
        <f t="shared" si="124"/>
        <v>0</v>
      </c>
      <c r="AW140" s="292">
        <f t="shared" si="125"/>
        <v>0</v>
      </c>
      <c r="AX140" s="292">
        <f t="shared" si="126"/>
        <v>0</v>
      </c>
      <c r="AY140" s="292">
        <f t="shared" si="127"/>
        <v>0</v>
      </c>
      <c r="AZ140" s="292">
        <f t="shared" si="128"/>
        <v>0</v>
      </c>
      <c r="BA140" s="292">
        <f t="shared" si="129"/>
        <v>0</v>
      </c>
    </row>
    <row r="141" spans="1:53" s="289" customFormat="1" ht="15.75" customHeight="1">
      <c r="A141" s="63" t="str">
        <f t="array" ref="A141">IF(C141&lt;&gt;0,SUM(($C$11:C141&lt;&gt;0)*1),"")</f>
        <v/>
      </c>
      <c r="B141" s="290"/>
      <c r="C141" s="290"/>
      <c r="D141" s="290"/>
      <c r="E141" s="396"/>
      <c r="F141" s="345"/>
      <c r="G141" s="347"/>
      <c r="H141" s="347"/>
      <c r="I141" s="63" t="str">
        <f t="shared" si="91"/>
        <v/>
      </c>
      <c r="J141" s="292">
        <f t="shared" si="92"/>
        <v>0</v>
      </c>
      <c r="K141" s="292">
        <f t="shared" si="93"/>
        <v>0</v>
      </c>
      <c r="L141" s="292">
        <f t="shared" si="94"/>
        <v>0</v>
      </c>
      <c r="M141" s="292">
        <f t="shared" si="95"/>
        <v>0</v>
      </c>
      <c r="N141" s="292">
        <f t="shared" si="130"/>
        <v>0</v>
      </c>
      <c r="O141" s="292">
        <f t="shared" si="131"/>
        <v>0</v>
      </c>
      <c r="P141" s="292">
        <f t="shared" si="96"/>
        <v>0</v>
      </c>
      <c r="Q141" s="292">
        <f t="shared" si="97"/>
        <v>0</v>
      </c>
      <c r="R141" s="292">
        <f t="shared" si="98"/>
        <v>0</v>
      </c>
      <c r="S141" s="292">
        <f t="shared" si="99"/>
        <v>0</v>
      </c>
      <c r="T141" s="292">
        <f t="shared" si="132"/>
        <v>0</v>
      </c>
      <c r="U141" s="292">
        <f t="shared" si="133"/>
        <v>0</v>
      </c>
      <c r="V141" s="292">
        <f t="shared" si="100"/>
        <v>0</v>
      </c>
      <c r="W141" s="292">
        <f t="shared" si="101"/>
        <v>0</v>
      </c>
      <c r="X141" s="292">
        <f t="shared" si="102"/>
        <v>0</v>
      </c>
      <c r="Y141" s="292">
        <f t="shared" si="103"/>
        <v>0</v>
      </c>
      <c r="Z141" s="292">
        <f t="shared" si="104"/>
        <v>0</v>
      </c>
      <c r="AA141" s="292">
        <f t="shared" si="105"/>
        <v>0</v>
      </c>
      <c r="AB141" s="292">
        <f t="shared" si="106"/>
        <v>0</v>
      </c>
      <c r="AC141" s="292">
        <f t="shared" si="107"/>
        <v>0</v>
      </c>
      <c r="AD141" s="292">
        <f t="shared" si="108"/>
        <v>0</v>
      </c>
      <c r="AE141" s="292">
        <f t="shared" si="109"/>
        <v>0</v>
      </c>
      <c r="AF141" s="292">
        <f t="shared" si="134"/>
        <v>0</v>
      </c>
      <c r="AG141" s="292">
        <f t="shared" si="135"/>
        <v>0</v>
      </c>
      <c r="AH141" s="292">
        <f t="shared" si="110"/>
        <v>0</v>
      </c>
      <c r="AI141" s="292">
        <f t="shared" si="111"/>
        <v>0</v>
      </c>
      <c r="AJ141" s="292">
        <f t="shared" si="112"/>
        <v>0</v>
      </c>
      <c r="AK141" s="292">
        <f t="shared" si="113"/>
        <v>0</v>
      </c>
      <c r="AL141" s="292">
        <f t="shared" si="114"/>
        <v>0</v>
      </c>
      <c r="AM141" s="292">
        <f t="shared" si="115"/>
        <v>0</v>
      </c>
      <c r="AN141" s="292">
        <f t="shared" si="116"/>
        <v>0</v>
      </c>
      <c r="AO141" s="292">
        <f t="shared" si="117"/>
        <v>0</v>
      </c>
      <c r="AP141" s="292">
        <f t="shared" si="118"/>
        <v>0</v>
      </c>
      <c r="AQ141" s="292">
        <f t="shared" si="119"/>
        <v>0</v>
      </c>
      <c r="AR141" s="292">
        <f t="shared" si="120"/>
        <v>0</v>
      </c>
      <c r="AS141" s="292">
        <f t="shared" si="121"/>
        <v>0</v>
      </c>
      <c r="AT141" s="292">
        <f t="shared" si="122"/>
        <v>0</v>
      </c>
      <c r="AU141" s="292">
        <f t="shared" si="123"/>
        <v>0</v>
      </c>
      <c r="AV141" s="292">
        <f t="shared" si="124"/>
        <v>0</v>
      </c>
      <c r="AW141" s="292">
        <f t="shared" si="125"/>
        <v>0</v>
      </c>
      <c r="AX141" s="292">
        <f t="shared" si="126"/>
        <v>0</v>
      </c>
      <c r="AY141" s="292">
        <f t="shared" si="127"/>
        <v>0</v>
      </c>
      <c r="AZ141" s="292">
        <f t="shared" si="128"/>
        <v>0</v>
      </c>
      <c r="BA141" s="292">
        <f t="shared" si="129"/>
        <v>0</v>
      </c>
    </row>
    <row r="142" spans="1:53" s="289" customFormat="1" ht="15.75" customHeight="1">
      <c r="A142" s="63" t="str">
        <f t="array" ref="A142">IF(C142&lt;&gt;0,SUM(($C$11:C142&lt;&gt;0)*1),"")</f>
        <v/>
      </c>
      <c r="B142" s="290"/>
      <c r="C142" s="290"/>
      <c r="D142" s="290"/>
      <c r="E142" s="396"/>
      <c r="F142" s="345"/>
      <c r="G142" s="347"/>
      <c r="H142" s="347"/>
      <c r="I142" s="63" t="str">
        <f t="shared" si="91"/>
        <v/>
      </c>
      <c r="J142" s="292">
        <f t="shared" si="92"/>
        <v>0</v>
      </c>
      <c r="K142" s="292">
        <f t="shared" si="93"/>
        <v>0</v>
      </c>
      <c r="L142" s="292">
        <f t="shared" si="94"/>
        <v>0</v>
      </c>
      <c r="M142" s="292">
        <f t="shared" si="95"/>
        <v>0</v>
      </c>
      <c r="N142" s="292">
        <f t="shared" si="130"/>
        <v>0</v>
      </c>
      <c r="O142" s="292">
        <f t="shared" si="131"/>
        <v>0</v>
      </c>
      <c r="P142" s="292">
        <f t="shared" si="96"/>
        <v>0</v>
      </c>
      <c r="Q142" s="292">
        <f t="shared" si="97"/>
        <v>0</v>
      </c>
      <c r="R142" s="292">
        <f t="shared" si="98"/>
        <v>0</v>
      </c>
      <c r="S142" s="292">
        <f t="shared" si="99"/>
        <v>0</v>
      </c>
      <c r="T142" s="292">
        <f t="shared" si="132"/>
        <v>0</v>
      </c>
      <c r="U142" s="292">
        <f t="shared" si="133"/>
        <v>0</v>
      </c>
      <c r="V142" s="292">
        <f t="shared" si="100"/>
        <v>0</v>
      </c>
      <c r="W142" s="292">
        <f t="shared" si="101"/>
        <v>0</v>
      </c>
      <c r="X142" s="292">
        <f t="shared" si="102"/>
        <v>0</v>
      </c>
      <c r="Y142" s="292">
        <f t="shared" si="103"/>
        <v>0</v>
      </c>
      <c r="Z142" s="292">
        <f t="shared" si="104"/>
        <v>0</v>
      </c>
      <c r="AA142" s="292">
        <f t="shared" si="105"/>
        <v>0</v>
      </c>
      <c r="AB142" s="292">
        <f t="shared" si="106"/>
        <v>0</v>
      </c>
      <c r="AC142" s="292">
        <f t="shared" si="107"/>
        <v>0</v>
      </c>
      <c r="AD142" s="292">
        <f t="shared" si="108"/>
        <v>0</v>
      </c>
      <c r="AE142" s="292">
        <f t="shared" si="109"/>
        <v>0</v>
      </c>
      <c r="AF142" s="292">
        <f t="shared" si="134"/>
        <v>0</v>
      </c>
      <c r="AG142" s="292">
        <f t="shared" si="135"/>
        <v>0</v>
      </c>
      <c r="AH142" s="292">
        <f t="shared" si="110"/>
        <v>0</v>
      </c>
      <c r="AI142" s="292">
        <f t="shared" si="111"/>
        <v>0</v>
      </c>
      <c r="AJ142" s="292">
        <f t="shared" si="112"/>
        <v>0</v>
      </c>
      <c r="AK142" s="292">
        <f t="shared" si="113"/>
        <v>0</v>
      </c>
      <c r="AL142" s="292">
        <f t="shared" si="114"/>
        <v>0</v>
      </c>
      <c r="AM142" s="292">
        <f t="shared" si="115"/>
        <v>0</v>
      </c>
      <c r="AN142" s="292">
        <f t="shared" si="116"/>
        <v>0</v>
      </c>
      <c r="AO142" s="292">
        <f t="shared" si="117"/>
        <v>0</v>
      </c>
      <c r="AP142" s="292">
        <f t="shared" si="118"/>
        <v>0</v>
      </c>
      <c r="AQ142" s="292">
        <f t="shared" si="119"/>
        <v>0</v>
      </c>
      <c r="AR142" s="292">
        <f t="shared" si="120"/>
        <v>0</v>
      </c>
      <c r="AS142" s="292">
        <f t="shared" si="121"/>
        <v>0</v>
      </c>
      <c r="AT142" s="292">
        <f t="shared" si="122"/>
        <v>0</v>
      </c>
      <c r="AU142" s="292">
        <f t="shared" si="123"/>
        <v>0</v>
      </c>
      <c r="AV142" s="292">
        <f t="shared" si="124"/>
        <v>0</v>
      </c>
      <c r="AW142" s="292">
        <f t="shared" si="125"/>
        <v>0</v>
      </c>
      <c r="AX142" s="292">
        <f t="shared" si="126"/>
        <v>0</v>
      </c>
      <c r="AY142" s="292">
        <f t="shared" si="127"/>
        <v>0</v>
      </c>
      <c r="AZ142" s="292">
        <f t="shared" si="128"/>
        <v>0</v>
      </c>
      <c r="BA142" s="292">
        <f t="shared" si="129"/>
        <v>0</v>
      </c>
    </row>
    <row r="143" spans="1:53" s="289" customFormat="1" ht="15.75" customHeight="1">
      <c r="A143" s="63" t="str">
        <f t="array" ref="A143">IF(C143&lt;&gt;0,SUM(($C$11:C143&lt;&gt;0)*1),"")</f>
        <v/>
      </c>
      <c r="B143" s="290"/>
      <c r="C143" s="290"/>
      <c r="D143" s="290"/>
      <c r="E143" s="396"/>
      <c r="F143" s="345"/>
      <c r="G143" s="347"/>
      <c r="H143" s="347"/>
      <c r="I143" s="63" t="str">
        <f t="shared" si="91"/>
        <v/>
      </c>
      <c r="J143" s="292">
        <f t="shared" si="92"/>
        <v>0</v>
      </c>
      <c r="K143" s="292">
        <f t="shared" si="93"/>
        <v>0</v>
      </c>
      <c r="L143" s="292">
        <f t="shared" si="94"/>
        <v>0</v>
      </c>
      <c r="M143" s="292">
        <f t="shared" si="95"/>
        <v>0</v>
      </c>
      <c r="N143" s="292">
        <f t="shared" si="130"/>
        <v>0</v>
      </c>
      <c r="O143" s="292">
        <f t="shared" si="131"/>
        <v>0</v>
      </c>
      <c r="P143" s="292">
        <f t="shared" si="96"/>
        <v>0</v>
      </c>
      <c r="Q143" s="292">
        <f t="shared" si="97"/>
        <v>0</v>
      </c>
      <c r="R143" s="292">
        <f t="shared" si="98"/>
        <v>0</v>
      </c>
      <c r="S143" s="292">
        <f t="shared" si="99"/>
        <v>0</v>
      </c>
      <c r="T143" s="292">
        <f t="shared" si="132"/>
        <v>0</v>
      </c>
      <c r="U143" s="292">
        <f t="shared" si="133"/>
        <v>0</v>
      </c>
      <c r="V143" s="292">
        <f t="shared" si="100"/>
        <v>0</v>
      </c>
      <c r="W143" s="292">
        <f t="shared" si="101"/>
        <v>0</v>
      </c>
      <c r="X143" s="292">
        <f t="shared" si="102"/>
        <v>0</v>
      </c>
      <c r="Y143" s="292">
        <f t="shared" si="103"/>
        <v>0</v>
      </c>
      <c r="Z143" s="292">
        <f t="shared" si="104"/>
        <v>0</v>
      </c>
      <c r="AA143" s="292">
        <f t="shared" si="105"/>
        <v>0</v>
      </c>
      <c r="AB143" s="292">
        <f t="shared" si="106"/>
        <v>0</v>
      </c>
      <c r="AC143" s="292">
        <f t="shared" si="107"/>
        <v>0</v>
      </c>
      <c r="AD143" s="292">
        <f t="shared" si="108"/>
        <v>0</v>
      </c>
      <c r="AE143" s="292">
        <f t="shared" si="109"/>
        <v>0</v>
      </c>
      <c r="AF143" s="292">
        <f t="shared" si="134"/>
        <v>0</v>
      </c>
      <c r="AG143" s="292">
        <f t="shared" si="135"/>
        <v>0</v>
      </c>
      <c r="AH143" s="292">
        <f t="shared" si="110"/>
        <v>0</v>
      </c>
      <c r="AI143" s="292">
        <f t="shared" si="111"/>
        <v>0</v>
      </c>
      <c r="AJ143" s="292">
        <f t="shared" si="112"/>
        <v>0</v>
      </c>
      <c r="AK143" s="292">
        <f t="shared" si="113"/>
        <v>0</v>
      </c>
      <c r="AL143" s="292">
        <f t="shared" si="114"/>
        <v>0</v>
      </c>
      <c r="AM143" s="292">
        <f t="shared" si="115"/>
        <v>0</v>
      </c>
      <c r="AN143" s="292">
        <f t="shared" si="116"/>
        <v>0</v>
      </c>
      <c r="AO143" s="292">
        <f t="shared" si="117"/>
        <v>0</v>
      </c>
      <c r="AP143" s="292">
        <f t="shared" si="118"/>
        <v>0</v>
      </c>
      <c r="AQ143" s="292">
        <f t="shared" si="119"/>
        <v>0</v>
      </c>
      <c r="AR143" s="292">
        <f t="shared" si="120"/>
        <v>0</v>
      </c>
      <c r="AS143" s="292">
        <f t="shared" si="121"/>
        <v>0</v>
      </c>
      <c r="AT143" s="292">
        <f t="shared" si="122"/>
        <v>0</v>
      </c>
      <c r="AU143" s="292">
        <f t="shared" si="123"/>
        <v>0</v>
      </c>
      <c r="AV143" s="292">
        <f t="shared" si="124"/>
        <v>0</v>
      </c>
      <c r="AW143" s="292">
        <f t="shared" si="125"/>
        <v>0</v>
      </c>
      <c r="AX143" s="292">
        <f t="shared" si="126"/>
        <v>0</v>
      </c>
      <c r="AY143" s="292">
        <f t="shared" si="127"/>
        <v>0</v>
      </c>
      <c r="AZ143" s="292">
        <f t="shared" si="128"/>
        <v>0</v>
      </c>
      <c r="BA143" s="292">
        <f t="shared" si="129"/>
        <v>0</v>
      </c>
    </row>
    <row r="144" spans="1:53" s="289" customFormat="1" ht="15.75" customHeight="1">
      <c r="A144" s="63" t="str">
        <f t="array" ref="A144">IF(C144&lt;&gt;0,SUM(($C$11:C144&lt;&gt;0)*1),"")</f>
        <v/>
      </c>
      <c r="B144" s="290"/>
      <c r="C144" s="290"/>
      <c r="D144" s="290"/>
      <c r="E144" s="396"/>
      <c r="F144" s="345"/>
      <c r="G144" s="347"/>
      <c r="H144" s="347"/>
      <c r="I144" s="63" t="str">
        <f t="shared" si="91"/>
        <v/>
      </c>
      <c r="J144" s="292">
        <f t="shared" si="92"/>
        <v>0</v>
      </c>
      <c r="K144" s="292">
        <f t="shared" si="93"/>
        <v>0</v>
      </c>
      <c r="L144" s="292">
        <f t="shared" si="94"/>
        <v>0</v>
      </c>
      <c r="M144" s="292">
        <f t="shared" si="95"/>
        <v>0</v>
      </c>
      <c r="N144" s="292">
        <f t="shared" si="130"/>
        <v>0</v>
      </c>
      <c r="O144" s="292">
        <f t="shared" si="131"/>
        <v>0</v>
      </c>
      <c r="P144" s="292">
        <f t="shared" si="96"/>
        <v>0</v>
      </c>
      <c r="Q144" s="292">
        <f t="shared" si="97"/>
        <v>0</v>
      </c>
      <c r="R144" s="292">
        <f t="shared" si="98"/>
        <v>0</v>
      </c>
      <c r="S144" s="292">
        <f t="shared" si="99"/>
        <v>0</v>
      </c>
      <c r="T144" s="292">
        <f t="shared" si="132"/>
        <v>0</v>
      </c>
      <c r="U144" s="292">
        <f t="shared" si="133"/>
        <v>0</v>
      </c>
      <c r="V144" s="292">
        <f t="shared" si="100"/>
        <v>0</v>
      </c>
      <c r="W144" s="292">
        <f t="shared" si="101"/>
        <v>0</v>
      </c>
      <c r="X144" s="292">
        <f t="shared" si="102"/>
        <v>0</v>
      </c>
      <c r="Y144" s="292">
        <f t="shared" si="103"/>
        <v>0</v>
      </c>
      <c r="Z144" s="292">
        <f t="shared" si="104"/>
        <v>0</v>
      </c>
      <c r="AA144" s="292">
        <f t="shared" si="105"/>
        <v>0</v>
      </c>
      <c r="AB144" s="292">
        <f t="shared" si="106"/>
        <v>0</v>
      </c>
      <c r="AC144" s="292">
        <f t="shared" si="107"/>
        <v>0</v>
      </c>
      <c r="AD144" s="292">
        <f t="shared" si="108"/>
        <v>0</v>
      </c>
      <c r="AE144" s="292">
        <f t="shared" si="109"/>
        <v>0</v>
      </c>
      <c r="AF144" s="292">
        <f t="shared" si="134"/>
        <v>0</v>
      </c>
      <c r="AG144" s="292">
        <f t="shared" si="135"/>
        <v>0</v>
      </c>
      <c r="AH144" s="292">
        <f t="shared" si="110"/>
        <v>0</v>
      </c>
      <c r="AI144" s="292">
        <f t="shared" si="111"/>
        <v>0</v>
      </c>
      <c r="AJ144" s="292">
        <f t="shared" si="112"/>
        <v>0</v>
      </c>
      <c r="AK144" s="292">
        <f t="shared" si="113"/>
        <v>0</v>
      </c>
      <c r="AL144" s="292">
        <f t="shared" si="114"/>
        <v>0</v>
      </c>
      <c r="AM144" s="292">
        <f t="shared" si="115"/>
        <v>0</v>
      </c>
      <c r="AN144" s="292">
        <f t="shared" si="116"/>
        <v>0</v>
      </c>
      <c r="AO144" s="292">
        <f t="shared" si="117"/>
        <v>0</v>
      </c>
      <c r="AP144" s="292">
        <f t="shared" si="118"/>
        <v>0</v>
      </c>
      <c r="AQ144" s="292">
        <f t="shared" si="119"/>
        <v>0</v>
      </c>
      <c r="AR144" s="292">
        <f t="shared" si="120"/>
        <v>0</v>
      </c>
      <c r="AS144" s="292">
        <f t="shared" si="121"/>
        <v>0</v>
      </c>
      <c r="AT144" s="292">
        <f t="shared" si="122"/>
        <v>0</v>
      </c>
      <c r="AU144" s="292">
        <f t="shared" si="123"/>
        <v>0</v>
      </c>
      <c r="AV144" s="292">
        <f t="shared" si="124"/>
        <v>0</v>
      </c>
      <c r="AW144" s="292">
        <f t="shared" si="125"/>
        <v>0</v>
      </c>
      <c r="AX144" s="292">
        <f t="shared" si="126"/>
        <v>0</v>
      </c>
      <c r="AY144" s="292">
        <f t="shared" si="127"/>
        <v>0</v>
      </c>
      <c r="AZ144" s="292">
        <f t="shared" si="128"/>
        <v>0</v>
      </c>
      <c r="BA144" s="292">
        <f t="shared" si="129"/>
        <v>0</v>
      </c>
    </row>
    <row r="145" spans="1:53" s="289" customFormat="1" ht="15.75" customHeight="1">
      <c r="A145" s="63" t="str">
        <f t="array" ref="A145">IF(C145&lt;&gt;0,SUM(($C$11:C145&lt;&gt;0)*1),"")</f>
        <v/>
      </c>
      <c r="B145" s="290"/>
      <c r="C145" s="290"/>
      <c r="D145" s="290"/>
      <c r="E145" s="396"/>
      <c r="F145" s="345"/>
      <c r="G145" s="347"/>
      <c r="H145" s="347"/>
      <c r="I145" s="63" t="str">
        <f t="shared" si="91"/>
        <v/>
      </c>
      <c r="J145" s="292">
        <f t="shared" si="92"/>
        <v>0</v>
      </c>
      <c r="K145" s="292">
        <f t="shared" si="93"/>
        <v>0</v>
      </c>
      <c r="L145" s="292">
        <f t="shared" si="94"/>
        <v>0</v>
      </c>
      <c r="M145" s="292">
        <f t="shared" si="95"/>
        <v>0</v>
      </c>
      <c r="N145" s="292">
        <f t="shared" si="130"/>
        <v>0</v>
      </c>
      <c r="O145" s="292">
        <f t="shared" si="131"/>
        <v>0</v>
      </c>
      <c r="P145" s="292">
        <f t="shared" si="96"/>
        <v>0</v>
      </c>
      <c r="Q145" s="292">
        <f t="shared" si="97"/>
        <v>0</v>
      </c>
      <c r="R145" s="292">
        <f t="shared" si="98"/>
        <v>0</v>
      </c>
      <c r="S145" s="292">
        <f t="shared" si="99"/>
        <v>0</v>
      </c>
      <c r="T145" s="292">
        <f t="shared" si="132"/>
        <v>0</v>
      </c>
      <c r="U145" s="292">
        <f t="shared" si="133"/>
        <v>0</v>
      </c>
      <c r="V145" s="292">
        <f t="shared" si="100"/>
        <v>0</v>
      </c>
      <c r="W145" s="292">
        <f t="shared" si="101"/>
        <v>0</v>
      </c>
      <c r="X145" s="292">
        <f t="shared" si="102"/>
        <v>0</v>
      </c>
      <c r="Y145" s="292">
        <f t="shared" si="103"/>
        <v>0</v>
      </c>
      <c r="Z145" s="292">
        <f t="shared" si="104"/>
        <v>0</v>
      </c>
      <c r="AA145" s="292">
        <f t="shared" si="105"/>
        <v>0</v>
      </c>
      <c r="AB145" s="292">
        <f t="shared" si="106"/>
        <v>0</v>
      </c>
      <c r="AC145" s="292">
        <f t="shared" si="107"/>
        <v>0</v>
      </c>
      <c r="AD145" s="292">
        <f t="shared" si="108"/>
        <v>0</v>
      </c>
      <c r="AE145" s="292">
        <f t="shared" si="109"/>
        <v>0</v>
      </c>
      <c r="AF145" s="292">
        <f t="shared" si="134"/>
        <v>0</v>
      </c>
      <c r="AG145" s="292">
        <f t="shared" si="135"/>
        <v>0</v>
      </c>
      <c r="AH145" s="292">
        <f t="shared" si="110"/>
        <v>0</v>
      </c>
      <c r="AI145" s="292">
        <f t="shared" si="111"/>
        <v>0</v>
      </c>
      <c r="AJ145" s="292">
        <f t="shared" si="112"/>
        <v>0</v>
      </c>
      <c r="AK145" s="292">
        <f t="shared" si="113"/>
        <v>0</v>
      </c>
      <c r="AL145" s="292">
        <f t="shared" si="114"/>
        <v>0</v>
      </c>
      <c r="AM145" s="292">
        <f t="shared" si="115"/>
        <v>0</v>
      </c>
      <c r="AN145" s="292">
        <f t="shared" si="116"/>
        <v>0</v>
      </c>
      <c r="AO145" s="292">
        <f t="shared" si="117"/>
        <v>0</v>
      </c>
      <c r="AP145" s="292">
        <f t="shared" si="118"/>
        <v>0</v>
      </c>
      <c r="AQ145" s="292">
        <f t="shared" si="119"/>
        <v>0</v>
      </c>
      <c r="AR145" s="292">
        <f t="shared" si="120"/>
        <v>0</v>
      </c>
      <c r="AS145" s="292">
        <f t="shared" si="121"/>
        <v>0</v>
      </c>
      <c r="AT145" s="292">
        <f t="shared" si="122"/>
        <v>0</v>
      </c>
      <c r="AU145" s="292">
        <f t="shared" si="123"/>
        <v>0</v>
      </c>
      <c r="AV145" s="292">
        <f t="shared" si="124"/>
        <v>0</v>
      </c>
      <c r="AW145" s="292">
        <f t="shared" si="125"/>
        <v>0</v>
      </c>
      <c r="AX145" s="292">
        <f t="shared" si="126"/>
        <v>0</v>
      </c>
      <c r="AY145" s="292">
        <f t="shared" si="127"/>
        <v>0</v>
      </c>
      <c r="AZ145" s="292">
        <f t="shared" si="128"/>
        <v>0</v>
      </c>
      <c r="BA145" s="292">
        <f t="shared" si="129"/>
        <v>0</v>
      </c>
    </row>
    <row r="146" spans="1:53" s="289" customFormat="1" ht="15.75" customHeight="1">
      <c r="A146" s="63" t="str">
        <f t="array" ref="A146">IF(C146&lt;&gt;0,SUM(($C$11:C146&lt;&gt;0)*1),"")</f>
        <v/>
      </c>
      <c r="B146" s="290"/>
      <c r="C146" s="290"/>
      <c r="D146" s="290"/>
      <c r="E146" s="396"/>
      <c r="F146" s="345"/>
      <c r="G146" s="347"/>
      <c r="H146" s="347"/>
      <c r="I146" s="63" t="str">
        <f t="shared" si="91"/>
        <v/>
      </c>
      <c r="J146" s="292">
        <f t="shared" si="92"/>
        <v>0</v>
      </c>
      <c r="K146" s="292">
        <f t="shared" si="93"/>
        <v>0</v>
      </c>
      <c r="L146" s="292">
        <f t="shared" si="94"/>
        <v>0</v>
      </c>
      <c r="M146" s="292">
        <f t="shared" si="95"/>
        <v>0</v>
      </c>
      <c r="N146" s="292">
        <f t="shared" si="130"/>
        <v>0</v>
      </c>
      <c r="O146" s="292">
        <f t="shared" si="131"/>
        <v>0</v>
      </c>
      <c r="P146" s="292">
        <f t="shared" si="96"/>
        <v>0</v>
      </c>
      <c r="Q146" s="292">
        <f t="shared" si="97"/>
        <v>0</v>
      </c>
      <c r="R146" s="292">
        <f t="shared" si="98"/>
        <v>0</v>
      </c>
      <c r="S146" s="292">
        <f t="shared" si="99"/>
        <v>0</v>
      </c>
      <c r="T146" s="292">
        <f t="shared" si="132"/>
        <v>0</v>
      </c>
      <c r="U146" s="292">
        <f t="shared" si="133"/>
        <v>0</v>
      </c>
      <c r="V146" s="292">
        <f t="shared" si="100"/>
        <v>0</v>
      </c>
      <c r="W146" s="292">
        <f t="shared" si="101"/>
        <v>0</v>
      </c>
      <c r="X146" s="292">
        <f t="shared" si="102"/>
        <v>0</v>
      </c>
      <c r="Y146" s="292">
        <f t="shared" si="103"/>
        <v>0</v>
      </c>
      <c r="Z146" s="292">
        <f t="shared" si="104"/>
        <v>0</v>
      </c>
      <c r="AA146" s="292">
        <f t="shared" si="105"/>
        <v>0</v>
      </c>
      <c r="AB146" s="292">
        <f t="shared" si="106"/>
        <v>0</v>
      </c>
      <c r="AC146" s="292">
        <f t="shared" si="107"/>
        <v>0</v>
      </c>
      <c r="AD146" s="292">
        <f t="shared" si="108"/>
        <v>0</v>
      </c>
      <c r="AE146" s="292">
        <f t="shared" si="109"/>
        <v>0</v>
      </c>
      <c r="AF146" s="292">
        <f t="shared" si="134"/>
        <v>0</v>
      </c>
      <c r="AG146" s="292">
        <f t="shared" si="135"/>
        <v>0</v>
      </c>
      <c r="AH146" s="292">
        <f t="shared" si="110"/>
        <v>0</v>
      </c>
      <c r="AI146" s="292">
        <f t="shared" si="111"/>
        <v>0</v>
      </c>
      <c r="AJ146" s="292">
        <f t="shared" si="112"/>
        <v>0</v>
      </c>
      <c r="AK146" s="292">
        <f t="shared" si="113"/>
        <v>0</v>
      </c>
      <c r="AL146" s="292">
        <f t="shared" si="114"/>
        <v>0</v>
      </c>
      <c r="AM146" s="292">
        <f t="shared" si="115"/>
        <v>0</v>
      </c>
      <c r="AN146" s="292">
        <f t="shared" si="116"/>
        <v>0</v>
      </c>
      <c r="AO146" s="292">
        <f t="shared" si="117"/>
        <v>0</v>
      </c>
      <c r="AP146" s="292">
        <f t="shared" si="118"/>
        <v>0</v>
      </c>
      <c r="AQ146" s="292">
        <f t="shared" si="119"/>
        <v>0</v>
      </c>
      <c r="AR146" s="292">
        <f t="shared" si="120"/>
        <v>0</v>
      </c>
      <c r="AS146" s="292">
        <f t="shared" si="121"/>
        <v>0</v>
      </c>
      <c r="AT146" s="292">
        <f t="shared" si="122"/>
        <v>0</v>
      </c>
      <c r="AU146" s="292">
        <f t="shared" si="123"/>
        <v>0</v>
      </c>
      <c r="AV146" s="292">
        <f t="shared" si="124"/>
        <v>0</v>
      </c>
      <c r="AW146" s="292">
        <f t="shared" si="125"/>
        <v>0</v>
      </c>
      <c r="AX146" s="292">
        <f t="shared" si="126"/>
        <v>0</v>
      </c>
      <c r="AY146" s="292">
        <f t="shared" si="127"/>
        <v>0</v>
      </c>
      <c r="AZ146" s="292">
        <f t="shared" si="128"/>
        <v>0</v>
      </c>
      <c r="BA146" s="292">
        <f t="shared" si="129"/>
        <v>0</v>
      </c>
    </row>
    <row r="147" spans="1:53" s="289" customFormat="1" ht="15.75" customHeight="1">
      <c r="A147" s="63" t="str">
        <f t="array" ref="A147">IF(C147&lt;&gt;0,SUM(($C$11:C147&lt;&gt;0)*1),"")</f>
        <v/>
      </c>
      <c r="B147" s="290"/>
      <c r="C147" s="290"/>
      <c r="D147" s="290"/>
      <c r="E147" s="396"/>
      <c r="F147" s="345"/>
      <c r="G147" s="347"/>
      <c r="H147" s="347"/>
      <c r="I147" s="63" t="str">
        <f t="shared" si="91"/>
        <v/>
      </c>
      <c r="J147" s="292">
        <f t="shared" si="92"/>
        <v>0</v>
      </c>
      <c r="K147" s="292">
        <f t="shared" si="93"/>
        <v>0</v>
      </c>
      <c r="L147" s="292">
        <f t="shared" si="94"/>
        <v>0</v>
      </c>
      <c r="M147" s="292">
        <f t="shared" si="95"/>
        <v>0</v>
      </c>
      <c r="N147" s="292">
        <f t="shared" si="130"/>
        <v>0</v>
      </c>
      <c r="O147" s="292">
        <f t="shared" si="131"/>
        <v>0</v>
      </c>
      <c r="P147" s="292">
        <f t="shared" si="96"/>
        <v>0</v>
      </c>
      <c r="Q147" s="292">
        <f t="shared" si="97"/>
        <v>0</v>
      </c>
      <c r="R147" s="292">
        <f t="shared" si="98"/>
        <v>0</v>
      </c>
      <c r="S147" s="292">
        <f t="shared" si="99"/>
        <v>0</v>
      </c>
      <c r="T147" s="292">
        <f t="shared" si="132"/>
        <v>0</v>
      </c>
      <c r="U147" s="292">
        <f t="shared" si="133"/>
        <v>0</v>
      </c>
      <c r="V147" s="292">
        <f t="shared" si="100"/>
        <v>0</v>
      </c>
      <c r="W147" s="292">
        <f t="shared" si="101"/>
        <v>0</v>
      </c>
      <c r="X147" s="292">
        <f t="shared" si="102"/>
        <v>0</v>
      </c>
      <c r="Y147" s="292">
        <f t="shared" si="103"/>
        <v>0</v>
      </c>
      <c r="Z147" s="292">
        <f t="shared" si="104"/>
        <v>0</v>
      </c>
      <c r="AA147" s="292">
        <f t="shared" si="105"/>
        <v>0</v>
      </c>
      <c r="AB147" s="292">
        <f t="shared" si="106"/>
        <v>0</v>
      </c>
      <c r="AC147" s="292">
        <f t="shared" si="107"/>
        <v>0</v>
      </c>
      <c r="AD147" s="292">
        <f t="shared" si="108"/>
        <v>0</v>
      </c>
      <c r="AE147" s="292">
        <f t="shared" si="109"/>
        <v>0</v>
      </c>
      <c r="AF147" s="292">
        <f t="shared" si="134"/>
        <v>0</v>
      </c>
      <c r="AG147" s="292">
        <f t="shared" si="135"/>
        <v>0</v>
      </c>
      <c r="AH147" s="292">
        <f t="shared" si="110"/>
        <v>0</v>
      </c>
      <c r="AI147" s="292">
        <f t="shared" si="111"/>
        <v>0</v>
      </c>
      <c r="AJ147" s="292">
        <f t="shared" si="112"/>
        <v>0</v>
      </c>
      <c r="AK147" s="292">
        <f t="shared" si="113"/>
        <v>0</v>
      </c>
      <c r="AL147" s="292">
        <f t="shared" si="114"/>
        <v>0</v>
      </c>
      <c r="AM147" s="292">
        <f t="shared" si="115"/>
        <v>0</v>
      </c>
      <c r="AN147" s="292">
        <f t="shared" si="116"/>
        <v>0</v>
      </c>
      <c r="AO147" s="292">
        <f t="shared" si="117"/>
        <v>0</v>
      </c>
      <c r="AP147" s="292">
        <f t="shared" si="118"/>
        <v>0</v>
      </c>
      <c r="AQ147" s="292">
        <f t="shared" si="119"/>
        <v>0</v>
      </c>
      <c r="AR147" s="292">
        <f t="shared" si="120"/>
        <v>0</v>
      </c>
      <c r="AS147" s="292">
        <f t="shared" si="121"/>
        <v>0</v>
      </c>
      <c r="AT147" s="292">
        <f t="shared" si="122"/>
        <v>0</v>
      </c>
      <c r="AU147" s="292">
        <f t="shared" si="123"/>
        <v>0</v>
      </c>
      <c r="AV147" s="292">
        <f t="shared" si="124"/>
        <v>0</v>
      </c>
      <c r="AW147" s="292">
        <f t="shared" si="125"/>
        <v>0</v>
      </c>
      <c r="AX147" s="292">
        <f t="shared" si="126"/>
        <v>0</v>
      </c>
      <c r="AY147" s="292">
        <f t="shared" si="127"/>
        <v>0</v>
      </c>
      <c r="AZ147" s="292">
        <f t="shared" si="128"/>
        <v>0</v>
      </c>
      <c r="BA147" s="292">
        <f t="shared" si="129"/>
        <v>0</v>
      </c>
    </row>
    <row r="148" spans="1:53" s="289" customFormat="1" ht="15.75" customHeight="1">
      <c r="A148" s="63" t="str">
        <f t="array" ref="A148">IF(C148&lt;&gt;0,SUM(($C$11:C148&lt;&gt;0)*1),"")</f>
        <v/>
      </c>
      <c r="B148" s="290"/>
      <c r="C148" s="290"/>
      <c r="D148" s="290"/>
      <c r="E148" s="396"/>
      <c r="F148" s="345"/>
      <c r="G148" s="347"/>
      <c r="H148" s="347"/>
      <c r="I148" s="63" t="str">
        <f t="shared" si="91"/>
        <v/>
      </c>
      <c r="J148" s="292">
        <f t="shared" si="92"/>
        <v>0</v>
      </c>
      <c r="K148" s="292">
        <f t="shared" si="93"/>
        <v>0</v>
      </c>
      <c r="L148" s="292">
        <f t="shared" si="94"/>
        <v>0</v>
      </c>
      <c r="M148" s="292">
        <f t="shared" si="95"/>
        <v>0</v>
      </c>
      <c r="N148" s="292">
        <f t="shared" si="130"/>
        <v>0</v>
      </c>
      <c r="O148" s="292">
        <f t="shared" si="131"/>
        <v>0</v>
      </c>
      <c r="P148" s="292">
        <f t="shared" si="96"/>
        <v>0</v>
      </c>
      <c r="Q148" s="292">
        <f t="shared" si="97"/>
        <v>0</v>
      </c>
      <c r="R148" s="292">
        <f t="shared" si="98"/>
        <v>0</v>
      </c>
      <c r="S148" s="292">
        <f t="shared" si="99"/>
        <v>0</v>
      </c>
      <c r="T148" s="292">
        <f t="shared" si="132"/>
        <v>0</v>
      </c>
      <c r="U148" s="292">
        <f t="shared" si="133"/>
        <v>0</v>
      </c>
      <c r="V148" s="292">
        <f t="shared" si="100"/>
        <v>0</v>
      </c>
      <c r="W148" s="292">
        <f t="shared" si="101"/>
        <v>0</v>
      </c>
      <c r="X148" s="292">
        <f t="shared" si="102"/>
        <v>0</v>
      </c>
      <c r="Y148" s="292">
        <f t="shared" si="103"/>
        <v>0</v>
      </c>
      <c r="Z148" s="292">
        <f t="shared" si="104"/>
        <v>0</v>
      </c>
      <c r="AA148" s="292">
        <f t="shared" si="105"/>
        <v>0</v>
      </c>
      <c r="AB148" s="292">
        <f t="shared" si="106"/>
        <v>0</v>
      </c>
      <c r="AC148" s="292">
        <f t="shared" si="107"/>
        <v>0</v>
      </c>
      <c r="AD148" s="292">
        <f t="shared" si="108"/>
        <v>0</v>
      </c>
      <c r="AE148" s="292">
        <f t="shared" si="109"/>
        <v>0</v>
      </c>
      <c r="AF148" s="292">
        <f t="shared" si="134"/>
        <v>0</v>
      </c>
      <c r="AG148" s="292">
        <f t="shared" si="135"/>
        <v>0</v>
      </c>
      <c r="AH148" s="292">
        <f t="shared" si="110"/>
        <v>0</v>
      </c>
      <c r="AI148" s="292">
        <f t="shared" si="111"/>
        <v>0</v>
      </c>
      <c r="AJ148" s="292">
        <f t="shared" si="112"/>
        <v>0</v>
      </c>
      <c r="AK148" s="292">
        <f t="shared" si="113"/>
        <v>0</v>
      </c>
      <c r="AL148" s="292">
        <f t="shared" si="114"/>
        <v>0</v>
      </c>
      <c r="AM148" s="292">
        <f t="shared" si="115"/>
        <v>0</v>
      </c>
      <c r="AN148" s="292">
        <f t="shared" si="116"/>
        <v>0</v>
      </c>
      <c r="AO148" s="292">
        <f t="shared" si="117"/>
        <v>0</v>
      </c>
      <c r="AP148" s="292">
        <f t="shared" si="118"/>
        <v>0</v>
      </c>
      <c r="AQ148" s="292">
        <f t="shared" si="119"/>
        <v>0</v>
      </c>
      <c r="AR148" s="292">
        <f t="shared" si="120"/>
        <v>0</v>
      </c>
      <c r="AS148" s="292">
        <f t="shared" si="121"/>
        <v>0</v>
      </c>
      <c r="AT148" s="292">
        <f t="shared" si="122"/>
        <v>0</v>
      </c>
      <c r="AU148" s="292">
        <f t="shared" si="123"/>
        <v>0</v>
      </c>
      <c r="AV148" s="292">
        <f t="shared" si="124"/>
        <v>0</v>
      </c>
      <c r="AW148" s="292">
        <f t="shared" si="125"/>
        <v>0</v>
      </c>
      <c r="AX148" s="292">
        <f t="shared" si="126"/>
        <v>0</v>
      </c>
      <c r="AY148" s="292">
        <f t="shared" si="127"/>
        <v>0</v>
      </c>
      <c r="AZ148" s="292">
        <f t="shared" si="128"/>
        <v>0</v>
      </c>
      <c r="BA148" s="292">
        <f t="shared" si="129"/>
        <v>0</v>
      </c>
    </row>
    <row r="149" spans="1:53" s="289" customFormat="1" ht="15.75" customHeight="1">
      <c r="A149" s="63" t="str">
        <f t="array" ref="A149">IF(C149&lt;&gt;0,SUM(($C$11:C149&lt;&gt;0)*1),"")</f>
        <v/>
      </c>
      <c r="B149" s="290"/>
      <c r="C149" s="290"/>
      <c r="D149" s="290"/>
      <c r="E149" s="396"/>
      <c r="F149" s="345"/>
      <c r="G149" s="347"/>
      <c r="H149" s="347"/>
      <c r="I149" s="63" t="str">
        <f t="shared" si="91"/>
        <v/>
      </c>
      <c r="J149" s="292">
        <f t="shared" si="92"/>
        <v>0</v>
      </c>
      <c r="K149" s="292">
        <f t="shared" si="93"/>
        <v>0</v>
      </c>
      <c r="L149" s="292">
        <f t="shared" si="94"/>
        <v>0</v>
      </c>
      <c r="M149" s="292">
        <f t="shared" si="95"/>
        <v>0</v>
      </c>
      <c r="N149" s="292">
        <f t="shared" si="130"/>
        <v>0</v>
      </c>
      <c r="O149" s="292">
        <f t="shared" si="131"/>
        <v>0</v>
      </c>
      <c r="P149" s="292">
        <f t="shared" si="96"/>
        <v>0</v>
      </c>
      <c r="Q149" s="292">
        <f t="shared" si="97"/>
        <v>0</v>
      </c>
      <c r="R149" s="292">
        <f t="shared" si="98"/>
        <v>0</v>
      </c>
      <c r="S149" s="292">
        <f t="shared" si="99"/>
        <v>0</v>
      </c>
      <c r="T149" s="292">
        <f t="shared" si="132"/>
        <v>0</v>
      </c>
      <c r="U149" s="292">
        <f t="shared" si="133"/>
        <v>0</v>
      </c>
      <c r="V149" s="292">
        <f t="shared" si="100"/>
        <v>0</v>
      </c>
      <c r="W149" s="292">
        <f t="shared" si="101"/>
        <v>0</v>
      </c>
      <c r="X149" s="292">
        <f t="shared" si="102"/>
        <v>0</v>
      </c>
      <c r="Y149" s="292">
        <f t="shared" si="103"/>
        <v>0</v>
      </c>
      <c r="Z149" s="292">
        <f t="shared" si="104"/>
        <v>0</v>
      </c>
      <c r="AA149" s="292">
        <f t="shared" si="105"/>
        <v>0</v>
      </c>
      <c r="AB149" s="292">
        <f t="shared" si="106"/>
        <v>0</v>
      </c>
      <c r="AC149" s="292">
        <f t="shared" si="107"/>
        <v>0</v>
      </c>
      <c r="AD149" s="292">
        <f t="shared" si="108"/>
        <v>0</v>
      </c>
      <c r="AE149" s="292">
        <f t="shared" si="109"/>
        <v>0</v>
      </c>
      <c r="AF149" s="292">
        <f t="shared" si="134"/>
        <v>0</v>
      </c>
      <c r="AG149" s="292">
        <f t="shared" si="135"/>
        <v>0</v>
      </c>
      <c r="AH149" s="292">
        <f t="shared" si="110"/>
        <v>0</v>
      </c>
      <c r="AI149" s="292">
        <f t="shared" si="111"/>
        <v>0</v>
      </c>
      <c r="AJ149" s="292">
        <f t="shared" si="112"/>
        <v>0</v>
      </c>
      <c r="AK149" s="292">
        <f t="shared" si="113"/>
        <v>0</v>
      </c>
      <c r="AL149" s="292">
        <f t="shared" si="114"/>
        <v>0</v>
      </c>
      <c r="AM149" s="292">
        <f t="shared" si="115"/>
        <v>0</v>
      </c>
      <c r="AN149" s="292">
        <f t="shared" si="116"/>
        <v>0</v>
      </c>
      <c r="AO149" s="292">
        <f t="shared" si="117"/>
        <v>0</v>
      </c>
      <c r="AP149" s="292">
        <f t="shared" si="118"/>
        <v>0</v>
      </c>
      <c r="AQ149" s="292">
        <f t="shared" si="119"/>
        <v>0</v>
      </c>
      <c r="AR149" s="292">
        <f t="shared" si="120"/>
        <v>0</v>
      </c>
      <c r="AS149" s="292">
        <f t="shared" si="121"/>
        <v>0</v>
      </c>
      <c r="AT149" s="292">
        <f t="shared" si="122"/>
        <v>0</v>
      </c>
      <c r="AU149" s="292">
        <f t="shared" si="123"/>
        <v>0</v>
      </c>
      <c r="AV149" s="292">
        <f t="shared" si="124"/>
        <v>0</v>
      </c>
      <c r="AW149" s="292">
        <f t="shared" si="125"/>
        <v>0</v>
      </c>
      <c r="AX149" s="292">
        <f t="shared" si="126"/>
        <v>0</v>
      </c>
      <c r="AY149" s="292">
        <f t="shared" si="127"/>
        <v>0</v>
      </c>
      <c r="AZ149" s="292">
        <f t="shared" si="128"/>
        <v>0</v>
      </c>
      <c r="BA149" s="292">
        <f t="shared" si="129"/>
        <v>0</v>
      </c>
    </row>
    <row r="150" spans="1:53" s="289" customFormat="1" ht="15.75" customHeight="1">
      <c r="A150" s="63" t="str">
        <f t="array" ref="A150">IF(C150&lt;&gt;0,SUM(($C$11:C150&lt;&gt;0)*1),"")</f>
        <v/>
      </c>
      <c r="B150" s="290"/>
      <c r="C150" s="290"/>
      <c r="D150" s="290"/>
      <c r="E150" s="396"/>
      <c r="F150" s="345"/>
      <c r="G150" s="347"/>
      <c r="H150" s="347"/>
      <c r="I150" s="63" t="str">
        <f t="shared" si="91"/>
        <v/>
      </c>
      <c r="J150" s="292">
        <f t="shared" si="92"/>
        <v>0</v>
      </c>
      <c r="K150" s="292">
        <f t="shared" si="93"/>
        <v>0</v>
      </c>
      <c r="L150" s="292">
        <f t="shared" si="94"/>
        <v>0</v>
      </c>
      <c r="M150" s="292">
        <f t="shared" si="95"/>
        <v>0</v>
      </c>
      <c r="N150" s="292">
        <f t="shared" si="130"/>
        <v>0</v>
      </c>
      <c r="O150" s="292">
        <f t="shared" si="131"/>
        <v>0</v>
      </c>
      <c r="P150" s="292">
        <f t="shared" si="96"/>
        <v>0</v>
      </c>
      <c r="Q150" s="292">
        <f t="shared" si="97"/>
        <v>0</v>
      </c>
      <c r="R150" s="292">
        <f t="shared" si="98"/>
        <v>0</v>
      </c>
      <c r="S150" s="292">
        <f t="shared" si="99"/>
        <v>0</v>
      </c>
      <c r="T150" s="292">
        <f t="shared" si="132"/>
        <v>0</v>
      </c>
      <c r="U150" s="292">
        <f t="shared" si="133"/>
        <v>0</v>
      </c>
      <c r="V150" s="292">
        <f t="shared" si="100"/>
        <v>0</v>
      </c>
      <c r="W150" s="292">
        <f t="shared" si="101"/>
        <v>0</v>
      </c>
      <c r="X150" s="292">
        <f t="shared" si="102"/>
        <v>0</v>
      </c>
      <c r="Y150" s="292">
        <f t="shared" si="103"/>
        <v>0</v>
      </c>
      <c r="Z150" s="292">
        <f t="shared" si="104"/>
        <v>0</v>
      </c>
      <c r="AA150" s="292">
        <f t="shared" si="105"/>
        <v>0</v>
      </c>
      <c r="AB150" s="292">
        <f t="shared" si="106"/>
        <v>0</v>
      </c>
      <c r="AC150" s="292">
        <f t="shared" si="107"/>
        <v>0</v>
      </c>
      <c r="AD150" s="292">
        <f t="shared" si="108"/>
        <v>0</v>
      </c>
      <c r="AE150" s="292">
        <f t="shared" si="109"/>
        <v>0</v>
      </c>
      <c r="AF150" s="292">
        <f t="shared" si="134"/>
        <v>0</v>
      </c>
      <c r="AG150" s="292">
        <f t="shared" si="135"/>
        <v>0</v>
      </c>
      <c r="AH150" s="292">
        <f t="shared" si="110"/>
        <v>0</v>
      </c>
      <c r="AI150" s="292">
        <f t="shared" si="111"/>
        <v>0</v>
      </c>
      <c r="AJ150" s="292">
        <f t="shared" si="112"/>
        <v>0</v>
      </c>
      <c r="AK150" s="292">
        <f t="shared" si="113"/>
        <v>0</v>
      </c>
      <c r="AL150" s="292">
        <f t="shared" si="114"/>
        <v>0</v>
      </c>
      <c r="AM150" s="292">
        <f t="shared" si="115"/>
        <v>0</v>
      </c>
      <c r="AN150" s="292">
        <f t="shared" si="116"/>
        <v>0</v>
      </c>
      <c r="AO150" s="292">
        <f t="shared" si="117"/>
        <v>0</v>
      </c>
      <c r="AP150" s="292">
        <f t="shared" si="118"/>
        <v>0</v>
      </c>
      <c r="AQ150" s="292">
        <f t="shared" si="119"/>
        <v>0</v>
      </c>
      <c r="AR150" s="292">
        <f t="shared" si="120"/>
        <v>0</v>
      </c>
      <c r="AS150" s="292">
        <f t="shared" si="121"/>
        <v>0</v>
      </c>
      <c r="AT150" s="292">
        <f t="shared" si="122"/>
        <v>0</v>
      </c>
      <c r="AU150" s="292">
        <f t="shared" si="123"/>
        <v>0</v>
      </c>
      <c r="AV150" s="292">
        <f t="shared" si="124"/>
        <v>0</v>
      </c>
      <c r="AW150" s="292">
        <f t="shared" si="125"/>
        <v>0</v>
      </c>
      <c r="AX150" s="292">
        <f t="shared" si="126"/>
        <v>0</v>
      </c>
      <c r="AY150" s="292">
        <f t="shared" si="127"/>
        <v>0</v>
      </c>
      <c r="AZ150" s="292">
        <f t="shared" si="128"/>
        <v>0</v>
      </c>
      <c r="BA150" s="292">
        <f t="shared" si="129"/>
        <v>0</v>
      </c>
    </row>
    <row r="151" spans="1:53" s="289" customFormat="1" ht="15.75" customHeight="1">
      <c r="A151" s="63" t="str">
        <f t="array" ref="A151">IF(C151&lt;&gt;0,SUM(($C$11:C151&lt;&gt;0)*1),"")</f>
        <v/>
      </c>
      <c r="B151" s="290"/>
      <c r="C151" s="290"/>
      <c r="D151" s="290"/>
      <c r="E151" s="396"/>
      <c r="F151" s="345"/>
      <c r="G151" s="347"/>
      <c r="H151" s="347"/>
      <c r="I151" s="63" t="str">
        <f t="shared" si="91"/>
        <v/>
      </c>
      <c r="J151" s="292">
        <f t="shared" si="92"/>
        <v>0</v>
      </c>
      <c r="K151" s="292">
        <f t="shared" si="93"/>
        <v>0</v>
      </c>
      <c r="L151" s="292">
        <f t="shared" si="94"/>
        <v>0</v>
      </c>
      <c r="M151" s="292">
        <f t="shared" si="95"/>
        <v>0</v>
      </c>
      <c r="N151" s="292">
        <f t="shared" si="130"/>
        <v>0</v>
      </c>
      <c r="O151" s="292">
        <f t="shared" si="131"/>
        <v>0</v>
      </c>
      <c r="P151" s="292">
        <f t="shared" si="96"/>
        <v>0</v>
      </c>
      <c r="Q151" s="292">
        <f t="shared" si="97"/>
        <v>0</v>
      </c>
      <c r="R151" s="292">
        <f t="shared" si="98"/>
        <v>0</v>
      </c>
      <c r="S151" s="292">
        <f t="shared" si="99"/>
        <v>0</v>
      </c>
      <c r="T151" s="292">
        <f t="shared" si="132"/>
        <v>0</v>
      </c>
      <c r="U151" s="292">
        <f t="shared" si="133"/>
        <v>0</v>
      </c>
      <c r="V151" s="292">
        <f t="shared" si="100"/>
        <v>0</v>
      </c>
      <c r="W151" s="292">
        <f t="shared" si="101"/>
        <v>0</v>
      </c>
      <c r="X151" s="292">
        <f t="shared" si="102"/>
        <v>0</v>
      </c>
      <c r="Y151" s="292">
        <f t="shared" si="103"/>
        <v>0</v>
      </c>
      <c r="Z151" s="292">
        <f t="shared" si="104"/>
        <v>0</v>
      </c>
      <c r="AA151" s="292">
        <f t="shared" si="105"/>
        <v>0</v>
      </c>
      <c r="AB151" s="292">
        <f t="shared" si="106"/>
        <v>0</v>
      </c>
      <c r="AC151" s="292">
        <f t="shared" si="107"/>
        <v>0</v>
      </c>
      <c r="AD151" s="292">
        <f t="shared" si="108"/>
        <v>0</v>
      </c>
      <c r="AE151" s="292">
        <f t="shared" si="109"/>
        <v>0</v>
      </c>
      <c r="AF151" s="292">
        <f t="shared" si="134"/>
        <v>0</v>
      </c>
      <c r="AG151" s="292">
        <f t="shared" si="135"/>
        <v>0</v>
      </c>
      <c r="AH151" s="292">
        <f t="shared" si="110"/>
        <v>0</v>
      </c>
      <c r="AI151" s="292">
        <f t="shared" si="111"/>
        <v>0</v>
      </c>
      <c r="AJ151" s="292">
        <f t="shared" si="112"/>
        <v>0</v>
      </c>
      <c r="AK151" s="292">
        <f t="shared" si="113"/>
        <v>0</v>
      </c>
      <c r="AL151" s="292">
        <f t="shared" si="114"/>
        <v>0</v>
      </c>
      <c r="AM151" s="292">
        <f t="shared" si="115"/>
        <v>0</v>
      </c>
      <c r="AN151" s="292">
        <f t="shared" si="116"/>
        <v>0</v>
      </c>
      <c r="AO151" s="292">
        <f t="shared" si="117"/>
        <v>0</v>
      </c>
      <c r="AP151" s="292">
        <f t="shared" si="118"/>
        <v>0</v>
      </c>
      <c r="AQ151" s="292">
        <f t="shared" si="119"/>
        <v>0</v>
      </c>
      <c r="AR151" s="292">
        <f t="shared" si="120"/>
        <v>0</v>
      </c>
      <c r="AS151" s="292">
        <f t="shared" si="121"/>
        <v>0</v>
      </c>
      <c r="AT151" s="292">
        <f t="shared" si="122"/>
        <v>0</v>
      </c>
      <c r="AU151" s="292">
        <f t="shared" si="123"/>
        <v>0</v>
      </c>
      <c r="AV151" s="292">
        <f t="shared" si="124"/>
        <v>0</v>
      </c>
      <c r="AW151" s="292">
        <f t="shared" si="125"/>
        <v>0</v>
      </c>
      <c r="AX151" s="292">
        <f t="shared" si="126"/>
        <v>0</v>
      </c>
      <c r="AY151" s="292">
        <f t="shared" si="127"/>
        <v>0</v>
      </c>
      <c r="AZ151" s="292">
        <f t="shared" si="128"/>
        <v>0</v>
      </c>
      <c r="BA151" s="292">
        <f t="shared" si="129"/>
        <v>0</v>
      </c>
    </row>
    <row r="152" spans="1:53" s="289" customFormat="1" ht="15.75" customHeight="1">
      <c r="A152" s="63" t="str">
        <f t="array" ref="A152">IF(C152&lt;&gt;0,SUM(($C$11:C152&lt;&gt;0)*1),"")</f>
        <v/>
      </c>
      <c r="B152" s="290"/>
      <c r="C152" s="290"/>
      <c r="D152" s="290"/>
      <c r="E152" s="396"/>
      <c r="F152" s="345"/>
      <c r="G152" s="347"/>
      <c r="H152" s="347"/>
      <c r="I152" s="63" t="str">
        <f t="shared" si="91"/>
        <v/>
      </c>
      <c r="J152" s="292">
        <f t="shared" si="92"/>
        <v>0</v>
      </c>
      <c r="K152" s="292">
        <f t="shared" si="93"/>
        <v>0</v>
      </c>
      <c r="L152" s="292">
        <f t="shared" si="94"/>
        <v>0</v>
      </c>
      <c r="M152" s="292">
        <f t="shared" si="95"/>
        <v>0</v>
      </c>
      <c r="N152" s="292">
        <f t="shared" si="130"/>
        <v>0</v>
      </c>
      <c r="O152" s="292">
        <f t="shared" si="131"/>
        <v>0</v>
      </c>
      <c r="P152" s="292">
        <f t="shared" si="96"/>
        <v>0</v>
      </c>
      <c r="Q152" s="292">
        <f t="shared" si="97"/>
        <v>0</v>
      </c>
      <c r="R152" s="292">
        <f t="shared" si="98"/>
        <v>0</v>
      </c>
      <c r="S152" s="292">
        <f t="shared" si="99"/>
        <v>0</v>
      </c>
      <c r="T152" s="292">
        <f t="shared" si="132"/>
        <v>0</v>
      </c>
      <c r="U152" s="292">
        <f t="shared" si="133"/>
        <v>0</v>
      </c>
      <c r="V152" s="292">
        <f t="shared" si="100"/>
        <v>0</v>
      </c>
      <c r="W152" s="292">
        <f t="shared" si="101"/>
        <v>0</v>
      </c>
      <c r="X152" s="292">
        <f t="shared" si="102"/>
        <v>0</v>
      </c>
      <c r="Y152" s="292">
        <f t="shared" si="103"/>
        <v>0</v>
      </c>
      <c r="Z152" s="292">
        <f t="shared" si="104"/>
        <v>0</v>
      </c>
      <c r="AA152" s="292">
        <f t="shared" si="105"/>
        <v>0</v>
      </c>
      <c r="AB152" s="292">
        <f t="shared" si="106"/>
        <v>0</v>
      </c>
      <c r="AC152" s="292">
        <f t="shared" si="107"/>
        <v>0</v>
      </c>
      <c r="AD152" s="292">
        <f t="shared" si="108"/>
        <v>0</v>
      </c>
      <c r="AE152" s="292">
        <f t="shared" si="109"/>
        <v>0</v>
      </c>
      <c r="AF152" s="292">
        <f t="shared" si="134"/>
        <v>0</v>
      </c>
      <c r="AG152" s="292">
        <f t="shared" si="135"/>
        <v>0</v>
      </c>
      <c r="AH152" s="292">
        <f t="shared" si="110"/>
        <v>0</v>
      </c>
      <c r="AI152" s="292">
        <f t="shared" si="111"/>
        <v>0</v>
      </c>
      <c r="AJ152" s="292">
        <f t="shared" si="112"/>
        <v>0</v>
      </c>
      <c r="AK152" s="292">
        <f t="shared" si="113"/>
        <v>0</v>
      </c>
      <c r="AL152" s="292">
        <f t="shared" si="114"/>
        <v>0</v>
      </c>
      <c r="AM152" s="292">
        <f t="shared" si="115"/>
        <v>0</v>
      </c>
      <c r="AN152" s="292">
        <f t="shared" si="116"/>
        <v>0</v>
      </c>
      <c r="AO152" s="292">
        <f t="shared" si="117"/>
        <v>0</v>
      </c>
      <c r="AP152" s="292">
        <f t="shared" si="118"/>
        <v>0</v>
      </c>
      <c r="AQ152" s="292">
        <f t="shared" si="119"/>
        <v>0</v>
      </c>
      <c r="AR152" s="292">
        <f t="shared" si="120"/>
        <v>0</v>
      </c>
      <c r="AS152" s="292">
        <f t="shared" si="121"/>
        <v>0</v>
      </c>
      <c r="AT152" s="292">
        <f t="shared" si="122"/>
        <v>0</v>
      </c>
      <c r="AU152" s="292">
        <f t="shared" si="123"/>
        <v>0</v>
      </c>
      <c r="AV152" s="292">
        <f t="shared" si="124"/>
        <v>0</v>
      </c>
      <c r="AW152" s="292">
        <f t="shared" si="125"/>
        <v>0</v>
      </c>
      <c r="AX152" s="292">
        <f t="shared" si="126"/>
        <v>0</v>
      </c>
      <c r="AY152" s="292">
        <f t="shared" si="127"/>
        <v>0</v>
      </c>
      <c r="AZ152" s="292">
        <f t="shared" si="128"/>
        <v>0</v>
      </c>
      <c r="BA152" s="292">
        <f t="shared" si="129"/>
        <v>0</v>
      </c>
    </row>
    <row r="153" spans="1:53" s="289" customFormat="1" ht="15.75" customHeight="1">
      <c r="A153" s="63" t="str">
        <f t="array" ref="A153">IF(C153&lt;&gt;0,SUM(($C$11:C153&lt;&gt;0)*1),"")</f>
        <v/>
      </c>
      <c r="B153" s="290"/>
      <c r="C153" s="290"/>
      <c r="D153" s="290"/>
      <c r="E153" s="396"/>
      <c r="F153" s="345"/>
      <c r="G153" s="347"/>
      <c r="H153" s="347"/>
      <c r="I153" s="63" t="str">
        <f t="shared" si="91"/>
        <v/>
      </c>
      <c r="J153" s="292">
        <f t="shared" si="92"/>
        <v>0</v>
      </c>
      <c r="K153" s="292">
        <f t="shared" si="93"/>
        <v>0</v>
      </c>
      <c r="L153" s="292">
        <f t="shared" si="94"/>
        <v>0</v>
      </c>
      <c r="M153" s="292">
        <f t="shared" si="95"/>
        <v>0</v>
      </c>
      <c r="N153" s="292">
        <f t="shared" si="130"/>
        <v>0</v>
      </c>
      <c r="O153" s="292">
        <f t="shared" si="131"/>
        <v>0</v>
      </c>
      <c r="P153" s="292">
        <f t="shared" si="96"/>
        <v>0</v>
      </c>
      <c r="Q153" s="292">
        <f t="shared" si="97"/>
        <v>0</v>
      </c>
      <c r="R153" s="292">
        <f t="shared" si="98"/>
        <v>0</v>
      </c>
      <c r="S153" s="292">
        <f t="shared" si="99"/>
        <v>0</v>
      </c>
      <c r="T153" s="292">
        <f t="shared" si="132"/>
        <v>0</v>
      </c>
      <c r="U153" s="292">
        <f t="shared" si="133"/>
        <v>0</v>
      </c>
      <c r="V153" s="292">
        <f t="shared" si="100"/>
        <v>0</v>
      </c>
      <c r="W153" s="292">
        <f t="shared" si="101"/>
        <v>0</v>
      </c>
      <c r="X153" s="292">
        <f t="shared" si="102"/>
        <v>0</v>
      </c>
      <c r="Y153" s="292">
        <f t="shared" si="103"/>
        <v>0</v>
      </c>
      <c r="Z153" s="292">
        <f t="shared" si="104"/>
        <v>0</v>
      </c>
      <c r="AA153" s="292">
        <f t="shared" si="105"/>
        <v>0</v>
      </c>
      <c r="AB153" s="292">
        <f t="shared" si="106"/>
        <v>0</v>
      </c>
      <c r="AC153" s="292">
        <f t="shared" si="107"/>
        <v>0</v>
      </c>
      <c r="AD153" s="292">
        <f t="shared" si="108"/>
        <v>0</v>
      </c>
      <c r="AE153" s="292">
        <f t="shared" si="109"/>
        <v>0</v>
      </c>
      <c r="AF153" s="292">
        <f t="shared" si="134"/>
        <v>0</v>
      </c>
      <c r="AG153" s="292">
        <f t="shared" si="135"/>
        <v>0</v>
      </c>
      <c r="AH153" s="292">
        <f t="shared" si="110"/>
        <v>0</v>
      </c>
      <c r="AI153" s="292">
        <f t="shared" si="111"/>
        <v>0</v>
      </c>
      <c r="AJ153" s="292">
        <f t="shared" si="112"/>
        <v>0</v>
      </c>
      <c r="AK153" s="292">
        <f t="shared" si="113"/>
        <v>0</v>
      </c>
      <c r="AL153" s="292">
        <f t="shared" si="114"/>
        <v>0</v>
      </c>
      <c r="AM153" s="292">
        <f t="shared" si="115"/>
        <v>0</v>
      </c>
      <c r="AN153" s="292">
        <f t="shared" si="116"/>
        <v>0</v>
      </c>
      <c r="AO153" s="292">
        <f t="shared" si="117"/>
        <v>0</v>
      </c>
      <c r="AP153" s="292">
        <f t="shared" si="118"/>
        <v>0</v>
      </c>
      <c r="AQ153" s="292">
        <f t="shared" si="119"/>
        <v>0</v>
      </c>
      <c r="AR153" s="292">
        <f t="shared" si="120"/>
        <v>0</v>
      </c>
      <c r="AS153" s="292">
        <f t="shared" si="121"/>
        <v>0</v>
      </c>
      <c r="AT153" s="292">
        <f t="shared" si="122"/>
        <v>0</v>
      </c>
      <c r="AU153" s="292">
        <f t="shared" si="123"/>
        <v>0</v>
      </c>
      <c r="AV153" s="292">
        <f t="shared" si="124"/>
        <v>0</v>
      </c>
      <c r="AW153" s="292">
        <f t="shared" si="125"/>
        <v>0</v>
      </c>
      <c r="AX153" s="292">
        <f t="shared" si="126"/>
        <v>0</v>
      </c>
      <c r="AY153" s="292">
        <f t="shared" si="127"/>
        <v>0</v>
      </c>
      <c r="AZ153" s="292">
        <f t="shared" si="128"/>
        <v>0</v>
      </c>
      <c r="BA153" s="292">
        <f t="shared" si="129"/>
        <v>0</v>
      </c>
    </row>
    <row r="154" spans="1:53" s="289" customFormat="1" ht="15.75" customHeight="1">
      <c r="A154" s="63" t="str">
        <f t="array" ref="A154">IF(C154&lt;&gt;0,SUM(($C$11:C154&lt;&gt;0)*1),"")</f>
        <v/>
      </c>
      <c r="B154" s="290"/>
      <c r="C154" s="290"/>
      <c r="D154" s="290"/>
      <c r="E154" s="396"/>
      <c r="F154" s="345"/>
      <c r="G154" s="347"/>
      <c r="H154" s="347"/>
      <c r="I154" s="63" t="str">
        <f t="shared" si="91"/>
        <v/>
      </c>
      <c r="J154" s="292">
        <f t="shared" si="92"/>
        <v>0</v>
      </c>
      <c r="K154" s="292">
        <f t="shared" si="93"/>
        <v>0</v>
      </c>
      <c r="L154" s="292">
        <f t="shared" si="94"/>
        <v>0</v>
      </c>
      <c r="M154" s="292">
        <f t="shared" si="95"/>
        <v>0</v>
      </c>
      <c r="N154" s="292">
        <f t="shared" si="130"/>
        <v>0</v>
      </c>
      <c r="O154" s="292">
        <f t="shared" si="131"/>
        <v>0</v>
      </c>
      <c r="P154" s="292">
        <f t="shared" si="96"/>
        <v>0</v>
      </c>
      <c r="Q154" s="292">
        <f t="shared" si="97"/>
        <v>0</v>
      </c>
      <c r="R154" s="292">
        <f t="shared" si="98"/>
        <v>0</v>
      </c>
      <c r="S154" s="292">
        <f t="shared" si="99"/>
        <v>0</v>
      </c>
      <c r="T154" s="292">
        <f t="shared" si="132"/>
        <v>0</v>
      </c>
      <c r="U154" s="292">
        <f t="shared" si="133"/>
        <v>0</v>
      </c>
      <c r="V154" s="292">
        <f t="shared" si="100"/>
        <v>0</v>
      </c>
      <c r="W154" s="292">
        <f t="shared" si="101"/>
        <v>0</v>
      </c>
      <c r="X154" s="292">
        <f t="shared" si="102"/>
        <v>0</v>
      </c>
      <c r="Y154" s="292">
        <f t="shared" si="103"/>
        <v>0</v>
      </c>
      <c r="Z154" s="292">
        <f t="shared" si="104"/>
        <v>0</v>
      </c>
      <c r="AA154" s="292">
        <f t="shared" si="105"/>
        <v>0</v>
      </c>
      <c r="AB154" s="292">
        <f t="shared" si="106"/>
        <v>0</v>
      </c>
      <c r="AC154" s="292">
        <f t="shared" si="107"/>
        <v>0</v>
      </c>
      <c r="AD154" s="292">
        <f t="shared" si="108"/>
        <v>0</v>
      </c>
      <c r="AE154" s="292">
        <f t="shared" si="109"/>
        <v>0</v>
      </c>
      <c r="AF154" s="292">
        <f t="shared" si="134"/>
        <v>0</v>
      </c>
      <c r="AG154" s="292">
        <f t="shared" si="135"/>
        <v>0</v>
      </c>
      <c r="AH154" s="292">
        <f t="shared" si="110"/>
        <v>0</v>
      </c>
      <c r="AI154" s="292">
        <f t="shared" si="111"/>
        <v>0</v>
      </c>
      <c r="AJ154" s="292">
        <f t="shared" si="112"/>
        <v>0</v>
      </c>
      <c r="AK154" s="292">
        <f t="shared" si="113"/>
        <v>0</v>
      </c>
      <c r="AL154" s="292">
        <f t="shared" si="114"/>
        <v>0</v>
      </c>
      <c r="AM154" s="292">
        <f t="shared" si="115"/>
        <v>0</v>
      </c>
      <c r="AN154" s="292">
        <f t="shared" si="116"/>
        <v>0</v>
      </c>
      <c r="AO154" s="292">
        <f t="shared" si="117"/>
        <v>0</v>
      </c>
      <c r="AP154" s="292">
        <f t="shared" si="118"/>
        <v>0</v>
      </c>
      <c r="AQ154" s="292">
        <f t="shared" si="119"/>
        <v>0</v>
      </c>
      <c r="AR154" s="292">
        <f t="shared" si="120"/>
        <v>0</v>
      </c>
      <c r="AS154" s="292">
        <f t="shared" si="121"/>
        <v>0</v>
      </c>
      <c r="AT154" s="292">
        <f t="shared" si="122"/>
        <v>0</v>
      </c>
      <c r="AU154" s="292">
        <f t="shared" si="123"/>
        <v>0</v>
      </c>
      <c r="AV154" s="292">
        <f t="shared" si="124"/>
        <v>0</v>
      </c>
      <c r="AW154" s="292">
        <f t="shared" si="125"/>
        <v>0</v>
      </c>
      <c r="AX154" s="292">
        <f t="shared" si="126"/>
        <v>0</v>
      </c>
      <c r="AY154" s="292">
        <f t="shared" si="127"/>
        <v>0</v>
      </c>
      <c r="AZ154" s="292">
        <f t="shared" si="128"/>
        <v>0</v>
      </c>
      <c r="BA154" s="292">
        <f t="shared" si="129"/>
        <v>0</v>
      </c>
    </row>
    <row r="155" spans="1:53" s="289" customFormat="1" ht="15.75" customHeight="1">
      <c r="A155" s="63" t="str">
        <f t="array" ref="A155">IF(C155&lt;&gt;0,SUM(($C$11:C155&lt;&gt;0)*1),"")</f>
        <v/>
      </c>
      <c r="B155" s="290"/>
      <c r="C155" s="290"/>
      <c r="D155" s="290"/>
      <c r="E155" s="396"/>
      <c r="F155" s="345"/>
      <c r="G155" s="347"/>
      <c r="H155" s="347"/>
      <c r="I155" s="63" t="str">
        <f t="shared" si="91"/>
        <v/>
      </c>
      <c r="J155" s="292">
        <f t="shared" si="92"/>
        <v>0</v>
      </c>
      <c r="K155" s="292">
        <f t="shared" si="93"/>
        <v>0</v>
      </c>
      <c r="L155" s="292">
        <f t="shared" si="94"/>
        <v>0</v>
      </c>
      <c r="M155" s="292">
        <f t="shared" si="95"/>
        <v>0</v>
      </c>
      <c r="N155" s="292">
        <f t="shared" si="130"/>
        <v>0</v>
      </c>
      <c r="O155" s="292">
        <f t="shared" si="131"/>
        <v>0</v>
      </c>
      <c r="P155" s="292">
        <f t="shared" si="96"/>
        <v>0</v>
      </c>
      <c r="Q155" s="292">
        <f t="shared" si="97"/>
        <v>0</v>
      </c>
      <c r="R155" s="292">
        <f t="shared" si="98"/>
        <v>0</v>
      </c>
      <c r="S155" s="292">
        <f t="shared" si="99"/>
        <v>0</v>
      </c>
      <c r="T155" s="292">
        <f t="shared" si="132"/>
        <v>0</v>
      </c>
      <c r="U155" s="292">
        <f t="shared" si="133"/>
        <v>0</v>
      </c>
      <c r="V155" s="292">
        <f t="shared" si="100"/>
        <v>0</v>
      </c>
      <c r="W155" s="292">
        <f t="shared" si="101"/>
        <v>0</v>
      </c>
      <c r="X155" s="292">
        <f t="shared" si="102"/>
        <v>0</v>
      </c>
      <c r="Y155" s="292">
        <f t="shared" si="103"/>
        <v>0</v>
      </c>
      <c r="Z155" s="292">
        <f t="shared" si="104"/>
        <v>0</v>
      </c>
      <c r="AA155" s="292">
        <f t="shared" si="105"/>
        <v>0</v>
      </c>
      <c r="AB155" s="292">
        <f t="shared" si="106"/>
        <v>0</v>
      </c>
      <c r="AC155" s="292">
        <f t="shared" si="107"/>
        <v>0</v>
      </c>
      <c r="AD155" s="292">
        <f t="shared" si="108"/>
        <v>0</v>
      </c>
      <c r="AE155" s="292">
        <f t="shared" si="109"/>
        <v>0</v>
      </c>
      <c r="AF155" s="292">
        <f t="shared" si="134"/>
        <v>0</v>
      </c>
      <c r="AG155" s="292">
        <f t="shared" si="135"/>
        <v>0</v>
      </c>
      <c r="AH155" s="292">
        <f t="shared" si="110"/>
        <v>0</v>
      </c>
      <c r="AI155" s="292">
        <f t="shared" si="111"/>
        <v>0</v>
      </c>
      <c r="AJ155" s="292">
        <f t="shared" si="112"/>
        <v>0</v>
      </c>
      <c r="AK155" s="292">
        <f t="shared" si="113"/>
        <v>0</v>
      </c>
      <c r="AL155" s="292">
        <f t="shared" si="114"/>
        <v>0</v>
      </c>
      <c r="AM155" s="292">
        <f t="shared" si="115"/>
        <v>0</v>
      </c>
      <c r="AN155" s="292">
        <f t="shared" si="116"/>
        <v>0</v>
      </c>
      <c r="AO155" s="292">
        <f t="shared" si="117"/>
        <v>0</v>
      </c>
      <c r="AP155" s="292">
        <f t="shared" si="118"/>
        <v>0</v>
      </c>
      <c r="AQ155" s="292">
        <f t="shared" si="119"/>
        <v>0</v>
      </c>
      <c r="AR155" s="292">
        <f t="shared" si="120"/>
        <v>0</v>
      </c>
      <c r="AS155" s="292">
        <f t="shared" si="121"/>
        <v>0</v>
      </c>
      <c r="AT155" s="292">
        <f t="shared" si="122"/>
        <v>0</v>
      </c>
      <c r="AU155" s="292">
        <f t="shared" si="123"/>
        <v>0</v>
      </c>
      <c r="AV155" s="292">
        <f t="shared" si="124"/>
        <v>0</v>
      </c>
      <c r="AW155" s="292">
        <f t="shared" si="125"/>
        <v>0</v>
      </c>
      <c r="AX155" s="292">
        <f t="shared" si="126"/>
        <v>0</v>
      </c>
      <c r="AY155" s="292">
        <f t="shared" si="127"/>
        <v>0</v>
      </c>
      <c r="AZ155" s="292">
        <f t="shared" si="128"/>
        <v>0</v>
      </c>
      <c r="BA155" s="292">
        <f t="shared" si="129"/>
        <v>0</v>
      </c>
    </row>
    <row r="156" spans="1:53" s="289" customFormat="1" ht="15.75" customHeight="1">
      <c r="A156" s="63" t="str">
        <f t="array" ref="A156">IF(C156&lt;&gt;0,SUM(($C$11:C156&lt;&gt;0)*1),"")</f>
        <v/>
      </c>
      <c r="B156" s="290"/>
      <c r="C156" s="290"/>
      <c r="D156" s="290"/>
      <c r="E156" s="396"/>
      <c r="F156" s="345"/>
      <c r="G156" s="347"/>
      <c r="H156" s="347"/>
      <c r="I156" s="63" t="str">
        <f t="shared" si="91"/>
        <v/>
      </c>
      <c r="J156" s="292">
        <f t="shared" si="92"/>
        <v>0</v>
      </c>
      <c r="K156" s="292">
        <f t="shared" si="93"/>
        <v>0</v>
      </c>
      <c r="L156" s="292">
        <f t="shared" si="94"/>
        <v>0</v>
      </c>
      <c r="M156" s="292">
        <f t="shared" si="95"/>
        <v>0</v>
      </c>
      <c r="N156" s="292">
        <f t="shared" si="130"/>
        <v>0</v>
      </c>
      <c r="O156" s="292">
        <f t="shared" si="131"/>
        <v>0</v>
      </c>
      <c r="P156" s="292">
        <f t="shared" si="96"/>
        <v>0</v>
      </c>
      <c r="Q156" s="292">
        <f t="shared" si="97"/>
        <v>0</v>
      </c>
      <c r="R156" s="292">
        <f t="shared" si="98"/>
        <v>0</v>
      </c>
      <c r="S156" s="292">
        <f t="shared" si="99"/>
        <v>0</v>
      </c>
      <c r="T156" s="292">
        <f t="shared" si="132"/>
        <v>0</v>
      </c>
      <c r="U156" s="292">
        <f t="shared" si="133"/>
        <v>0</v>
      </c>
      <c r="V156" s="292">
        <f t="shared" si="100"/>
        <v>0</v>
      </c>
      <c r="W156" s="292">
        <f t="shared" si="101"/>
        <v>0</v>
      </c>
      <c r="X156" s="292">
        <f t="shared" si="102"/>
        <v>0</v>
      </c>
      <c r="Y156" s="292">
        <f t="shared" si="103"/>
        <v>0</v>
      </c>
      <c r="Z156" s="292">
        <f t="shared" si="104"/>
        <v>0</v>
      </c>
      <c r="AA156" s="292">
        <f t="shared" si="105"/>
        <v>0</v>
      </c>
      <c r="AB156" s="292">
        <f t="shared" si="106"/>
        <v>0</v>
      </c>
      <c r="AC156" s="292">
        <f t="shared" si="107"/>
        <v>0</v>
      </c>
      <c r="AD156" s="292">
        <f t="shared" si="108"/>
        <v>0</v>
      </c>
      <c r="AE156" s="292">
        <f t="shared" si="109"/>
        <v>0</v>
      </c>
      <c r="AF156" s="292">
        <f t="shared" si="134"/>
        <v>0</v>
      </c>
      <c r="AG156" s="292">
        <f t="shared" si="135"/>
        <v>0</v>
      </c>
      <c r="AH156" s="292">
        <f t="shared" si="110"/>
        <v>0</v>
      </c>
      <c r="AI156" s="292">
        <f t="shared" si="111"/>
        <v>0</v>
      </c>
      <c r="AJ156" s="292">
        <f t="shared" si="112"/>
        <v>0</v>
      </c>
      <c r="AK156" s="292">
        <f t="shared" si="113"/>
        <v>0</v>
      </c>
      <c r="AL156" s="292">
        <f t="shared" si="114"/>
        <v>0</v>
      </c>
      <c r="AM156" s="292">
        <f t="shared" si="115"/>
        <v>0</v>
      </c>
      <c r="AN156" s="292">
        <f t="shared" si="116"/>
        <v>0</v>
      </c>
      <c r="AO156" s="292">
        <f t="shared" si="117"/>
        <v>0</v>
      </c>
      <c r="AP156" s="292">
        <f t="shared" si="118"/>
        <v>0</v>
      </c>
      <c r="AQ156" s="292">
        <f t="shared" si="119"/>
        <v>0</v>
      </c>
      <c r="AR156" s="292">
        <f t="shared" si="120"/>
        <v>0</v>
      </c>
      <c r="AS156" s="292">
        <f t="shared" si="121"/>
        <v>0</v>
      </c>
      <c r="AT156" s="292">
        <f t="shared" si="122"/>
        <v>0</v>
      </c>
      <c r="AU156" s="292">
        <f t="shared" si="123"/>
        <v>0</v>
      </c>
      <c r="AV156" s="292">
        <f t="shared" si="124"/>
        <v>0</v>
      </c>
      <c r="AW156" s="292">
        <f t="shared" si="125"/>
        <v>0</v>
      </c>
      <c r="AX156" s="292">
        <f t="shared" si="126"/>
        <v>0</v>
      </c>
      <c r="AY156" s="292">
        <f t="shared" si="127"/>
        <v>0</v>
      </c>
      <c r="AZ156" s="292">
        <f t="shared" si="128"/>
        <v>0</v>
      </c>
      <c r="BA156" s="292">
        <f t="shared" si="129"/>
        <v>0</v>
      </c>
    </row>
    <row r="157" spans="1:53" s="289" customFormat="1" ht="15.75" customHeight="1">
      <c r="A157" s="63" t="str">
        <f t="array" ref="A157">IF(C157&lt;&gt;0,SUM(($C$11:C157&lt;&gt;0)*1),"")</f>
        <v/>
      </c>
      <c r="B157" s="290"/>
      <c r="C157" s="290"/>
      <c r="D157" s="290"/>
      <c r="E157" s="396"/>
      <c r="F157" s="345"/>
      <c r="G157" s="347"/>
      <c r="H157" s="347"/>
      <c r="I157" s="63" t="str">
        <f t="shared" si="91"/>
        <v/>
      </c>
      <c r="J157" s="292">
        <f t="shared" si="92"/>
        <v>0</v>
      </c>
      <c r="K157" s="292">
        <f t="shared" si="93"/>
        <v>0</v>
      </c>
      <c r="L157" s="292">
        <f t="shared" si="94"/>
        <v>0</v>
      </c>
      <c r="M157" s="292">
        <f t="shared" si="95"/>
        <v>0</v>
      </c>
      <c r="N157" s="292">
        <f t="shared" si="130"/>
        <v>0</v>
      </c>
      <c r="O157" s="292">
        <f t="shared" si="131"/>
        <v>0</v>
      </c>
      <c r="P157" s="292">
        <f t="shared" si="96"/>
        <v>0</v>
      </c>
      <c r="Q157" s="292">
        <f t="shared" si="97"/>
        <v>0</v>
      </c>
      <c r="R157" s="292">
        <f t="shared" si="98"/>
        <v>0</v>
      </c>
      <c r="S157" s="292">
        <f t="shared" si="99"/>
        <v>0</v>
      </c>
      <c r="T157" s="292">
        <f t="shared" si="132"/>
        <v>0</v>
      </c>
      <c r="U157" s="292">
        <f t="shared" si="133"/>
        <v>0</v>
      </c>
      <c r="V157" s="292">
        <f t="shared" si="100"/>
        <v>0</v>
      </c>
      <c r="W157" s="292">
        <f t="shared" si="101"/>
        <v>0</v>
      </c>
      <c r="X157" s="292">
        <f t="shared" si="102"/>
        <v>0</v>
      </c>
      <c r="Y157" s="292">
        <f t="shared" si="103"/>
        <v>0</v>
      </c>
      <c r="Z157" s="292">
        <f t="shared" si="104"/>
        <v>0</v>
      </c>
      <c r="AA157" s="292">
        <f t="shared" si="105"/>
        <v>0</v>
      </c>
      <c r="AB157" s="292">
        <f t="shared" si="106"/>
        <v>0</v>
      </c>
      <c r="AC157" s="292">
        <f t="shared" si="107"/>
        <v>0</v>
      </c>
      <c r="AD157" s="292">
        <f t="shared" si="108"/>
        <v>0</v>
      </c>
      <c r="AE157" s="292">
        <f t="shared" si="109"/>
        <v>0</v>
      </c>
      <c r="AF157" s="292">
        <f t="shared" si="134"/>
        <v>0</v>
      </c>
      <c r="AG157" s="292">
        <f t="shared" si="135"/>
        <v>0</v>
      </c>
      <c r="AH157" s="292">
        <f t="shared" si="110"/>
        <v>0</v>
      </c>
      <c r="AI157" s="292">
        <f t="shared" si="111"/>
        <v>0</v>
      </c>
      <c r="AJ157" s="292">
        <f t="shared" si="112"/>
        <v>0</v>
      </c>
      <c r="AK157" s="292">
        <f t="shared" si="113"/>
        <v>0</v>
      </c>
      <c r="AL157" s="292">
        <f t="shared" si="114"/>
        <v>0</v>
      </c>
      <c r="AM157" s="292">
        <f t="shared" si="115"/>
        <v>0</v>
      </c>
      <c r="AN157" s="292">
        <f t="shared" si="116"/>
        <v>0</v>
      </c>
      <c r="AO157" s="292">
        <f t="shared" si="117"/>
        <v>0</v>
      </c>
      <c r="AP157" s="292">
        <f t="shared" si="118"/>
        <v>0</v>
      </c>
      <c r="AQ157" s="292">
        <f t="shared" si="119"/>
        <v>0</v>
      </c>
      <c r="AR157" s="292">
        <f t="shared" si="120"/>
        <v>0</v>
      </c>
      <c r="AS157" s="292">
        <f t="shared" si="121"/>
        <v>0</v>
      </c>
      <c r="AT157" s="292">
        <f t="shared" si="122"/>
        <v>0</v>
      </c>
      <c r="AU157" s="292">
        <f t="shared" si="123"/>
        <v>0</v>
      </c>
      <c r="AV157" s="292">
        <f t="shared" si="124"/>
        <v>0</v>
      </c>
      <c r="AW157" s="292">
        <f t="shared" si="125"/>
        <v>0</v>
      </c>
      <c r="AX157" s="292">
        <f t="shared" si="126"/>
        <v>0</v>
      </c>
      <c r="AY157" s="292">
        <f t="shared" si="127"/>
        <v>0</v>
      </c>
      <c r="AZ157" s="292">
        <f t="shared" si="128"/>
        <v>0</v>
      </c>
      <c r="BA157" s="292">
        <f t="shared" si="129"/>
        <v>0</v>
      </c>
    </row>
    <row r="158" spans="1:53" s="289" customFormat="1" ht="15.75" customHeight="1">
      <c r="A158" s="63" t="str">
        <f t="array" ref="A158">IF(C158&lt;&gt;0,SUM(($C$11:C158&lt;&gt;0)*1),"")</f>
        <v/>
      </c>
      <c r="B158" s="290"/>
      <c r="C158" s="290"/>
      <c r="D158" s="290"/>
      <c r="E158" s="396"/>
      <c r="F158" s="345"/>
      <c r="G158" s="347"/>
      <c r="H158" s="347"/>
      <c r="I158" s="63" t="str">
        <f t="shared" si="91"/>
        <v/>
      </c>
      <c r="J158" s="292">
        <f t="shared" si="92"/>
        <v>0</v>
      </c>
      <c r="K158" s="292">
        <f t="shared" si="93"/>
        <v>0</v>
      </c>
      <c r="L158" s="292">
        <f t="shared" si="94"/>
        <v>0</v>
      </c>
      <c r="M158" s="292">
        <f t="shared" si="95"/>
        <v>0</v>
      </c>
      <c r="N158" s="292">
        <f t="shared" si="130"/>
        <v>0</v>
      </c>
      <c r="O158" s="292">
        <f t="shared" si="131"/>
        <v>0</v>
      </c>
      <c r="P158" s="292">
        <f t="shared" si="96"/>
        <v>0</v>
      </c>
      <c r="Q158" s="292">
        <f t="shared" si="97"/>
        <v>0</v>
      </c>
      <c r="R158" s="292">
        <f t="shared" si="98"/>
        <v>0</v>
      </c>
      <c r="S158" s="292">
        <f t="shared" si="99"/>
        <v>0</v>
      </c>
      <c r="T158" s="292">
        <f t="shared" si="132"/>
        <v>0</v>
      </c>
      <c r="U158" s="292">
        <f t="shared" si="133"/>
        <v>0</v>
      </c>
      <c r="V158" s="292">
        <f t="shared" si="100"/>
        <v>0</v>
      </c>
      <c r="W158" s="292">
        <f t="shared" si="101"/>
        <v>0</v>
      </c>
      <c r="X158" s="292">
        <f t="shared" si="102"/>
        <v>0</v>
      </c>
      <c r="Y158" s="292">
        <f t="shared" si="103"/>
        <v>0</v>
      </c>
      <c r="Z158" s="292">
        <f t="shared" si="104"/>
        <v>0</v>
      </c>
      <c r="AA158" s="292">
        <f t="shared" si="105"/>
        <v>0</v>
      </c>
      <c r="AB158" s="292">
        <f t="shared" si="106"/>
        <v>0</v>
      </c>
      <c r="AC158" s="292">
        <f t="shared" si="107"/>
        <v>0</v>
      </c>
      <c r="AD158" s="292">
        <f t="shared" si="108"/>
        <v>0</v>
      </c>
      <c r="AE158" s="292">
        <f t="shared" si="109"/>
        <v>0</v>
      </c>
      <c r="AF158" s="292">
        <f t="shared" si="134"/>
        <v>0</v>
      </c>
      <c r="AG158" s="292">
        <f t="shared" si="135"/>
        <v>0</v>
      </c>
      <c r="AH158" s="292">
        <f t="shared" si="110"/>
        <v>0</v>
      </c>
      <c r="AI158" s="292">
        <f t="shared" si="111"/>
        <v>0</v>
      </c>
      <c r="AJ158" s="292">
        <f t="shared" si="112"/>
        <v>0</v>
      </c>
      <c r="AK158" s="292">
        <f t="shared" si="113"/>
        <v>0</v>
      </c>
      <c r="AL158" s="292">
        <f t="shared" si="114"/>
        <v>0</v>
      </c>
      <c r="AM158" s="292">
        <f t="shared" si="115"/>
        <v>0</v>
      </c>
      <c r="AN158" s="292">
        <f t="shared" si="116"/>
        <v>0</v>
      </c>
      <c r="AO158" s="292">
        <f t="shared" si="117"/>
        <v>0</v>
      </c>
      <c r="AP158" s="292">
        <f t="shared" si="118"/>
        <v>0</v>
      </c>
      <c r="AQ158" s="292">
        <f t="shared" si="119"/>
        <v>0</v>
      </c>
      <c r="AR158" s="292">
        <f t="shared" si="120"/>
        <v>0</v>
      </c>
      <c r="AS158" s="292">
        <f t="shared" si="121"/>
        <v>0</v>
      </c>
      <c r="AT158" s="292">
        <f t="shared" si="122"/>
        <v>0</v>
      </c>
      <c r="AU158" s="292">
        <f t="shared" si="123"/>
        <v>0</v>
      </c>
      <c r="AV158" s="292">
        <f t="shared" si="124"/>
        <v>0</v>
      </c>
      <c r="AW158" s="292">
        <f t="shared" si="125"/>
        <v>0</v>
      </c>
      <c r="AX158" s="292">
        <f t="shared" si="126"/>
        <v>0</v>
      </c>
      <c r="AY158" s="292">
        <f t="shared" si="127"/>
        <v>0</v>
      </c>
      <c r="AZ158" s="292">
        <f t="shared" si="128"/>
        <v>0</v>
      </c>
      <c r="BA158" s="292">
        <f t="shared" si="129"/>
        <v>0</v>
      </c>
    </row>
    <row r="159" spans="1:53" s="289" customFormat="1" ht="15.75" customHeight="1">
      <c r="A159" s="63" t="str">
        <f t="array" ref="A159">IF(C159&lt;&gt;0,SUM(($C$11:C159&lt;&gt;0)*1),"")</f>
        <v/>
      </c>
      <c r="B159" s="290"/>
      <c r="C159" s="290"/>
      <c r="D159" s="290"/>
      <c r="E159" s="396"/>
      <c r="F159" s="345"/>
      <c r="G159" s="347"/>
      <c r="H159" s="347"/>
      <c r="I159" s="63" t="str">
        <f t="shared" si="91"/>
        <v/>
      </c>
      <c r="J159" s="292">
        <f t="shared" si="92"/>
        <v>0</v>
      </c>
      <c r="K159" s="292">
        <f t="shared" si="93"/>
        <v>0</v>
      </c>
      <c r="L159" s="292">
        <f t="shared" si="94"/>
        <v>0</v>
      </c>
      <c r="M159" s="292">
        <f t="shared" si="95"/>
        <v>0</v>
      </c>
      <c r="N159" s="292">
        <f t="shared" si="130"/>
        <v>0</v>
      </c>
      <c r="O159" s="292">
        <f t="shared" si="131"/>
        <v>0</v>
      </c>
      <c r="P159" s="292">
        <f t="shared" si="96"/>
        <v>0</v>
      </c>
      <c r="Q159" s="292">
        <f t="shared" si="97"/>
        <v>0</v>
      </c>
      <c r="R159" s="292">
        <f t="shared" si="98"/>
        <v>0</v>
      </c>
      <c r="S159" s="292">
        <f t="shared" si="99"/>
        <v>0</v>
      </c>
      <c r="T159" s="292">
        <f t="shared" si="132"/>
        <v>0</v>
      </c>
      <c r="U159" s="292">
        <f t="shared" si="133"/>
        <v>0</v>
      </c>
      <c r="V159" s="292">
        <f t="shared" si="100"/>
        <v>0</v>
      </c>
      <c r="W159" s="292">
        <f t="shared" si="101"/>
        <v>0</v>
      </c>
      <c r="X159" s="292">
        <f t="shared" si="102"/>
        <v>0</v>
      </c>
      <c r="Y159" s="292">
        <f t="shared" si="103"/>
        <v>0</v>
      </c>
      <c r="Z159" s="292">
        <f t="shared" si="104"/>
        <v>0</v>
      </c>
      <c r="AA159" s="292">
        <f t="shared" si="105"/>
        <v>0</v>
      </c>
      <c r="AB159" s="292">
        <f t="shared" si="106"/>
        <v>0</v>
      </c>
      <c r="AC159" s="292">
        <f t="shared" si="107"/>
        <v>0</v>
      </c>
      <c r="AD159" s="292">
        <f t="shared" si="108"/>
        <v>0</v>
      </c>
      <c r="AE159" s="292">
        <f t="shared" si="109"/>
        <v>0</v>
      </c>
      <c r="AF159" s="292">
        <f t="shared" si="134"/>
        <v>0</v>
      </c>
      <c r="AG159" s="292">
        <f t="shared" si="135"/>
        <v>0</v>
      </c>
      <c r="AH159" s="292">
        <f t="shared" si="110"/>
        <v>0</v>
      </c>
      <c r="AI159" s="292">
        <f t="shared" si="111"/>
        <v>0</v>
      </c>
      <c r="AJ159" s="292">
        <f t="shared" si="112"/>
        <v>0</v>
      </c>
      <c r="AK159" s="292">
        <f t="shared" si="113"/>
        <v>0</v>
      </c>
      <c r="AL159" s="292">
        <f t="shared" si="114"/>
        <v>0</v>
      </c>
      <c r="AM159" s="292">
        <f t="shared" si="115"/>
        <v>0</v>
      </c>
      <c r="AN159" s="292">
        <f t="shared" si="116"/>
        <v>0</v>
      </c>
      <c r="AO159" s="292">
        <f t="shared" si="117"/>
        <v>0</v>
      </c>
      <c r="AP159" s="292">
        <f t="shared" si="118"/>
        <v>0</v>
      </c>
      <c r="AQ159" s="292">
        <f t="shared" si="119"/>
        <v>0</v>
      </c>
      <c r="AR159" s="292">
        <f t="shared" si="120"/>
        <v>0</v>
      </c>
      <c r="AS159" s="292">
        <f t="shared" si="121"/>
        <v>0</v>
      </c>
      <c r="AT159" s="292">
        <f t="shared" si="122"/>
        <v>0</v>
      </c>
      <c r="AU159" s="292">
        <f t="shared" si="123"/>
        <v>0</v>
      </c>
      <c r="AV159" s="292">
        <f t="shared" si="124"/>
        <v>0</v>
      </c>
      <c r="AW159" s="292">
        <f t="shared" si="125"/>
        <v>0</v>
      </c>
      <c r="AX159" s="292">
        <f t="shared" si="126"/>
        <v>0</v>
      </c>
      <c r="AY159" s="292">
        <f t="shared" si="127"/>
        <v>0</v>
      </c>
      <c r="AZ159" s="292">
        <f t="shared" si="128"/>
        <v>0</v>
      </c>
      <c r="BA159" s="292">
        <f t="shared" si="129"/>
        <v>0</v>
      </c>
    </row>
    <row r="160" spans="1:53" s="289" customFormat="1" ht="15.75" customHeight="1">
      <c r="A160" s="63" t="str">
        <f t="array" ref="A160">IF(C160&lt;&gt;0,SUM(($C$11:C160&lt;&gt;0)*1),"")</f>
        <v/>
      </c>
      <c r="B160" s="290"/>
      <c r="C160" s="290"/>
      <c r="D160" s="290"/>
      <c r="E160" s="396"/>
      <c r="F160" s="345"/>
      <c r="G160" s="347"/>
      <c r="H160" s="347"/>
      <c r="I160" s="63" t="str">
        <f>A160</f>
        <v/>
      </c>
      <c r="J160" s="292">
        <f t="shared" si="92"/>
        <v>0</v>
      </c>
      <c r="K160" s="292">
        <f t="shared" si="93"/>
        <v>0</v>
      </c>
      <c r="L160" s="292">
        <f t="shared" si="94"/>
        <v>0</v>
      </c>
      <c r="M160" s="292">
        <f t="shared" si="95"/>
        <v>0</v>
      </c>
      <c r="N160" s="292">
        <f t="shared" si="130"/>
        <v>0</v>
      </c>
      <c r="O160" s="292">
        <f t="shared" si="131"/>
        <v>0</v>
      </c>
      <c r="P160" s="292">
        <f t="shared" si="96"/>
        <v>0</v>
      </c>
      <c r="Q160" s="292">
        <f t="shared" si="97"/>
        <v>0</v>
      </c>
      <c r="R160" s="292">
        <f t="shared" si="98"/>
        <v>0</v>
      </c>
      <c r="S160" s="292">
        <f t="shared" si="99"/>
        <v>0</v>
      </c>
      <c r="T160" s="292">
        <f t="shared" si="132"/>
        <v>0</v>
      </c>
      <c r="U160" s="292">
        <f t="shared" si="133"/>
        <v>0</v>
      </c>
      <c r="V160" s="292">
        <f t="shared" si="100"/>
        <v>0</v>
      </c>
      <c r="W160" s="292">
        <f t="shared" si="101"/>
        <v>0</v>
      </c>
      <c r="X160" s="292">
        <f t="shared" si="102"/>
        <v>0</v>
      </c>
      <c r="Y160" s="292">
        <f t="shared" si="103"/>
        <v>0</v>
      </c>
      <c r="Z160" s="292">
        <f t="shared" si="104"/>
        <v>0</v>
      </c>
      <c r="AA160" s="292">
        <f t="shared" si="105"/>
        <v>0</v>
      </c>
      <c r="AB160" s="292">
        <f t="shared" si="106"/>
        <v>0</v>
      </c>
      <c r="AC160" s="292">
        <f t="shared" si="107"/>
        <v>0</v>
      </c>
      <c r="AD160" s="292">
        <f t="shared" si="108"/>
        <v>0</v>
      </c>
      <c r="AE160" s="292">
        <f t="shared" si="109"/>
        <v>0</v>
      </c>
      <c r="AF160" s="292">
        <f t="shared" si="134"/>
        <v>0</v>
      </c>
      <c r="AG160" s="292">
        <f t="shared" si="135"/>
        <v>0</v>
      </c>
      <c r="AH160" s="292">
        <f t="shared" si="110"/>
        <v>0</v>
      </c>
      <c r="AI160" s="292">
        <f t="shared" si="111"/>
        <v>0</v>
      </c>
      <c r="AJ160" s="292">
        <f t="shared" si="112"/>
        <v>0</v>
      </c>
      <c r="AK160" s="292">
        <f t="shared" si="113"/>
        <v>0</v>
      </c>
      <c r="AL160" s="292">
        <f t="shared" si="114"/>
        <v>0</v>
      </c>
      <c r="AM160" s="292">
        <f t="shared" si="115"/>
        <v>0</v>
      </c>
      <c r="AN160" s="292">
        <f t="shared" si="116"/>
        <v>0</v>
      </c>
      <c r="AO160" s="292">
        <f t="shared" si="117"/>
        <v>0</v>
      </c>
      <c r="AP160" s="292">
        <f t="shared" si="118"/>
        <v>0</v>
      </c>
      <c r="AQ160" s="292">
        <f t="shared" si="119"/>
        <v>0</v>
      </c>
      <c r="AR160" s="292">
        <f t="shared" si="120"/>
        <v>0</v>
      </c>
      <c r="AS160" s="292">
        <f t="shared" si="121"/>
        <v>0</v>
      </c>
      <c r="AT160" s="292">
        <f t="shared" si="122"/>
        <v>0</v>
      </c>
      <c r="AU160" s="292">
        <f t="shared" si="123"/>
        <v>0</v>
      </c>
      <c r="AV160" s="292">
        <f t="shared" si="124"/>
        <v>0</v>
      </c>
      <c r="AW160" s="292">
        <f t="shared" si="125"/>
        <v>0</v>
      </c>
      <c r="AX160" s="292">
        <f t="shared" si="126"/>
        <v>0</v>
      </c>
      <c r="AY160" s="292">
        <f t="shared" si="127"/>
        <v>0</v>
      </c>
      <c r="AZ160" s="292">
        <f t="shared" si="128"/>
        <v>0</v>
      </c>
      <c r="BA160" s="292">
        <f t="shared" si="129"/>
        <v>0</v>
      </c>
    </row>
    <row r="161" spans="1:53" s="289" customFormat="1" ht="15.75" customHeight="1">
      <c r="A161" s="63" t="str">
        <f t="array" ref="A161">IF(C161&lt;&gt;0,SUM(($C$11:C161&lt;&gt;0)*1),"")</f>
        <v/>
      </c>
      <c r="B161" s="290"/>
      <c r="C161" s="290"/>
      <c r="D161" s="290"/>
      <c r="E161" s="396"/>
      <c r="F161" s="345"/>
      <c r="G161" s="347"/>
      <c r="H161" s="347"/>
      <c r="I161" s="63" t="str">
        <f>A161</f>
        <v/>
      </c>
      <c r="J161" s="292">
        <f t="shared" si="92"/>
        <v>0</v>
      </c>
      <c r="K161" s="292">
        <f t="shared" si="93"/>
        <v>0</v>
      </c>
      <c r="L161" s="292">
        <f t="shared" si="94"/>
        <v>0</v>
      </c>
      <c r="M161" s="292">
        <f t="shared" si="95"/>
        <v>0</v>
      </c>
      <c r="N161" s="292">
        <f t="shared" si="130"/>
        <v>0</v>
      </c>
      <c r="O161" s="292">
        <f t="shared" si="131"/>
        <v>0</v>
      </c>
      <c r="P161" s="292">
        <f t="shared" si="96"/>
        <v>0</v>
      </c>
      <c r="Q161" s="292">
        <f t="shared" si="97"/>
        <v>0</v>
      </c>
      <c r="R161" s="292">
        <f t="shared" si="98"/>
        <v>0</v>
      </c>
      <c r="S161" s="292">
        <f t="shared" si="99"/>
        <v>0</v>
      </c>
      <c r="T161" s="292">
        <f t="shared" si="132"/>
        <v>0</v>
      </c>
      <c r="U161" s="292">
        <f t="shared" si="133"/>
        <v>0</v>
      </c>
      <c r="V161" s="292">
        <f t="shared" si="100"/>
        <v>0</v>
      </c>
      <c r="W161" s="292">
        <f t="shared" si="101"/>
        <v>0</v>
      </c>
      <c r="X161" s="292">
        <f t="shared" si="102"/>
        <v>0</v>
      </c>
      <c r="Y161" s="292">
        <f t="shared" si="103"/>
        <v>0</v>
      </c>
      <c r="Z161" s="292">
        <f t="shared" si="104"/>
        <v>0</v>
      </c>
      <c r="AA161" s="292">
        <f t="shared" si="105"/>
        <v>0</v>
      </c>
      <c r="AB161" s="292">
        <f t="shared" si="106"/>
        <v>0</v>
      </c>
      <c r="AC161" s="292">
        <f t="shared" si="107"/>
        <v>0</v>
      </c>
      <c r="AD161" s="292">
        <f t="shared" si="108"/>
        <v>0</v>
      </c>
      <c r="AE161" s="292">
        <f t="shared" si="109"/>
        <v>0</v>
      </c>
      <c r="AF161" s="292">
        <f t="shared" si="134"/>
        <v>0</v>
      </c>
      <c r="AG161" s="292">
        <f t="shared" si="135"/>
        <v>0</v>
      </c>
      <c r="AH161" s="292">
        <f t="shared" si="110"/>
        <v>0</v>
      </c>
      <c r="AI161" s="292">
        <f t="shared" si="111"/>
        <v>0</v>
      </c>
      <c r="AJ161" s="292">
        <f t="shared" si="112"/>
        <v>0</v>
      </c>
      <c r="AK161" s="292">
        <f t="shared" si="113"/>
        <v>0</v>
      </c>
      <c r="AL161" s="292">
        <f t="shared" si="114"/>
        <v>0</v>
      </c>
      <c r="AM161" s="292">
        <f t="shared" si="115"/>
        <v>0</v>
      </c>
      <c r="AN161" s="292">
        <f t="shared" si="116"/>
        <v>0</v>
      </c>
      <c r="AO161" s="292">
        <f t="shared" si="117"/>
        <v>0</v>
      </c>
      <c r="AP161" s="292">
        <f t="shared" si="118"/>
        <v>0</v>
      </c>
      <c r="AQ161" s="292">
        <f t="shared" si="119"/>
        <v>0</v>
      </c>
      <c r="AR161" s="292">
        <f t="shared" si="120"/>
        <v>0</v>
      </c>
      <c r="AS161" s="292">
        <f t="shared" si="121"/>
        <v>0</v>
      </c>
      <c r="AT161" s="292">
        <f t="shared" si="122"/>
        <v>0</v>
      </c>
      <c r="AU161" s="292">
        <f t="shared" si="123"/>
        <v>0</v>
      </c>
      <c r="AV161" s="292">
        <f t="shared" si="124"/>
        <v>0</v>
      </c>
      <c r="AW161" s="292">
        <f t="shared" si="125"/>
        <v>0</v>
      </c>
      <c r="AX161" s="292">
        <f t="shared" si="126"/>
        <v>0</v>
      </c>
      <c r="AY161" s="292">
        <f t="shared" si="127"/>
        <v>0</v>
      </c>
      <c r="AZ161" s="292">
        <f t="shared" si="128"/>
        <v>0</v>
      </c>
      <c r="BA161" s="292">
        <f t="shared" si="129"/>
        <v>0</v>
      </c>
    </row>
    <row r="162" spans="1:53" s="289" customFormat="1" ht="15.75" customHeight="1">
      <c r="A162" s="63" t="str">
        <f t="array" ref="A162">IF(C162&lt;&gt;0,SUM(($C$11:C162&lt;&gt;0)*1),"")</f>
        <v/>
      </c>
      <c r="B162" s="290"/>
      <c r="C162" s="290"/>
      <c r="D162" s="290"/>
      <c r="E162" s="396"/>
      <c r="F162" s="345"/>
      <c r="G162" s="347"/>
      <c r="H162" s="347"/>
      <c r="I162" s="63" t="str">
        <f t="shared" ref="I162:I175" si="136">A162</f>
        <v/>
      </c>
      <c r="J162" s="292">
        <f t="shared" si="92"/>
        <v>0</v>
      </c>
      <c r="K162" s="292">
        <f t="shared" si="93"/>
        <v>0</v>
      </c>
      <c r="L162" s="292">
        <f t="shared" si="94"/>
        <v>0</v>
      </c>
      <c r="M162" s="292">
        <f t="shared" si="95"/>
        <v>0</v>
      </c>
      <c r="N162" s="292">
        <f t="shared" si="130"/>
        <v>0</v>
      </c>
      <c r="O162" s="292">
        <f t="shared" si="131"/>
        <v>0</v>
      </c>
      <c r="P162" s="292">
        <f t="shared" si="96"/>
        <v>0</v>
      </c>
      <c r="Q162" s="292">
        <f t="shared" si="97"/>
        <v>0</v>
      </c>
      <c r="R162" s="292">
        <f t="shared" si="98"/>
        <v>0</v>
      </c>
      <c r="S162" s="292">
        <f t="shared" si="99"/>
        <v>0</v>
      </c>
      <c r="T162" s="292">
        <f t="shared" si="132"/>
        <v>0</v>
      </c>
      <c r="U162" s="292">
        <f t="shared" si="133"/>
        <v>0</v>
      </c>
      <c r="V162" s="292">
        <f t="shared" si="100"/>
        <v>0</v>
      </c>
      <c r="W162" s="292">
        <f t="shared" si="101"/>
        <v>0</v>
      </c>
      <c r="X162" s="292">
        <f t="shared" si="102"/>
        <v>0</v>
      </c>
      <c r="Y162" s="292">
        <f t="shared" si="103"/>
        <v>0</v>
      </c>
      <c r="Z162" s="292">
        <f t="shared" si="104"/>
        <v>0</v>
      </c>
      <c r="AA162" s="292">
        <f t="shared" si="105"/>
        <v>0</v>
      </c>
      <c r="AB162" s="292">
        <f t="shared" si="106"/>
        <v>0</v>
      </c>
      <c r="AC162" s="292">
        <f t="shared" si="107"/>
        <v>0</v>
      </c>
      <c r="AD162" s="292">
        <f t="shared" si="108"/>
        <v>0</v>
      </c>
      <c r="AE162" s="292">
        <f t="shared" si="109"/>
        <v>0</v>
      </c>
      <c r="AF162" s="292">
        <f t="shared" si="134"/>
        <v>0</v>
      </c>
      <c r="AG162" s="292">
        <f t="shared" si="135"/>
        <v>0</v>
      </c>
      <c r="AH162" s="292">
        <f t="shared" si="110"/>
        <v>0</v>
      </c>
      <c r="AI162" s="292">
        <f t="shared" si="111"/>
        <v>0</v>
      </c>
      <c r="AJ162" s="292">
        <f t="shared" si="112"/>
        <v>0</v>
      </c>
      <c r="AK162" s="292">
        <f t="shared" si="113"/>
        <v>0</v>
      </c>
      <c r="AL162" s="292">
        <f t="shared" si="114"/>
        <v>0</v>
      </c>
      <c r="AM162" s="292">
        <f t="shared" si="115"/>
        <v>0</v>
      </c>
      <c r="AN162" s="292">
        <f t="shared" si="116"/>
        <v>0</v>
      </c>
      <c r="AO162" s="292">
        <f t="shared" si="117"/>
        <v>0</v>
      </c>
      <c r="AP162" s="292">
        <f t="shared" si="118"/>
        <v>0</v>
      </c>
      <c r="AQ162" s="292">
        <f t="shared" si="119"/>
        <v>0</v>
      </c>
      <c r="AR162" s="292">
        <f t="shared" si="120"/>
        <v>0</v>
      </c>
      <c r="AS162" s="292">
        <f t="shared" si="121"/>
        <v>0</v>
      </c>
      <c r="AT162" s="292">
        <f t="shared" si="122"/>
        <v>0</v>
      </c>
      <c r="AU162" s="292">
        <f t="shared" si="123"/>
        <v>0</v>
      </c>
      <c r="AV162" s="292">
        <f t="shared" si="124"/>
        <v>0</v>
      </c>
      <c r="AW162" s="292">
        <f t="shared" si="125"/>
        <v>0</v>
      </c>
      <c r="AX162" s="292">
        <f t="shared" si="126"/>
        <v>0</v>
      </c>
      <c r="AY162" s="292">
        <f t="shared" si="127"/>
        <v>0</v>
      </c>
      <c r="AZ162" s="292">
        <f t="shared" si="128"/>
        <v>0</v>
      </c>
      <c r="BA162" s="292">
        <f t="shared" si="129"/>
        <v>0</v>
      </c>
    </row>
    <row r="163" spans="1:53" s="289" customFormat="1" ht="15.75" customHeight="1">
      <c r="A163" s="63" t="str">
        <f t="array" ref="A163">IF(C163&lt;&gt;0,SUM(($C$11:C163&lt;&gt;0)*1),"")</f>
        <v/>
      </c>
      <c r="B163" s="290"/>
      <c r="C163" s="290"/>
      <c r="D163" s="290"/>
      <c r="E163" s="396"/>
      <c r="F163" s="345"/>
      <c r="G163" s="347"/>
      <c r="H163" s="347"/>
      <c r="I163" s="63" t="str">
        <f t="shared" si="136"/>
        <v/>
      </c>
      <c r="J163" s="292">
        <f t="shared" si="92"/>
        <v>0</v>
      </c>
      <c r="K163" s="292">
        <f t="shared" si="93"/>
        <v>0</v>
      </c>
      <c r="L163" s="292">
        <f t="shared" si="94"/>
        <v>0</v>
      </c>
      <c r="M163" s="292">
        <f t="shared" si="95"/>
        <v>0</v>
      </c>
      <c r="N163" s="292">
        <f t="shared" si="130"/>
        <v>0</v>
      </c>
      <c r="O163" s="292">
        <f t="shared" si="131"/>
        <v>0</v>
      </c>
      <c r="P163" s="292">
        <f t="shared" si="96"/>
        <v>0</v>
      </c>
      <c r="Q163" s="292">
        <f t="shared" si="97"/>
        <v>0</v>
      </c>
      <c r="R163" s="292">
        <f t="shared" si="98"/>
        <v>0</v>
      </c>
      <c r="S163" s="292">
        <f t="shared" si="99"/>
        <v>0</v>
      </c>
      <c r="T163" s="292">
        <f t="shared" si="132"/>
        <v>0</v>
      </c>
      <c r="U163" s="292">
        <f t="shared" si="133"/>
        <v>0</v>
      </c>
      <c r="V163" s="292">
        <f t="shared" si="100"/>
        <v>0</v>
      </c>
      <c r="W163" s="292">
        <f t="shared" si="101"/>
        <v>0</v>
      </c>
      <c r="X163" s="292">
        <f t="shared" si="102"/>
        <v>0</v>
      </c>
      <c r="Y163" s="292">
        <f t="shared" si="103"/>
        <v>0</v>
      </c>
      <c r="Z163" s="292">
        <f t="shared" si="104"/>
        <v>0</v>
      </c>
      <c r="AA163" s="292">
        <f t="shared" si="105"/>
        <v>0</v>
      </c>
      <c r="AB163" s="292">
        <f t="shared" si="106"/>
        <v>0</v>
      </c>
      <c r="AC163" s="292">
        <f t="shared" si="107"/>
        <v>0</v>
      </c>
      <c r="AD163" s="292">
        <f t="shared" si="108"/>
        <v>0</v>
      </c>
      <c r="AE163" s="292">
        <f t="shared" si="109"/>
        <v>0</v>
      </c>
      <c r="AF163" s="292">
        <f t="shared" si="134"/>
        <v>0</v>
      </c>
      <c r="AG163" s="292">
        <f t="shared" si="135"/>
        <v>0</v>
      </c>
      <c r="AH163" s="292">
        <f t="shared" si="110"/>
        <v>0</v>
      </c>
      <c r="AI163" s="292">
        <f t="shared" si="111"/>
        <v>0</v>
      </c>
      <c r="AJ163" s="292">
        <f t="shared" si="112"/>
        <v>0</v>
      </c>
      <c r="AK163" s="292">
        <f t="shared" si="113"/>
        <v>0</v>
      </c>
      <c r="AL163" s="292">
        <f t="shared" si="114"/>
        <v>0</v>
      </c>
      <c r="AM163" s="292">
        <f t="shared" si="115"/>
        <v>0</v>
      </c>
      <c r="AN163" s="292">
        <f t="shared" si="116"/>
        <v>0</v>
      </c>
      <c r="AO163" s="292">
        <f t="shared" si="117"/>
        <v>0</v>
      </c>
      <c r="AP163" s="292">
        <f t="shared" si="118"/>
        <v>0</v>
      </c>
      <c r="AQ163" s="292">
        <f t="shared" si="119"/>
        <v>0</v>
      </c>
      <c r="AR163" s="292">
        <f t="shared" si="120"/>
        <v>0</v>
      </c>
      <c r="AS163" s="292">
        <f t="shared" si="121"/>
        <v>0</v>
      </c>
      <c r="AT163" s="292">
        <f t="shared" si="122"/>
        <v>0</v>
      </c>
      <c r="AU163" s="292">
        <f t="shared" si="123"/>
        <v>0</v>
      </c>
      <c r="AV163" s="292">
        <f t="shared" si="124"/>
        <v>0</v>
      </c>
      <c r="AW163" s="292">
        <f t="shared" si="125"/>
        <v>0</v>
      </c>
      <c r="AX163" s="292">
        <f t="shared" si="126"/>
        <v>0</v>
      </c>
      <c r="AY163" s="292">
        <f t="shared" si="127"/>
        <v>0</v>
      </c>
      <c r="AZ163" s="292">
        <f t="shared" si="128"/>
        <v>0</v>
      </c>
      <c r="BA163" s="292">
        <f t="shared" si="129"/>
        <v>0</v>
      </c>
    </row>
    <row r="164" spans="1:53" s="289" customFormat="1" ht="15.75" customHeight="1">
      <c r="A164" s="63" t="str">
        <f t="array" ref="A164">IF(C164&lt;&gt;0,SUM(($C$11:C164&lt;&gt;0)*1),"")</f>
        <v/>
      </c>
      <c r="B164" s="290"/>
      <c r="C164" s="290"/>
      <c r="D164" s="290"/>
      <c r="E164" s="396"/>
      <c r="F164" s="345"/>
      <c r="G164" s="347"/>
      <c r="H164" s="347"/>
      <c r="I164" s="63" t="str">
        <f t="shared" si="136"/>
        <v/>
      </c>
      <c r="J164" s="292">
        <f t="shared" si="92"/>
        <v>0</v>
      </c>
      <c r="K164" s="292">
        <f t="shared" si="93"/>
        <v>0</v>
      </c>
      <c r="L164" s="292">
        <f t="shared" si="94"/>
        <v>0</v>
      </c>
      <c r="M164" s="292">
        <f t="shared" si="95"/>
        <v>0</v>
      </c>
      <c r="N164" s="292">
        <f t="shared" si="130"/>
        <v>0</v>
      </c>
      <c r="O164" s="292">
        <f t="shared" si="131"/>
        <v>0</v>
      </c>
      <c r="P164" s="292">
        <f t="shared" si="96"/>
        <v>0</v>
      </c>
      <c r="Q164" s="292">
        <f t="shared" si="97"/>
        <v>0</v>
      </c>
      <c r="R164" s="292">
        <f t="shared" si="98"/>
        <v>0</v>
      </c>
      <c r="S164" s="292">
        <f t="shared" si="99"/>
        <v>0</v>
      </c>
      <c r="T164" s="292">
        <f t="shared" si="132"/>
        <v>0</v>
      </c>
      <c r="U164" s="292">
        <f t="shared" si="133"/>
        <v>0</v>
      </c>
      <c r="V164" s="292">
        <f t="shared" si="100"/>
        <v>0</v>
      </c>
      <c r="W164" s="292">
        <f t="shared" si="101"/>
        <v>0</v>
      </c>
      <c r="X164" s="292">
        <f t="shared" si="102"/>
        <v>0</v>
      </c>
      <c r="Y164" s="292">
        <f t="shared" si="103"/>
        <v>0</v>
      </c>
      <c r="Z164" s="292">
        <f t="shared" si="104"/>
        <v>0</v>
      </c>
      <c r="AA164" s="292">
        <f t="shared" si="105"/>
        <v>0</v>
      </c>
      <c r="AB164" s="292">
        <f t="shared" si="106"/>
        <v>0</v>
      </c>
      <c r="AC164" s="292">
        <f t="shared" si="107"/>
        <v>0</v>
      </c>
      <c r="AD164" s="292">
        <f t="shared" si="108"/>
        <v>0</v>
      </c>
      <c r="AE164" s="292">
        <f t="shared" si="109"/>
        <v>0</v>
      </c>
      <c r="AF164" s="292">
        <f t="shared" si="134"/>
        <v>0</v>
      </c>
      <c r="AG164" s="292">
        <f t="shared" si="135"/>
        <v>0</v>
      </c>
      <c r="AH164" s="292">
        <f t="shared" si="110"/>
        <v>0</v>
      </c>
      <c r="AI164" s="292">
        <f t="shared" si="111"/>
        <v>0</v>
      </c>
      <c r="AJ164" s="292">
        <f t="shared" si="112"/>
        <v>0</v>
      </c>
      <c r="AK164" s="292">
        <f t="shared" si="113"/>
        <v>0</v>
      </c>
      <c r="AL164" s="292">
        <f t="shared" si="114"/>
        <v>0</v>
      </c>
      <c r="AM164" s="292">
        <f t="shared" si="115"/>
        <v>0</v>
      </c>
      <c r="AN164" s="292">
        <f t="shared" si="116"/>
        <v>0</v>
      </c>
      <c r="AO164" s="292">
        <f t="shared" si="117"/>
        <v>0</v>
      </c>
      <c r="AP164" s="292">
        <f t="shared" si="118"/>
        <v>0</v>
      </c>
      <c r="AQ164" s="292">
        <f t="shared" si="119"/>
        <v>0</v>
      </c>
      <c r="AR164" s="292">
        <f t="shared" si="120"/>
        <v>0</v>
      </c>
      <c r="AS164" s="292">
        <f t="shared" si="121"/>
        <v>0</v>
      </c>
      <c r="AT164" s="292">
        <f t="shared" si="122"/>
        <v>0</v>
      </c>
      <c r="AU164" s="292">
        <f t="shared" si="123"/>
        <v>0</v>
      </c>
      <c r="AV164" s="292">
        <f t="shared" si="124"/>
        <v>0</v>
      </c>
      <c r="AW164" s="292">
        <f t="shared" si="125"/>
        <v>0</v>
      </c>
      <c r="AX164" s="292">
        <f t="shared" si="126"/>
        <v>0</v>
      </c>
      <c r="AY164" s="292">
        <f t="shared" si="127"/>
        <v>0</v>
      </c>
      <c r="AZ164" s="292">
        <f t="shared" si="128"/>
        <v>0</v>
      </c>
      <c r="BA164" s="292">
        <f t="shared" si="129"/>
        <v>0</v>
      </c>
    </row>
    <row r="165" spans="1:53" s="289" customFormat="1" ht="15.75" customHeight="1">
      <c r="A165" s="63" t="str">
        <f t="array" ref="A165">IF(C165&lt;&gt;0,SUM(($C$11:C165&lt;&gt;0)*1),"")</f>
        <v/>
      </c>
      <c r="B165" s="290"/>
      <c r="C165" s="290"/>
      <c r="D165" s="290"/>
      <c r="E165" s="396"/>
      <c r="F165" s="345"/>
      <c r="G165" s="347"/>
      <c r="H165" s="347"/>
      <c r="I165" s="63" t="str">
        <f t="shared" si="136"/>
        <v/>
      </c>
      <c r="J165" s="292">
        <f t="shared" si="92"/>
        <v>0</v>
      </c>
      <c r="K165" s="292">
        <f t="shared" si="93"/>
        <v>0</v>
      </c>
      <c r="L165" s="292">
        <f t="shared" si="94"/>
        <v>0</v>
      </c>
      <c r="M165" s="292">
        <f t="shared" si="95"/>
        <v>0</v>
      </c>
      <c r="N165" s="292">
        <f t="shared" si="130"/>
        <v>0</v>
      </c>
      <c r="O165" s="292">
        <f t="shared" si="131"/>
        <v>0</v>
      </c>
      <c r="P165" s="292">
        <f t="shared" si="96"/>
        <v>0</v>
      </c>
      <c r="Q165" s="292">
        <f t="shared" si="97"/>
        <v>0</v>
      </c>
      <c r="R165" s="292">
        <f t="shared" si="98"/>
        <v>0</v>
      </c>
      <c r="S165" s="292">
        <f t="shared" si="99"/>
        <v>0</v>
      </c>
      <c r="T165" s="292">
        <f t="shared" si="132"/>
        <v>0</v>
      </c>
      <c r="U165" s="292">
        <f t="shared" si="133"/>
        <v>0</v>
      </c>
      <c r="V165" s="292">
        <f t="shared" si="100"/>
        <v>0</v>
      </c>
      <c r="W165" s="292">
        <f t="shared" si="101"/>
        <v>0</v>
      </c>
      <c r="X165" s="292">
        <f t="shared" si="102"/>
        <v>0</v>
      </c>
      <c r="Y165" s="292">
        <f t="shared" si="103"/>
        <v>0</v>
      </c>
      <c r="Z165" s="292">
        <f t="shared" si="104"/>
        <v>0</v>
      </c>
      <c r="AA165" s="292">
        <f t="shared" si="105"/>
        <v>0</v>
      </c>
      <c r="AB165" s="292">
        <f t="shared" si="106"/>
        <v>0</v>
      </c>
      <c r="AC165" s="292">
        <f t="shared" si="107"/>
        <v>0</v>
      </c>
      <c r="AD165" s="292">
        <f t="shared" si="108"/>
        <v>0</v>
      </c>
      <c r="AE165" s="292">
        <f t="shared" si="109"/>
        <v>0</v>
      </c>
      <c r="AF165" s="292">
        <f t="shared" si="134"/>
        <v>0</v>
      </c>
      <c r="AG165" s="292">
        <f t="shared" si="135"/>
        <v>0</v>
      </c>
      <c r="AH165" s="292">
        <f t="shared" si="110"/>
        <v>0</v>
      </c>
      <c r="AI165" s="292">
        <f t="shared" si="111"/>
        <v>0</v>
      </c>
      <c r="AJ165" s="292">
        <f t="shared" si="112"/>
        <v>0</v>
      </c>
      <c r="AK165" s="292">
        <f t="shared" si="113"/>
        <v>0</v>
      </c>
      <c r="AL165" s="292">
        <f t="shared" si="114"/>
        <v>0</v>
      </c>
      <c r="AM165" s="292">
        <f t="shared" si="115"/>
        <v>0</v>
      </c>
      <c r="AN165" s="292">
        <f t="shared" si="116"/>
        <v>0</v>
      </c>
      <c r="AO165" s="292">
        <f t="shared" si="117"/>
        <v>0</v>
      </c>
      <c r="AP165" s="292">
        <f t="shared" si="118"/>
        <v>0</v>
      </c>
      <c r="AQ165" s="292">
        <f t="shared" si="119"/>
        <v>0</v>
      </c>
      <c r="AR165" s="292">
        <f t="shared" si="120"/>
        <v>0</v>
      </c>
      <c r="AS165" s="292">
        <f t="shared" si="121"/>
        <v>0</v>
      </c>
      <c r="AT165" s="292">
        <f t="shared" si="122"/>
        <v>0</v>
      </c>
      <c r="AU165" s="292">
        <f t="shared" si="123"/>
        <v>0</v>
      </c>
      <c r="AV165" s="292">
        <f t="shared" si="124"/>
        <v>0</v>
      </c>
      <c r="AW165" s="292">
        <f t="shared" si="125"/>
        <v>0</v>
      </c>
      <c r="AX165" s="292">
        <f t="shared" si="126"/>
        <v>0</v>
      </c>
      <c r="AY165" s="292">
        <f t="shared" si="127"/>
        <v>0</v>
      </c>
      <c r="AZ165" s="292">
        <f t="shared" si="128"/>
        <v>0</v>
      </c>
      <c r="BA165" s="292">
        <f t="shared" si="129"/>
        <v>0</v>
      </c>
    </row>
    <row r="166" spans="1:53" s="289" customFormat="1" ht="15.75" customHeight="1">
      <c r="A166" s="63" t="str">
        <f t="array" ref="A166">IF(C166&lt;&gt;0,SUM(($C$11:C166&lt;&gt;0)*1),"")</f>
        <v/>
      </c>
      <c r="B166" s="290"/>
      <c r="C166" s="290"/>
      <c r="D166" s="290"/>
      <c r="E166" s="396"/>
      <c r="F166" s="345"/>
      <c r="G166" s="347"/>
      <c r="H166" s="347"/>
      <c r="I166" s="63" t="str">
        <f t="shared" si="136"/>
        <v/>
      </c>
      <c r="J166" s="292">
        <f t="shared" si="92"/>
        <v>0</v>
      </c>
      <c r="K166" s="292">
        <f t="shared" si="93"/>
        <v>0</v>
      </c>
      <c r="L166" s="292">
        <f t="shared" si="94"/>
        <v>0</v>
      </c>
      <c r="M166" s="292">
        <f t="shared" si="95"/>
        <v>0</v>
      </c>
      <c r="N166" s="292">
        <f t="shared" si="130"/>
        <v>0</v>
      </c>
      <c r="O166" s="292">
        <f t="shared" si="131"/>
        <v>0</v>
      </c>
      <c r="P166" s="292">
        <f t="shared" si="96"/>
        <v>0</v>
      </c>
      <c r="Q166" s="292">
        <f t="shared" si="97"/>
        <v>0</v>
      </c>
      <c r="R166" s="292">
        <f t="shared" si="98"/>
        <v>0</v>
      </c>
      <c r="S166" s="292">
        <f t="shared" si="99"/>
        <v>0</v>
      </c>
      <c r="T166" s="292">
        <f t="shared" si="132"/>
        <v>0</v>
      </c>
      <c r="U166" s="292">
        <f t="shared" si="133"/>
        <v>0</v>
      </c>
      <c r="V166" s="292">
        <f t="shared" si="100"/>
        <v>0</v>
      </c>
      <c r="W166" s="292">
        <f t="shared" si="101"/>
        <v>0</v>
      </c>
      <c r="X166" s="292">
        <f t="shared" si="102"/>
        <v>0</v>
      </c>
      <c r="Y166" s="292">
        <f t="shared" si="103"/>
        <v>0</v>
      </c>
      <c r="Z166" s="292">
        <f t="shared" si="104"/>
        <v>0</v>
      </c>
      <c r="AA166" s="292">
        <f t="shared" si="105"/>
        <v>0</v>
      </c>
      <c r="AB166" s="292">
        <f t="shared" si="106"/>
        <v>0</v>
      </c>
      <c r="AC166" s="292">
        <f t="shared" si="107"/>
        <v>0</v>
      </c>
      <c r="AD166" s="292">
        <f t="shared" si="108"/>
        <v>0</v>
      </c>
      <c r="AE166" s="292">
        <f t="shared" si="109"/>
        <v>0</v>
      </c>
      <c r="AF166" s="292">
        <f t="shared" si="134"/>
        <v>0</v>
      </c>
      <c r="AG166" s="292">
        <f t="shared" si="135"/>
        <v>0</v>
      </c>
      <c r="AH166" s="292">
        <f t="shared" si="110"/>
        <v>0</v>
      </c>
      <c r="AI166" s="292">
        <f t="shared" si="111"/>
        <v>0</v>
      </c>
      <c r="AJ166" s="292">
        <f t="shared" si="112"/>
        <v>0</v>
      </c>
      <c r="AK166" s="292">
        <f t="shared" si="113"/>
        <v>0</v>
      </c>
      <c r="AL166" s="292">
        <f t="shared" si="114"/>
        <v>0</v>
      </c>
      <c r="AM166" s="292">
        <f t="shared" si="115"/>
        <v>0</v>
      </c>
      <c r="AN166" s="292">
        <f t="shared" si="116"/>
        <v>0</v>
      </c>
      <c r="AO166" s="292">
        <f t="shared" si="117"/>
        <v>0</v>
      </c>
      <c r="AP166" s="292">
        <f t="shared" si="118"/>
        <v>0</v>
      </c>
      <c r="AQ166" s="292">
        <f t="shared" si="119"/>
        <v>0</v>
      </c>
      <c r="AR166" s="292">
        <f t="shared" si="120"/>
        <v>0</v>
      </c>
      <c r="AS166" s="292">
        <f t="shared" si="121"/>
        <v>0</v>
      </c>
      <c r="AT166" s="292">
        <f t="shared" si="122"/>
        <v>0</v>
      </c>
      <c r="AU166" s="292">
        <f t="shared" si="123"/>
        <v>0</v>
      </c>
      <c r="AV166" s="292">
        <f t="shared" si="124"/>
        <v>0</v>
      </c>
      <c r="AW166" s="292">
        <f t="shared" si="125"/>
        <v>0</v>
      </c>
      <c r="AX166" s="292">
        <f t="shared" si="126"/>
        <v>0</v>
      </c>
      <c r="AY166" s="292">
        <f t="shared" si="127"/>
        <v>0</v>
      </c>
      <c r="AZ166" s="292">
        <f t="shared" si="128"/>
        <v>0</v>
      </c>
      <c r="BA166" s="292">
        <f t="shared" si="129"/>
        <v>0</v>
      </c>
    </row>
    <row r="167" spans="1:53" s="289" customFormat="1" ht="15.75" customHeight="1">
      <c r="A167" s="63" t="str">
        <f t="array" ref="A167">IF(C167&lt;&gt;0,SUM(($C$11:C167&lt;&gt;0)*1),"")</f>
        <v/>
      </c>
      <c r="B167" s="290"/>
      <c r="C167" s="290"/>
      <c r="D167" s="290"/>
      <c r="E167" s="396"/>
      <c r="F167" s="345"/>
      <c r="G167" s="347"/>
      <c r="H167" s="347"/>
      <c r="I167" s="63" t="str">
        <f t="shared" si="136"/>
        <v/>
      </c>
      <c r="J167" s="292">
        <f t="shared" si="92"/>
        <v>0</v>
      </c>
      <c r="K167" s="292">
        <f t="shared" si="93"/>
        <v>0</v>
      </c>
      <c r="L167" s="292">
        <f t="shared" si="94"/>
        <v>0</v>
      </c>
      <c r="M167" s="292">
        <f t="shared" si="95"/>
        <v>0</v>
      </c>
      <c r="N167" s="292">
        <f t="shared" si="130"/>
        <v>0</v>
      </c>
      <c r="O167" s="292">
        <f t="shared" si="131"/>
        <v>0</v>
      </c>
      <c r="P167" s="292">
        <f t="shared" si="96"/>
        <v>0</v>
      </c>
      <c r="Q167" s="292">
        <f t="shared" si="97"/>
        <v>0</v>
      </c>
      <c r="R167" s="292">
        <f t="shared" si="98"/>
        <v>0</v>
      </c>
      <c r="S167" s="292">
        <f t="shared" si="99"/>
        <v>0</v>
      </c>
      <c r="T167" s="292">
        <f t="shared" si="132"/>
        <v>0</v>
      </c>
      <c r="U167" s="292">
        <f t="shared" si="133"/>
        <v>0</v>
      </c>
      <c r="V167" s="292">
        <f t="shared" si="100"/>
        <v>0</v>
      </c>
      <c r="W167" s="292">
        <f t="shared" si="101"/>
        <v>0</v>
      </c>
      <c r="X167" s="292">
        <f t="shared" si="102"/>
        <v>0</v>
      </c>
      <c r="Y167" s="292">
        <f t="shared" si="103"/>
        <v>0</v>
      </c>
      <c r="Z167" s="292">
        <f t="shared" si="104"/>
        <v>0</v>
      </c>
      <c r="AA167" s="292">
        <f t="shared" si="105"/>
        <v>0</v>
      </c>
      <c r="AB167" s="292">
        <f t="shared" si="106"/>
        <v>0</v>
      </c>
      <c r="AC167" s="292">
        <f t="shared" si="107"/>
        <v>0</v>
      </c>
      <c r="AD167" s="292">
        <f t="shared" si="108"/>
        <v>0</v>
      </c>
      <c r="AE167" s="292">
        <f t="shared" si="109"/>
        <v>0</v>
      </c>
      <c r="AF167" s="292">
        <f t="shared" si="134"/>
        <v>0</v>
      </c>
      <c r="AG167" s="292">
        <f t="shared" si="135"/>
        <v>0</v>
      </c>
      <c r="AH167" s="292">
        <f t="shared" si="110"/>
        <v>0</v>
      </c>
      <c r="AI167" s="292">
        <f t="shared" si="111"/>
        <v>0</v>
      </c>
      <c r="AJ167" s="292">
        <f t="shared" si="112"/>
        <v>0</v>
      </c>
      <c r="AK167" s="292">
        <f t="shared" si="113"/>
        <v>0</v>
      </c>
      <c r="AL167" s="292">
        <f t="shared" si="114"/>
        <v>0</v>
      </c>
      <c r="AM167" s="292">
        <f t="shared" si="115"/>
        <v>0</v>
      </c>
      <c r="AN167" s="292">
        <f t="shared" si="116"/>
        <v>0</v>
      </c>
      <c r="AO167" s="292">
        <f t="shared" si="117"/>
        <v>0</v>
      </c>
      <c r="AP167" s="292">
        <f t="shared" si="118"/>
        <v>0</v>
      </c>
      <c r="AQ167" s="292">
        <f t="shared" si="119"/>
        <v>0</v>
      </c>
      <c r="AR167" s="292">
        <f t="shared" si="120"/>
        <v>0</v>
      </c>
      <c r="AS167" s="292">
        <f t="shared" si="121"/>
        <v>0</v>
      </c>
      <c r="AT167" s="292">
        <f t="shared" si="122"/>
        <v>0</v>
      </c>
      <c r="AU167" s="292">
        <f t="shared" si="123"/>
        <v>0</v>
      </c>
      <c r="AV167" s="292">
        <f t="shared" si="124"/>
        <v>0</v>
      </c>
      <c r="AW167" s="292">
        <f t="shared" si="125"/>
        <v>0</v>
      </c>
      <c r="AX167" s="292">
        <f t="shared" si="126"/>
        <v>0</v>
      </c>
      <c r="AY167" s="292">
        <f t="shared" si="127"/>
        <v>0</v>
      </c>
      <c r="AZ167" s="292">
        <f t="shared" si="128"/>
        <v>0</v>
      </c>
      <c r="BA167" s="292">
        <f t="shared" si="129"/>
        <v>0</v>
      </c>
    </row>
    <row r="168" spans="1:53" s="289" customFormat="1" ht="15.75" customHeight="1">
      <c r="A168" s="63" t="str">
        <f t="array" ref="A168">IF(C168&lt;&gt;0,SUM(($C$11:C168&lt;&gt;0)*1),"")</f>
        <v/>
      </c>
      <c r="B168" s="290"/>
      <c r="C168" s="290"/>
      <c r="D168" s="290"/>
      <c r="E168" s="396"/>
      <c r="F168" s="345"/>
      <c r="G168" s="347"/>
      <c r="H168" s="347"/>
      <c r="I168" s="63" t="str">
        <f t="shared" si="136"/>
        <v/>
      </c>
      <c r="J168" s="292">
        <f t="shared" si="92"/>
        <v>0</v>
      </c>
      <c r="K168" s="292">
        <f t="shared" si="93"/>
        <v>0</v>
      </c>
      <c r="L168" s="292">
        <f t="shared" si="94"/>
        <v>0</v>
      </c>
      <c r="M168" s="292">
        <f t="shared" si="95"/>
        <v>0</v>
      </c>
      <c r="N168" s="292">
        <f t="shared" si="130"/>
        <v>0</v>
      </c>
      <c r="O168" s="292">
        <f t="shared" si="131"/>
        <v>0</v>
      </c>
      <c r="P168" s="292">
        <f t="shared" si="96"/>
        <v>0</v>
      </c>
      <c r="Q168" s="292">
        <f t="shared" si="97"/>
        <v>0</v>
      </c>
      <c r="R168" s="292">
        <f t="shared" si="98"/>
        <v>0</v>
      </c>
      <c r="S168" s="292">
        <f t="shared" si="99"/>
        <v>0</v>
      </c>
      <c r="T168" s="292">
        <f t="shared" si="132"/>
        <v>0</v>
      </c>
      <c r="U168" s="292">
        <f t="shared" si="133"/>
        <v>0</v>
      </c>
      <c r="V168" s="292">
        <f t="shared" si="100"/>
        <v>0</v>
      </c>
      <c r="W168" s="292">
        <f t="shared" si="101"/>
        <v>0</v>
      </c>
      <c r="X168" s="292">
        <f t="shared" si="102"/>
        <v>0</v>
      </c>
      <c r="Y168" s="292">
        <f t="shared" si="103"/>
        <v>0</v>
      </c>
      <c r="Z168" s="292">
        <f t="shared" si="104"/>
        <v>0</v>
      </c>
      <c r="AA168" s="292">
        <f t="shared" si="105"/>
        <v>0</v>
      </c>
      <c r="AB168" s="292">
        <f t="shared" si="106"/>
        <v>0</v>
      </c>
      <c r="AC168" s="292">
        <f t="shared" si="107"/>
        <v>0</v>
      </c>
      <c r="AD168" s="292">
        <f t="shared" si="108"/>
        <v>0</v>
      </c>
      <c r="AE168" s="292">
        <f t="shared" si="109"/>
        <v>0</v>
      </c>
      <c r="AF168" s="292">
        <f t="shared" si="134"/>
        <v>0</v>
      </c>
      <c r="AG168" s="292">
        <f t="shared" si="135"/>
        <v>0</v>
      </c>
      <c r="AH168" s="292">
        <f t="shared" si="110"/>
        <v>0</v>
      </c>
      <c r="AI168" s="292">
        <f t="shared" si="111"/>
        <v>0</v>
      </c>
      <c r="AJ168" s="292">
        <f t="shared" si="112"/>
        <v>0</v>
      </c>
      <c r="AK168" s="292">
        <f t="shared" si="113"/>
        <v>0</v>
      </c>
      <c r="AL168" s="292">
        <f t="shared" si="114"/>
        <v>0</v>
      </c>
      <c r="AM168" s="292">
        <f t="shared" si="115"/>
        <v>0</v>
      </c>
      <c r="AN168" s="292">
        <f t="shared" si="116"/>
        <v>0</v>
      </c>
      <c r="AO168" s="292">
        <f t="shared" si="117"/>
        <v>0</v>
      </c>
      <c r="AP168" s="292">
        <f t="shared" si="118"/>
        <v>0</v>
      </c>
      <c r="AQ168" s="292">
        <f t="shared" si="119"/>
        <v>0</v>
      </c>
      <c r="AR168" s="292">
        <f t="shared" si="120"/>
        <v>0</v>
      </c>
      <c r="AS168" s="292">
        <f t="shared" si="121"/>
        <v>0</v>
      </c>
      <c r="AT168" s="292">
        <f t="shared" si="122"/>
        <v>0</v>
      </c>
      <c r="AU168" s="292">
        <f t="shared" si="123"/>
        <v>0</v>
      </c>
      <c r="AV168" s="292">
        <f t="shared" si="124"/>
        <v>0</v>
      </c>
      <c r="AW168" s="292">
        <f t="shared" si="125"/>
        <v>0</v>
      </c>
      <c r="AX168" s="292">
        <f t="shared" si="126"/>
        <v>0</v>
      </c>
      <c r="AY168" s="292">
        <f t="shared" si="127"/>
        <v>0</v>
      </c>
      <c r="AZ168" s="292">
        <f t="shared" si="128"/>
        <v>0</v>
      </c>
      <c r="BA168" s="292">
        <f t="shared" si="129"/>
        <v>0</v>
      </c>
    </row>
    <row r="169" spans="1:53" s="289" customFormat="1" ht="15.75" customHeight="1">
      <c r="A169" s="63" t="str">
        <f t="array" ref="A169">IF(C169&lt;&gt;0,SUM(($C$11:C169&lt;&gt;0)*1),"")</f>
        <v/>
      </c>
      <c r="B169" s="290"/>
      <c r="C169" s="290"/>
      <c r="D169" s="290"/>
      <c r="E169" s="396"/>
      <c r="F169" s="345"/>
      <c r="G169" s="347"/>
      <c r="H169" s="347"/>
      <c r="I169" s="63" t="str">
        <f t="shared" si="136"/>
        <v/>
      </c>
      <c r="J169" s="292">
        <f t="shared" si="92"/>
        <v>0</v>
      </c>
      <c r="K169" s="292">
        <f t="shared" si="93"/>
        <v>0</v>
      </c>
      <c r="L169" s="292">
        <f t="shared" si="94"/>
        <v>0</v>
      </c>
      <c r="M169" s="292">
        <f t="shared" si="95"/>
        <v>0</v>
      </c>
      <c r="N169" s="292">
        <f t="shared" si="130"/>
        <v>0</v>
      </c>
      <c r="O169" s="292">
        <f t="shared" si="131"/>
        <v>0</v>
      </c>
      <c r="P169" s="292">
        <f t="shared" si="96"/>
        <v>0</v>
      </c>
      <c r="Q169" s="292">
        <f t="shared" si="97"/>
        <v>0</v>
      </c>
      <c r="R169" s="292">
        <f t="shared" si="98"/>
        <v>0</v>
      </c>
      <c r="S169" s="292">
        <f t="shared" si="99"/>
        <v>0</v>
      </c>
      <c r="T169" s="292">
        <f t="shared" si="132"/>
        <v>0</v>
      </c>
      <c r="U169" s="292">
        <f t="shared" si="133"/>
        <v>0</v>
      </c>
      <c r="V169" s="292">
        <f t="shared" si="100"/>
        <v>0</v>
      </c>
      <c r="W169" s="292">
        <f t="shared" si="101"/>
        <v>0</v>
      </c>
      <c r="X169" s="292">
        <f t="shared" si="102"/>
        <v>0</v>
      </c>
      <c r="Y169" s="292">
        <f t="shared" si="103"/>
        <v>0</v>
      </c>
      <c r="Z169" s="292">
        <f t="shared" si="104"/>
        <v>0</v>
      </c>
      <c r="AA169" s="292">
        <f t="shared" si="105"/>
        <v>0</v>
      </c>
      <c r="AB169" s="292">
        <f t="shared" si="106"/>
        <v>0</v>
      </c>
      <c r="AC169" s="292">
        <f t="shared" si="107"/>
        <v>0</v>
      </c>
      <c r="AD169" s="292">
        <f t="shared" si="108"/>
        <v>0</v>
      </c>
      <c r="AE169" s="292">
        <f t="shared" si="109"/>
        <v>0</v>
      </c>
      <c r="AF169" s="292">
        <f t="shared" si="134"/>
        <v>0</v>
      </c>
      <c r="AG169" s="292">
        <f t="shared" si="135"/>
        <v>0</v>
      </c>
      <c r="AH169" s="292">
        <f t="shared" si="110"/>
        <v>0</v>
      </c>
      <c r="AI169" s="292">
        <f t="shared" si="111"/>
        <v>0</v>
      </c>
      <c r="AJ169" s="292">
        <f t="shared" si="112"/>
        <v>0</v>
      </c>
      <c r="AK169" s="292">
        <f t="shared" si="113"/>
        <v>0</v>
      </c>
      <c r="AL169" s="292">
        <f t="shared" si="114"/>
        <v>0</v>
      </c>
      <c r="AM169" s="292">
        <f t="shared" si="115"/>
        <v>0</v>
      </c>
      <c r="AN169" s="292">
        <f t="shared" si="116"/>
        <v>0</v>
      </c>
      <c r="AO169" s="292">
        <f t="shared" si="117"/>
        <v>0</v>
      </c>
      <c r="AP169" s="292">
        <f t="shared" si="118"/>
        <v>0</v>
      </c>
      <c r="AQ169" s="292">
        <f t="shared" si="119"/>
        <v>0</v>
      </c>
      <c r="AR169" s="292">
        <f t="shared" si="120"/>
        <v>0</v>
      </c>
      <c r="AS169" s="292">
        <f t="shared" si="121"/>
        <v>0</v>
      </c>
      <c r="AT169" s="292">
        <f t="shared" si="122"/>
        <v>0</v>
      </c>
      <c r="AU169" s="292">
        <f t="shared" si="123"/>
        <v>0</v>
      </c>
      <c r="AV169" s="292">
        <f t="shared" si="124"/>
        <v>0</v>
      </c>
      <c r="AW169" s="292">
        <f t="shared" si="125"/>
        <v>0</v>
      </c>
      <c r="AX169" s="292">
        <f t="shared" si="126"/>
        <v>0</v>
      </c>
      <c r="AY169" s="292">
        <f t="shared" si="127"/>
        <v>0</v>
      </c>
      <c r="AZ169" s="292">
        <f t="shared" si="128"/>
        <v>0</v>
      </c>
      <c r="BA169" s="292">
        <f t="shared" si="129"/>
        <v>0</v>
      </c>
    </row>
    <row r="170" spans="1:53" s="289" customFormat="1" ht="15.75" customHeight="1">
      <c r="A170" s="63" t="str">
        <f t="array" ref="A170">IF(C170&lt;&gt;0,SUM(($C$11:C170&lt;&gt;0)*1),"")</f>
        <v/>
      </c>
      <c r="B170" s="290"/>
      <c r="C170" s="290"/>
      <c r="D170" s="290"/>
      <c r="E170" s="396"/>
      <c r="F170" s="345"/>
      <c r="G170" s="347"/>
      <c r="H170" s="347"/>
      <c r="I170" s="63" t="str">
        <f t="shared" si="136"/>
        <v/>
      </c>
      <c r="J170" s="292">
        <f t="shared" si="92"/>
        <v>0</v>
      </c>
      <c r="K170" s="292">
        <f t="shared" si="93"/>
        <v>0</v>
      </c>
      <c r="L170" s="292">
        <f t="shared" si="94"/>
        <v>0</v>
      </c>
      <c r="M170" s="292">
        <f t="shared" si="95"/>
        <v>0</v>
      </c>
      <c r="N170" s="292">
        <f t="shared" si="130"/>
        <v>0</v>
      </c>
      <c r="O170" s="292">
        <f t="shared" si="131"/>
        <v>0</v>
      </c>
      <c r="P170" s="292">
        <f t="shared" si="96"/>
        <v>0</v>
      </c>
      <c r="Q170" s="292">
        <f t="shared" si="97"/>
        <v>0</v>
      </c>
      <c r="R170" s="292">
        <f t="shared" si="98"/>
        <v>0</v>
      </c>
      <c r="S170" s="292">
        <f t="shared" si="99"/>
        <v>0</v>
      </c>
      <c r="T170" s="292">
        <f t="shared" si="132"/>
        <v>0</v>
      </c>
      <c r="U170" s="292">
        <f t="shared" si="133"/>
        <v>0</v>
      </c>
      <c r="V170" s="292">
        <f t="shared" si="100"/>
        <v>0</v>
      </c>
      <c r="W170" s="292">
        <f t="shared" si="101"/>
        <v>0</v>
      </c>
      <c r="X170" s="292">
        <f t="shared" si="102"/>
        <v>0</v>
      </c>
      <c r="Y170" s="292">
        <f t="shared" si="103"/>
        <v>0</v>
      </c>
      <c r="Z170" s="292">
        <f t="shared" si="104"/>
        <v>0</v>
      </c>
      <c r="AA170" s="292">
        <f t="shared" si="105"/>
        <v>0</v>
      </c>
      <c r="AB170" s="292">
        <f t="shared" si="106"/>
        <v>0</v>
      </c>
      <c r="AC170" s="292">
        <f t="shared" si="107"/>
        <v>0</v>
      </c>
      <c r="AD170" s="292">
        <f t="shared" si="108"/>
        <v>0</v>
      </c>
      <c r="AE170" s="292">
        <f t="shared" si="109"/>
        <v>0</v>
      </c>
      <c r="AF170" s="292">
        <f t="shared" si="134"/>
        <v>0</v>
      </c>
      <c r="AG170" s="292">
        <f t="shared" si="135"/>
        <v>0</v>
      </c>
      <c r="AH170" s="292">
        <f t="shared" si="110"/>
        <v>0</v>
      </c>
      <c r="AI170" s="292">
        <f t="shared" si="111"/>
        <v>0</v>
      </c>
      <c r="AJ170" s="292">
        <f t="shared" si="112"/>
        <v>0</v>
      </c>
      <c r="AK170" s="292">
        <f t="shared" si="113"/>
        <v>0</v>
      </c>
      <c r="AL170" s="292">
        <f t="shared" si="114"/>
        <v>0</v>
      </c>
      <c r="AM170" s="292">
        <f t="shared" si="115"/>
        <v>0</v>
      </c>
      <c r="AN170" s="292">
        <f t="shared" si="116"/>
        <v>0</v>
      </c>
      <c r="AO170" s="292">
        <f t="shared" si="117"/>
        <v>0</v>
      </c>
      <c r="AP170" s="292">
        <f t="shared" si="118"/>
        <v>0</v>
      </c>
      <c r="AQ170" s="292">
        <f t="shared" si="119"/>
        <v>0</v>
      </c>
      <c r="AR170" s="292">
        <f t="shared" si="120"/>
        <v>0</v>
      </c>
      <c r="AS170" s="292">
        <f t="shared" si="121"/>
        <v>0</v>
      </c>
      <c r="AT170" s="292">
        <f t="shared" si="122"/>
        <v>0</v>
      </c>
      <c r="AU170" s="292">
        <f t="shared" si="123"/>
        <v>0</v>
      </c>
      <c r="AV170" s="292">
        <f t="shared" si="124"/>
        <v>0</v>
      </c>
      <c r="AW170" s="292">
        <f t="shared" si="125"/>
        <v>0</v>
      </c>
      <c r="AX170" s="292">
        <f t="shared" si="126"/>
        <v>0</v>
      </c>
      <c r="AY170" s="292">
        <f t="shared" si="127"/>
        <v>0</v>
      </c>
      <c r="AZ170" s="292">
        <f t="shared" si="128"/>
        <v>0</v>
      </c>
      <c r="BA170" s="292">
        <f t="shared" si="129"/>
        <v>0</v>
      </c>
    </row>
    <row r="171" spans="1:53" s="289" customFormat="1" ht="15.75" customHeight="1">
      <c r="A171" s="63" t="str">
        <f t="array" ref="A171">IF(C171&lt;&gt;0,SUM(($C$11:C171&lt;&gt;0)*1),"")</f>
        <v/>
      </c>
      <c r="B171" s="290"/>
      <c r="C171" s="290"/>
      <c r="D171" s="290"/>
      <c r="E171" s="396"/>
      <c r="F171" s="345"/>
      <c r="G171" s="347"/>
      <c r="H171" s="347"/>
      <c r="I171" s="63" t="str">
        <f t="shared" si="136"/>
        <v/>
      </c>
      <c r="J171" s="292">
        <f t="shared" si="92"/>
        <v>0</v>
      </c>
      <c r="K171" s="292">
        <f t="shared" si="93"/>
        <v>0</v>
      </c>
      <c r="L171" s="292">
        <f t="shared" si="94"/>
        <v>0</v>
      </c>
      <c r="M171" s="292">
        <f t="shared" si="95"/>
        <v>0</v>
      </c>
      <c r="N171" s="292">
        <f t="shared" si="130"/>
        <v>0</v>
      </c>
      <c r="O171" s="292">
        <f t="shared" si="131"/>
        <v>0</v>
      </c>
      <c r="P171" s="292">
        <f t="shared" si="96"/>
        <v>0</v>
      </c>
      <c r="Q171" s="292">
        <f t="shared" si="97"/>
        <v>0</v>
      </c>
      <c r="R171" s="292">
        <f t="shared" si="98"/>
        <v>0</v>
      </c>
      <c r="S171" s="292">
        <f t="shared" si="99"/>
        <v>0</v>
      </c>
      <c r="T171" s="292">
        <f t="shared" si="132"/>
        <v>0</v>
      </c>
      <c r="U171" s="292">
        <f t="shared" si="133"/>
        <v>0</v>
      </c>
      <c r="V171" s="292">
        <f t="shared" si="100"/>
        <v>0</v>
      </c>
      <c r="W171" s="292">
        <f t="shared" si="101"/>
        <v>0</v>
      </c>
      <c r="X171" s="292">
        <f t="shared" si="102"/>
        <v>0</v>
      </c>
      <c r="Y171" s="292">
        <f t="shared" si="103"/>
        <v>0</v>
      </c>
      <c r="Z171" s="292">
        <f t="shared" si="104"/>
        <v>0</v>
      </c>
      <c r="AA171" s="292">
        <f t="shared" si="105"/>
        <v>0</v>
      </c>
      <c r="AB171" s="292">
        <f t="shared" si="106"/>
        <v>0</v>
      </c>
      <c r="AC171" s="292">
        <f t="shared" si="107"/>
        <v>0</v>
      </c>
      <c r="AD171" s="292">
        <f t="shared" si="108"/>
        <v>0</v>
      </c>
      <c r="AE171" s="292">
        <f t="shared" si="109"/>
        <v>0</v>
      </c>
      <c r="AF171" s="292">
        <f t="shared" si="134"/>
        <v>0</v>
      </c>
      <c r="AG171" s="292">
        <f t="shared" si="135"/>
        <v>0</v>
      </c>
      <c r="AH171" s="292">
        <f t="shared" si="110"/>
        <v>0</v>
      </c>
      <c r="AI171" s="292">
        <f t="shared" si="111"/>
        <v>0</v>
      </c>
      <c r="AJ171" s="292">
        <f t="shared" si="112"/>
        <v>0</v>
      </c>
      <c r="AK171" s="292">
        <f t="shared" si="113"/>
        <v>0</v>
      </c>
      <c r="AL171" s="292">
        <f t="shared" si="114"/>
        <v>0</v>
      </c>
      <c r="AM171" s="292">
        <f t="shared" si="115"/>
        <v>0</v>
      </c>
      <c r="AN171" s="292">
        <f t="shared" si="116"/>
        <v>0</v>
      </c>
      <c r="AO171" s="292">
        <f t="shared" si="117"/>
        <v>0</v>
      </c>
      <c r="AP171" s="292">
        <f t="shared" si="118"/>
        <v>0</v>
      </c>
      <c r="AQ171" s="292">
        <f t="shared" si="119"/>
        <v>0</v>
      </c>
      <c r="AR171" s="292">
        <f t="shared" si="120"/>
        <v>0</v>
      </c>
      <c r="AS171" s="292">
        <f t="shared" si="121"/>
        <v>0</v>
      </c>
      <c r="AT171" s="292">
        <f t="shared" si="122"/>
        <v>0</v>
      </c>
      <c r="AU171" s="292">
        <f t="shared" si="123"/>
        <v>0</v>
      </c>
      <c r="AV171" s="292">
        <f t="shared" si="124"/>
        <v>0</v>
      </c>
      <c r="AW171" s="292">
        <f t="shared" si="125"/>
        <v>0</v>
      </c>
      <c r="AX171" s="292">
        <f t="shared" si="126"/>
        <v>0</v>
      </c>
      <c r="AY171" s="292">
        <f t="shared" si="127"/>
        <v>0</v>
      </c>
      <c r="AZ171" s="292">
        <f t="shared" si="128"/>
        <v>0</v>
      </c>
      <c r="BA171" s="292">
        <f t="shared" si="129"/>
        <v>0</v>
      </c>
    </row>
    <row r="172" spans="1:53" s="289" customFormat="1" ht="15.75" customHeight="1">
      <c r="A172" s="63" t="str">
        <f t="array" ref="A172">IF(C172&lt;&gt;0,SUM(($C$11:C172&lt;&gt;0)*1),"")</f>
        <v/>
      </c>
      <c r="B172" s="290"/>
      <c r="C172" s="290"/>
      <c r="D172" s="290"/>
      <c r="E172" s="396"/>
      <c r="F172" s="345"/>
      <c r="G172" s="347"/>
      <c r="H172" s="347"/>
      <c r="I172" s="63" t="str">
        <f t="shared" si="136"/>
        <v/>
      </c>
      <c r="J172" s="292">
        <f t="shared" si="92"/>
        <v>0</v>
      </c>
      <c r="K172" s="292">
        <f t="shared" si="93"/>
        <v>0</v>
      </c>
      <c r="L172" s="292">
        <f t="shared" si="94"/>
        <v>0</v>
      </c>
      <c r="M172" s="292">
        <f t="shared" si="95"/>
        <v>0</v>
      </c>
      <c r="N172" s="292">
        <f t="shared" si="130"/>
        <v>0</v>
      </c>
      <c r="O172" s="292">
        <f t="shared" si="131"/>
        <v>0</v>
      </c>
      <c r="P172" s="292">
        <f t="shared" si="96"/>
        <v>0</v>
      </c>
      <c r="Q172" s="292">
        <f t="shared" si="97"/>
        <v>0</v>
      </c>
      <c r="R172" s="292">
        <f t="shared" si="98"/>
        <v>0</v>
      </c>
      <c r="S172" s="292">
        <f t="shared" si="99"/>
        <v>0</v>
      </c>
      <c r="T172" s="292">
        <f t="shared" si="132"/>
        <v>0</v>
      </c>
      <c r="U172" s="292">
        <f t="shared" si="133"/>
        <v>0</v>
      </c>
      <c r="V172" s="292">
        <f t="shared" si="100"/>
        <v>0</v>
      </c>
      <c r="W172" s="292">
        <f t="shared" si="101"/>
        <v>0</v>
      </c>
      <c r="X172" s="292">
        <f t="shared" si="102"/>
        <v>0</v>
      </c>
      <c r="Y172" s="292">
        <f t="shared" si="103"/>
        <v>0</v>
      </c>
      <c r="Z172" s="292">
        <f t="shared" si="104"/>
        <v>0</v>
      </c>
      <c r="AA172" s="292">
        <f t="shared" si="105"/>
        <v>0</v>
      </c>
      <c r="AB172" s="292">
        <f t="shared" si="106"/>
        <v>0</v>
      </c>
      <c r="AC172" s="292">
        <f t="shared" si="107"/>
        <v>0</v>
      </c>
      <c r="AD172" s="292">
        <f t="shared" si="108"/>
        <v>0</v>
      </c>
      <c r="AE172" s="292">
        <f t="shared" si="109"/>
        <v>0</v>
      </c>
      <c r="AF172" s="292">
        <f t="shared" si="134"/>
        <v>0</v>
      </c>
      <c r="AG172" s="292">
        <f t="shared" si="135"/>
        <v>0</v>
      </c>
      <c r="AH172" s="292">
        <f t="shared" si="110"/>
        <v>0</v>
      </c>
      <c r="AI172" s="292">
        <f t="shared" si="111"/>
        <v>0</v>
      </c>
      <c r="AJ172" s="292">
        <f t="shared" si="112"/>
        <v>0</v>
      </c>
      <c r="AK172" s="292">
        <f t="shared" si="113"/>
        <v>0</v>
      </c>
      <c r="AL172" s="292">
        <f t="shared" si="114"/>
        <v>0</v>
      </c>
      <c r="AM172" s="292">
        <f t="shared" si="115"/>
        <v>0</v>
      </c>
      <c r="AN172" s="292">
        <f t="shared" si="116"/>
        <v>0</v>
      </c>
      <c r="AO172" s="292">
        <f t="shared" si="117"/>
        <v>0</v>
      </c>
      <c r="AP172" s="292">
        <f t="shared" si="118"/>
        <v>0</v>
      </c>
      <c r="AQ172" s="292">
        <f t="shared" si="119"/>
        <v>0</v>
      </c>
      <c r="AR172" s="292">
        <f t="shared" si="120"/>
        <v>0</v>
      </c>
      <c r="AS172" s="292">
        <f t="shared" si="121"/>
        <v>0</v>
      </c>
      <c r="AT172" s="292">
        <f t="shared" si="122"/>
        <v>0</v>
      </c>
      <c r="AU172" s="292">
        <f t="shared" si="123"/>
        <v>0</v>
      </c>
      <c r="AV172" s="292">
        <f t="shared" si="124"/>
        <v>0</v>
      </c>
      <c r="AW172" s="292">
        <f t="shared" si="125"/>
        <v>0</v>
      </c>
      <c r="AX172" s="292">
        <f t="shared" si="126"/>
        <v>0</v>
      </c>
      <c r="AY172" s="292">
        <f t="shared" si="127"/>
        <v>0</v>
      </c>
      <c r="AZ172" s="292">
        <f t="shared" si="128"/>
        <v>0</v>
      </c>
      <c r="BA172" s="292">
        <f t="shared" si="129"/>
        <v>0</v>
      </c>
    </row>
    <row r="173" spans="1:53" s="289" customFormat="1" ht="15.75" customHeight="1">
      <c r="A173" s="63" t="str">
        <f t="array" ref="A173">IF(C173&lt;&gt;0,SUM(($C$11:C173&lt;&gt;0)*1),"")</f>
        <v/>
      </c>
      <c r="B173" s="290"/>
      <c r="C173" s="290"/>
      <c r="D173" s="290"/>
      <c r="E173" s="396"/>
      <c r="F173" s="345"/>
      <c r="G173" s="347"/>
      <c r="H173" s="347"/>
      <c r="I173" s="63" t="str">
        <f t="shared" si="136"/>
        <v/>
      </c>
      <c r="J173" s="292">
        <f t="shared" si="92"/>
        <v>0</v>
      </c>
      <c r="K173" s="292">
        <f t="shared" si="93"/>
        <v>0</v>
      </c>
      <c r="L173" s="292">
        <f t="shared" si="94"/>
        <v>0</v>
      </c>
      <c r="M173" s="292">
        <f t="shared" si="95"/>
        <v>0</v>
      </c>
      <c r="N173" s="292">
        <f t="shared" si="130"/>
        <v>0</v>
      </c>
      <c r="O173" s="292">
        <f t="shared" si="131"/>
        <v>0</v>
      </c>
      <c r="P173" s="292">
        <f t="shared" si="96"/>
        <v>0</v>
      </c>
      <c r="Q173" s="292">
        <f t="shared" si="97"/>
        <v>0</v>
      </c>
      <c r="R173" s="292">
        <f t="shared" si="98"/>
        <v>0</v>
      </c>
      <c r="S173" s="292">
        <f t="shared" si="99"/>
        <v>0</v>
      </c>
      <c r="T173" s="292">
        <f t="shared" si="132"/>
        <v>0</v>
      </c>
      <c r="U173" s="292">
        <f t="shared" si="133"/>
        <v>0</v>
      </c>
      <c r="V173" s="292">
        <f t="shared" si="100"/>
        <v>0</v>
      </c>
      <c r="W173" s="292">
        <f t="shared" si="101"/>
        <v>0</v>
      </c>
      <c r="X173" s="292">
        <f t="shared" si="102"/>
        <v>0</v>
      </c>
      <c r="Y173" s="292">
        <f t="shared" si="103"/>
        <v>0</v>
      </c>
      <c r="Z173" s="292">
        <f t="shared" si="104"/>
        <v>0</v>
      </c>
      <c r="AA173" s="292">
        <f t="shared" si="105"/>
        <v>0</v>
      </c>
      <c r="AB173" s="292">
        <f t="shared" si="106"/>
        <v>0</v>
      </c>
      <c r="AC173" s="292">
        <f t="shared" si="107"/>
        <v>0</v>
      </c>
      <c r="AD173" s="292">
        <f t="shared" si="108"/>
        <v>0</v>
      </c>
      <c r="AE173" s="292">
        <f t="shared" si="109"/>
        <v>0</v>
      </c>
      <c r="AF173" s="292">
        <f t="shared" si="134"/>
        <v>0</v>
      </c>
      <c r="AG173" s="292">
        <f t="shared" si="135"/>
        <v>0</v>
      </c>
      <c r="AH173" s="292">
        <f t="shared" si="110"/>
        <v>0</v>
      </c>
      <c r="AI173" s="292">
        <f t="shared" si="111"/>
        <v>0</v>
      </c>
      <c r="AJ173" s="292">
        <f t="shared" si="112"/>
        <v>0</v>
      </c>
      <c r="AK173" s="292">
        <f t="shared" si="113"/>
        <v>0</v>
      </c>
      <c r="AL173" s="292">
        <f t="shared" si="114"/>
        <v>0</v>
      </c>
      <c r="AM173" s="292">
        <f t="shared" si="115"/>
        <v>0</v>
      </c>
      <c r="AN173" s="292">
        <f t="shared" si="116"/>
        <v>0</v>
      </c>
      <c r="AO173" s="292">
        <f t="shared" si="117"/>
        <v>0</v>
      </c>
      <c r="AP173" s="292">
        <f t="shared" si="118"/>
        <v>0</v>
      </c>
      <c r="AQ173" s="292">
        <f t="shared" si="119"/>
        <v>0</v>
      </c>
      <c r="AR173" s="292">
        <f t="shared" si="120"/>
        <v>0</v>
      </c>
      <c r="AS173" s="292">
        <f t="shared" si="121"/>
        <v>0</v>
      </c>
      <c r="AT173" s="292">
        <f t="shared" si="122"/>
        <v>0</v>
      </c>
      <c r="AU173" s="292">
        <f t="shared" si="123"/>
        <v>0</v>
      </c>
      <c r="AV173" s="292">
        <f t="shared" si="124"/>
        <v>0</v>
      </c>
      <c r="AW173" s="292">
        <f t="shared" si="125"/>
        <v>0</v>
      </c>
      <c r="AX173" s="292">
        <f t="shared" si="126"/>
        <v>0</v>
      </c>
      <c r="AY173" s="292">
        <f t="shared" si="127"/>
        <v>0</v>
      </c>
      <c r="AZ173" s="292">
        <f t="shared" si="128"/>
        <v>0</v>
      </c>
      <c r="BA173" s="292">
        <f t="shared" si="129"/>
        <v>0</v>
      </c>
    </row>
    <row r="174" spans="1:53" s="289" customFormat="1" ht="15.75" customHeight="1">
      <c r="A174" s="63" t="str">
        <f t="array" ref="A174">IF(C174&lt;&gt;0,SUM(($C$11:C174&lt;&gt;0)*1),"")</f>
        <v/>
      </c>
      <c r="B174" s="290"/>
      <c r="C174" s="290"/>
      <c r="D174" s="290"/>
      <c r="E174" s="396"/>
      <c r="F174" s="345"/>
      <c r="G174" s="347"/>
      <c r="H174" s="347"/>
      <c r="I174" s="63" t="str">
        <f t="shared" si="136"/>
        <v/>
      </c>
      <c r="J174" s="292">
        <f t="shared" si="92"/>
        <v>0</v>
      </c>
      <c r="K174" s="292">
        <f t="shared" si="93"/>
        <v>0</v>
      </c>
      <c r="L174" s="292">
        <f t="shared" si="94"/>
        <v>0</v>
      </c>
      <c r="M174" s="292">
        <f t="shared" si="95"/>
        <v>0</v>
      </c>
      <c r="N174" s="292">
        <f t="shared" si="130"/>
        <v>0</v>
      </c>
      <c r="O174" s="292">
        <f t="shared" si="131"/>
        <v>0</v>
      </c>
      <c r="P174" s="292">
        <f t="shared" si="96"/>
        <v>0</v>
      </c>
      <c r="Q174" s="292">
        <f t="shared" si="97"/>
        <v>0</v>
      </c>
      <c r="R174" s="292">
        <f t="shared" si="98"/>
        <v>0</v>
      </c>
      <c r="S174" s="292">
        <f t="shared" si="99"/>
        <v>0</v>
      </c>
      <c r="T174" s="292">
        <f t="shared" si="132"/>
        <v>0</v>
      </c>
      <c r="U174" s="292">
        <f t="shared" si="133"/>
        <v>0</v>
      </c>
      <c r="V174" s="292">
        <f t="shared" si="100"/>
        <v>0</v>
      </c>
      <c r="W174" s="292">
        <f t="shared" si="101"/>
        <v>0</v>
      </c>
      <c r="X174" s="292">
        <f t="shared" si="102"/>
        <v>0</v>
      </c>
      <c r="Y174" s="292">
        <f t="shared" si="103"/>
        <v>0</v>
      </c>
      <c r="Z174" s="292">
        <f t="shared" si="104"/>
        <v>0</v>
      </c>
      <c r="AA174" s="292">
        <f t="shared" si="105"/>
        <v>0</v>
      </c>
      <c r="AB174" s="292">
        <f t="shared" si="106"/>
        <v>0</v>
      </c>
      <c r="AC174" s="292">
        <f t="shared" si="107"/>
        <v>0</v>
      </c>
      <c r="AD174" s="292">
        <f t="shared" si="108"/>
        <v>0</v>
      </c>
      <c r="AE174" s="292">
        <f t="shared" si="109"/>
        <v>0</v>
      </c>
      <c r="AF174" s="292">
        <f t="shared" si="134"/>
        <v>0</v>
      </c>
      <c r="AG174" s="292">
        <f t="shared" si="135"/>
        <v>0</v>
      </c>
      <c r="AH174" s="292">
        <f t="shared" si="110"/>
        <v>0</v>
      </c>
      <c r="AI174" s="292">
        <f t="shared" si="111"/>
        <v>0</v>
      </c>
      <c r="AJ174" s="292">
        <f t="shared" si="112"/>
        <v>0</v>
      </c>
      <c r="AK174" s="292">
        <f t="shared" si="113"/>
        <v>0</v>
      </c>
      <c r="AL174" s="292">
        <f t="shared" si="114"/>
        <v>0</v>
      </c>
      <c r="AM174" s="292">
        <f t="shared" si="115"/>
        <v>0</v>
      </c>
      <c r="AN174" s="292">
        <f t="shared" si="116"/>
        <v>0</v>
      </c>
      <c r="AO174" s="292">
        <f t="shared" si="117"/>
        <v>0</v>
      </c>
      <c r="AP174" s="292">
        <f t="shared" si="118"/>
        <v>0</v>
      </c>
      <c r="AQ174" s="292">
        <f t="shared" si="119"/>
        <v>0</v>
      </c>
      <c r="AR174" s="292">
        <f t="shared" si="120"/>
        <v>0</v>
      </c>
      <c r="AS174" s="292">
        <f t="shared" si="121"/>
        <v>0</v>
      </c>
      <c r="AT174" s="292">
        <f t="shared" si="122"/>
        <v>0</v>
      </c>
      <c r="AU174" s="292">
        <f t="shared" si="123"/>
        <v>0</v>
      </c>
      <c r="AV174" s="292">
        <f t="shared" si="124"/>
        <v>0</v>
      </c>
      <c r="AW174" s="292">
        <f t="shared" si="125"/>
        <v>0</v>
      </c>
      <c r="AX174" s="292">
        <f t="shared" si="126"/>
        <v>0</v>
      </c>
      <c r="AY174" s="292">
        <f t="shared" si="127"/>
        <v>0</v>
      </c>
      <c r="AZ174" s="292">
        <f t="shared" si="128"/>
        <v>0</v>
      </c>
      <c r="BA174" s="292">
        <f t="shared" si="129"/>
        <v>0</v>
      </c>
    </row>
    <row r="175" spans="1:53" s="289" customFormat="1" ht="15.75" customHeight="1">
      <c r="A175" s="63" t="str">
        <f t="array" ref="A175">IF(C175&lt;&gt;0,SUM(($C$11:C175&lt;&gt;0)*1),"")</f>
        <v/>
      </c>
      <c r="B175" s="290"/>
      <c r="C175" s="290"/>
      <c r="D175" s="290"/>
      <c r="E175" s="396"/>
      <c r="F175" s="345"/>
      <c r="G175" s="347"/>
      <c r="H175" s="347"/>
      <c r="I175" s="63" t="str">
        <f t="shared" si="136"/>
        <v/>
      </c>
      <c r="J175" s="292">
        <f t="shared" si="92"/>
        <v>0</v>
      </c>
      <c r="K175" s="292">
        <f t="shared" si="93"/>
        <v>0</v>
      </c>
      <c r="L175" s="292">
        <f t="shared" si="94"/>
        <v>0</v>
      </c>
      <c r="M175" s="292">
        <f t="shared" si="95"/>
        <v>0</v>
      </c>
      <c r="N175" s="292">
        <f t="shared" si="130"/>
        <v>0</v>
      </c>
      <c r="O175" s="292">
        <f t="shared" si="131"/>
        <v>0</v>
      </c>
      <c r="P175" s="292">
        <f t="shared" si="96"/>
        <v>0</v>
      </c>
      <c r="Q175" s="292">
        <f t="shared" si="97"/>
        <v>0</v>
      </c>
      <c r="R175" s="292">
        <f t="shared" si="98"/>
        <v>0</v>
      </c>
      <c r="S175" s="292">
        <f t="shared" si="99"/>
        <v>0</v>
      </c>
      <c r="T175" s="292">
        <f t="shared" si="132"/>
        <v>0</v>
      </c>
      <c r="U175" s="292">
        <f t="shared" si="133"/>
        <v>0</v>
      </c>
      <c r="V175" s="292">
        <f t="shared" si="100"/>
        <v>0</v>
      </c>
      <c r="W175" s="292">
        <f t="shared" si="101"/>
        <v>0</v>
      </c>
      <c r="X175" s="292">
        <f t="shared" si="102"/>
        <v>0</v>
      </c>
      <c r="Y175" s="292">
        <f t="shared" si="103"/>
        <v>0</v>
      </c>
      <c r="Z175" s="292">
        <f t="shared" si="104"/>
        <v>0</v>
      </c>
      <c r="AA175" s="292">
        <f t="shared" si="105"/>
        <v>0</v>
      </c>
      <c r="AB175" s="292">
        <f t="shared" si="106"/>
        <v>0</v>
      </c>
      <c r="AC175" s="292">
        <f t="shared" si="107"/>
        <v>0</v>
      </c>
      <c r="AD175" s="292">
        <f t="shared" si="108"/>
        <v>0</v>
      </c>
      <c r="AE175" s="292">
        <f t="shared" si="109"/>
        <v>0</v>
      </c>
      <c r="AF175" s="292">
        <f t="shared" si="134"/>
        <v>0</v>
      </c>
      <c r="AG175" s="292">
        <f t="shared" si="135"/>
        <v>0</v>
      </c>
      <c r="AH175" s="292">
        <f t="shared" si="110"/>
        <v>0</v>
      </c>
      <c r="AI175" s="292">
        <f t="shared" si="111"/>
        <v>0</v>
      </c>
      <c r="AJ175" s="292">
        <f t="shared" si="112"/>
        <v>0</v>
      </c>
      <c r="AK175" s="292">
        <f t="shared" si="113"/>
        <v>0</v>
      </c>
      <c r="AL175" s="292">
        <f t="shared" si="114"/>
        <v>0</v>
      </c>
      <c r="AM175" s="292">
        <f t="shared" si="115"/>
        <v>0</v>
      </c>
      <c r="AN175" s="292">
        <f t="shared" si="116"/>
        <v>0</v>
      </c>
      <c r="AO175" s="292">
        <f t="shared" si="117"/>
        <v>0</v>
      </c>
      <c r="AP175" s="292">
        <f t="shared" si="118"/>
        <v>0</v>
      </c>
      <c r="AQ175" s="292">
        <f t="shared" si="119"/>
        <v>0</v>
      </c>
      <c r="AR175" s="292">
        <f t="shared" si="120"/>
        <v>0</v>
      </c>
      <c r="AS175" s="292">
        <f t="shared" si="121"/>
        <v>0</v>
      </c>
      <c r="AT175" s="292">
        <f t="shared" si="122"/>
        <v>0</v>
      </c>
      <c r="AU175" s="292">
        <f t="shared" si="123"/>
        <v>0</v>
      </c>
      <c r="AV175" s="292">
        <f t="shared" si="124"/>
        <v>0</v>
      </c>
      <c r="AW175" s="292">
        <f t="shared" si="125"/>
        <v>0</v>
      </c>
      <c r="AX175" s="292">
        <f t="shared" si="126"/>
        <v>0</v>
      </c>
      <c r="AY175" s="292">
        <f t="shared" si="127"/>
        <v>0</v>
      </c>
      <c r="AZ175" s="292">
        <f t="shared" si="128"/>
        <v>0</v>
      </c>
      <c r="BA175" s="292">
        <f t="shared" si="129"/>
        <v>0</v>
      </c>
    </row>
    <row r="176" spans="1:53" s="289" customFormat="1" ht="15.75" customHeight="1">
      <c r="A176" s="63" t="str">
        <f t="array" ref="A176">IF(C176&lt;&gt;0,SUM(($C$11:C176&lt;&gt;0)*1),"")</f>
        <v/>
      </c>
      <c r="B176" s="290"/>
      <c r="C176" s="290"/>
      <c r="D176" s="290"/>
      <c r="E176" s="396"/>
      <c r="F176" s="345"/>
      <c r="G176" s="347"/>
      <c r="H176" s="347"/>
      <c r="I176" s="63" t="str">
        <f>A176</f>
        <v/>
      </c>
      <c r="J176" s="292">
        <f t="shared" si="92"/>
        <v>0</v>
      </c>
      <c r="K176" s="292">
        <f t="shared" si="93"/>
        <v>0</v>
      </c>
      <c r="L176" s="292">
        <f t="shared" si="94"/>
        <v>0</v>
      </c>
      <c r="M176" s="292">
        <f t="shared" si="95"/>
        <v>0</v>
      </c>
      <c r="N176" s="292">
        <f t="shared" si="130"/>
        <v>0</v>
      </c>
      <c r="O176" s="292">
        <f t="shared" si="131"/>
        <v>0</v>
      </c>
      <c r="P176" s="292">
        <f t="shared" si="96"/>
        <v>0</v>
      </c>
      <c r="Q176" s="292">
        <f t="shared" si="97"/>
        <v>0</v>
      </c>
      <c r="R176" s="292">
        <f t="shared" si="98"/>
        <v>0</v>
      </c>
      <c r="S176" s="292">
        <f t="shared" si="99"/>
        <v>0</v>
      </c>
      <c r="T176" s="292">
        <f t="shared" si="132"/>
        <v>0</v>
      </c>
      <c r="U176" s="292">
        <f t="shared" si="133"/>
        <v>0</v>
      </c>
      <c r="V176" s="292">
        <f t="shared" si="100"/>
        <v>0</v>
      </c>
      <c r="W176" s="292">
        <f t="shared" si="101"/>
        <v>0</v>
      </c>
      <c r="X176" s="292">
        <f t="shared" si="102"/>
        <v>0</v>
      </c>
      <c r="Y176" s="292">
        <f t="shared" si="103"/>
        <v>0</v>
      </c>
      <c r="Z176" s="292">
        <f t="shared" si="104"/>
        <v>0</v>
      </c>
      <c r="AA176" s="292">
        <f t="shared" si="105"/>
        <v>0</v>
      </c>
      <c r="AB176" s="292">
        <f t="shared" si="106"/>
        <v>0</v>
      </c>
      <c r="AC176" s="292">
        <f t="shared" si="107"/>
        <v>0</v>
      </c>
      <c r="AD176" s="292">
        <f t="shared" si="108"/>
        <v>0</v>
      </c>
      <c r="AE176" s="292">
        <f t="shared" si="109"/>
        <v>0</v>
      </c>
      <c r="AF176" s="292">
        <f t="shared" si="134"/>
        <v>0</v>
      </c>
      <c r="AG176" s="292">
        <f t="shared" si="135"/>
        <v>0</v>
      </c>
      <c r="AH176" s="292">
        <f t="shared" si="110"/>
        <v>0</v>
      </c>
      <c r="AI176" s="292">
        <f t="shared" si="111"/>
        <v>0</v>
      </c>
      <c r="AJ176" s="292">
        <f t="shared" si="112"/>
        <v>0</v>
      </c>
      <c r="AK176" s="292">
        <f t="shared" si="113"/>
        <v>0</v>
      </c>
      <c r="AL176" s="292">
        <f t="shared" si="114"/>
        <v>0</v>
      </c>
      <c r="AM176" s="292">
        <f t="shared" si="115"/>
        <v>0</v>
      </c>
      <c r="AN176" s="292">
        <f t="shared" si="116"/>
        <v>0</v>
      </c>
      <c r="AO176" s="292">
        <f t="shared" si="117"/>
        <v>0</v>
      </c>
      <c r="AP176" s="292">
        <f t="shared" si="118"/>
        <v>0</v>
      </c>
      <c r="AQ176" s="292">
        <f t="shared" si="119"/>
        <v>0</v>
      </c>
      <c r="AR176" s="292">
        <f t="shared" si="120"/>
        <v>0</v>
      </c>
      <c r="AS176" s="292">
        <f t="shared" si="121"/>
        <v>0</v>
      </c>
      <c r="AT176" s="292">
        <f t="shared" si="122"/>
        <v>0</v>
      </c>
      <c r="AU176" s="292">
        <f t="shared" si="123"/>
        <v>0</v>
      </c>
      <c r="AV176" s="292">
        <f t="shared" si="124"/>
        <v>0</v>
      </c>
      <c r="AW176" s="292">
        <f t="shared" si="125"/>
        <v>0</v>
      </c>
      <c r="AX176" s="292">
        <f t="shared" si="126"/>
        <v>0</v>
      </c>
      <c r="AY176" s="292">
        <f t="shared" si="127"/>
        <v>0</v>
      </c>
      <c r="AZ176" s="292">
        <f t="shared" si="128"/>
        <v>0</v>
      </c>
      <c r="BA176" s="292">
        <f t="shared" si="129"/>
        <v>0</v>
      </c>
    </row>
    <row r="177" spans="1:53" s="289" customFormat="1" ht="15.75" customHeight="1">
      <c r="A177" s="63" t="str">
        <f t="array" ref="A177">IF(C177&lt;&gt;0,SUM(($C$11:C177&lt;&gt;0)*1),"")</f>
        <v/>
      </c>
      <c r="B177" s="290"/>
      <c r="C177" s="290"/>
      <c r="D177" s="290"/>
      <c r="E177" s="396"/>
      <c r="F177" s="345"/>
      <c r="G177" s="347"/>
      <c r="H177" s="347"/>
      <c r="I177" s="63" t="str">
        <f t="shared" ref="I177:I230" si="137">A177</f>
        <v/>
      </c>
      <c r="J177" s="292">
        <f t="shared" si="92"/>
        <v>0</v>
      </c>
      <c r="K177" s="292">
        <f t="shared" si="93"/>
        <v>0</v>
      </c>
      <c r="L177" s="292">
        <f t="shared" si="94"/>
        <v>0</v>
      </c>
      <c r="M177" s="292">
        <f t="shared" si="95"/>
        <v>0</v>
      </c>
      <c r="N177" s="292">
        <f t="shared" si="130"/>
        <v>0</v>
      </c>
      <c r="O177" s="292">
        <f t="shared" si="131"/>
        <v>0</v>
      </c>
      <c r="P177" s="292">
        <f t="shared" si="96"/>
        <v>0</v>
      </c>
      <c r="Q177" s="292">
        <f t="shared" si="97"/>
        <v>0</v>
      </c>
      <c r="R177" s="292">
        <f t="shared" si="98"/>
        <v>0</v>
      </c>
      <c r="S177" s="292">
        <f t="shared" si="99"/>
        <v>0</v>
      </c>
      <c r="T177" s="292">
        <f t="shared" si="132"/>
        <v>0</v>
      </c>
      <c r="U177" s="292">
        <f t="shared" si="133"/>
        <v>0</v>
      </c>
      <c r="V177" s="292">
        <f t="shared" si="100"/>
        <v>0</v>
      </c>
      <c r="W177" s="292">
        <f t="shared" si="101"/>
        <v>0</v>
      </c>
      <c r="X177" s="292">
        <f t="shared" si="102"/>
        <v>0</v>
      </c>
      <c r="Y177" s="292">
        <f t="shared" si="103"/>
        <v>0</v>
      </c>
      <c r="Z177" s="292">
        <f t="shared" si="104"/>
        <v>0</v>
      </c>
      <c r="AA177" s="292">
        <f t="shared" si="105"/>
        <v>0</v>
      </c>
      <c r="AB177" s="292">
        <f t="shared" si="106"/>
        <v>0</v>
      </c>
      <c r="AC177" s="292">
        <f t="shared" si="107"/>
        <v>0</v>
      </c>
      <c r="AD177" s="292">
        <f t="shared" si="108"/>
        <v>0</v>
      </c>
      <c r="AE177" s="292">
        <f t="shared" si="109"/>
        <v>0</v>
      </c>
      <c r="AF177" s="292">
        <f t="shared" si="134"/>
        <v>0</v>
      </c>
      <c r="AG177" s="292">
        <f t="shared" si="135"/>
        <v>0</v>
      </c>
      <c r="AH177" s="292">
        <f t="shared" si="110"/>
        <v>0</v>
      </c>
      <c r="AI177" s="292">
        <f t="shared" si="111"/>
        <v>0</v>
      </c>
      <c r="AJ177" s="292">
        <f t="shared" si="112"/>
        <v>0</v>
      </c>
      <c r="AK177" s="292">
        <f t="shared" si="113"/>
        <v>0</v>
      </c>
      <c r="AL177" s="292">
        <f t="shared" si="114"/>
        <v>0</v>
      </c>
      <c r="AM177" s="292">
        <f t="shared" si="115"/>
        <v>0</v>
      </c>
      <c r="AN177" s="292">
        <f t="shared" si="116"/>
        <v>0</v>
      </c>
      <c r="AO177" s="292">
        <f t="shared" si="117"/>
        <v>0</v>
      </c>
      <c r="AP177" s="292">
        <f t="shared" si="118"/>
        <v>0</v>
      </c>
      <c r="AQ177" s="292">
        <f t="shared" si="119"/>
        <v>0</v>
      </c>
      <c r="AR177" s="292">
        <f t="shared" si="120"/>
        <v>0</v>
      </c>
      <c r="AS177" s="292">
        <f t="shared" si="121"/>
        <v>0</v>
      </c>
      <c r="AT177" s="292">
        <f t="shared" si="122"/>
        <v>0</v>
      </c>
      <c r="AU177" s="292">
        <f t="shared" si="123"/>
        <v>0</v>
      </c>
      <c r="AV177" s="292">
        <f t="shared" si="124"/>
        <v>0</v>
      </c>
      <c r="AW177" s="292">
        <f t="shared" si="125"/>
        <v>0</v>
      </c>
      <c r="AX177" s="292">
        <f t="shared" si="126"/>
        <v>0</v>
      </c>
      <c r="AY177" s="292">
        <f t="shared" si="127"/>
        <v>0</v>
      </c>
      <c r="AZ177" s="292">
        <f t="shared" si="128"/>
        <v>0</v>
      </c>
      <c r="BA177" s="292">
        <f t="shared" si="129"/>
        <v>0</v>
      </c>
    </row>
    <row r="178" spans="1:53" s="289" customFormat="1" ht="15.75" customHeight="1">
      <c r="A178" s="63" t="str">
        <f t="array" ref="A178">IF(C178&lt;&gt;0,SUM(($C$11:C178&lt;&gt;0)*1),"")</f>
        <v/>
      </c>
      <c r="B178" s="290"/>
      <c r="C178" s="290"/>
      <c r="D178" s="290"/>
      <c r="E178" s="396"/>
      <c r="F178" s="345"/>
      <c r="G178" s="347"/>
      <c r="H178" s="347"/>
      <c r="I178" s="63" t="str">
        <f t="shared" si="137"/>
        <v/>
      </c>
      <c r="J178" s="292">
        <f t="shared" si="92"/>
        <v>0</v>
      </c>
      <c r="K178" s="292">
        <f t="shared" si="93"/>
        <v>0</v>
      </c>
      <c r="L178" s="292">
        <f t="shared" si="94"/>
        <v>0</v>
      </c>
      <c r="M178" s="292">
        <f t="shared" si="95"/>
        <v>0</v>
      </c>
      <c r="N178" s="292">
        <f t="shared" si="130"/>
        <v>0</v>
      </c>
      <c r="O178" s="292">
        <f t="shared" si="131"/>
        <v>0</v>
      </c>
      <c r="P178" s="292">
        <f t="shared" si="96"/>
        <v>0</v>
      </c>
      <c r="Q178" s="292">
        <f t="shared" si="97"/>
        <v>0</v>
      </c>
      <c r="R178" s="292">
        <f t="shared" si="98"/>
        <v>0</v>
      </c>
      <c r="S178" s="292">
        <f t="shared" si="99"/>
        <v>0</v>
      </c>
      <c r="T178" s="292">
        <f t="shared" si="132"/>
        <v>0</v>
      </c>
      <c r="U178" s="292">
        <f t="shared" si="133"/>
        <v>0</v>
      </c>
      <c r="V178" s="292">
        <f t="shared" si="100"/>
        <v>0</v>
      </c>
      <c r="W178" s="292">
        <f t="shared" si="101"/>
        <v>0</v>
      </c>
      <c r="X178" s="292">
        <f t="shared" si="102"/>
        <v>0</v>
      </c>
      <c r="Y178" s="292">
        <f t="shared" si="103"/>
        <v>0</v>
      </c>
      <c r="Z178" s="292">
        <f t="shared" si="104"/>
        <v>0</v>
      </c>
      <c r="AA178" s="292">
        <f t="shared" si="105"/>
        <v>0</v>
      </c>
      <c r="AB178" s="292">
        <f t="shared" si="106"/>
        <v>0</v>
      </c>
      <c r="AC178" s="292">
        <f t="shared" si="107"/>
        <v>0</v>
      </c>
      <c r="AD178" s="292">
        <f t="shared" si="108"/>
        <v>0</v>
      </c>
      <c r="AE178" s="292">
        <f t="shared" si="109"/>
        <v>0</v>
      </c>
      <c r="AF178" s="292">
        <f t="shared" si="134"/>
        <v>0</v>
      </c>
      <c r="AG178" s="292">
        <f t="shared" si="135"/>
        <v>0</v>
      </c>
      <c r="AH178" s="292">
        <f t="shared" si="110"/>
        <v>0</v>
      </c>
      <c r="AI178" s="292">
        <f t="shared" si="111"/>
        <v>0</v>
      </c>
      <c r="AJ178" s="292">
        <f t="shared" si="112"/>
        <v>0</v>
      </c>
      <c r="AK178" s="292">
        <f t="shared" si="113"/>
        <v>0</v>
      </c>
      <c r="AL178" s="292">
        <f t="shared" si="114"/>
        <v>0</v>
      </c>
      <c r="AM178" s="292">
        <f t="shared" si="115"/>
        <v>0</v>
      </c>
      <c r="AN178" s="292">
        <f t="shared" si="116"/>
        <v>0</v>
      </c>
      <c r="AO178" s="292">
        <f t="shared" si="117"/>
        <v>0</v>
      </c>
      <c r="AP178" s="292">
        <f t="shared" si="118"/>
        <v>0</v>
      </c>
      <c r="AQ178" s="292">
        <f t="shared" si="119"/>
        <v>0</v>
      </c>
      <c r="AR178" s="292">
        <f t="shared" si="120"/>
        <v>0</v>
      </c>
      <c r="AS178" s="292">
        <f t="shared" si="121"/>
        <v>0</v>
      </c>
      <c r="AT178" s="292">
        <f t="shared" si="122"/>
        <v>0</v>
      </c>
      <c r="AU178" s="292">
        <f t="shared" si="123"/>
        <v>0</v>
      </c>
      <c r="AV178" s="292">
        <f t="shared" si="124"/>
        <v>0</v>
      </c>
      <c r="AW178" s="292">
        <f t="shared" si="125"/>
        <v>0</v>
      </c>
      <c r="AX178" s="292">
        <f t="shared" si="126"/>
        <v>0</v>
      </c>
      <c r="AY178" s="292">
        <f t="shared" si="127"/>
        <v>0</v>
      </c>
      <c r="AZ178" s="292">
        <f t="shared" si="128"/>
        <v>0</v>
      </c>
      <c r="BA178" s="292">
        <f t="shared" si="129"/>
        <v>0</v>
      </c>
    </row>
    <row r="179" spans="1:53" s="289" customFormat="1" ht="15.75" customHeight="1">
      <c r="A179" s="63" t="str">
        <f t="array" ref="A179">IF(C179&lt;&gt;0,SUM(($C$11:C179&lt;&gt;0)*1),"")</f>
        <v/>
      </c>
      <c r="B179" s="290"/>
      <c r="C179" s="290"/>
      <c r="D179" s="290"/>
      <c r="E179" s="396"/>
      <c r="F179" s="345"/>
      <c r="G179" s="347"/>
      <c r="H179" s="347"/>
      <c r="I179" s="63" t="str">
        <f t="shared" si="137"/>
        <v/>
      </c>
      <c r="J179" s="292">
        <f t="shared" si="92"/>
        <v>0</v>
      </c>
      <c r="K179" s="292">
        <f t="shared" si="93"/>
        <v>0</v>
      </c>
      <c r="L179" s="292">
        <f t="shared" si="94"/>
        <v>0</v>
      </c>
      <c r="M179" s="292">
        <f t="shared" si="95"/>
        <v>0</v>
      </c>
      <c r="N179" s="292">
        <f t="shared" si="130"/>
        <v>0</v>
      </c>
      <c r="O179" s="292">
        <f t="shared" si="131"/>
        <v>0</v>
      </c>
      <c r="P179" s="292">
        <f t="shared" si="96"/>
        <v>0</v>
      </c>
      <c r="Q179" s="292">
        <f t="shared" si="97"/>
        <v>0</v>
      </c>
      <c r="R179" s="292">
        <f t="shared" si="98"/>
        <v>0</v>
      </c>
      <c r="S179" s="292">
        <f t="shared" si="99"/>
        <v>0</v>
      </c>
      <c r="T179" s="292">
        <f t="shared" si="132"/>
        <v>0</v>
      </c>
      <c r="U179" s="292">
        <f t="shared" si="133"/>
        <v>0</v>
      </c>
      <c r="V179" s="292">
        <f t="shared" si="100"/>
        <v>0</v>
      </c>
      <c r="W179" s="292">
        <f t="shared" si="101"/>
        <v>0</v>
      </c>
      <c r="X179" s="292">
        <f t="shared" si="102"/>
        <v>0</v>
      </c>
      <c r="Y179" s="292">
        <f t="shared" si="103"/>
        <v>0</v>
      </c>
      <c r="Z179" s="292">
        <f t="shared" si="104"/>
        <v>0</v>
      </c>
      <c r="AA179" s="292">
        <f t="shared" si="105"/>
        <v>0</v>
      </c>
      <c r="AB179" s="292">
        <f t="shared" si="106"/>
        <v>0</v>
      </c>
      <c r="AC179" s="292">
        <f t="shared" si="107"/>
        <v>0</v>
      </c>
      <c r="AD179" s="292">
        <f t="shared" si="108"/>
        <v>0</v>
      </c>
      <c r="AE179" s="292">
        <f t="shared" si="109"/>
        <v>0</v>
      </c>
      <c r="AF179" s="292">
        <f t="shared" si="134"/>
        <v>0</v>
      </c>
      <c r="AG179" s="292">
        <f t="shared" si="135"/>
        <v>0</v>
      </c>
      <c r="AH179" s="292">
        <f t="shared" si="110"/>
        <v>0</v>
      </c>
      <c r="AI179" s="292">
        <f t="shared" si="111"/>
        <v>0</v>
      </c>
      <c r="AJ179" s="292">
        <f t="shared" si="112"/>
        <v>0</v>
      </c>
      <c r="AK179" s="292">
        <f t="shared" si="113"/>
        <v>0</v>
      </c>
      <c r="AL179" s="292">
        <f t="shared" si="114"/>
        <v>0</v>
      </c>
      <c r="AM179" s="292">
        <f t="shared" si="115"/>
        <v>0</v>
      </c>
      <c r="AN179" s="292">
        <f t="shared" si="116"/>
        <v>0</v>
      </c>
      <c r="AO179" s="292">
        <f t="shared" si="117"/>
        <v>0</v>
      </c>
      <c r="AP179" s="292">
        <f t="shared" si="118"/>
        <v>0</v>
      </c>
      <c r="AQ179" s="292">
        <f t="shared" si="119"/>
        <v>0</v>
      </c>
      <c r="AR179" s="292">
        <f t="shared" si="120"/>
        <v>0</v>
      </c>
      <c r="AS179" s="292">
        <f t="shared" si="121"/>
        <v>0</v>
      </c>
      <c r="AT179" s="292">
        <f t="shared" si="122"/>
        <v>0</v>
      </c>
      <c r="AU179" s="292">
        <f t="shared" si="123"/>
        <v>0</v>
      </c>
      <c r="AV179" s="292">
        <f t="shared" si="124"/>
        <v>0</v>
      </c>
      <c r="AW179" s="292">
        <f t="shared" si="125"/>
        <v>0</v>
      </c>
      <c r="AX179" s="292">
        <f t="shared" si="126"/>
        <v>0</v>
      </c>
      <c r="AY179" s="292">
        <f t="shared" si="127"/>
        <v>0</v>
      </c>
      <c r="AZ179" s="292">
        <f t="shared" si="128"/>
        <v>0</v>
      </c>
      <c r="BA179" s="292">
        <f t="shared" si="129"/>
        <v>0</v>
      </c>
    </row>
    <row r="180" spans="1:53" s="289" customFormat="1" ht="15.75" customHeight="1">
      <c r="A180" s="63" t="str">
        <f t="array" ref="A180">IF(C180&lt;&gt;0,SUM(($C$11:C180&lt;&gt;0)*1),"")</f>
        <v/>
      </c>
      <c r="B180" s="290"/>
      <c r="C180" s="290"/>
      <c r="D180" s="290"/>
      <c r="E180" s="396"/>
      <c r="F180" s="345"/>
      <c r="G180" s="347"/>
      <c r="H180" s="347"/>
      <c r="I180" s="63" t="str">
        <f t="shared" si="137"/>
        <v/>
      </c>
      <c r="J180" s="292">
        <f t="shared" si="92"/>
        <v>0</v>
      </c>
      <c r="K180" s="292">
        <f t="shared" si="93"/>
        <v>0</v>
      </c>
      <c r="L180" s="292">
        <f t="shared" si="94"/>
        <v>0</v>
      </c>
      <c r="M180" s="292">
        <f t="shared" si="95"/>
        <v>0</v>
      </c>
      <c r="N180" s="292">
        <f t="shared" si="130"/>
        <v>0</v>
      </c>
      <c r="O180" s="292">
        <f t="shared" si="131"/>
        <v>0</v>
      </c>
      <c r="P180" s="292">
        <f t="shared" si="96"/>
        <v>0</v>
      </c>
      <c r="Q180" s="292">
        <f t="shared" si="97"/>
        <v>0</v>
      </c>
      <c r="R180" s="292">
        <f t="shared" si="98"/>
        <v>0</v>
      </c>
      <c r="S180" s="292">
        <f t="shared" si="99"/>
        <v>0</v>
      </c>
      <c r="T180" s="292">
        <f t="shared" si="132"/>
        <v>0</v>
      </c>
      <c r="U180" s="292">
        <f t="shared" si="133"/>
        <v>0</v>
      </c>
      <c r="V180" s="292">
        <f t="shared" si="100"/>
        <v>0</v>
      </c>
      <c r="W180" s="292">
        <f t="shared" si="101"/>
        <v>0</v>
      </c>
      <c r="X180" s="292">
        <f t="shared" si="102"/>
        <v>0</v>
      </c>
      <c r="Y180" s="292">
        <f t="shared" si="103"/>
        <v>0</v>
      </c>
      <c r="Z180" s="292">
        <f t="shared" si="104"/>
        <v>0</v>
      </c>
      <c r="AA180" s="292">
        <f t="shared" si="105"/>
        <v>0</v>
      </c>
      <c r="AB180" s="292">
        <f t="shared" si="106"/>
        <v>0</v>
      </c>
      <c r="AC180" s="292">
        <f t="shared" si="107"/>
        <v>0</v>
      </c>
      <c r="AD180" s="292">
        <f t="shared" si="108"/>
        <v>0</v>
      </c>
      <c r="AE180" s="292">
        <f t="shared" si="109"/>
        <v>0</v>
      </c>
      <c r="AF180" s="292">
        <f t="shared" si="134"/>
        <v>0</v>
      </c>
      <c r="AG180" s="292">
        <f t="shared" si="135"/>
        <v>0</v>
      </c>
      <c r="AH180" s="292">
        <f t="shared" si="110"/>
        <v>0</v>
      </c>
      <c r="AI180" s="292">
        <f t="shared" si="111"/>
        <v>0</v>
      </c>
      <c r="AJ180" s="292">
        <f t="shared" si="112"/>
        <v>0</v>
      </c>
      <c r="AK180" s="292">
        <f t="shared" si="113"/>
        <v>0</v>
      </c>
      <c r="AL180" s="292">
        <f t="shared" si="114"/>
        <v>0</v>
      </c>
      <c r="AM180" s="292">
        <f t="shared" si="115"/>
        <v>0</v>
      </c>
      <c r="AN180" s="292">
        <f t="shared" si="116"/>
        <v>0</v>
      </c>
      <c r="AO180" s="292">
        <f t="shared" si="117"/>
        <v>0</v>
      </c>
      <c r="AP180" s="292">
        <f t="shared" si="118"/>
        <v>0</v>
      </c>
      <c r="AQ180" s="292">
        <f t="shared" si="119"/>
        <v>0</v>
      </c>
      <c r="AR180" s="292">
        <f t="shared" si="120"/>
        <v>0</v>
      </c>
      <c r="AS180" s="292">
        <f t="shared" si="121"/>
        <v>0</v>
      </c>
      <c r="AT180" s="292">
        <f t="shared" si="122"/>
        <v>0</v>
      </c>
      <c r="AU180" s="292">
        <f t="shared" si="123"/>
        <v>0</v>
      </c>
      <c r="AV180" s="292">
        <f t="shared" si="124"/>
        <v>0</v>
      </c>
      <c r="AW180" s="292">
        <f t="shared" si="125"/>
        <v>0</v>
      </c>
      <c r="AX180" s="292">
        <f t="shared" si="126"/>
        <v>0</v>
      </c>
      <c r="AY180" s="292">
        <f t="shared" si="127"/>
        <v>0</v>
      </c>
      <c r="AZ180" s="292">
        <f t="shared" si="128"/>
        <v>0</v>
      </c>
      <c r="BA180" s="292">
        <f t="shared" si="129"/>
        <v>0</v>
      </c>
    </row>
    <row r="181" spans="1:53" s="289" customFormat="1" ht="15.75" customHeight="1">
      <c r="A181" s="63" t="str">
        <f t="array" ref="A181">IF(C181&lt;&gt;0,SUM(($C$11:C181&lt;&gt;0)*1),"")</f>
        <v/>
      </c>
      <c r="B181" s="290"/>
      <c r="C181" s="290"/>
      <c r="D181" s="290"/>
      <c r="E181" s="396"/>
      <c r="F181" s="345"/>
      <c r="G181" s="347"/>
      <c r="H181" s="347"/>
      <c r="I181" s="63" t="str">
        <f t="shared" si="137"/>
        <v/>
      </c>
      <c r="J181" s="292">
        <f t="shared" si="92"/>
        <v>0</v>
      </c>
      <c r="K181" s="292">
        <f t="shared" si="93"/>
        <v>0</v>
      </c>
      <c r="L181" s="292">
        <f t="shared" si="94"/>
        <v>0</v>
      </c>
      <c r="M181" s="292">
        <f t="shared" si="95"/>
        <v>0</v>
      </c>
      <c r="N181" s="292">
        <f t="shared" si="130"/>
        <v>0</v>
      </c>
      <c r="O181" s="292">
        <f t="shared" si="131"/>
        <v>0</v>
      </c>
      <c r="P181" s="292">
        <f t="shared" si="96"/>
        <v>0</v>
      </c>
      <c r="Q181" s="292">
        <f t="shared" si="97"/>
        <v>0</v>
      </c>
      <c r="R181" s="292">
        <f t="shared" si="98"/>
        <v>0</v>
      </c>
      <c r="S181" s="292">
        <f t="shared" si="99"/>
        <v>0</v>
      </c>
      <c r="T181" s="292">
        <f t="shared" si="132"/>
        <v>0</v>
      </c>
      <c r="U181" s="292">
        <f t="shared" si="133"/>
        <v>0</v>
      </c>
      <c r="V181" s="292">
        <f t="shared" si="100"/>
        <v>0</v>
      </c>
      <c r="W181" s="292">
        <f t="shared" si="101"/>
        <v>0</v>
      </c>
      <c r="X181" s="292">
        <f t="shared" si="102"/>
        <v>0</v>
      </c>
      <c r="Y181" s="292">
        <f t="shared" si="103"/>
        <v>0</v>
      </c>
      <c r="Z181" s="292">
        <f t="shared" si="104"/>
        <v>0</v>
      </c>
      <c r="AA181" s="292">
        <f t="shared" si="105"/>
        <v>0</v>
      </c>
      <c r="AB181" s="292">
        <f t="shared" si="106"/>
        <v>0</v>
      </c>
      <c r="AC181" s="292">
        <f t="shared" si="107"/>
        <v>0</v>
      </c>
      <c r="AD181" s="292">
        <f t="shared" si="108"/>
        <v>0</v>
      </c>
      <c r="AE181" s="292">
        <f t="shared" si="109"/>
        <v>0</v>
      </c>
      <c r="AF181" s="292">
        <f t="shared" si="134"/>
        <v>0</v>
      </c>
      <c r="AG181" s="292">
        <f t="shared" si="135"/>
        <v>0</v>
      </c>
      <c r="AH181" s="292">
        <f t="shared" si="110"/>
        <v>0</v>
      </c>
      <c r="AI181" s="292">
        <f t="shared" si="111"/>
        <v>0</v>
      </c>
      <c r="AJ181" s="292">
        <f t="shared" si="112"/>
        <v>0</v>
      </c>
      <c r="AK181" s="292">
        <f t="shared" si="113"/>
        <v>0</v>
      </c>
      <c r="AL181" s="292">
        <f t="shared" si="114"/>
        <v>0</v>
      </c>
      <c r="AM181" s="292">
        <f t="shared" si="115"/>
        <v>0</v>
      </c>
      <c r="AN181" s="292">
        <f t="shared" si="116"/>
        <v>0</v>
      </c>
      <c r="AO181" s="292">
        <f t="shared" si="117"/>
        <v>0</v>
      </c>
      <c r="AP181" s="292">
        <f t="shared" si="118"/>
        <v>0</v>
      </c>
      <c r="AQ181" s="292">
        <f t="shared" si="119"/>
        <v>0</v>
      </c>
      <c r="AR181" s="292">
        <f t="shared" si="120"/>
        <v>0</v>
      </c>
      <c r="AS181" s="292">
        <f t="shared" si="121"/>
        <v>0</v>
      </c>
      <c r="AT181" s="292">
        <f t="shared" si="122"/>
        <v>0</v>
      </c>
      <c r="AU181" s="292">
        <f t="shared" si="123"/>
        <v>0</v>
      </c>
      <c r="AV181" s="292">
        <f t="shared" si="124"/>
        <v>0</v>
      </c>
      <c r="AW181" s="292">
        <f t="shared" si="125"/>
        <v>0</v>
      </c>
      <c r="AX181" s="292">
        <f t="shared" si="126"/>
        <v>0</v>
      </c>
      <c r="AY181" s="292">
        <f t="shared" si="127"/>
        <v>0</v>
      </c>
      <c r="AZ181" s="292">
        <f t="shared" si="128"/>
        <v>0</v>
      </c>
      <c r="BA181" s="292">
        <f t="shared" si="129"/>
        <v>0</v>
      </c>
    </row>
    <row r="182" spans="1:53" s="289" customFormat="1" ht="15.75" customHeight="1">
      <c r="A182" s="63" t="str">
        <f t="array" ref="A182">IF(C182&lt;&gt;0,SUM(($C$11:C182&lt;&gt;0)*1),"")</f>
        <v/>
      </c>
      <c r="B182" s="290"/>
      <c r="C182" s="290"/>
      <c r="D182" s="290"/>
      <c r="E182" s="396"/>
      <c r="F182" s="345"/>
      <c r="G182" s="347"/>
      <c r="H182" s="347"/>
      <c r="I182" s="63" t="str">
        <f t="shared" si="137"/>
        <v/>
      </c>
      <c r="J182" s="292">
        <f t="shared" si="92"/>
        <v>0</v>
      </c>
      <c r="K182" s="292">
        <f t="shared" si="93"/>
        <v>0</v>
      </c>
      <c r="L182" s="292">
        <f t="shared" si="94"/>
        <v>0</v>
      </c>
      <c r="M182" s="292">
        <f t="shared" si="95"/>
        <v>0</v>
      </c>
      <c r="N182" s="292">
        <f t="shared" si="130"/>
        <v>0</v>
      </c>
      <c r="O182" s="292">
        <f t="shared" si="131"/>
        <v>0</v>
      </c>
      <c r="P182" s="292">
        <f t="shared" si="96"/>
        <v>0</v>
      </c>
      <c r="Q182" s="292">
        <f t="shared" si="97"/>
        <v>0</v>
      </c>
      <c r="R182" s="292">
        <f t="shared" si="98"/>
        <v>0</v>
      </c>
      <c r="S182" s="292">
        <f t="shared" si="99"/>
        <v>0</v>
      </c>
      <c r="T182" s="292">
        <f t="shared" si="132"/>
        <v>0</v>
      </c>
      <c r="U182" s="292">
        <f t="shared" si="133"/>
        <v>0</v>
      </c>
      <c r="V182" s="292">
        <f t="shared" si="100"/>
        <v>0</v>
      </c>
      <c r="W182" s="292">
        <f t="shared" si="101"/>
        <v>0</v>
      </c>
      <c r="X182" s="292">
        <f t="shared" si="102"/>
        <v>0</v>
      </c>
      <c r="Y182" s="292">
        <f t="shared" si="103"/>
        <v>0</v>
      </c>
      <c r="Z182" s="292">
        <f t="shared" si="104"/>
        <v>0</v>
      </c>
      <c r="AA182" s="292">
        <f t="shared" si="105"/>
        <v>0</v>
      </c>
      <c r="AB182" s="292">
        <f t="shared" si="106"/>
        <v>0</v>
      </c>
      <c r="AC182" s="292">
        <f t="shared" si="107"/>
        <v>0</v>
      </c>
      <c r="AD182" s="292">
        <f t="shared" si="108"/>
        <v>0</v>
      </c>
      <c r="AE182" s="292">
        <f t="shared" si="109"/>
        <v>0</v>
      </c>
      <c r="AF182" s="292">
        <f t="shared" si="134"/>
        <v>0</v>
      </c>
      <c r="AG182" s="292">
        <f t="shared" si="135"/>
        <v>0</v>
      </c>
      <c r="AH182" s="292">
        <f t="shared" si="110"/>
        <v>0</v>
      </c>
      <c r="AI182" s="292">
        <f t="shared" si="111"/>
        <v>0</v>
      </c>
      <c r="AJ182" s="292">
        <f t="shared" si="112"/>
        <v>0</v>
      </c>
      <c r="AK182" s="292">
        <f t="shared" si="113"/>
        <v>0</v>
      </c>
      <c r="AL182" s="292">
        <f t="shared" si="114"/>
        <v>0</v>
      </c>
      <c r="AM182" s="292">
        <f t="shared" si="115"/>
        <v>0</v>
      </c>
      <c r="AN182" s="292">
        <f t="shared" si="116"/>
        <v>0</v>
      </c>
      <c r="AO182" s="292">
        <f t="shared" si="117"/>
        <v>0</v>
      </c>
      <c r="AP182" s="292">
        <f t="shared" si="118"/>
        <v>0</v>
      </c>
      <c r="AQ182" s="292">
        <f t="shared" si="119"/>
        <v>0</v>
      </c>
      <c r="AR182" s="292">
        <f t="shared" si="120"/>
        <v>0</v>
      </c>
      <c r="AS182" s="292">
        <f t="shared" si="121"/>
        <v>0</v>
      </c>
      <c r="AT182" s="292">
        <f t="shared" si="122"/>
        <v>0</v>
      </c>
      <c r="AU182" s="292">
        <f t="shared" si="123"/>
        <v>0</v>
      </c>
      <c r="AV182" s="292">
        <f t="shared" si="124"/>
        <v>0</v>
      </c>
      <c r="AW182" s="292">
        <f t="shared" si="125"/>
        <v>0</v>
      </c>
      <c r="AX182" s="292">
        <f t="shared" si="126"/>
        <v>0</v>
      </c>
      <c r="AY182" s="292">
        <f t="shared" si="127"/>
        <v>0</v>
      </c>
      <c r="AZ182" s="292">
        <f t="shared" si="128"/>
        <v>0</v>
      </c>
      <c r="BA182" s="292">
        <f t="shared" si="129"/>
        <v>0</v>
      </c>
    </row>
    <row r="183" spans="1:53" s="289" customFormat="1" ht="15.75" customHeight="1">
      <c r="A183" s="63" t="str">
        <f t="array" ref="A183">IF(C183&lt;&gt;0,SUM(($C$11:C183&lt;&gt;0)*1),"")</f>
        <v/>
      </c>
      <c r="B183" s="290"/>
      <c r="C183" s="290"/>
      <c r="D183" s="290"/>
      <c r="E183" s="396"/>
      <c r="F183" s="345"/>
      <c r="G183" s="347"/>
      <c r="H183" s="347"/>
      <c r="I183" s="63" t="str">
        <f t="shared" si="137"/>
        <v/>
      </c>
      <c r="J183" s="292">
        <f t="shared" si="92"/>
        <v>0</v>
      </c>
      <c r="K183" s="292">
        <f t="shared" si="93"/>
        <v>0</v>
      </c>
      <c r="L183" s="292">
        <f t="shared" si="94"/>
        <v>0</v>
      </c>
      <c r="M183" s="292">
        <f t="shared" si="95"/>
        <v>0</v>
      </c>
      <c r="N183" s="292">
        <f t="shared" si="130"/>
        <v>0</v>
      </c>
      <c r="O183" s="292">
        <f t="shared" si="131"/>
        <v>0</v>
      </c>
      <c r="P183" s="292">
        <f t="shared" si="96"/>
        <v>0</v>
      </c>
      <c r="Q183" s="292">
        <f t="shared" si="97"/>
        <v>0</v>
      </c>
      <c r="R183" s="292">
        <f t="shared" si="98"/>
        <v>0</v>
      </c>
      <c r="S183" s="292">
        <f t="shared" si="99"/>
        <v>0</v>
      </c>
      <c r="T183" s="292">
        <f t="shared" si="132"/>
        <v>0</v>
      </c>
      <c r="U183" s="292">
        <f t="shared" si="133"/>
        <v>0</v>
      </c>
      <c r="V183" s="292">
        <f t="shared" si="100"/>
        <v>0</v>
      </c>
      <c r="W183" s="292">
        <f t="shared" si="101"/>
        <v>0</v>
      </c>
      <c r="X183" s="292">
        <f t="shared" si="102"/>
        <v>0</v>
      </c>
      <c r="Y183" s="292">
        <f t="shared" si="103"/>
        <v>0</v>
      </c>
      <c r="Z183" s="292">
        <f t="shared" si="104"/>
        <v>0</v>
      </c>
      <c r="AA183" s="292">
        <f t="shared" si="105"/>
        <v>0</v>
      </c>
      <c r="AB183" s="292">
        <f t="shared" si="106"/>
        <v>0</v>
      </c>
      <c r="AC183" s="292">
        <f t="shared" si="107"/>
        <v>0</v>
      </c>
      <c r="AD183" s="292">
        <f t="shared" si="108"/>
        <v>0</v>
      </c>
      <c r="AE183" s="292">
        <f t="shared" si="109"/>
        <v>0</v>
      </c>
      <c r="AF183" s="292">
        <f t="shared" si="134"/>
        <v>0</v>
      </c>
      <c r="AG183" s="292">
        <f t="shared" si="135"/>
        <v>0</v>
      </c>
      <c r="AH183" s="292">
        <f t="shared" si="110"/>
        <v>0</v>
      </c>
      <c r="AI183" s="292">
        <f t="shared" si="111"/>
        <v>0</v>
      </c>
      <c r="AJ183" s="292">
        <f t="shared" si="112"/>
        <v>0</v>
      </c>
      <c r="AK183" s="292">
        <f t="shared" si="113"/>
        <v>0</v>
      </c>
      <c r="AL183" s="292">
        <f t="shared" si="114"/>
        <v>0</v>
      </c>
      <c r="AM183" s="292">
        <f t="shared" si="115"/>
        <v>0</v>
      </c>
      <c r="AN183" s="292">
        <f t="shared" si="116"/>
        <v>0</v>
      </c>
      <c r="AO183" s="292">
        <f t="shared" si="117"/>
        <v>0</v>
      </c>
      <c r="AP183" s="292">
        <f t="shared" si="118"/>
        <v>0</v>
      </c>
      <c r="AQ183" s="292">
        <f t="shared" si="119"/>
        <v>0</v>
      </c>
      <c r="AR183" s="292">
        <f t="shared" si="120"/>
        <v>0</v>
      </c>
      <c r="AS183" s="292">
        <f t="shared" si="121"/>
        <v>0</v>
      </c>
      <c r="AT183" s="292">
        <f t="shared" si="122"/>
        <v>0</v>
      </c>
      <c r="AU183" s="292">
        <f t="shared" si="123"/>
        <v>0</v>
      </c>
      <c r="AV183" s="292">
        <f t="shared" si="124"/>
        <v>0</v>
      </c>
      <c r="AW183" s="292">
        <f t="shared" si="125"/>
        <v>0</v>
      </c>
      <c r="AX183" s="292">
        <f t="shared" si="126"/>
        <v>0</v>
      </c>
      <c r="AY183" s="292">
        <f t="shared" si="127"/>
        <v>0</v>
      </c>
      <c r="AZ183" s="292">
        <f t="shared" si="128"/>
        <v>0</v>
      </c>
      <c r="BA183" s="292">
        <f t="shared" si="129"/>
        <v>0</v>
      </c>
    </row>
    <row r="184" spans="1:53" s="289" customFormat="1" ht="15.75" customHeight="1">
      <c r="A184" s="63" t="str">
        <f t="array" ref="A184">IF(C184&lt;&gt;0,SUM(($C$11:C184&lt;&gt;0)*1),"")</f>
        <v/>
      </c>
      <c r="B184" s="290"/>
      <c r="C184" s="290"/>
      <c r="D184" s="290"/>
      <c r="E184" s="396"/>
      <c r="F184" s="345"/>
      <c r="G184" s="347"/>
      <c r="H184" s="347"/>
      <c r="I184" s="63" t="str">
        <f t="shared" si="137"/>
        <v/>
      </c>
      <c r="J184" s="292">
        <f t="shared" si="92"/>
        <v>0</v>
      </c>
      <c r="K184" s="292">
        <f t="shared" si="93"/>
        <v>0</v>
      </c>
      <c r="L184" s="292">
        <f t="shared" si="94"/>
        <v>0</v>
      </c>
      <c r="M184" s="292">
        <f t="shared" si="95"/>
        <v>0</v>
      </c>
      <c r="N184" s="292">
        <f t="shared" si="130"/>
        <v>0</v>
      </c>
      <c r="O184" s="292">
        <f t="shared" si="131"/>
        <v>0</v>
      </c>
      <c r="P184" s="292">
        <f t="shared" si="96"/>
        <v>0</v>
      </c>
      <c r="Q184" s="292">
        <f t="shared" si="97"/>
        <v>0</v>
      </c>
      <c r="R184" s="292">
        <f t="shared" si="98"/>
        <v>0</v>
      </c>
      <c r="S184" s="292">
        <f t="shared" si="99"/>
        <v>0</v>
      </c>
      <c r="T184" s="292">
        <f t="shared" si="132"/>
        <v>0</v>
      </c>
      <c r="U184" s="292">
        <f t="shared" si="133"/>
        <v>0</v>
      </c>
      <c r="V184" s="292">
        <f t="shared" si="100"/>
        <v>0</v>
      </c>
      <c r="W184" s="292">
        <f t="shared" si="101"/>
        <v>0</v>
      </c>
      <c r="X184" s="292">
        <f t="shared" si="102"/>
        <v>0</v>
      </c>
      <c r="Y184" s="292">
        <f t="shared" si="103"/>
        <v>0</v>
      </c>
      <c r="Z184" s="292">
        <f t="shared" si="104"/>
        <v>0</v>
      </c>
      <c r="AA184" s="292">
        <f t="shared" si="105"/>
        <v>0</v>
      </c>
      <c r="AB184" s="292">
        <f t="shared" si="106"/>
        <v>0</v>
      </c>
      <c r="AC184" s="292">
        <f t="shared" si="107"/>
        <v>0</v>
      </c>
      <c r="AD184" s="292">
        <f t="shared" si="108"/>
        <v>0</v>
      </c>
      <c r="AE184" s="292">
        <f t="shared" si="109"/>
        <v>0</v>
      </c>
      <c r="AF184" s="292">
        <f t="shared" si="134"/>
        <v>0</v>
      </c>
      <c r="AG184" s="292">
        <f t="shared" si="135"/>
        <v>0</v>
      </c>
      <c r="AH184" s="292">
        <f t="shared" si="110"/>
        <v>0</v>
      </c>
      <c r="AI184" s="292">
        <f t="shared" si="111"/>
        <v>0</v>
      </c>
      <c r="AJ184" s="292">
        <f t="shared" si="112"/>
        <v>0</v>
      </c>
      <c r="AK184" s="292">
        <f t="shared" si="113"/>
        <v>0</v>
      </c>
      <c r="AL184" s="292">
        <f t="shared" si="114"/>
        <v>0</v>
      </c>
      <c r="AM184" s="292">
        <f t="shared" si="115"/>
        <v>0</v>
      </c>
      <c r="AN184" s="292">
        <f t="shared" si="116"/>
        <v>0</v>
      </c>
      <c r="AO184" s="292">
        <f t="shared" si="117"/>
        <v>0</v>
      </c>
      <c r="AP184" s="292">
        <f t="shared" si="118"/>
        <v>0</v>
      </c>
      <c r="AQ184" s="292">
        <f t="shared" si="119"/>
        <v>0</v>
      </c>
      <c r="AR184" s="292">
        <f t="shared" si="120"/>
        <v>0</v>
      </c>
      <c r="AS184" s="292">
        <f t="shared" si="121"/>
        <v>0</v>
      </c>
      <c r="AT184" s="292">
        <f t="shared" si="122"/>
        <v>0</v>
      </c>
      <c r="AU184" s="292">
        <f t="shared" si="123"/>
        <v>0</v>
      </c>
      <c r="AV184" s="292">
        <f t="shared" si="124"/>
        <v>0</v>
      </c>
      <c r="AW184" s="292">
        <f t="shared" si="125"/>
        <v>0</v>
      </c>
      <c r="AX184" s="292">
        <f t="shared" si="126"/>
        <v>0</v>
      </c>
      <c r="AY184" s="292">
        <f t="shared" si="127"/>
        <v>0</v>
      </c>
      <c r="AZ184" s="292">
        <f t="shared" si="128"/>
        <v>0</v>
      </c>
      <c r="BA184" s="292">
        <f t="shared" si="129"/>
        <v>0</v>
      </c>
    </row>
    <row r="185" spans="1:53" s="289" customFormat="1" ht="15.75" customHeight="1">
      <c r="A185" s="63" t="str">
        <f t="array" ref="A185">IF(C185&lt;&gt;0,SUM(($C$11:C185&lt;&gt;0)*1),"")</f>
        <v/>
      </c>
      <c r="B185" s="290"/>
      <c r="C185" s="290"/>
      <c r="D185" s="290"/>
      <c r="E185" s="396"/>
      <c r="F185" s="345"/>
      <c r="G185" s="347"/>
      <c r="H185" s="347"/>
      <c r="I185" s="63" t="str">
        <f t="shared" si="137"/>
        <v/>
      </c>
      <c r="J185" s="292">
        <f t="shared" si="92"/>
        <v>0</v>
      </c>
      <c r="K185" s="292">
        <f t="shared" si="93"/>
        <v>0</v>
      </c>
      <c r="L185" s="292">
        <f t="shared" si="94"/>
        <v>0</v>
      </c>
      <c r="M185" s="292">
        <f t="shared" si="95"/>
        <v>0</v>
      </c>
      <c r="N185" s="292">
        <f t="shared" si="130"/>
        <v>0</v>
      </c>
      <c r="O185" s="292">
        <f t="shared" si="131"/>
        <v>0</v>
      </c>
      <c r="P185" s="292">
        <f t="shared" si="96"/>
        <v>0</v>
      </c>
      <c r="Q185" s="292">
        <f t="shared" si="97"/>
        <v>0</v>
      </c>
      <c r="R185" s="292">
        <f t="shared" si="98"/>
        <v>0</v>
      </c>
      <c r="S185" s="292">
        <f t="shared" si="99"/>
        <v>0</v>
      </c>
      <c r="T185" s="292">
        <f t="shared" si="132"/>
        <v>0</v>
      </c>
      <c r="U185" s="292">
        <f t="shared" si="133"/>
        <v>0</v>
      </c>
      <c r="V185" s="292">
        <f t="shared" si="100"/>
        <v>0</v>
      </c>
      <c r="W185" s="292">
        <f t="shared" si="101"/>
        <v>0</v>
      </c>
      <c r="X185" s="292">
        <f t="shared" si="102"/>
        <v>0</v>
      </c>
      <c r="Y185" s="292">
        <f t="shared" si="103"/>
        <v>0</v>
      </c>
      <c r="Z185" s="292">
        <f t="shared" si="104"/>
        <v>0</v>
      </c>
      <c r="AA185" s="292">
        <f t="shared" si="105"/>
        <v>0</v>
      </c>
      <c r="AB185" s="292">
        <f t="shared" si="106"/>
        <v>0</v>
      </c>
      <c r="AC185" s="292">
        <f t="shared" si="107"/>
        <v>0</v>
      </c>
      <c r="AD185" s="292">
        <f t="shared" si="108"/>
        <v>0</v>
      </c>
      <c r="AE185" s="292">
        <f t="shared" si="109"/>
        <v>0</v>
      </c>
      <c r="AF185" s="292">
        <f t="shared" si="134"/>
        <v>0</v>
      </c>
      <c r="AG185" s="292">
        <f t="shared" si="135"/>
        <v>0</v>
      </c>
      <c r="AH185" s="292">
        <f t="shared" si="110"/>
        <v>0</v>
      </c>
      <c r="AI185" s="292">
        <f t="shared" si="111"/>
        <v>0</v>
      </c>
      <c r="AJ185" s="292">
        <f t="shared" si="112"/>
        <v>0</v>
      </c>
      <c r="AK185" s="292">
        <f t="shared" si="113"/>
        <v>0</v>
      </c>
      <c r="AL185" s="292">
        <f t="shared" si="114"/>
        <v>0</v>
      </c>
      <c r="AM185" s="292">
        <f t="shared" si="115"/>
        <v>0</v>
      </c>
      <c r="AN185" s="292">
        <f t="shared" si="116"/>
        <v>0</v>
      </c>
      <c r="AO185" s="292">
        <f t="shared" si="117"/>
        <v>0</v>
      </c>
      <c r="AP185" s="292">
        <f t="shared" si="118"/>
        <v>0</v>
      </c>
      <c r="AQ185" s="292">
        <f t="shared" si="119"/>
        <v>0</v>
      </c>
      <c r="AR185" s="292">
        <f t="shared" si="120"/>
        <v>0</v>
      </c>
      <c r="AS185" s="292">
        <f t="shared" si="121"/>
        <v>0</v>
      </c>
      <c r="AT185" s="292">
        <f t="shared" si="122"/>
        <v>0</v>
      </c>
      <c r="AU185" s="292">
        <f t="shared" si="123"/>
        <v>0</v>
      </c>
      <c r="AV185" s="292">
        <f t="shared" si="124"/>
        <v>0</v>
      </c>
      <c r="AW185" s="292">
        <f t="shared" si="125"/>
        <v>0</v>
      </c>
      <c r="AX185" s="292">
        <f t="shared" si="126"/>
        <v>0</v>
      </c>
      <c r="AY185" s="292">
        <f t="shared" si="127"/>
        <v>0</v>
      </c>
      <c r="AZ185" s="292">
        <f t="shared" si="128"/>
        <v>0</v>
      </c>
      <c r="BA185" s="292">
        <f t="shared" si="129"/>
        <v>0</v>
      </c>
    </row>
    <row r="186" spans="1:53" s="289" customFormat="1" ht="15.75" customHeight="1">
      <c r="A186" s="63" t="str">
        <f t="array" ref="A186">IF(C186&lt;&gt;0,SUM(($C$11:C186&lt;&gt;0)*1),"")</f>
        <v/>
      </c>
      <c r="B186" s="290"/>
      <c r="C186" s="290"/>
      <c r="D186" s="290"/>
      <c r="E186" s="396"/>
      <c r="F186" s="345"/>
      <c r="G186" s="347"/>
      <c r="H186" s="347"/>
      <c r="I186" s="63" t="str">
        <f t="shared" si="137"/>
        <v/>
      </c>
      <c r="J186" s="292">
        <f t="shared" si="92"/>
        <v>0</v>
      </c>
      <c r="K186" s="292">
        <f t="shared" si="93"/>
        <v>0</v>
      </c>
      <c r="L186" s="292">
        <f t="shared" si="94"/>
        <v>0</v>
      </c>
      <c r="M186" s="292">
        <f t="shared" si="95"/>
        <v>0</v>
      </c>
      <c r="N186" s="292">
        <f t="shared" si="130"/>
        <v>0</v>
      </c>
      <c r="O186" s="292">
        <f t="shared" si="131"/>
        <v>0</v>
      </c>
      <c r="P186" s="292">
        <f t="shared" si="96"/>
        <v>0</v>
      </c>
      <c r="Q186" s="292">
        <f t="shared" si="97"/>
        <v>0</v>
      </c>
      <c r="R186" s="292">
        <f t="shared" si="98"/>
        <v>0</v>
      </c>
      <c r="S186" s="292">
        <f t="shared" si="99"/>
        <v>0</v>
      </c>
      <c r="T186" s="292">
        <f t="shared" si="132"/>
        <v>0</v>
      </c>
      <c r="U186" s="292">
        <f t="shared" si="133"/>
        <v>0</v>
      </c>
      <c r="V186" s="292">
        <f t="shared" si="100"/>
        <v>0</v>
      </c>
      <c r="W186" s="292">
        <f t="shared" si="101"/>
        <v>0</v>
      </c>
      <c r="X186" s="292">
        <f t="shared" si="102"/>
        <v>0</v>
      </c>
      <c r="Y186" s="292">
        <f t="shared" si="103"/>
        <v>0</v>
      </c>
      <c r="Z186" s="292">
        <f t="shared" si="104"/>
        <v>0</v>
      </c>
      <c r="AA186" s="292">
        <f t="shared" si="105"/>
        <v>0</v>
      </c>
      <c r="AB186" s="292">
        <f t="shared" si="106"/>
        <v>0</v>
      </c>
      <c r="AC186" s="292">
        <f t="shared" si="107"/>
        <v>0</v>
      </c>
      <c r="AD186" s="292">
        <f t="shared" si="108"/>
        <v>0</v>
      </c>
      <c r="AE186" s="292">
        <f t="shared" si="109"/>
        <v>0</v>
      </c>
      <c r="AF186" s="292">
        <f t="shared" si="134"/>
        <v>0</v>
      </c>
      <c r="AG186" s="292">
        <f t="shared" si="135"/>
        <v>0</v>
      </c>
      <c r="AH186" s="292">
        <f t="shared" si="110"/>
        <v>0</v>
      </c>
      <c r="AI186" s="292">
        <f t="shared" si="111"/>
        <v>0</v>
      </c>
      <c r="AJ186" s="292">
        <f t="shared" si="112"/>
        <v>0</v>
      </c>
      <c r="AK186" s="292">
        <f t="shared" si="113"/>
        <v>0</v>
      </c>
      <c r="AL186" s="292">
        <f t="shared" si="114"/>
        <v>0</v>
      </c>
      <c r="AM186" s="292">
        <f t="shared" si="115"/>
        <v>0</v>
      </c>
      <c r="AN186" s="292">
        <f t="shared" si="116"/>
        <v>0</v>
      </c>
      <c r="AO186" s="292">
        <f t="shared" si="117"/>
        <v>0</v>
      </c>
      <c r="AP186" s="292">
        <f t="shared" si="118"/>
        <v>0</v>
      </c>
      <c r="AQ186" s="292">
        <f t="shared" si="119"/>
        <v>0</v>
      </c>
      <c r="AR186" s="292">
        <f t="shared" si="120"/>
        <v>0</v>
      </c>
      <c r="AS186" s="292">
        <f t="shared" si="121"/>
        <v>0</v>
      </c>
      <c r="AT186" s="292">
        <f t="shared" si="122"/>
        <v>0</v>
      </c>
      <c r="AU186" s="292">
        <f t="shared" si="123"/>
        <v>0</v>
      </c>
      <c r="AV186" s="292">
        <f t="shared" si="124"/>
        <v>0</v>
      </c>
      <c r="AW186" s="292">
        <f t="shared" si="125"/>
        <v>0</v>
      </c>
      <c r="AX186" s="292">
        <f t="shared" si="126"/>
        <v>0</v>
      </c>
      <c r="AY186" s="292">
        <f t="shared" si="127"/>
        <v>0</v>
      </c>
      <c r="AZ186" s="292">
        <f t="shared" si="128"/>
        <v>0</v>
      </c>
      <c r="BA186" s="292">
        <f t="shared" si="129"/>
        <v>0</v>
      </c>
    </row>
    <row r="187" spans="1:53" s="289" customFormat="1" ht="15.75" customHeight="1">
      <c r="A187" s="63" t="str">
        <f t="array" ref="A187">IF(C187&lt;&gt;0,SUM(($C$11:C187&lt;&gt;0)*1),"")</f>
        <v/>
      </c>
      <c r="B187" s="290"/>
      <c r="C187" s="290"/>
      <c r="D187" s="290"/>
      <c r="E187" s="396"/>
      <c r="F187" s="345"/>
      <c r="G187" s="347"/>
      <c r="H187" s="347"/>
      <c r="I187" s="63" t="str">
        <f t="shared" si="137"/>
        <v/>
      </c>
      <c r="J187" s="292">
        <f t="shared" si="92"/>
        <v>0</v>
      </c>
      <c r="K187" s="292">
        <f t="shared" si="93"/>
        <v>0</v>
      </c>
      <c r="L187" s="292">
        <f t="shared" si="94"/>
        <v>0</v>
      </c>
      <c r="M187" s="292">
        <f t="shared" si="95"/>
        <v>0</v>
      </c>
      <c r="N187" s="292">
        <f t="shared" si="130"/>
        <v>0</v>
      </c>
      <c r="O187" s="292">
        <f t="shared" si="131"/>
        <v>0</v>
      </c>
      <c r="P187" s="292">
        <f t="shared" si="96"/>
        <v>0</v>
      </c>
      <c r="Q187" s="292">
        <f t="shared" si="97"/>
        <v>0</v>
      </c>
      <c r="R187" s="292">
        <f t="shared" si="98"/>
        <v>0</v>
      </c>
      <c r="S187" s="292">
        <f t="shared" si="99"/>
        <v>0</v>
      </c>
      <c r="T187" s="292">
        <f t="shared" si="132"/>
        <v>0</v>
      </c>
      <c r="U187" s="292">
        <f t="shared" si="133"/>
        <v>0</v>
      </c>
      <c r="V187" s="292">
        <f t="shared" si="100"/>
        <v>0</v>
      </c>
      <c r="W187" s="292">
        <f t="shared" si="101"/>
        <v>0</v>
      </c>
      <c r="X187" s="292">
        <f t="shared" si="102"/>
        <v>0</v>
      </c>
      <c r="Y187" s="292">
        <f t="shared" si="103"/>
        <v>0</v>
      </c>
      <c r="Z187" s="292">
        <f t="shared" si="104"/>
        <v>0</v>
      </c>
      <c r="AA187" s="292">
        <f t="shared" si="105"/>
        <v>0</v>
      </c>
      <c r="AB187" s="292">
        <f t="shared" si="106"/>
        <v>0</v>
      </c>
      <c r="AC187" s="292">
        <f t="shared" si="107"/>
        <v>0</v>
      </c>
      <c r="AD187" s="292">
        <f t="shared" si="108"/>
        <v>0</v>
      </c>
      <c r="AE187" s="292">
        <f t="shared" si="109"/>
        <v>0</v>
      </c>
      <c r="AF187" s="292">
        <f t="shared" si="134"/>
        <v>0</v>
      </c>
      <c r="AG187" s="292">
        <f t="shared" si="135"/>
        <v>0</v>
      </c>
      <c r="AH187" s="292">
        <f t="shared" si="110"/>
        <v>0</v>
      </c>
      <c r="AI187" s="292">
        <f t="shared" si="111"/>
        <v>0</v>
      </c>
      <c r="AJ187" s="292">
        <f t="shared" si="112"/>
        <v>0</v>
      </c>
      <c r="AK187" s="292">
        <f t="shared" si="113"/>
        <v>0</v>
      </c>
      <c r="AL187" s="292">
        <f t="shared" si="114"/>
        <v>0</v>
      </c>
      <c r="AM187" s="292">
        <f t="shared" si="115"/>
        <v>0</v>
      </c>
      <c r="AN187" s="292">
        <f t="shared" si="116"/>
        <v>0</v>
      </c>
      <c r="AO187" s="292">
        <f t="shared" si="117"/>
        <v>0</v>
      </c>
      <c r="AP187" s="292">
        <f t="shared" si="118"/>
        <v>0</v>
      </c>
      <c r="AQ187" s="292">
        <f t="shared" si="119"/>
        <v>0</v>
      </c>
      <c r="AR187" s="292">
        <f t="shared" si="120"/>
        <v>0</v>
      </c>
      <c r="AS187" s="292">
        <f t="shared" si="121"/>
        <v>0</v>
      </c>
      <c r="AT187" s="292">
        <f t="shared" si="122"/>
        <v>0</v>
      </c>
      <c r="AU187" s="292">
        <f t="shared" si="123"/>
        <v>0</v>
      </c>
      <c r="AV187" s="292">
        <f t="shared" si="124"/>
        <v>0</v>
      </c>
      <c r="AW187" s="292">
        <f t="shared" si="125"/>
        <v>0</v>
      </c>
      <c r="AX187" s="292">
        <f t="shared" si="126"/>
        <v>0</v>
      </c>
      <c r="AY187" s="292">
        <f t="shared" si="127"/>
        <v>0</v>
      </c>
      <c r="AZ187" s="292">
        <f t="shared" si="128"/>
        <v>0</v>
      </c>
      <c r="BA187" s="292">
        <f t="shared" si="129"/>
        <v>0</v>
      </c>
    </row>
    <row r="188" spans="1:53" s="289" customFormat="1" ht="15.75" customHeight="1">
      <c r="A188" s="63" t="str">
        <f t="array" ref="A188">IF(C188&lt;&gt;0,SUM(($C$11:C188&lt;&gt;0)*1),"")</f>
        <v/>
      </c>
      <c r="B188" s="290"/>
      <c r="C188" s="290"/>
      <c r="D188" s="290"/>
      <c r="E188" s="396"/>
      <c r="F188" s="345"/>
      <c r="G188" s="347"/>
      <c r="H188" s="347"/>
      <c r="I188" s="63" t="str">
        <f t="shared" si="137"/>
        <v/>
      </c>
      <c r="J188" s="292">
        <f t="shared" si="92"/>
        <v>0</v>
      </c>
      <c r="K188" s="292">
        <f t="shared" si="93"/>
        <v>0</v>
      </c>
      <c r="L188" s="292">
        <f t="shared" si="94"/>
        <v>0</v>
      </c>
      <c r="M188" s="292">
        <f t="shared" si="95"/>
        <v>0</v>
      </c>
      <c r="N188" s="292">
        <f t="shared" si="130"/>
        <v>0</v>
      </c>
      <c r="O188" s="292">
        <f t="shared" si="131"/>
        <v>0</v>
      </c>
      <c r="P188" s="292">
        <f t="shared" si="96"/>
        <v>0</v>
      </c>
      <c r="Q188" s="292">
        <f t="shared" si="97"/>
        <v>0</v>
      </c>
      <c r="R188" s="292">
        <f t="shared" si="98"/>
        <v>0</v>
      </c>
      <c r="S188" s="292">
        <f t="shared" si="99"/>
        <v>0</v>
      </c>
      <c r="T188" s="292">
        <f t="shared" si="132"/>
        <v>0</v>
      </c>
      <c r="U188" s="292">
        <f t="shared" si="133"/>
        <v>0</v>
      </c>
      <c r="V188" s="292">
        <f t="shared" si="100"/>
        <v>0</v>
      </c>
      <c r="W188" s="292">
        <f t="shared" si="101"/>
        <v>0</v>
      </c>
      <c r="X188" s="292">
        <f t="shared" si="102"/>
        <v>0</v>
      </c>
      <c r="Y188" s="292">
        <f t="shared" si="103"/>
        <v>0</v>
      </c>
      <c r="Z188" s="292">
        <f t="shared" si="104"/>
        <v>0</v>
      </c>
      <c r="AA188" s="292">
        <f t="shared" si="105"/>
        <v>0</v>
      </c>
      <c r="AB188" s="292">
        <f t="shared" si="106"/>
        <v>0</v>
      </c>
      <c r="AC188" s="292">
        <f t="shared" si="107"/>
        <v>0</v>
      </c>
      <c r="AD188" s="292">
        <f t="shared" si="108"/>
        <v>0</v>
      </c>
      <c r="AE188" s="292">
        <f t="shared" si="109"/>
        <v>0</v>
      </c>
      <c r="AF188" s="292">
        <f t="shared" si="134"/>
        <v>0</v>
      </c>
      <c r="AG188" s="292">
        <f t="shared" si="135"/>
        <v>0</v>
      </c>
      <c r="AH188" s="292">
        <f t="shared" si="110"/>
        <v>0</v>
      </c>
      <c r="AI188" s="292">
        <f t="shared" si="111"/>
        <v>0</v>
      </c>
      <c r="AJ188" s="292">
        <f t="shared" si="112"/>
        <v>0</v>
      </c>
      <c r="AK188" s="292">
        <f t="shared" si="113"/>
        <v>0</v>
      </c>
      <c r="AL188" s="292">
        <f t="shared" si="114"/>
        <v>0</v>
      </c>
      <c r="AM188" s="292">
        <f t="shared" si="115"/>
        <v>0</v>
      </c>
      <c r="AN188" s="292">
        <f t="shared" si="116"/>
        <v>0</v>
      </c>
      <c r="AO188" s="292">
        <f t="shared" si="117"/>
        <v>0</v>
      </c>
      <c r="AP188" s="292">
        <f t="shared" si="118"/>
        <v>0</v>
      </c>
      <c r="AQ188" s="292">
        <f t="shared" si="119"/>
        <v>0</v>
      </c>
      <c r="AR188" s="292">
        <f t="shared" si="120"/>
        <v>0</v>
      </c>
      <c r="AS188" s="292">
        <f t="shared" si="121"/>
        <v>0</v>
      </c>
      <c r="AT188" s="292">
        <f t="shared" si="122"/>
        <v>0</v>
      </c>
      <c r="AU188" s="292">
        <f t="shared" si="123"/>
        <v>0</v>
      </c>
      <c r="AV188" s="292">
        <f t="shared" si="124"/>
        <v>0</v>
      </c>
      <c r="AW188" s="292">
        <f t="shared" si="125"/>
        <v>0</v>
      </c>
      <c r="AX188" s="292">
        <f t="shared" si="126"/>
        <v>0</v>
      </c>
      <c r="AY188" s="292">
        <f t="shared" si="127"/>
        <v>0</v>
      </c>
      <c r="AZ188" s="292">
        <f t="shared" si="128"/>
        <v>0</v>
      </c>
      <c r="BA188" s="292">
        <f t="shared" si="129"/>
        <v>0</v>
      </c>
    </row>
    <row r="189" spans="1:53" s="289" customFormat="1" ht="15.75" customHeight="1">
      <c r="A189" s="63" t="str">
        <f t="array" ref="A189">IF(C189&lt;&gt;0,SUM(($C$11:C189&lt;&gt;0)*1),"")</f>
        <v/>
      </c>
      <c r="B189" s="290"/>
      <c r="C189" s="290"/>
      <c r="D189" s="290"/>
      <c r="E189" s="396"/>
      <c r="F189" s="345"/>
      <c r="G189" s="347"/>
      <c r="H189" s="347"/>
      <c r="I189" s="63" t="str">
        <f t="shared" si="137"/>
        <v/>
      </c>
      <c r="J189" s="292">
        <f t="shared" si="92"/>
        <v>0</v>
      </c>
      <c r="K189" s="292">
        <f t="shared" si="93"/>
        <v>0</v>
      </c>
      <c r="L189" s="292">
        <f t="shared" si="94"/>
        <v>0</v>
      </c>
      <c r="M189" s="292">
        <f t="shared" si="95"/>
        <v>0</v>
      </c>
      <c r="N189" s="292">
        <f t="shared" si="130"/>
        <v>0</v>
      </c>
      <c r="O189" s="292">
        <f t="shared" si="131"/>
        <v>0</v>
      </c>
      <c r="P189" s="292">
        <f t="shared" si="96"/>
        <v>0</v>
      </c>
      <c r="Q189" s="292">
        <f t="shared" si="97"/>
        <v>0</v>
      </c>
      <c r="R189" s="292">
        <f t="shared" si="98"/>
        <v>0</v>
      </c>
      <c r="S189" s="292">
        <f t="shared" si="99"/>
        <v>0</v>
      </c>
      <c r="T189" s="292">
        <f t="shared" si="132"/>
        <v>0</v>
      </c>
      <c r="U189" s="292">
        <f t="shared" si="133"/>
        <v>0</v>
      </c>
      <c r="V189" s="292">
        <f t="shared" si="100"/>
        <v>0</v>
      </c>
      <c r="W189" s="292">
        <f t="shared" si="101"/>
        <v>0</v>
      </c>
      <c r="X189" s="292">
        <f t="shared" si="102"/>
        <v>0</v>
      </c>
      <c r="Y189" s="292">
        <f t="shared" si="103"/>
        <v>0</v>
      </c>
      <c r="Z189" s="292">
        <f t="shared" si="104"/>
        <v>0</v>
      </c>
      <c r="AA189" s="292">
        <f t="shared" si="105"/>
        <v>0</v>
      </c>
      <c r="AB189" s="292">
        <f t="shared" si="106"/>
        <v>0</v>
      </c>
      <c r="AC189" s="292">
        <f t="shared" si="107"/>
        <v>0</v>
      </c>
      <c r="AD189" s="292">
        <f t="shared" si="108"/>
        <v>0</v>
      </c>
      <c r="AE189" s="292">
        <f t="shared" si="109"/>
        <v>0</v>
      </c>
      <c r="AF189" s="292">
        <f t="shared" si="134"/>
        <v>0</v>
      </c>
      <c r="AG189" s="292">
        <f t="shared" si="135"/>
        <v>0</v>
      </c>
      <c r="AH189" s="292">
        <f t="shared" si="110"/>
        <v>0</v>
      </c>
      <c r="AI189" s="292">
        <f t="shared" si="111"/>
        <v>0</v>
      </c>
      <c r="AJ189" s="292">
        <f t="shared" si="112"/>
        <v>0</v>
      </c>
      <c r="AK189" s="292">
        <f t="shared" si="113"/>
        <v>0</v>
      </c>
      <c r="AL189" s="292">
        <f t="shared" si="114"/>
        <v>0</v>
      </c>
      <c r="AM189" s="292">
        <f t="shared" si="115"/>
        <v>0</v>
      </c>
      <c r="AN189" s="292">
        <f t="shared" si="116"/>
        <v>0</v>
      </c>
      <c r="AO189" s="292">
        <f t="shared" si="117"/>
        <v>0</v>
      </c>
      <c r="AP189" s="292">
        <f t="shared" si="118"/>
        <v>0</v>
      </c>
      <c r="AQ189" s="292">
        <f t="shared" si="119"/>
        <v>0</v>
      </c>
      <c r="AR189" s="292">
        <f t="shared" si="120"/>
        <v>0</v>
      </c>
      <c r="AS189" s="292">
        <f t="shared" si="121"/>
        <v>0</v>
      </c>
      <c r="AT189" s="292">
        <f t="shared" si="122"/>
        <v>0</v>
      </c>
      <c r="AU189" s="292">
        <f t="shared" si="123"/>
        <v>0</v>
      </c>
      <c r="AV189" s="292">
        <f t="shared" si="124"/>
        <v>0</v>
      </c>
      <c r="AW189" s="292">
        <f t="shared" si="125"/>
        <v>0</v>
      </c>
      <c r="AX189" s="292">
        <f t="shared" si="126"/>
        <v>0</v>
      </c>
      <c r="AY189" s="292">
        <f t="shared" si="127"/>
        <v>0</v>
      </c>
      <c r="AZ189" s="292">
        <f t="shared" si="128"/>
        <v>0</v>
      </c>
      <c r="BA189" s="292">
        <f t="shared" si="129"/>
        <v>0</v>
      </c>
    </row>
    <row r="190" spans="1:53" s="289" customFormat="1" ht="15.75" customHeight="1">
      <c r="A190" s="63" t="str">
        <f t="array" ref="A190">IF(C190&lt;&gt;0,SUM(($C$11:C190&lt;&gt;0)*1),"")</f>
        <v/>
      </c>
      <c r="B190" s="290"/>
      <c r="C190" s="290"/>
      <c r="D190" s="290"/>
      <c r="E190" s="396"/>
      <c r="F190" s="345"/>
      <c r="G190" s="347"/>
      <c r="H190" s="347"/>
      <c r="I190" s="63" t="str">
        <f t="shared" si="137"/>
        <v/>
      </c>
      <c r="J190" s="292">
        <f t="shared" si="92"/>
        <v>0</v>
      </c>
      <c r="K190" s="292">
        <f t="shared" si="93"/>
        <v>0</v>
      </c>
      <c r="L190" s="292">
        <f t="shared" si="94"/>
        <v>0</v>
      </c>
      <c r="M190" s="292">
        <f t="shared" si="95"/>
        <v>0</v>
      </c>
      <c r="N190" s="292">
        <f t="shared" si="130"/>
        <v>0</v>
      </c>
      <c r="O190" s="292">
        <f t="shared" si="131"/>
        <v>0</v>
      </c>
      <c r="P190" s="292">
        <f t="shared" si="96"/>
        <v>0</v>
      </c>
      <c r="Q190" s="292">
        <f t="shared" si="97"/>
        <v>0</v>
      </c>
      <c r="R190" s="292">
        <f t="shared" si="98"/>
        <v>0</v>
      </c>
      <c r="S190" s="292">
        <f t="shared" si="99"/>
        <v>0</v>
      </c>
      <c r="T190" s="292">
        <f t="shared" si="132"/>
        <v>0</v>
      </c>
      <c r="U190" s="292">
        <f t="shared" si="133"/>
        <v>0</v>
      </c>
      <c r="V190" s="292">
        <f t="shared" si="100"/>
        <v>0</v>
      </c>
      <c r="W190" s="292">
        <f t="shared" si="101"/>
        <v>0</v>
      </c>
      <c r="X190" s="292">
        <f t="shared" si="102"/>
        <v>0</v>
      </c>
      <c r="Y190" s="292">
        <f t="shared" si="103"/>
        <v>0</v>
      </c>
      <c r="Z190" s="292">
        <f t="shared" si="104"/>
        <v>0</v>
      </c>
      <c r="AA190" s="292">
        <f t="shared" si="105"/>
        <v>0</v>
      </c>
      <c r="AB190" s="292">
        <f t="shared" si="106"/>
        <v>0</v>
      </c>
      <c r="AC190" s="292">
        <f t="shared" si="107"/>
        <v>0</v>
      </c>
      <c r="AD190" s="292">
        <f t="shared" si="108"/>
        <v>0</v>
      </c>
      <c r="AE190" s="292">
        <f t="shared" si="109"/>
        <v>0</v>
      </c>
      <c r="AF190" s="292">
        <f t="shared" si="134"/>
        <v>0</v>
      </c>
      <c r="AG190" s="292">
        <f t="shared" si="135"/>
        <v>0</v>
      </c>
      <c r="AH190" s="292">
        <f t="shared" si="110"/>
        <v>0</v>
      </c>
      <c r="AI190" s="292">
        <f t="shared" si="111"/>
        <v>0</v>
      </c>
      <c r="AJ190" s="292">
        <f t="shared" si="112"/>
        <v>0</v>
      </c>
      <c r="AK190" s="292">
        <f t="shared" si="113"/>
        <v>0</v>
      </c>
      <c r="AL190" s="292">
        <f t="shared" si="114"/>
        <v>0</v>
      </c>
      <c r="AM190" s="292">
        <f t="shared" si="115"/>
        <v>0</v>
      </c>
      <c r="AN190" s="292">
        <f t="shared" si="116"/>
        <v>0</v>
      </c>
      <c r="AO190" s="292">
        <f t="shared" si="117"/>
        <v>0</v>
      </c>
      <c r="AP190" s="292">
        <f t="shared" si="118"/>
        <v>0</v>
      </c>
      <c r="AQ190" s="292">
        <f t="shared" si="119"/>
        <v>0</v>
      </c>
      <c r="AR190" s="292">
        <f t="shared" si="120"/>
        <v>0</v>
      </c>
      <c r="AS190" s="292">
        <f t="shared" si="121"/>
        <v>0</v>
      </c>
      <c r="AT190" s="292">
        <f t="shared" si="122"/>
        <v>0</v>
      </c>
      <c r="AU190" s="292">
        <f t="shared" si="123"/>
        <v>0</v>
      </c>
      <c r="AV190" s="292">
        <f t="shared" si="124"/>
        <v>0</v>
      </c>
      <c r="AW190" s="292">
        <f t="shared" si="125"/>
        <v>0</v>
      </c>
      <c r="AX190" s="292">
        <f t="shared" si="126"/>
        <v>0</v>
      </c>
      <c r="AY190" s="292">
        <f t="shared" si="127"/>
        <v>0</v>
      </c>
      <c r="AZ190" s="292">
        <f t="shared" si="128"/>
        <v>0</v>
      </c>
      <c r="BA190" s="292">
        <f t="shared" si="129"/>
        <v>0</v>
      </c>
    </row>
    <row r="191" spans="1:53" s="289" customFormat="1" ht="15.75" customHeight="1">
      <c r="A191" s="63" t="str">
        <f t="array" ref="A191">IF(C191&lt;&gt;0,SUM(($C$11:C191&lt;&gt;0)*1),"")</f>
        <v/>
      </c>
      <c r="B191" s="290"/>
      <c r="C191" s="290"/>
      <c r="D191" s="290"/>
      <c r="E191" s="396"/>
      <c r="F191" s="345"/>
      <c r="G191" s="347"/>
      <c r="H191" s="347"/>
      <c r="I191" s="63" t="str">
        <f t="shared" si="137"/>
        <v/>
      </c>
      <c r="J191" s="292">
        <f t="shared" si="92"/>
        <v>0</v>
      </c>
      <c r="K191" s="292">
        <f t="shared" si="93"/>
        <v>0</v>
      </c>
      <c r="L191" s="292">
        <f t="shared" si="94"/>
        <v>0</v>
      </c>
      <c r="M191" s="292">
        <f t="shared" si="95"/>
        <v>0</v>
      </c>
      <c r="N191" s="292">
        <f t="shared" si="130"/>
        <v>0</v>
      </c>
      <c r="O191" s="292">
        <f t="shared" si="131"/>
        <v>0</v>
      </c>
      <c r="P191" s="292">
        <f t="shared" si="96"/>
        <v>0</v>
      </c>
      <c r="Q191" s="292">
        <f t="shared" si="97"/>
        <v>0</v>
      </c>
      <c r="R191" s="292">
        <f t="shared" si="98"/>
        <v>0</v>
      </c>
      <c r="S191" s="292">
        <f t="shared" si="99"/>
        <v>0</v>
      </c>
      <c r="T191" s="292">
        <f t="shared" si="132"/>
        <v>0</v>
      </c>
      <c r="U191" s="292">
        <f t="shared" si="133"/>
        <v>0</v>
      </c>
      <c r="V191" s="292">
        <f t="shared" si="100"/>
        <v>0</v>
      </c>
      <c r="W191" s="292">
        <f t="shared" si="101"/>
        <v>0</v>
      </c>
      <c r="X191" s="292">
        <f t="shared" si="102"/>
        <v>0</v>
      </c>
      <c r="Y191" s="292">
        <f t="shared" si="103"/>
        <v>0</v>
      </c>
      <c r="Z191" s="292">
        <f t="shared" si="104"/>
        <v>0</v>
      </c>
      <c r="AA191" s="292">
        <f t="shared" si="105"/>
        <v>0</v>
      </c>
      <c r="AB191" s="292">
        <f t="shared" si="106"/>
        <v>0</v>
      </c>
      <c r="AC191" s="292">
        <f t="shared" si="107"/>
        <v>0</v>
      </c>
      <c r="AD191" s="292">
        <f t="shared" si="108"/>
        <v>0</v>
      </c>
      <c r="AE191" s="292">
        <f t="shared" si="109"/>
        <v>0</v>
      </c>
      <c r="AF191" s="292">
        <f t="shared" si="134"/>
        <v>0</v>
      </c>
      <c r="AG191" s="292">
        <f t="shared" si="135"/>
        <v>0</v>
      </c>
      <c r="AH191" s="292">
        <f t="shared" si="110"/>
        <v>0</v>
      </c>
      <c r="AI191" s="292">
        <f t="shared" si="111"/>
        <v>0</v>
      </c>
      <c r="AJ191" s="292">
        <f t="shared" si="112"/>
        <v>0</v>
      </c>
      <c r="AK191" s="292">
        <f t="shared" si="113"/>
        <v>0</v>
      </c>
      <c r="AL191" s="292">
        <f t="shared" si="114"/>
        <v>0</v>
      </c>
      <c r="AM191" s="292">
        <f t="shared" si="115"/>
        <v>0</v>
      </c>
      <c r="AN191" s="292">
        <f t="shared" si="116"/>
        <v>0</v>
      </c>
      <c r="AO191" s="292">
        <f t="shared" si="117"/>
        <v>0</v>
      </c>
      <c r="AP191" s="292">
        <f t="shared" si="118"/>
        <v>0</v>
      </c>
      <c r="AQ191" s="292">
        <f t="shared" si="119"/>
        <v>0</v>
      </c>
      <c r="AR191" s="292">
        <f t="shared" si="120"/>
        <v>0</v>
      </c>
      <c r="AS191" s="292">
        <f t="shared" si="121"/>
        <v>0</v>
      </c>
      <c r="AT191" s="292">
        <f t="shared" si="122"/>
        <v>0</v>
      </c>
      <c r="AU191" s="292">
        <f t="shared" si="123"/>
        <v>0</v>
      </c>
      <c r="AV191" s="292">
        <f t="shared" si="124"/>
        <v>0</v>
      </c>
      <c r="AW191" s="292">
        <f t="shared" si="125"/>
        <v>0</v>
      </c>
      <c r="AX191" s="292">
        <f t="shared" si="126"/>
        <v>0</v>
      </c>
      <c r="AY191" s="292">
        <f t="shared" si="127"/>
        <v>0</v>
      </c>
      <c r="AZ191" s="292">
        <f t="shared" si="128"/>
        <v>0</v>
      </c>
      <c r="BA191" s="292">
        <f t="shared" si="129"/>
        <v>0</v>
      </c>
    </row>
    <row r="192" spans="1:53" s="289" customFormat="1" ht="15.75" customHeight="1">
      <c r="A192" s="63" t="str">
        <f t="array" ref="A192">IF(C192&lt;&gt;0,SUM(($C$11:C192&lt;&gt;0)*1),"")</f>
        <v/>
      </c>
      <c r="B192" s="290"/>
      <c r="C192" s="290"/>
      <c r="D192" s="290"/>
      <c r="E192" s="396"/>
      <c r="F192" s="345"/>
      <c r="G192" s="347"/>
      <c r="H192" s="347"/>
      <c r="I192" s="63" t="str">
        <f t="shared" si="137"/>
        <v/>
      </c>
      <c r="J192" s="292">
        <f t="shared" si="92"/>
        <v>0</v>
      </c>
      <c r="K192" s="292">
        <f t="shared" si="93"/>
        <v>0</v>
      </c>
      <c r="L192" s="292">
        <f t="shared" si="94"/>
        <v>0</v>
      </c>
      <c r="M192" s="292">
        <f t="shared" si="95"/>
        <v>0</v>
      </c>
      <c r="N192" s="292">
        <f t="shared" si="130"/>
        <v>0</v>
      </c>
      <c r="O192" s="292">
        <f t="shared" si="131"/>
        <v>0</v>
      </c>
      <c r="P192" s="292">
        <f t="shared" si="96"/>
        <v>0</v>
      </c>
      <c r="Q192" s="292">
        <f t="shared" si="97"/>
        <v>0</v>
      </c>
      <c r="R192" s="292">
        <f t="shared" si="98"/>
        <v>0</v>
      </c>
      <c r="S192" s="292">
        <f t="shared" si="99"/>
        <v>0</v>
      </c>
      <c r="T192" s="292">
        <f t="shared" si="132"/>
        <v>0</v>
      </c>
      <c r="U192" s="292">
        <f t="shared" si="133"/>
        <v>0</v>
      </c>
      <c r="V192" s="292">
        <f t="shared" si="100"/>
        <v>0</v>
      </c>
      <c r="W192" s="292">
        <f t="shared" si="101"/>
        <v>0</v>
      </c>
      <c r="X192" s="292">
        <f t="shared" si="102"/>
        <v>0</v>
      </c>
      <c r="Y192" s="292">
        <f t="shared" si="103"/>
        <v>0</v>
      </c>
      <c r="Z192" s="292">
        <f t="shared" si="104"/>
        <v>0</v>
      </c>
      <c r="AA192" s="292">
        <f t="shared" si="105"/>
        <v>0</v>
      </c>
      <c r="AB192" s="292">
        <f t="shared" si="106"/>
        <v>0</v>
      </c>
      <c r="AC192" s="292">
        <f t="shared" si="107"/>
        <v>0</v>
      </c>
      <c r="AD192" s="292">
        <f t="shared" si="108"/>
        <v>0</v>
      </c>
      <c r="AE192" s="292">
        <f t="shared" si="109"/>
        <v>0</v>
      </c>
      <c r="AF192" s="292">
        <f t="shared" si="134"/>
        <v>0</v>
      </c>
      <c r="AG192" s="292">
        <f t="shared" si="135"/>
        <v>0</v>
      </c>
      <c r="AH192" s="292">
        <f t="shared" si="110"/>
        <v>0</v>
      </c>
      <c r="AI192" s="292">
        <f t="shared" si="111"/>
        <v>0</v>
      </c>
      <c r="AJ192" s="292">
        <f t="shared" si="112"/>
        <v>0</v>
      </c>
      <c r="AK192" s="292">
        <f t="shared" si="113"/>
        <v>0</v>
      </c>
      <c r="AL192" s="292">
        <f t="shared" si="114"/>
        <v>0</v>
      </c>
      <c r="AM192" s="292">
        <f t="shared" si="115"/>
        <v>0</v>
      </c>
      <c r="AN192" s="292">
        <f t="shared" si="116"/>
        <v>0</v>
      </c>
      <c r="AO192" s="292">
        <f t="shared" si="117"/>
        <v>0</v>
      </c>
      <c r="AP192" s="292">
        <f t="shared" si="118"/>
        <v>0</v>
      </c>
      <c r="AQ192" s="292">
        <f t="shared" si="119"/>
        <v>0</v>
      </c>
      <c r="AR192" s="292">
        <f t="shared" si="120"/>
        <v>0</v>
      </c>
      <c r="AS192" s="292">
        <f t="shared" si="121"/>
        <v>0</v>
      </c>
      <c r="AT192" s="292">
        <f t="shared" si="122"/>
        <v>0</v>
      </c>
      <c r="AU192" s="292">
        <f t="shared" si="123"/>
        <v>0</v>
      </c>
      <c r="AV192" s="292">
        <f t="shared" si="124"/>
        <v>0</v>
      </c>
      <c r="AW192" s="292">
        <f t="shared" si="125"/>
        <v>0</v>
      </c>
      <c r="AX192" s="292">
        <f t="shared" si="126"/>
        <v>0</v>
      </c>
      <c r="AY192" s="292">
        <f t="shared" si="127"/>
        <v>0</v>
      </c>
      <c r="AZ192" s="292">
        <f t="shared" si="128"/>
        <v>0</v>
      </c>
      <c r="BA192" s="292">
        <f t="shared" si="129"/>
        <v>0</v>
      </c>
    </row>
    <row r="193" spans="1:53" s="289" customFormat="1" ht="15.75" customHeight="1">
      <c r="A193" s="63" t="str">
        <f t="array" ref="A193">IF(C193&lt;&gt;0,SUM(($C$11:C193&lt;&gt;0)*1),"")</f>
        <v/>
      </c>
      <c r="B193" s="290"/>
      <c r="C193" s="290"/>
      <c r="D193" s="290"/>
      <c r="E193" s="396"/>
      <c r="F193" s="345"/>
      <c r="G193" s="347"/>
      <c r="H193" s="347"/>
      <c r="I193" s="63" t="str">
        <f t="shared" si="137"/>
        <v/>
      </c>
      <c r="J193" s="292">
        <f t="shared" si="92"/>
        <v>0</v>
      </c>
      <c r="K193" s="292">
        <f t="shared" si="93"/>
        <v>0</v>
      </c>
      <c r="L193" s="292">
        <f t="shared" si="94"/>
        <v>0</v>
      </c>
      <c r="M193" s="292">
        <f t="shared" si="95"/>
        <v>0</v>
      </c>
      <c r="N193" s="292">
        <f t="shared" si="130"/>
        <v>0</v>
      </c>
      <c r="O193" s="292">
        <f t="shared" si="131"/>
        <v>0</v>
      </c>
      <c r="P193" s="292">
        <f t="shared" si="96"/>
        <v>0</v>
      </c>
      <c r="Q193" s="292">
        <f t="shared" si="97"/>
        <v>0</v>
      </c>
      <c r="R193" s="292">
        <f t="shared" si="98"/>
        <v>0</v>
      </c>
      <c r="S193" s="292">
        <f t="shared" si="99"/>
        <v>0</v>
      </c>
      <c r="T193" s="292">
        <f t="shared" si="132"/>
        <v>0</v>
      </c>
      <c r="U193" s="292">
        <f t="shared" si="133"/>
        <v>0</v>
      </c>
      <c r="V193" s="292">
        <f t="shared" si="100"/>
        <v>0</v>
      </c>
      <c r="W193" s="292">
        <f t="shared" si="101"/>
        <v>0</v>
      </c>
      <c r="X193" s="292">
        <f t="shared" si="102"/>
        <v>0</v>
      </c>
      <c r="Y193" s="292">
        <f t="shared" si="103"/>
        <v>0</v>
      </c>
      <c r="Z193" s="292">
        <f t="shared" si="104"/>
        <v>0</v>
      </c>
      <c r="AA193" s="292">
        <f t="shared" si="105"/>
        <v>0</v>
      </c>
      <c r="AB193" s="292">
        <f t="shared" si="106"/>
        <v>0</v>
      </c>
      <c r="AC193" s="292">
        <f t="shared" si="107"/>
        <v>0</v>
      </c>
      <c r="AD193" s="292">
        <f t="shared" si="108"/>
        <v>0</v>
      </c>
      <c r="AE193" s="292">
        <f t="shared" si="109"/>
        <v>0</v>
      </c>
      <c r="AF193" s="292">
        <f t="shared" si="134"/>
        <v>0</v>
      </c>
      <c r="AG193" s="292">
        <f t="shared" si="135"/>
        <v>0</v>
      </c>
      <c r="AH193" s="292">
        <f t="shared" si="110"/>
        <v>0</v>
      </c>
      <c r="AI193" s="292">
        <f t="shared" si="111"/>
        <v>0</v>
      </c>
      <c r="AJ193" s="292">
        <f t="shared" si="112"/>
        <v>0</v>
      </c>
      <c r="AK193" s="292">
        <f t="shared" si="113"/>
        <v>0</v>
      </c>
      <c r="AL193" s="292">
        <f t="shared" si="114"/>
        <v>0</v>
      </c>
      <c r="AM193" s="292">
        <f t="shared" si="115"/>
        <v>0</v>
      </c>
      <c r="AN193" s="292">
        <f t="shared" si="116"/>
        <v>0</v>
      </c>
      <c r="AO193" s="292">
        <f t="shared" si="117"/>
        <v>0</v>
      </c>
      <c r="AP193" s="292">
        <f t="shared" si="118"/>
        <v>0</v>
      </c>
      <c r="AQ193" s="292">
        <f t="shared" si="119"/>
        <v>0</v>
      </c>
      <c r="AR193" s="292">
        <f t="shared" si="120"/>
        <v>0</v>
      </c>
      <c r="AS193" s="292">
        <f t="shared" si="121"/>
        <v>0</v>
      </c>
      <c r="AT193" s="292">
        <f t="shared" si="122"/>
        <v>0</v>
      </c>
      <c r="AU193" s="292">
        <f t="shared" si="123"/>
        <v>0</v>
      </c>
      <c r="AV193" s="292">
        <f t="shared" si="124"/>
        <v>0</v>
      </c>
      <c r="AW193" s="292">
        <f t="shared" si="125"/>
        <v>0</v>
      </c>
      <c r="AX193" s="292">
        <f t="shared" si="126"/>
        <v>0</v>
      </c>
      <c r="AY193" s="292">
        <f t="shared" si="127"/>
        <v>0</v>
      </c>
      <c r="AZ193" s="292">
        <f t="shared" si="128"/>
        <v>0</v>
      </c>
      <c r="BA193" s="292">
        <f t="shared" si="129"/>
        <v>0</v>
      </c>
    </row>
    <row r="194" spans="1:53" s="289" customFormat="1" ht="15.75" customHeight="1">
      <c r="A194" s="63" t="str">
        <f t="array" ref="A194">IF(C194&lt;&gt;0,SUM(($C$11:C194&lt;&gt;0)*1),"")</f>
        <v/>
      </c>
      <c r="B194" s="290"/>
      <c r="C194" s="290"/>
      <c r="D194" s="290"/>
      <c r="E194" s="396"/>
      <c r="F194" s="345"/>
      <c r="G194" s="347"/>
      <c r="H194" s="347"/>
      <c r="I194" s="63" t="str">
        <f t="shared" si="137"/>
        <v/>
      </c>
      <c r="J194" s="292">
        <f t="shared" si="92"/>
        <v>0</v>
      </c>
      <c r="K194" s="292">
        <f t="shared" si="93"/>
        <v>0</v>
      </c>
      <c r="L194" s="292">
        <f t="shared" si="94"/>
        <v>0</v>
      </c>
      <c r="M194" s="292">
        <f t="shared" si="95"/>
        <v>0</v>
      </c>
      <c r="N194" s="292">
        <f t="shared" si="130"/>
        <v>0</v>
      </c>
      <c r="O194" s="292">
        <f t="shared" si="131"/>
        <v>0</v>
      </c>
      <c r="P194" s="292">
        <f t="shared" si="96"/>
        <v>0</v>
      </c>
      <c r="Q194" s="292">
        <f t="shared" si="97"/>
        <v>0</v>
      </c>
      <c r="R194" s="292">
        <f t="shared" si="98"/>
        <v>0</v>
      </c>
      <c r="S194" s="292">
        <f t="shared" si="99"/>
        <v>0</v>
      </c>
      <c r="T194" s="292">
        <f t="shared" si="132"/>
        <v>0</v>
      </c>
      <c r="U194" s="292">
        <f t="shared" si="133"/>
        <v>0</v>
      </c>
      <c r="V194" s="292">
        <f t="shared" si="100"/>
        <v>0</v>
      </c>
      <c r="W194" s="292">
        <f t="shared" si="101"/>
        <v>0</v>
      </c>
      <c r="X194" s="292">
        <f t="shared" si="102"/>
        <v>0</v>
      </c>
      <c r="Y194" s="292">
        <f t="shared" si="103"/>
        <v>0</v>
      </c>
      <c r="Z194" s="292">
        <f t="shared" si="104"/>
        <v>0</v>
      </c>
      <c r="AA194" s="292">
        <f t="shared" si="105"/>
        <v>0</v>
      </c>
      <c r="AB194" s="292">
        <f t="shared" si="106"/>
        <v>0</v>
      </c>
      <c r="AC194" s="292">
        <f t="shared" si="107"/>
        <v>0</v>
      </c>
      <c r="AD194" s="292">
        <f t="shared" si="108"/>
        <v>0</v>
      </c>
      <c r="AE194" s="292">
        <f t="shared" si="109"/>
        <v>0</v>
      </c>
      <c r="AF194" s="292">
        <f t="shared" si="134"/>
        <v>0</v>
      </c>
      <c r="AG194" s="292">
        <f t="shared" si="135"/>
        <v>0</v>
      </c>
      <c r="AH194" s="292">
        <f t="shared" si="110"/>
        <v>0</v>
      </c>
      <c r="AI194" s="292">
        <f t="shared" si="111"/>
        <v>0</v>
      </c>
      <c r="AJ194" s="292">
        <f t="shared" si="112"/>
        <v>0</v>
      </c>
      <c r="AK194" s="292">
        <f t="shared" si="113"/>
        <v>0</v>
      </c>
      <c r="AL194" s="292">
        <f t="shared" si="114"/>
        <v>0</v>
      </c>
      <c r="AM194" s="292">
        <f t="shared" si="115"/>
        <v>0</v>
      </c>
      <c r="AN194" s="292">
        <f t="shared" si="116"/>
        <v>0</v>
      </c>
      <c r="AO194" s="292">
        <f t="shared" si="117"/>
        <v>0</v>
      </c>
      <c r="AP194" s="292">
        <f t="shared" si="118"/>
        <v>0</v>
      </c>
      <c r="AQ194" s="292">
        <f t="shared" si="119"/>
        <v>0</v>
      </c>
      <c r="AR194" s="292">
        <f t="shared" si="120"/>
        <v>0</v>
      </c>
      <c r="AS194" s="292">
        <f t="shared" si="121"/>
        <v>0</v>
      </c>
      <c r="AT194" s="292">
        <f t="shared" si="122"/>
        <v>0</v>
      </c>
      <c r="AU194" s="292">
        <f t="shared" si="123"/>
        <v>0</v>
      </c>
      <c r="AV194" s="292">
        <f t="shared" si="124"/>
        <v>0</v>
      </c>
      <c r="AW194" s="292">
        <f t="shared" si="125"/>
        <v>0</v>
      </c>
      <c r="AX194" s="292">
        <f t="shared" si="126"/>
        <v>0</v>
      </c>
      <c r="AY194" s="292">
        <f t="shared" si="127"/>
        <v>0</v>
      </c>
      <c r="AZ194" s="292">
        <f t="shared" si="128"/>
        <v>0</v>
      </c>
      <c r="BA194" s="292">
        <f t="shared" si="129"/>
        <v>0</v>
      </c>
    </row>
    <row r="195" spans="1:53" s="289" customFormat="1" ht="15.75" customHeight="1">
      <c r="A195" s="63" t="str">
        <f t="array" ref="A195">IF(C195&lt;&gt;0,SUM(($C$11:C195&lt;&gt;0)*1),"")</f>
        <v/>
      </c>
      <c r="B195" s="290"/>
      <c r="C195" s="290"/>
      <c r="D195" s="290"/>
      <c r="E195" s="396"/>
      <c r="F195" s="345"/>
      <c r="G195" s="347"/>
      <c r="H195" s="347"/>
      <c r="I195" s="63" t="str">
        <f t="shared" si="137"/>
        <v/>
      </c>
      <c r="J195" s="292">
        <f t="shared" si="92"/>
        <v>0</v>
      </c>
      <c r="K195" s="292">
        <f t="shared" si="93"/>
        <v>0</v>
      </c>
      <c r="L195" s="292">
        <f t="shared" si="94"/>
        <v>0</v>
      </c>
      <c r="M195" s="292">
        <f t="shared" si="95"/>
        <v>0</v>
      </c>
      <c r="N195" s="292">
        <f t="shared" si="130"/>
        <v>0</v>
      </c>
      <c r="O195" s="292">
        <f t="shared" si="131"/>
        <v>0</v>
      </c>
      <c r="P195" s="292">
        <f t="shared" si="96"/>
        <v>0</v>
      </c>
      <c r="Q195" s="292">
        <f t="shared" si="97"/>
        <v>0</v>
      </c>
      <c r="R195" s="292">
        <f t="shared" si="98"/>
        <v>0</v>
      </c>
      <c r="S195" s="292">
        <f t="shared" si="99"/>
        <v>0</v>
      </c>
      <c r="T195" s="292">
        <f t="shared" si="132"/>
        <v>0</v>
      </c>
      <c r="U195" s="292">
        <f t="shared" si="133"/>
        <v>0</v>
      </c>
      <c r="V195" s="292">
        <f t="shared" si="100"/>
        <v>0</v>
      </c>
      <c r="W195" s="292">
        <f t="shared" si="101"/>
        <v>0</v>
      </c>
      <c r="X195" s="292">
        <f t="shared" si="102"/>
        <v>0</v>
      </c>
      <c r="Y195" s="292">
        <f t="shared" si="103"/>
        <v>0</v>
      </c>
      <c r="Z195" s="292">
        <f t="shared" si="104"/>
        <v>0</v>
      </c>
      <c r="AA195" s="292">
        <f t="shared" si="105"/>
        <v>0</v>
      </c>
      <c r="AB195" s="292">
        <f t="shared" si="106"/>
        <v>0</v>
      </c>
      <c r="AC195" s="292">
        <f t="shared" si="107"/>
        <v>0</v>
      </c>
      <c r="AD195" s="292">
        <f t="shared" si="108"/>
        <v>0</v>
      </c>
      <c r="AE195" s="292">
        <f t="shared" si="109"/>
        <v>0</v>
      </c>
      <c r="AF195" s="292">
        <f t="shared" si="134"/>
        <v>0</v>
      </c>
      <c r="AG195" s="292">
        <f t="shared" si="135"/>
        <v>0</v>
      </c>
      <c r="AH195" s="292">
        <f t="shared" si="110"/>
        <v>0</v>
      </c>
      <c r="AI195" s="292">
        <f t="shared" si="111"/>
        <v>0</v>
      </c>
      <c r="AJ195" s="292">
        <f t="shared" si="112"/>
        <v>0</v>
      </c>
      <c r="AK195" s="292">
        <f t="shared" si="113"/>
        <v>0</v>
      </c>
      <c r="AL195" s="292">
        <f t="shared" si="114"/>
        <v>0</v>
      </c>
      <c r="AM195" s="292">
        <f t="shared" si="115"/>
        <v>0</v>
      </c>
      <c r="AN195" s="292">
        <f t="shared" si="116"/>
        <v>0</v>
      </c>
      <c r="AO195" s="292">
        <f t="shared" si="117"/>
        <v>0</v>
      </c>
      <c r="AP195" s="292">
        <f t="shared" si="118"/>
        <v>0</v>
      </c>
      <c r="AQ195" s="292">
        <f t="shared" si="119"/>
        <v>0</v>
      </c>
      <c r="AR195" s="292">
        <f t="shared" si="120"/>
        <v>0</v>
      </c>
      <c r="AS195" s="292">
        <f t="shared" si="121"/>
        <v>0</v>
      </c>
      <c r="AT195" s="292">
        <f t="shared" si="122"/>
        <v>0</v>
      </c>
      <c r="AU195" s="292">
        <f t="shared" si="123"/>
        <v>0</v>
      </c>
      <c r="AV195" s="292">
        <f t="shared" si="124"/>
        <v>0</v>
      </c>
      <c r="AW195" s="292">
        <f t="shared" si="125"/>
        <v>0</v>
      </c>
      <c r="AX195" s="292">
        <f t="shared" si="126"/>
        <v>0</v>
      </c>
      <c r="AY195" s="292">
        <f t="shared" si="127"/>
        <v>0</v>
      </c>
      <c r="AZ195" s="292">
        <f t="shared" si="128"/>
        <v>0</v>
      </c>
      <c r="BA195" s="292">
        <f t="shared" si="129"/>
        <v>0</v>
      </c>
    </row>
    <row r="196" spans="1:53" s="289" customFormat="1" ht="15.75" customHeight="1">
      <c r="A196" s="63" t="str">
        <f t="array" ref="A196">IF(C196&lt;&gt;0,SUM(($C$11:C196&lt;&gt;0)*1),"")</f>
        <v/>
      </c>
      <c r="B196" s="290"/>
      <c r="C196" s="290"/>
      <c r="D196" s="290"/>
      <c r="E196" s="396"/>
      <c r="F196" s="345"/>
      <c r="G196" s="347"/>
      <c r="H196" s="347"/>
      <c r="I196" s="63" t="str">
        <f t="shared" si="137"/>
        <v/>
      </c>
      <c r="J196" s="292">
        <f t="shared" si="92"/>
        <v>0</v>
      </c>
      <c r="K196" s="292">
        <f t="shared" si="93"/>
        <v>0</v>
      </c>
      <c r="L196" s="292">
        <f t="shared" si="94"/>
        <v>0</v>
      </c>
      <c r="M196" s="292">
        <f t="shared" si="95"/>
        <v>0</v>
      </c>
      <c r="N196" s="292">
        <f t="shared" si="130"/>
        <v>0</v>
      </c>
      <c r="O196" s="292">
        <f t="shared" si="131"/>
        <v>0</v>
      </c>
      <c r="P196" s="292">
        <f t="shared" si="96"/>
        <v>0</v>
      </c>
      <c r="Q196" s="292">
        <f t="shared" si="97"/>
        <v>0</v>
      </c>
      <c r="R196" s="292">
        <f t="shared" si="98"/>
        <v>0</v>
      </c>
      <c r="S196" s="292">
        <f t="shared" si="99"/>
        <v>0</v>
      </c>
      <c r="T196" s="292">
        <f t="shared" si="132"/>
        <v>0</v>
      </c>
      <c r="U196" s="292">
        <f t="shared" si="133"/>
        <v>0</v>
      </c>
      <c r="V196" s="292">
        <f t="shared" si="100"/>
        <v>0</v>
      </c>
      <c r="W196" s="292">
        <f t="shared" si="101"/>
        <v>0</v>
      </c>
      <c r="X196" s="292">
        <f t="shared" si="102"/>
        <v>0</v>
      </c>
      <c r="Y196" s="292">
        <f t="shared" si="103"/>
        <v>0</v>
      </c>
      <c r="Z196" s="292">
        <f t="shared" si="104"/>
        <v>0</v>
      </c>
      <c r="AA196" s="292">
        <f t="shared" si="105"/>
        <v>0</v>
      </c>
      <c r="AB196" s="292">
        <f t="shared" si="106"/>
        <v>0</v>
      </c>
      <c r="AC196" s="292">
        <f t="shared" si="107"/>
        <v>0</v>
      </c>
      <c r="AD196" s="292">
        <f t="shared" si="108"/>
        <v>0</v>
      </c>
      <c r="AE196" s="292">
        <f t="shared" si="109"/>
        <v>0</v>
      </c>
      <c r="AF196" s="292">
        <f t="shared" si="134"/>
        <v>0</v>
      </c>
      <c r="AG196" s="292">
        <f t="shared" si="135"/>
        <v>0</v>
      </c>
      <c r="AH196" s="292">
        <f t="shared" si="110"/>
        <v>0</v>
      </c>
      <c r="AI196" s="292">
        <f t="shared" si="111"/>
        <v>0</v>
      </c>
      <c r="AJ196" s="292">
        <f t="shared" si="112"/>
        <v>0</v>
      </c>
      <c r="AK196" s="292">
        <f t="shared" si="113"/>
        <v>0</v>
      </c>
      <c r="AL196" s="292">
        <f t="shared" si="114"/>
        <v>0</v>
      </c>
      <c r="AM196" s="292">
        <f t="shared" si="115"/>
        <v>0</v>
      </c>
      <c r="AN196" s="292">
        <f t="shared" si="116"/>
        <v>0</v>
      </c>
      <c r="AO196" s="292">
        <f t="shared" si="117"/>
        <v>0</v>
      </c>
      <c r="AP196" s="292">
        <f t="shared" si="118"/>
        <v>0</v>
      </c>
      <c r="AQ196" s="292">
        <f t="shared" si="119"/>
        <v>0</v>
      </c>
      <c r="AR196" s="292">
        <f t="shared" si="120"/>
        <v>0</v>
      </c>
      <c r="AS196" s="292">
        <f t="shared" si="121"/>
        <v>0</v>
      </c>
      <c r="AT196" s="292">
        <f t="shared" si="122"/>
        <v>0</v>
      </c>
      <c r="AU196" s="292">
        <f t="shared" si="123"/>
        <v>0</v>
      </c>
      <c r="AV196" s="292">
        <f t="shared" si="124"/>
        <v>0</v>
      </c>
      <c r="AW196" s="292">
        <f t="shared" si="125"/>
        <v>0</v>
      </c>
      <c r="AX196" s="292">
        <f t="shared" si="126"/>
        <v>0</v>
      </c>
      <c r="AY196" s="292">
        <f t="shared" si="127"/>
        <v>0</v>
      </c>
      <c r="AZ196" s="292">
        <f t="shared" si="128"/>
        <v>0</v>
      </c>
      <c r="BA196" s="292">
        <f t="shared" si="129"/>
        <v>0</v>
      </c>
    </row>
    <row r="197" spans="1:53" s="289" customFormat="1" ht="15.75" customHeight="1">
      <c r="A197" s="63" t="str">
        <f t="array" ref="A197">IF(C197&lt;&gt;0,SUM(($C$11:C197&lt;&gt;0)*1),"")</f>
        <v/>
      </c>
      <c r="B197" s="290"/>
      <c r="C197" s="290"/>
      <c r="D197" s="290"/>
      <c r="E197" s="396"/>
      <c r="F197" s="345"/>
      <c r="G197" s="347"/>
      <c r="H197" s="347"/>
      <c r="I197" s="63" t="str">
        <f t="shared" si="137"/>
        <v/>
      </c>
      <c r="J197" s="292">
        <f t="shared" si="92"/>
        <v>0</v>
      </c>
      <c r="K197" s="292">
        <f t="shared" si="93"/>
        <v>0</v>
      </c>
      <c r="L197" s="292">
        <f t="shared" si="94"/>
        <v>0</v>
      </c>
      <c r="M197" s="292">
        <f t="shared" si="95"/>
        <v>0</v>
      </c>
      <c r="N197" s="292">
        <f t="shared" si="130"/>
        <v>0</v>
      </c>
      <c r="O197" s="292">
        <f t="shared" si="131"/>
        <v>0</v>
      </c>
      <c r="P197" s="292">
        <f t="shared" si="96"/>
        <v>0</v>
      </c>
      <c r="Q197" s="292">
        <f t="shared" si="97"/>
        <v>0</v>
      </c>
      <c r="R197" s="292">
        <f t="shared" si="98"/>
        <v>0</v>
      </c>
      <c r="S197" s="292">
        <f t="shared" si="99"/>
        <v>0</v>
      </c>
      <c r="T197" s="292">
        <f t="shared" si="132"/>
        <v>0</v>
      </c>
      <c r="U197" s="292">
        <f t="shared" si="133"/>
        <v>0</v>
      </c>
      <c r="V197" s="292">
        <f t="shared" si="100"/>
        <v>0</v>
      </c>
      <c r="W197" s="292">
        <f t="shared" si="101"/>
        <v>0</v>
      </c>
      <c r="X197" s="292">
        <f t="shared" si="102"/>
        <v>0</v>
      </c>
      <c r="Y197" s="292">
        <f t="shared" si="103"/>
        <v>0</v>
      </c>
      <c r="Z197" s="292">
        <f t="shared" si="104"/>
        <v>0</v>
      </c>
      <c r="AA197" s="292">
        <f t="shared" si="105"/>
        <v>0</v>
      </c>
      <c r="AB197" s="292">
        <f t="shared" si="106"/>
        <v>0</v>
      </c>
      <c r="AC197" s="292">
        <f t="shared" si="107"/>
        <v>0</v>
      </c>
      <c r="AD197" s="292">
        <f t="shared" si="108"/>
        <v>0</v>
      </c>
      <c r="AE197" s="292">
        <f t="shared" si="109"/>
        <v>0</v>
      </c>
      <c r="AF197" s="292">
        <f t="shared" si="134"/>
        <v>0</v>
      </c>
      <c r="AG197" s="292">
        <f t="shared" si="135"/>
        <v>0</v>
      </c>
      <c r="AH197" s="292">
        <f t="shared" si="110"/>
        <v>0</v>
      </c>
      <c r="AI197" s="292">
        <f t="shared" si="111"/>
        <v>0</v>
      </c>
      <c r="AJ197" s="292">
        <f t="shared" si="112"/>
        <v>0</v>
      </c>
      <c r="AK197" s="292">
        <f t="shared" si="113"/>
        <v>0</v>
      </c>
      <c r="AL197" s="292">
        <f t="shared" si="114"/>
        <v>0</v>
      </c>
      <c r="AM197" s="292">
        <f t="shared" si="115"/>
        <v>0</v>
      </c>
      <c r="AN197" s="292">
        <f t="shared" si="116"/>
        <v>0</v>
      </c>
      <c r="AO197" s="292">
        <f t="shared" si="117"/>
        <v>0</v>
      </c>
      <c r="AP197" s="292">
        <f t="shared" si="118"/>
        <v>0</v>
      </c>
      <c r="AQ197" s="292">
        <f t="shared" si="119"/>
        <v>0</v>
      </c>
      <c r="AR197" s="292">
        <f t="shared" si="120"/>
        <v>0</v>
      </c>
      <c r="AS197" s="292">
        <f t="shared" si="121"/>
        <v>0</v>
      </c>
      <c r="AT197" s="292">
        <f t="shared" si="122"/>
        <v>0</v>
      </c>
      <c r="AU197" s="292">
        <f t="shared" si="123"/>
        <v>0</v>
      </c>
      <c r="AV197" s="292">
        <f t="shared" si="124"/>
        <v>0</v>
      </c>
      <c r="AW197" s="292">
        <f t="shared" si="125"/>
        <v>0</v>
      </c>
      <c r="AX197" s="292">
        <f t="shared" si="126"/>
        <v>0</v>
      </c>
      <c r="AY197" s="292">
        <f t="shared" si="127"/>
        <v>0</v>
      </c>
      <c r="AZ197" s="292">
        <f t="shared" si="128"/>
        <v>0</v>
      </c>
      <c r="BA197" s="292">
        <f t="shared" si="129"/>
        <v>0</v>
      </c>
    </row>
    <row r="198" spans="1:53" s="289" customFormat="1" ht="15.75" customHeight="1">
      <c r="A198" s="63" t="str">
        <f t="array" ref="A198">IF(C198&lt;&gt;0,SUM(($C$11:C198&lt;&gt;0)*1),"")</f>
        <v/>
      </c>
      <c r="B198" s="290"/>
      <c r="C198" s="290"/>
      <c r="D198" s="290"/>
      <c r="E198" s="396"/>
      <c r="F198" s="345"/>
      <c r="G198" s="347"/>
      <c r="H198" s="347"/>
      <c r="I198" s="63" t="str">
        <f t="shared" si="137"/>
        <v/>
      </c>
      <c r="J198" s="292">
        <f t="shared" si="92"/>
        <v>0</v>
      </c>
      <c r="K198" s="292">
        <f t="shared" si="93"/>
        <v>0</v>
      </c>
      <c r="L198" s="292">
        <f t="shared" si="94"/>
        <v>0</v>
      </c>
      <c r="M198" s="292">
        <f t="shared" si="95"/>
        <v>0</v>
      </c>
      <c r="N198" s="292">
        <f t="shared" si="130"/>
        <v>0</v>
      </c>
      <c r="O198" s="292">
        <f t="shared" si="131"/>
        <v>0</v>
      </c>
      <c r="P198" s="292">
        <f t="shared" si="96"/>
        <v>0</v>
      </c>
      <c r="Q198" s="292">
        <f t="shared" si="97"/>
        <v>0</v>
      </c>
      <c r="R198" s="292">
        <f t="shared" si="98"/>
        <v>0</v>
      </c>
      <c r="S198" s="292">
        <f t="shared" si="99"/>
        <v>0</v>
      </c>
      <c r="T198" s="292">
        <f t="shared" si="132"/>
        <v>0</v>
      </c>
      <c r="U198" s="292">
        <f t="shared" si="133"/>
        <v>0</v>
      </c>
      <c r="V198" s="292">
        <f t="shared" si="100"/>
        <v>0</v>
      </c>
      <c r="W198" s="292">
        <f t="shared" si="101"/>
        <v>0</v>
      </c>
      <c r="X198" s="292">
        <f t="shared" si="102"/>
        <v>0</v>
      </c>
      <c r="Y198" s="292">
        <f t="shared" si="103"/>
        <v>0</v>
      </c>
      <c r="Z198" s="292">
        <f t="shared" si="104"/>
        <v>0</v>
      </c>
      <c r="AA198" s="292">
        <f t="shared" si="105"/>
        <v>0</v>
      </c>
      <c r="AB198" s="292">
        <f t="shared" si="106"/>
        <v>0</v>
      </c>
      <c r="AC198" s="292">
        <f t="shared" si="107"/>
        <v>0</v>
      </c>
      <c r="AD198" s="292">
        <f t="shared" si="108"/>
        <v>0</v>
      </c>
      <c r="AE198" s="292">
        <f t="shared" si="109"/>
        <v>0</v>
      </c>
      <c r="AF198" s="292">
        <f t="shared" si="134"/>
        <v>0</v>
      </c>
      <c r="AG198" s="292">
        <f t="shared" si="135"/>
        <v>0</v>
      </c>
      <c r="AH198" s="292">
        <f t="shared" si="110"/>
        <v>0</v>
      </c>
      <c r="AI198" s="292">
        <f t="shared" si="111"/>
        <v>0</v>
      </c>
      <c r="AJ198" s="292">
        <f t="shared" si="112"/>
        <v>0</v>
      </c>
      <c r="AK198" s="292">
        <f t="shared" si="113"/>
        <v>0</v>
      </c>
      <c r="AL198" s="292">
        <f t="shared" si="114"/>
        <v>0</v>
      </c>
      <c r="AM198" s="292">
        <f t="shared" si="115"/>
        <v>0</v>
      </c>
      <c r="AN198" s="292">
        <f t="shared" si="116"/>
        <v>0</v>
      </c>
      <c r="AO198" s="292">
        <f t="shared" si="117"/>
        <v>0</v>
      </c>
      <c r="AP198" s="292">
        <f t="shared" si="118"/>
        <v>0</v>
      </c>
      <c r="AQ198" s="292">
        <f t="shared" si="119"/>
        <v>0</v>
      </c>
      <c r="AR198" s="292">
        <f t="shared" si="120"/>
        <v>0</v>
      </c>
      <c r="AS198" s="292">
        <f t="shared" si="121"/>
        <v>0</v>
      </c>
      <c r="AT198" s="292">
        <f t="shared" si="122"/>
        <v>0</v>
      </c>
      <c r="AU198" s="292">
        <f t="shared" si="123"/>
        <v>0</v>
      </c>
      <c r="AV198" s="292">
        <f t="shared" si="124"/>
        <v>0</v>
      </c>
      <c r="AW198" s="292">
        <f t="shared" si="125"/>
        <v>0</v>
      </c>
      <c r="AX198" s="292">
        <f t="shared" si="126"/>
        <v>0</v>
      </c>
      <c r="AY198" s="292">
        <f t="shared" si="127"/>
        <v>0</v>
      </c>
      <c r="AZ198" s="292">
        <f t="shared" si="128"/>
        <v>0</v>
      </c>
      <c r="BA198" s="292">
        <f t="shared" si="129"/>
        <v>0</v>
      </c>
    </row>
    <row r="199" spans="1:53" s="289" customFormat="1" ht="15.75" customHeight="1">
      <c r="A199" s="63" t="str">
        <f t="array" ref="A199">IF(C199&lt;&gt;0,SUM(($C$11:C199&lt;&gt;0)*1),"")</f>
        <v/>
      </c>
      <c r="B199" s="290"/>
      <c r="C199" s="290"/>
      <c r="D199" s="290"/>
      <c r="E199" s="396"/>
      <c r="F199" s="345"/>
      <c r="G199" s="347"/>
      <c r="H199" s="347"/>
      <c r="I199" s="63" t="str">
        <f t="shared" si="137"/>
        <v/>
      </c>
      <c r="J199" s="292">
        <f t="shared" si="92"/>
        <v>0</v>
      </c>
      <c r="K199" s="292">
        <f t="shared" si="93"/>
        <v>0</v>
      </c>
      <c r="L199" s="292">
        <f t="shared" si="94"/>
        <v>0</v>
      </c>
      <c r="M199" s="292">
        <f t="shared" si="95"/>
        <v>0</v>
      </c>
      <c r="N199" s="292">
        <f t="shared" si="130"/>
        <v>0</v>
      </c>
      <c r="O199" s="292">
        <f t="shared" si="131"/>
        <v>0</v>
      </c>
      <c r="P199" s="292">
        <f t="shared" si="96"/>
        <v>0</v>
      </c>
      <c r="Q199" s="292">
        <f t="shared" si="97"/>
        <v>0</v>
      </c>
      <c r="R199" s="292">
        <f t="shared" si="98"/>
        <v>0</v>
      </c>
      <c r="S199" s="292">
        <f t="shared" si="99"/>
        <v>0</v>
      </c>
      <c r="T199" s="292">
        <f t="shared" si="132"/>
        <v>0</v>
      </c>
      <c r="U199" s="292">
        <f t="shared" si="133"/>
        <v>0</v>
      </c>
      <c r="V199" s="292">
        <f t="shared" si="100"/>
        <v>0</v>
      </c>
      <c r="W199" s="292">
        <f t="shared" si="101"/>
        <v>0</v>
      </c>
      <c r="X199" s="292">
        <f t="shared" si="102"/>
        <v>0</v>
      </c>
      <c r="Y199" s="292">
        <f t="shared" si="103"/>
        <v>0</v>
      </c>
      <c r="Z199" s="292">
        <f t="shared" si="104"/>
        <v>0</v>
      </c>
      <c r="AA199" s="292">
        <f t="shared" si="105"/>
        <v>0</v>
      </c>
      <c r="AB199" s="292">
        <f t="shared" si="106"/>
        <v>0</v>
      </c>
      <c r="AC199" s="292">
        <f t="shared" si="107"/>
        <v>0</v>
      </c>
      <c r="AD199" s="292">
        <f t="shared" si="108"/>
        <v>0</v>
      </c>
      <c r="AE199" s="292">
        <f t="shared" si="109"/>
        <v>0</v>
      </c>
      <c r="AF199" s="292">
        <f t="shared" si="134"/>
        <v>0</v>
      </c>
      <c r="AG199" s="292">
        <f t="shared" si="135"/>
        <v>0</v>
      </c>
      <c r="AH199" s="292">
        <f t="shared" si="110"/>
        <v>0</v>
      </c>
      <c r="AI199" s="292">
        <f t="shared" si="111"/>
        <v>0</v>
      </c>
      <c r="AJ199" s="292">
        <f t="shared" si="112"/>
        <v>0</v>
      </c>
      <c r="AK199" s="292">
        <f t="shared" si="113"/>
        <v>0</v>
      </c>
      <c r="AL199" s="292">
        <f t="shared" si="114"/>
        <v>0</v>
      </c>
      <c r="AM199" s="292">
        <f t="shared" si="115"/>
        <v>0</v>
      </c>
      <c r="AN199" s="292">
        <f t="shared" si="116"/>
        <v>0</v>
      </c>
      <c r="AO199" s="292">
        <f t="shared" si="117"/>
        <v>0</v>
      </c>
      <c r="AP199" s="292">
        <f t="shared" si="118"/>
        <v>0</v>
      </c>
      <c r="AQ199" s="292">
        <f t="shared" si="119"/>
        <v>0</v>
      </c>
      <c r="AR199" s="292">
        <f t="shared" si="120"/>
        <v>0</v>
      </c>
      <c r="AS199" s="292">
        <f t="shared" si="121"/>
        <v>0</v>
      </c>
      <c r="AT199" s="292">
        <f t="shared" si="122"/>
        <v>0</v>
      </c>
      <c r="AU199" s="292">
        <f t="shared" si="123"/>
        <v>0</v>
      </c>
      <c r="AV199" s="292">
        <f t="shared" si="124"/>
        <v>0</v>
      </c>
      <c r="AW199" s="292">
        <f t="shared" si="125"/>
        <v>0</v>
      </c>
      <c r="AX199" s="292">
        <f t="shared" si="126"/>
        <v>0</v>
      </c>
      <c r="AY199" s="292">
        <f t="shared" si="127"/>
        <v>0</v>
      </c>
      <c r="AZ199" s="292">
        <f t="shared" si="128"/>
        <v>0</v>
      </c>
      <c r="BA199" s="292">
        <f t="shared" si="129"/>
        <v>0</v>
      </c>
    </row>
    <row r="200" spans="1:53" s="289" customFormat="1" ht="15.75" customHeight="1">
      <c r="A200" s="63" t="str">
        <f t="array" ref="A200">IF(C200&lt;&gt;0,SUM(($C$11:C200&lt;&gt;0)*1),"")</f>
        <v/>
      </c>
      <c r="B200" s="290"/>
      <c r="C200" s="290"/>
      <c r="D200" s="290"/>
      <c r="E200" s="396"/>
      <c r="F200" s="345"/>
      <c r="G200" s="347"/>
      <c r="H200" s="347"/>
      <c r="I200" s="63" t="str">
        <f t="shared" si="137"/>
        <v/>
      </c>
      <c r="J200" s="292">
        <f t="shared" si="92"/>
        <v>0</v>
      </c>
      <c r="K200" s="292">
        <f t="shared" si="93"/>
        <v>0</v>
      </c>
      <c r="L200" s="292">
        <f t="shared" si="94"/>
        <v>0</v>
      </c>
      <c r="M200" s="292">
        <f t="shared" si="95"/>
        <v>0</v>
      </c>
      <c r="N200" s="292">
        <f t="shared" si="130"/>
        <v>0</v>
      </c>
      <c r="O200" s="292">
        <f t="shared" si="131"/>
        <v>0</v>
      </c>
      <c r="P200" s="292">
        <f t="shared" si="96"/>
        <v>0</v>
      </c>
      <c r="Q200" s="292">
        <f t="shared" si="97"/>
        <v>0</v>
      </c>
      <c r="R200" s="292">
        <f t="shared" si="98"/>
        <v>0</v>
      </c>
      <c r="S200" s="292">
        <f t="shared" si="99"/>
        <v>0</v>
      </c>
      <c r="T200" s="292">
        <f t="shared" si="132"/>
        <v>0</v>
      </c>
      <c r="U200" s="292">
        <f t="shared" si="133"/>
        <v>0</v>
      </c>
      <c r="V200" s="292">
        <f t="shared" si="100"/>
        <v>0</v>
      </c>
      <c r="W200" s="292">
        <f t="shared" si="101"/>
        <v>0</v>
      </c>
      <c r="X200" s="292">
        <f t="shared" si="102"/>
        <v>0</v>
      </c>
      <c r="Y200" s="292">
        <f t="shared" si="103"/>
        <v>0</v>
      </c>
      <c r="Z200" s="292">
        <f t="shared" si="104"/>
        <v>0</v>
      </c>
      <c r="AA200" s="292">
        <f t="shared" si="105"/>
        <v>0</v>
      </c>
      <c r="AB200" s="292">
        <f t="shared" si="106"/>
        <v>0</v>
      </c>
      <c r="AC200" s="292">
        <f t="shared" si="107"/>
        <v>0</v>
      </c>
      <c r="AD200" s="292">
        <f t="shared" si="108"/>
        <v>0</v>
      </c>
      <c r="AE200" s="292">
        <f t="shared" si="109"/>
        <v>0</v>
      </c>
      <c r="AF200" s="292">
        <f t="shared" si="134"/>
        <v>0</v>
      </c>
      <c r="AG200" s="292">
        <f t="shared" si="135"/>
        <v>0</v>
      </c>
      <c r="AH200" s="292">
        <f t="shared" si="110"/>
        <v>0</v>
      </c>
      <c r="AI200" s="292">
        <f t="shared" si="111"/>
        <v>0</v>
      </c>
      <c r="AJ200" s="292">
        <f t="shared" si="112"/>
        <v>0</v>
      </c>
      <c r="AK200" s="292">
        <f t="shared" si="113"/>
        <v>0</v>
      </c>
      <c r="AL200" s="292">
        <f t="shared" si="114"/>
        <v>0</v>
      </c>
      <c r="AM200" s="292">
        <f t="shared" si="115"/>
        <v>0</v>
      </c>
      <c r="AN200" s="292">
        <f t="shared" si="116"/>
        <v>0</v>
      </c>
      <c r="AO200" s="292">
        <f t="shared" si="117"/>
        <v>0</v>
      </c>
      <c r="AP200" s="292">
        <f t="shared" si="118"/>
        <v>0</v>
      </c>
      <c r="AQ200" s="292">
        <f t="shared" si="119"/>
        <v>0</v>
      </c>
      <c r="AR200" s="292">
        <f t="shared" si="120"/>
        <v>0</v>
      </c>
      <c r="AS200" s="292">
        <f t="shared" si="121"/>
        <v>0</v>
      </c>
      <c r="AT200" s="292">
        <f t="shared" si="122"/>
        <v>0</v>
      </c>
      <c r="AU200" s="292">
        <f t="shared" si="123"/>
        <v>0</v>
      </c>
      <c r="AV200" s="292">
        <f t="shared" si="124"/>
        <v>0</v>
      </c>
      <c r="AW200" s="292">
        <f t="shared" si="125"/>
        <v>0</v>
      </c>
      <c r="AX200" s="292">
        <f t="shared" si="126"/>
        <v>0</v>
      </c>
      <c r="AY200" s="292">
        <f t="shared" si="127"/>
        <v>0</v>
      </c>
      <c r="AZ200" s="292">
        <f t="shared" si="128"/>
        <v>0</v>
      </c>
      <c r="BA200" s="292">
        <f t="shared" si="129"/>
        <v>0</v>
      </c>
    </row>
    <row r="201" spans="1:53" s="289" customFormat="1" ht="15.75" customHeight="1">
      <c r="A201" s="63" t="str">
        <f t="array" ref="A201">IF(C201&lt;&gt;0,SUM(($C$11:C201&lt;&gt;0)*1),"")</f>
        <v/>
      </c>
      <c r="B201" s="290"/>
      <c r="C201" s="290"/>
      <c r="D201" s="290"/>
      <c r="E201" s="396"/>
      <c r="F201" s="345"/>
      <c r="G201" s="347"/>
      <c r="H201" s="347"/>
      <c r="I201" s="63" t="str">
        <f t="shared" si="137"/>
        <v/>
      </c>
      <c r="J201" s="292">
        <f t="shared" si="92"/>
        <v>0</v>
      </c>
      <c r="K201" s="292">
        <f t="shared" si="93"/>
        <v>0</v>
      </c>
      <c r="L201" s="292">
        <f t="shared" si="94"/>
        <v>0</v>
      </c>
      <c r="M201" s="292">
        <f t="shared" si="95"/>
        <v>0</v>
      </c>
      <c r="N201" s="292">
        <f t="shared" si="130"/>
        <v>0</v>
      </c>
      <c r="O201" s="292">
        <f t="shared" si="131"/>
        <v>0</v>
      </c>
      <c r="P201" s="292">
        <f t="shared" si="96"/>
        <v>0</v>
      </c>
      <c r="Q201" s="292">
        <f t="shared" si="97"/>
        <v>0</v>
      </c>
      <c r="R201" s="292">
        <f t="shared" si="98"/>
        <v>0</v>
      </c>
      <c r="S201" s="292">
        <f t="shared" si="99"/>
        <v>0</v>
      </c>
      <c r="T201" s="292">
        <f t="shared" si="132"/>
        <v>0</v>
      </c>
      <c r="U201" s="292">
        <f t="shared" si="133"/>
        <v>0</v>
      </c>
      <c r="V201" s="292">
        <f t="shared" si="100"/>
        <v>0</v>
      </c>
      <c r="W201" s="292">
        <f t="shared" si="101"/>
        <v>0</v>
      </c>
      <c r="X201" s="292">
        <f t="shared" si="102"/>
        <v>0</v>
      </c>
      <c r="Y201" s="292">
        <f t="shared" si="103"/>
        <v>0</v>
      </c>
      <c r="Z201" s="292">
        <f t="shared" si="104"/>
        <v>0</v>
      </c>
      <c r="AA201" s="292">
        <f t="shared" si="105"/>
        <v>0</v>
      </c>
      <c r="AB201" s="292">
        <f t="shared" si="106"/>
        <v>0</v>
      </c>
      <c r="AC201" s="292">
        <f t="shared" si="107"/>
        <v>0</v>
      </c>
      <c r="AD201" s="292">
        <f t="shared" si="108"/>
        <v>0</v>
      </c>
      <c r="AE201" s="292">
        <f t="shared" si="109"/>
        <v>0</v>
      </c>
      <c r="AF201" s="292">
        <f t="shared" si="134"/>
        <v>0</v>
      </c>
      <c r="AG201" s="292">
        <f t="shared" si="135"/>
        <v>0</v>
      </c>
      <c r="AH201" s="292">
        <f t="shared" si="110"/>
        <v>0</v>
      </c>
      <c r="AI201" s="292">
        <f t="shared" si="111"/>
        <v>0</v>
      </c>
      <c r="AJ201" s="292">
        <f t="shared" si="112"/>
        <v>0</v>
      </c>
      <c r="AK201" s="292">
        <f t="shared" si="113"/>
        <v>0</v>
      </c>
      <c r="AL201" s="292">
        <f t="shared" si="114"/>
        <v>0</v>
      </c>
      <c r="AM201" s="292">
        <f t="shared" si="115"/>
        <v>0</v>
      </c>
      <c r="AN201" s="292">
        <f t="shared" si="116"/>
        <v>0</v>
      </c>
      <c r="AO201" s="292">
        <f t="shared" si="117"/>
        <v>0</v>
      </c>
      <c r="AP201" s="292">
        <f t="shared" si="118"/>
        <v>0</v>
      </c>
      <c r="AQ201" s="292">
        <f t="shared" si="119"/>
        <v>0</v>
      </c>
      <c r="AR201" s="292">
        <f t="shared" si="120"/>
        <v>0</v>
      </c>
      <c r="AS201" s="292">
        <f t="shared" si="121"/>
        <v>0</v>
      </c>
      <c r="AT201" s="292">
        <f t="shared" si="122"/>
        <v>0</v>
      </c>
      <c r="AU201" s="292">
        <f t="shared" si="123"/>
        <v>0</v>
      </c>
      <c r="AV201" s="292">
        <f t="shared" si="124"/>
        <v>0</v>
      </c>
      <c r="AW201" s="292">
        <f t="shared" si="125"/>
        <v>0</v>
      </c>
      <c r="AX201" s="292">
        <f t="shared" si="126"/>
        <v>0</v>
      </c>
      <c r="AY201" s="292">
        <f t="shared" si="127"/>
        <v>0</v>
      </c>
      <c r="AZ201" s="292">
        <f t="shared" si="128"/>
        <v>0</v>
      </c>
      <c r="BA201" s="292">
        <f t="shared" si="129"/>
        <v>0</v>
      </c>
    </row>
    <row r="202" spans="1:53" s="289" customFormat="1" ht="15.75" customHeight="1">
      <c r="A202" s="63" t="str">
        <f t="array" ref="A202">IF(C202&lt;&gt;0,SUM(($C$11:C202&lt;&gt;0)*1),"")</f>
        <v/>
      </c>
      <c r="B202" s="290"/>
      <c r="C202" s="290"/>
      <c r="D202" s="290"/>
      <c r="E202" s="396"/>
      <c r="F202" s="345"/>
      <c r="G202" s="347"/>
      <c r="H202" s="347"/>
      <c r="I202" s="63" t="str">
        <f t="shared" si="137"/>
        <v/>
      </c>
      <c r="J202" s="292">
        <f t="shared" si="92"/>
        <v>0</v>
      </c>
      <c r="K202" s="292">
        <f t="shared" si="93"/>
        <v>0</v>
      </c>
      <c r="L202" s="292">
        <f t="shared" si="94"/>
        <v>0</v>
      </c>
      <c r="M202" s="292">
        <f t="shared" si="95"/>
        <v>0</v>
      </c>
      <c r="N202" s="292">
        <f t="shared" si="130"/>
        <v>0</v>
      </c>
      <c r="O202" s="292">
        <f t="shared" si="131"/>
        <v>0</v>
      </c>
      <c r="P202" s="292">
        <f t="shared" si="96"/>
        <v>0</v>
      </c>
      <c r="Q202" s="292">
        <f t="shared" si="97"/>
        <v>0</v>
      </c>
      <c r="R202" s="292">
        <f t="shared" si="98"/>
        <v>0</v>
      </c>
      <c r="S202" s="292">
        <f t="shared" si="99"/>
        <v>0</v>
      </c>
      <c r="T202" s="292">
        <f t="shared" si="132"/>
        <v>0</v>
      </c>
      <c r="U202" s="292">
        <f t="shared" si="133"/>
        <v>0</v>
      </c>
      <c r="V202" s="292">
        <f t="shared" si="100"/>
        <v>0</v>
      </c>
      <c r="W202" s="292">
        <f t="shared" si="101"/>
        <v>0</v>
      </c>
      <c r="X202" s="292">
        <f t="shared" si="102"/>
        <v>0</v>
      </c>
      <c r="Y202" s="292">
        <f t="shared" si="103"/>
        <v>0</v>
      </c>
      <c r="Z202" s="292">
        <f t="shared" si="104"/>
        <v>0</v>
      </c>
      <c r="AA202" s="292">
        <f t="shared" si="105"/>
        <v>0</v>
      </c>
      <c r="AB202" s="292">
        <f t="shared" si="106"/>
        <v>0</v>
      </c>
      <c r="AC202" s="292">
        <f t="shared" si="107"/>
        <v>0</v>
      </c>
      <c r="AD202" s="292">
        <f t="shared" si="108"/>
        <v>0</v>
      </c>
      <c r="AE202" s="292">
        <f t="shared" si="109"/>
        <v>0</v>
      </c>
      <c r="AF202" s="292">
        <f t="shared" si="134"/>
        <v>0</v>
      </c>
      <c r="AG202" s="292">
        <f t="shared" si="135"/>
        <v>0</v>
      </c>
      <c r="AH202" s="292">
        <f t="shared" si="110"/>
        <v>0</v>
      </c>
      <c r="AI202" s="292">
        <f t="shared" si="111"/>
        <v>0</v>
      </c>
      <c r="AJ202" s="292">
        <f t="shared" si="112"/>
        <v>0</v>
      </c>
      <c r="AK202" s="292">
        <f t="shared" si="113"/>
        <v>0</v>
      </c>
      <c r="AL202" s="292">
        <f t="shared" si="114"/>
        <v>0</v>
      </c>
      <c r="AM202" s="292">
        <f t="shared" si="115"/>
        <v>0</v>
      </c>
      <c r="AN202" s="292">
        <f t="shared" si="116"/>
        <v>0</v>
      </c>
      <c r="AO202" s="292">
        <f t="shared" si="117"/>
        <v>0</v>
      </c>
      <c r="AP202" s="292">
        <f t="shared" si="118"/>
        <v>0</v>
      </c>
      <c r="AQ202" s="292">
        <f t="shared" si="119"/>
        <v>0</v>
      </c>
      <c r="AR202" s="292">
        <f t="shared" si="120"/>
        <v>0</v>
      </c>
      <c r="AS202" s="292">
        <f t="shared" si="121"/>
        <v>0</v>
      </c>
      <c r="AT202" s="292">
        <f t="shared" si="122"/>
        <v>0</v>
      </c>
      <c r="AU202" s="292">
        <f t="shared" si="123"/>
        <v>0</v>
      </c>
      <c r="AV202" s="292">
        <f t="shared" si="124"/>
        <v>0</v>
      </c>
      <c r="AW202" s="292">
        <f t="shared" si="125"/>
        <v>0</v>
      </c>
      <c r="AX202" s="292">
        <f t="shared" si="126"/>
        <v>0</v>
      </c>
      <c r="AY202" s="292">
        <f t="shared" si="127"/>
        <v>0</v>
      </c>
      <c r="AZ202" s="292">
        <f t="shared" si="128"/>
        <v>0</v>
      </c>
      <c r="BA202" s="292">
        <f t="shared" si="129"/>
        <v>0</v>
      </c>
    </row>
    <row r="203" spans="1:53" s="289" customFormat="1" ht="15.75" customHeight="1">
      <c r="A203" s="63" t="str">
        <f t="array" ref="A203">IF(C203&lt;&gt;0,SUM(($C$11:C203&lt;&gt;0)*1),"")</f>
        <v/>
      </c>
      <c r="B203" s="290"/>
      <c r="C203" s="290"/>
      <c r="D203" s="290"/>
      <c r="E203" s="396"/>
      <c r="F203" s="345"/>
      <c r="G203" s="347"/>
      <c r="H203" s="347"/>
      <c r="I203" s="63" t="str">
        <f t="shared" si="137"/>
        <v/>
      </c>
      <c r="J203" s="292">
        <f t="shared" ref="J203:J242" si="138">IF($G203="1111",$F203,0)</f>
        <v>0</v>
      </c>
      <c r="K203" s="292">
        <f t="shared" ref="K203:K242" si="139">IF($H203="1111",$F203,0)</f>
        <v>0</v>
      </c>
      <c r="L203" s="292">
        <f t="shared" ref="L203:L242" si="140">IF($G203="1121",$F203,0)</f>
        <v>0</v>
      </c>
      <c r="M203" s="292">
        <f t="shared" ref="M203:M242" si="141">IF($H203="1121",$F203,0)</f>
        <v>0</v>
      </c>
      <c r="N203" s="292">
        <f t="shared" si="130"/>
        <v>0</v>
      </c>
      <c r="O203" s="292">
        <f t="shared" si="131"/>
        <v>0</v>
      </c>
      <c r="P203" s="292">
        <f t="shared" ref="P203:P242" si="142">IF($G203="1331",$F203,0)</f>
        <v>0</v>
      </c>
      <c r="Q203" s="292">
        <f t="shared" ref="Q203:Q242" si="143">IF($H203="1331",$F203,0)</f>
        <v>0</v>
      </c>
      <c r="R203" s="292">
        <f t="shared" ref="R203:R242" si="144">IF($G203="1388",$F203,0)</f>
        <v>0</v>
      </c>
      <c r="S203" s="292">
        <f t="shared" ref="S203:S242" si="145">IF($H203="1388",$F203,0)</f>
        <v>0</v>
      </c>
      <c r="T203" s="292">
        <f t="shared" si="132"/>
        <v>0</v>
      </c>
      <c r="U203" s="292">
        <f t="shared" si="133"/>
        <v>0</v>
      </c>
      <c r="V203" s="292">
        <f t="shared" ref="V203:V242" si="146">IF($G203="331",$F203,0)</f>
        <v>0</v>
      </c>
      <c r="W203" s="292">
        <f t="shared" ref="W203:W242" si="147">IF($H203="331",$F203,0)</f>
        <v>0</v>
      </c>
      <c r="X203" s="292">
        <f t="shared" ref="X203:X242" si="148">IF($G203="3334",$F203,0)</f>
        <v>0</v>
      </c>
      <c r="Y203" s="292">
        <f t="shared" ref="Y203:Y242" si="149">IF($H203="3334",$F203,0)</f>
        <v>0</v>
      </c>
      <c r="Z203" s="292">
        <f t="shared" ref="Z203:Z242" si="150">IF($G203="33382",$F203,0)</f>
        <v>0</v>
      </c>
      <c r="AA203" s="292">
        <f t="shared" ref="AA203:AA242" si="151">IF($H203="33382",$F203,0)</f>
        <v>0</v>
      </c>
      <c r="AB203" s="292">
        <f t="shared" ref="AB203:AB242" si="152">IF($G203="3388",$F203,0)</f>
        <v>0</v>
      </c>
      <c r="AC203" s="292">
        <f t="shared" ref="AC203:AC242" si="153">IF($H203="3388",$F203,0)</f>
        <v>0</v>
      </c>
      <c r="AD203" s="292">
        <f t="shared" ref="AD203:AD242" si="154">IF($G203="3411",$F203,0)</f>
        <v>0</v>
      </c>
      <c r="AE203" s="292">
        <f t="shared" ref="AE203:AE242" si="155">IF($H203="3411",$F203,0)</f>
        <v>0</v>
      </c>
      <c r="AF203" s="292">
        <f t="shared" si="134"/>
        <v>0</v>
      </c>
      <c r="AG203" s="292">
        <f t="shared" si="135"/>
        <v>0</v>
      </c>
      <c r="AH203" s="292">
        <f t="shared" ref="AH203:AH242" si="156">IF($G203="4111",$F203,0)</f>
        <v>0</v>
      </c>
      <c r="AI203" s="292">
        <f t="shared" ref="AI203:AI242" si="157">IF($H203="4111",$F203,0)</f>
        <v>0</v>
      </c>
      <c r="AJ203" s="292">
        <f t="shared" ref="AJ203:AJ242" si="158">IF($G203="4211",$F203,0)</f>
        <v>0</v>
      </c>
      <c r="AK203" s="292">
        <f t="shared" ref="AK203:AK242" si="159">IF($H203="4211",$F203,0)</f>
        <v>0</v>
      </c>
      <c r="AL203" s="292">
        <f t="shared" ref="AL203:AL242" si="160">IF($G203="4212",$F203,0)</f>
        <v>0</v>
      </c>
      <c r="AM203" s="292">
        <f t="shared" ref="AM203:AM242" si="161">IF($H203="4212",$F203,0)</f>
        <v>0</v>
      </c>
      <c r="AN203" s="292">
        <f t="shared" ref="AN203:AN242" si="162">IF($G203="515",$F203,0)</f>
        <v>0</v>
      </c>
      <c r="AO203" s="292">
        <f t="shared" ref="AO203:AO242" si="163">IF($H203="515",$F203,0)</f>
        <v>0</v>
      </c>
      <c r="AP203" s="292">
        <f t="shared" ref="AP203:AP242" si="164">IF($G203="635",$F203,0)</f>
        <v>0</v>
      </c>
      <c r="AQ203" s="292">
        <f t="shared" ref="AQ203:AQ242" si="165">IF($H203="635",$F203,0)</f>
        <v>0</v>
      </c>
      <c r="AR203" s="292">
        <f t="shared" ref="AR203:AR242" si="166">IF($G203="642",$F203,0)</f>
        <v>0</v>
      </c>
      <c r="AS203" s="292">
        <f t="shared" ref="AS203:AS242" si="167">IF($H203="642",$F203,0)</f>
        <v>0</v>
      </c>
      <c r="AT203" s="292">
        <f t="shared" ref="AT203:AT242" si="168">IF($G203="711",$F203,0)</f>
        <v>0</v>
      </c>
      <c r="AU203" s="292">
        <f t="shared" ref="AU203:AU242" si="169">IF($H203="711",$F203,0)</f>
        <v>0</v>
      </c>
      <c r="AV203" s="292">
        <f t="shared" ref="AV203:AV242" si="170">IF($G203="811",$F203,0)</f>
        <v>0</v>
      </c>
      <c r="AW203" s="292">
        <f t="shared" ref="AW203:AW242" si="171">IF($H203="811",$F203,0)</f>
        <v>0</v>
      </c>
      <c r="AX203" s="292">
        <f t="shared" ref="AX203:AX242" si="172">IF($G203="821",$F203,0)</f>
        <v>0</v>
      </c>
      <c r="AY203" s="292">
        <f t="shared" ref="AY203:AY242" si="173">IF($H203="821",$F203,0)</f>
        <v>0</v>
      </c>
      <c r="AZ203" s="292">
        <f t="shared" ref="AZ203:AZ242" si="174">IF($G203="911",$F203,0)</f>
        <v>0</v>
      </c>
      <c r="BA203" s="292">
        <f t="shared" ref="BA203:BA242" si="175">IF($H203="911",$F203,0)</f>
        <v>0</v>
      </c>
    </row>
    <row r="204" spans="1:53" s="289" customFormat="1" ht="15.75" customHeight="1">
      <c r="A204" s="63" t="str">
        <f t="array" ref="A204">IF(C204&lt;&gt;0,SUM(($C$11:C204&lt;&gt;0)*1),"")</f>
        <v/>
      </c>
      <c r="B204" s="290"/>
      <c r="C204" s="290"/>
      <c r="D204" s="290"/>
      <c r="E204" s="396"/>
      <c r="F204" s="345"/>
      <c r="G204" s="347"/>
      <c r="H204" s="347"/>
      <c r="I204" s="63" t="str">
        <f t="shared" si="137"/>
        <v/>
      </c>
      <c r="J204" s="292">
        <f t="shared" si="138"/>
        <v>0</v>
      </c>
      <c r="K204" s="292">
        <f t="shared" si="139"/>
        <v>0</v>
      </c>
      <c r="L204" s="292">
        <f t="shared" si="140"/>
        <v>0</v>
      </c>
      <c r="M204" s="292">
        <f t="shared" si="141"/>
        <v>0</v>
      </c>
      <c r="N204" s="292">
        <f t="shared" ref="N204:N242" si="176">IF($G204="1122",$F204,0)</f>
        <v>0</v>
      </c>
      <c r="O204" s="292">
        <f t="shared" ref="O204:O242" si="177">IF($H204="1122",$F204,0)</f>
        <v>0</v>
      </c>
      <c r="P204" s="292">
        <f t="shared" si="142"/>
        <v>0</v>
      </c>
      <c r="Q204" s="292">
        <f t="shared" si="143"/>
        <v>0</v>
      </c>
      <c r="R204" s="292">
        <f t="shared" si="144"/>
        <v>0</v>
      </c>
      <c r="S204" s="292">
        <f t="shared" si="145"/>
        <v>0</v>
      </c>
      <c r="T204" s="292">
        <f t="shared" ref="T204:T242" si="178">IF($G204="2412",$F204,0)</f>
        <v>0</v>
      </c>
      <c r="U204" s="292">
        <f t="shared" ref="U204:U242" si="179">IF($H204="2412",$F204,0)</f>
        <v>0</v>
      </c>
      <c r="V204" s="292">
        <f t="shared" si="146"/>
        <v>0</v>
      </c>
      <c r="W204" s="292">
        <f t="shared" si="147"/>
        <v>0</v>
      </c>
      <c r="X204" s="292">
        <f t="shared" si="148"/>
        <v>0</v>
      </c>
      <c r="Y204" s="292">
        <f t="shared" si="149"/>
        <v>0</v>
      </c>
      <c r="Z204" s="292">
        <f t="shared" si="150"/>
        <v>0</v>
      </c>
      <c r="AA204" s="292">
        <f t="shared" si="151"/>
        <v>0</v>
      </c>
      <c r="AB204" s="292">
        <f t="shared" si="152"/>
        <v>0</v>
      </c>
      <c r="AC204" s="292">
        <f t="shared" si="153"/>
        <v>0</v>
      </c>
      <c r="AD204" s="292">
        <f t="shared" si="154"/>
        <v>0</v>
      </c>
      <c r="AE204" s="292">
        <f t="shared" si="155"/>
        <v>0</v>
      </c>
      <c r="AF204" s="292">
        <f t="shared" ref="AF204:AF242" si="180">IF($G204="3412",$F204,0)</f>
        <v>0</v>
      </c>
      <c r="AG204" s="292">
        <f t="shared" ref="AG204:AG242" si="181">IF($H204="3412",$F204,0)</f>
        <v>0</v>
      </c>
      <c r="AH204" s="292">
        <f t="shared" si="156"/>
        <v>0</v>
      </c>
      <c r="AI204" s="292">
        <f t="shared" si="157"/>
        <v>0</v>
      </c>
      <c r="AJ204" s="292">
        <f t="shared" si="158"/>
        <v>0</v>
      </c>
      <c r="AK204" s="292">
        <f t="shared" si="159"/>
        <v>0</v>
      </c>
      <c r="AL204" s="292">
        <f t="shared" si="160"/>
        <v>0</v>
      </c>
      <c r="AM204" s="292">
        <f t="shared" si="161"/>
        <v>0</v>
      </c>
      <c r="AN204" s="292">
        <f t="shared" si="162"/>
        <v>0</v>
      </c>
      <c r="AO204" s="292">
        <f t="shared" si="163"/>
        <v>0</v>
      </c>
      <c r="AP204" s="292">
        <f t="shared" si="164"/>
        <v>0</v>
      </c>
      <c r="AQ204" s="292">
        <f t="shared" si="165"/>
        <v>0</v>
      </c>
      <c r="AR204" s="292">
        <f t="shared" si="166"/>
        <v>0</v>
      </c>
      <c r="AS204" s="292">
        <f t="shared" si="167"/>
        <v>0</v>
      </c>
      <c r="AT204" s="292">
        <f t="shared" si="168"/>
        <v>0</v>
      </c>
      <c r="AU204" s="292">
        <f t="shared" si="169"/>
        <v>0</v>
      </c>
      <c r="AV204" s="292">
        <f t="shared" si="170"/>
        <v>0</v>
      </c>
      <c r="AW204" s="292">
        <f t="shared" si="171"/>
        <v>0</v>
      </c>
      <c r="AX204" s="292">
        <f t="shared" si="172"/>
        <v>0</v>
      </c>
      <c r="AY204" s="292">
        <f t="shared" si="173"/>
        <v>0</v>
      </c>
      <c r="AZ204" s="292">
        <f t="shared" si="174"/>
        <v>0</v>
      </c>
      <c r="BA204" s="292">
        <f t="shared" si="175"/>
        <v>0</v>
      </c>
    </row>
    <row r="205" spans="1:53" s="289" customFormat="1" ht="15.75" customHeight="1">
      <c r="A205" s="63" t="str">
        <f t="array" ref="A205">IF(C205&lt;&gt;0,SUM(($C$11:C205&lt;&gt;0)*1),"")</f>
        <v/>
      </c>
      <c r="B205" s="290"/>
      <c r="C205" s="290"/>
      <c r="D205" s="290"/>
      <c r="E205" s="396"/>
      <c r="F205" s="345"/>
      <c r="G205" s="347"/>
      <c r="H205" s="347"/>
      <c r="I205" s="63" t="str">
        <f t="shared" si="137"/>
        <v/>
      </c>
      <c r="J205" s="292">
        <f t="shared" si="138"/>
        <v>0</v>
      </c>
      <c r="K205" s="292">
        <f t="shared" si="139"/>
        <v>0</v>
      </c>
      <c r="L205" s="292">
        <f t="shared" si="140"/>
        <v>0</v>
      </c>
      <c r="M205" s="292">
        <f t="shared" si="141"/>
        <v>0</v>
      </c>
      <c r="N205" s="292">
        <f t="shared" si="176"/>
        <v>0</v>
      </c>
      <c r="O205" s="292">
        <f t="shared" si="177"/>
        <v>0</v>
      </c>
      <c r="P205" s="292">
        <f t="shared" si="142"/>
        <v>0</v>
      </c>
      <c r="Q205" s="292">
        <f t="shared" si="143"/>
        <v>0</v>
      </c>
      <c r="R205" s="292">
        <f t="shared" si="144"/>
        <v>0</v>
      </c>
      <c r="S205" s="292">
        <f t="shared" si="145"/>
        <v>0</v>
      </c>
      <c r="T205" s="292">
        <f t="shared" si="178"/>
        <v>0</v>
      </c>
      <c r="U205" s="292">
        <f t="shared" si="179"/>
        <v>0</v>
      </c>
      <c r="V205" s="292">
        <f t="shared" si="146"/>
        <v>0</v>
      </c>
      <c r="W205" s="292">
        <f t="shared" si="147"/>
        <v>0</v>
      </c>
      <c r="X205" s="292">
        <f t="shared" si="148"/>
        <v>0</v>
      </c>
      <c r="Y205" s="292">
        <f t="shared" si="149"/>
        <v>0</v>
      </c>
      <c r="Z205" s="292">
        <f t="shared" si="150"/>
        <v>0</v>
      </c>
      <c r="AA205" s="292">
        <f t="shared" si="151"/>
        <v>0</v>
      </c>
      <c r="AB205" s="292">
        <f t="shared" si="152"/>
        <v>0</v>
      </c>
      <c r="AC205" s="292">
        <f t="shared" si="153"/>
        <v>0</v>
      </c>
      <c r="AD205" s="292">
        <f t="shared" si="154"/>
        <v>0</v>
      </c>
      <c r="AE205" s="292">
        <f t="shared" si="155"/>
        <v>0</v>
      </c>
      <c r="AF205" s="292">
        <f t="shared" si="180"/>
        <v>0</v>
      </c>
      <c r="AG205" s="292">
        <f t="shared" si="181"/>
        <v>0</v>
      </c>
      <c r="AH205" s="292">
        <f t="shared" si="156"/>
        <v>0</v>
      </c>
      <c r="AI205" s="292">
        <f t="shared" si="157"/>
        <v>0</v>
      </c>
      <c r="AJ205" s="292">
        <f t="shared" si="158"/>
        <v>0</v>
      </c>
      <c r="AK205" s="292">
        <f t="shared" si="159"/>
        <v>0</v>
      </c>
      <c r="AL205" s="292">
        <f t="shared" si="160"/>
        <v>0</v>
      </c>
      <c r="AM205" s="292">
        <f t="shared" si="161"/>
        <v>0</v>
      </c>
      <c r="AN205" s="292">
        <f t="shared" si="162"/>
        <v>0</v>
      </c>
      <c r="AO205" s="292">
        <f t="shared" si="163"/>
        <v>0</v>
      </c>
      <c r="AP205" s="292">
        <f t="shared" si="164"/>
        <v>0</v>
      </c>
      <c r="AQ205" s="292">
        <f t="shared" si="165"/>
        <v>0</v>
      </c>
      <c r="AR205" s="292">
        <f t="shared" si="166"/>
        <v>0</v>
      </c>
      <c r="AS205" s="292">
        <f t="shared" si="167"/>
        <v>0</v>
      </c>
      <c r="AT205" s="292">
        <f t="shared" si="168"/>
        <v>0</v>
      </c>
      <c r="AU205" s="292">
        <f t="shared" si="169"/>
        <v>0</v>
      </c>
      <c r="AV205" s="292">
        <f t="shared" si="170"/>
        <v>0</v>
      </c>
      <c r="AW205" s="292">
        <f t="shared" si="171"/>
        <v>0</v>
      </c>
      <c r="AX205" s="292">
        <f t="shared" si="172"/>
        <v>0</v>
      </c>
      <c r="AY205" s="292">
        <f t="shared" si="173"/>
        <v>0</v>
      </c>
      <c r="AZ205" s="292">
        <f t="shared" si="174"/>
        <v>0</v>
      </c>
      <c r="BA205" s="292">
        <f t="shared" si="175"/>
        <v>0</v>
      </c>
    </row>
    <row r="206" spans="1:53" s="289" customFormat="1" ht="15.75" customHeight="1">
      <c r="A206" s="63" t="str">
        <f t="array" ref="A206">IF(C206&lt;&gt;0,SUM(($C$11:C206&lt;&gt;0)*1),"")</f>
        <v/>
      </c>
      <c r="B206" s="290"/>
      <c r="C206" s="290"/>
      <c r="D206" s="290"/>
      <c r="E206" s="396"/>
      <c r="F206" s="345"/>
      <c r="G206" s="347"/>
      <c r="H206" s="347"/>
      <c r="I206" s="63" t="str">
        <f t="shared" si="137"/>
        <v/>
      </c>
      <c r="J206" s="292">
        <f t="shared" si="138"/>
        <v>0</v>
      </c>
      <c r="K206" s="292">
        <f t="shared" si="139"/>
        <v>0</v>
      </c>
      <c r="L206" s="292">
        <f t="shared" si="140"/>
        <v>0</v>
      </c>
      <c r="M206" s="292">
        <f t="shared" si="141"/>
        <v>0</v>
      </c>
      <c r="N206" s="292">
        <f t="shared" si="176"/>
        <v>0</v>
      </c>
      <c r="O206" s="292">
        <f t="shared" si="177"/>
        <v>0</v>
      </c>
      <c r="P206" s="292">
        <f t="shared" si="142"/>
        <v>0</v>
      </c>
      <c r="Q206" s="292">
        <f t="shared" si="143"/>
        <v>0</v>
      </c>
      <c r="R206" s="292">
        <f t="shared" si="144"/>
        <v>0</v>
      </c>
      <c r="S206" s="292">
        <f t="shared" si="145"/>
        <v>0</v>
      </c>
      <c r="T206" s="292">
        <f t="shared" si="178"/>
        <v>0</v>
      </c>
      <c r="U206" s="292">
        <f t="shared" si="179"/>
        <v>0</v>
      </c>
      <c r="V206" s="292">
        <f t="shared" si="146"/>
        <v>0</v>
      </c>
      <c r="W206" s="292">
        <f t="shared" si="147"/>
        <v>0</v>
      </c>
      <c r="X206" s="292">
        <f t="shared" si="148"/>
        <v>0</v>
      </c>
      <c r="Y206" s="292">
        <f t="shared" si="149"/>
        <v>0</v>
      </c>
      <c r="Z206" s="292">
        <f t="shared" si="150"/>
        <v>0</v>
      </c>
      <c r="AA206" s="292">
        <f t="shared" si="151"/>
        <v>0</v>
      </c>
      <c r="AB206" s="292">
        <f t="shared" si="152"/>
        <v>0</v>
      </c>
      <c r="AC206" s="292">
        <f t="shared" si="153"/>
        <v>0</v>
      </c>
      <c r="AD206" s="292">
        <f t="shared" si="154"/>
        <v>0</v>
      </c>
      <c r="AE206" s="292">
        <f t="shared" si="155"/>
        <v>0</v>
      </c>
      <c r="AF206" s="292">
        <f t="shared" si="180"/>
        <v>0</v>
      </c>
      <c r="AG206" s="292">
        <f t="shared" si="181"/>
        <v>0</v>
      </c>
      <c r="AH206" s="292">
        <f t="shared" si="156"/>
        <v>0</v>
      </c>
      <c r="AI206" s="292">
        <f t="shared" si="157"/>
        <v>0</v>
      </c>
      <c r="AJ206" s="292">
        <f t="shared" si="158"/>
        <v>0</v>
      </c>
      <c r="AK206" s="292">
        <f t="shared" si="159"/>
        <v>0</v>
      </c>
      <c r="AL206" s="292">
        <f t="shared" si="160"/>
        <v>0</v>
      </c>
      <c r="AM206" s="292">
        <f t="shared" si="161"/>
        <v>0</v>
      </c>
      <c r="AN206" s="292">
        <f t="shared" si="162"/>
        <v>0</v>
      </c>
      <c r="AO206" s="292">
        <f t="shared" si="163"/>
        <v>0</v>
      </c>
      <c r="AP206" s="292">
        <f t="shared" si="164"/>
        <v>0</v>
      </c>
      <c r="AQ206" s="292">
        <f t="shared" si="165"/>
        <v>0</v>
      </c>
      <c r="AR206" s="292">
        <f t="shared" si="166"/>
        <v>0</v>
      </c>
      <c r="AS206" s="292">
        <f t="shared" si="167"/>
        <v>0</v>
      </c>
      <c r="AT206" s="292">
        <f t="shared" si="168"/>
        <v>0</v>
      </c>
      <c r="AU206" s="292">
        <f t="shared" si="169"/>
        <v>0</v>
      </c>
      <c r="AV206" s="292">
        <f t="shared" si="170"/>
        <v>0</v>
      </c>
      <c r="AW206" s="292">
        <f t="shared" si="171"/>
        <v>0</v>
      </c>
      <c r="AX206" s="292">
        <f t="shared" si="172"/>
        <v>0</v>
      </c>
      <c r="AY206" s="292">
        <f t="shared" si="173"/>
        <v>0</v>
      </c>
      <c r="AZ206" s="292">
        <f t="shared" si="174"/>
        <v>0</v>
      </c>
      <c r="BA206" s="292">
        <f t="shared" si="175"/>
        <v>0</v>
      </c>
    </row>
    <row r="207" spans="1:53" s="289" customFormat="1" ht="15.75" customHeight="1">
      <c r="A207" s="63" t="str">
        <f t="array" ref="A207">IF(C207&lt;&gt;0,SUM(($C$11:C207&lt;&gt;0)*1),"")</f>
        <v/>
      </c>
      <c r="B207" s="290"/>
      <c r="C207" s="290"/>
      <c r="D207" s="290"/>
      <c r="E207" s="396"/>
      <c r="F207" s="345"/>
      <c r="G207" s="347"/>
      <c r="H207" s="347"/>
      <c r="I207" s="63" t="str">
        <f t="shared" si="137"/>
        <v/>
      </c>
      <c r="J207" s="292">
        <f t="shared" si="138"/>
        <v>0</v>
      </c>
      <c r="K207" s="292">
        <f t="shared" si="139"/>
        <v>0</v>
      </c>
      <c r="L207" s="292">
        <f t="shared" si="140"/>
        <v>0</v>
      </c>
      <c r="M207" s="292">
        <f t="shared" si="141"/>
        <v>0</v>
      </c>
      <c r="N207" s="292">
        <f t="shared" si="176"/>
        <v>0</v>
      </c>
      <c r="O207" s="292">
        <f t="shared" si="177"/>
        <v>0</v>
      </c>
      <c r="P207" s="292">
        <f t="shared" si="142"/>
        <v>0</v>
      </c>
      <c r="Q207" s="292">
        <f t="shared" si="143"/>
        <v>0</v>
      </c>
      <c r="R207" s="292">
        <f t="shared" si="144"/>
        <v>0</v>
      </c>
      <c r="S207" s="292">
        <f t="shared" si="145"/>
        <v>0</v>
      </c>
      <c r="T207" s="292">
        <f t="shared" si="178"/>
        <v>0</v>
      </c>
      <c r="U207" s="292">
        <f t="shared" si="179"/>
        <v>0</v>
      </c>
      <c r="V207" s="292">
        <f t="shared" si="146"/>
        <v>0</v>
      </c>
      <c r="W207" s="292">
        <f t="shared" si="147"/>
        <v>0</v>
      </c>
      <c r="X207" s="292">
        <f t="shared" si="148"/>
        <v>0</v>
      </c>
      <c r="Y207" s="292">
        <f t="shared" si="149"/>
        <v>0</v>
      </c>
      <c r="Z207" s="292">
        <f t="shared" si="150"/>
        <v>0</v>
      </c>
      <c r="AA207" s="292">
        <f t="shared" si="151"/>
        <v>0</v>
      </c>
      <c r="AB207" s="292">
        <f t="shared" si="152"/>
        <v>0</v>
      </c>
      <c r="AC207" s="292">
        <f t="shared" si="153"/>
        <v>0</v>
      </c>
      <c r="AD207" s="292">
        <f t="shared" si="154"/>
        <v>0</v>
      </c>
      <c r="AE207" s="292">
        <f t="shared" si="155"/>
        <v>0</v>
      </c>
      <c r="AF207" s="292">
        <f t="shared" si="180"/>
        <v>0</v>
      </c>
      <c r="AG207" s="292">
        <f t="shared" si="181"/>
        <v>0</v>
      </c>
      <c r="AH207" s="292">
        <f t="shared" si="156"/>
        <v>0</v>
      </c>
      <c r="AI207" s="292">
        <f t="shared" si="157"/>
        <v>0</v>
      </c>
      <c r="AJ207" s="292">
        <f t="shared" si="158"/>
        <v>0</v>
      </c>
      <c r="AK207" s="292">
        <f t="shared" si="159"/>
        <v>0</v>
      </c>
      <c r="AL207" s="292">
        <f t="shared" si="160"/>
        <v>0</v>
      </c>
      <c r="AM207" s="292">
        <f t="shared" si="161"/>
        <v>0</v>
      </c>
      <c r="AN207" s="292">
        <f t="shared" si="162"/>
        <v>0</v>
      </c>
      <c r="AO207" s="292">
        <f t="shared" si="163"/>
        <v>0</v>
      </c>
      <c r="AP207" s="292">
        <f t="shared" si="164"/>
        <v>0</v>
      </c>
      <c r="AQ207" s="292">
        <f t="shared" si="165"/>
        <v>0</v>
      </c>
      <c r="AR207" s="292">
        <f t="shared" si="166"/>
        <v>0</v>
      </c>
      <c r="AS207" s="292">
        <f t="shared" si="167"/>
        <v>0</v>
      </c>
      <c r="AT207" s="292">
        <f t="shared" si="168"/>
        <v>0</v>
      </c>
      <c r="AU207" s="292">
        <f t="shared" si="169"/>
        <v>0</v>
      </c>
      <c r="AV207" s="292">
        <f t="shared" si="170"/>
        <v>0</v>
      </c>
      <c r="AW207" s="292">
        <f t="shared" si="171"/>
        <v>0</v>
      </c>
      <c r="AX207" s="292">
        <f t="shared" si="172"/>
        <v>0</v>
      </c>
      <c r="AY207" s="292">
        <f t="shared" si="173"/>
        <v>0</v>
      </c>
      <c r="AZ207" s="292">
        <f t="shared" si="174"/>
        <v>0</v>
      </c>
      <c r="BA207" s="292">
        <f t="shared" si="175"/>
        <v>0</v>
      </c>
    </row>
    <row r="208" spans="1:53" s="289" customFormat="1" ht="15.75" customHeight="1">
      <c r="A208" s="63" t="str">
        <f t="array" ref="A208">IF(C208&lt;&gt;0,SUM(($C$11:C208&lt;&gt;0)*1),"")</f>
        <v/>
      </c>
      <c r="B208" s="290"/>
      <c r="C208" s="290"/>
      <c r="D208" s="290"/>
      <c r="E208" s="396"/>
      <c r="F208" s="345"/>
      <c r="G208" s="347"/>
      <c r="H208" s="347"/>
      <c r="I208" s="63" t="str">
        <f t="shared" si="137"/>
        <v/>
      </c>
      <c r="J208" s="292">
        <f t="shared" si="138"/>
        <v>0</v>
      </c>
      <c r="K208" s="292">
        <f t="shared" si="139"/>
        <v>0</v>
      </c>
      <c r="L208" s="292">
        <f t="shared" si="140"/>
        <v>0</v>
      </c>
      <c r="M208" s="292">
        <f t="shared" si="141"/>
        <v>0</v>
      </c>
      <c r="N208" s="292">
        <f t="shared" si="176"/>
        <v>0</v>
      </c>
      <c r="O208" s="292">
        <f t="shared" si="177"/>
        <v>0</v>
      </c>
      <c r="P208" s="292">
        <f t="shared" si="142"/>
        <v>0</v>
      </c>
      <c r="Q208" s="292">
        <f t="shared" si="143"/>
        <v>0</v>
      </c>
      <c r="R208" s="292">
        <f t="shared" si="144"/>
        <v>0</v>
      </c>
      <c r="S208" s="292">
        <f t="shared" si="145"/>
        <v>0</v>
      </c>
      <c r="T208" s="292">
        <f t="shared" si="178"/>
        <v>0</v>
      </c>
      <c r="U208" s="292">
        <f t="shared" si="179"/>
        <v>0</v>
      </c>
      <c r="V208" s="292">
        <f t="shared" si="146"/>
        <v>0</v>
      </c>
      <c r="W208" s="292">
        <f t="shared" si="147"/>
        <v>0</v>
      </c>
      <c r="X208" s="292">
        <f t="shared" si="148"/>
        <v>0</v>
      </c>
      <c r="Y208" s="292">
        <f t="shared" si="149"/>
        <v>0</v>
      </c>
      <c r="Z208" s="292">
        <f t="shared" si="150"/>
        <v>0</v>
      </c>
      <c r="AA208" s="292">
        <f t="shared" si="151"/>
        <v>0</v>
      </c>
      <c r="AB208" s="292">
        <f t="shared" si="152"/>
        <v>0</v>
      </c>
      <c r="AC208" s="292">
        <f t="shared" si="153"/>
        <v>0</v>
      </c>
      <c r="AD208" s="292">
        <f t="shared" si="154"/>
        <v>0</v>
      </c>
      <c r="AE208" s="292">
        <f t="shared" si="155"/>
        <v>0</v>
      </c>
      <c r="AF208" s="292">
        <f t="shared" si="180"/>
        <v>0</v>
      </c>
      <c r="AG208" s="292">
        <f t="shared" si="181"/>
        <v>0</v>
      </c>
      <c r="AH208" s="292">
        <f t="shared" si="156"/>
        <v>0</v>
      </c>
      <c r="AI208" s="292">
        <f t="shared" si="157"/>
        <v>0</v>
      </c>
      <c r="AJ208" s="292">
        <f t="shared" si="158"/>
        <v>0</v>
      </c>
      <c r="AK208" s="292">
        <f t="shared" si="159"/>
        <v>0</v>
      </c>
      <c r="AL208" s="292">
        <f t="shared" si="160"/>
        <v>0</v>
      </c>
      <c r="AM208" s="292">
        <f t="shared" si="161"/>
        <v>0</v>
      </c>
      <c r="AN208" s="292">
        <f t="shared" si="162"/>
        <v>0</v>
      </c>
      <c r="AO208" s="292">
        <f t="shared" si="163"/>
        <v>0</v>
      </c>
      <c r="AP208" s="292">
        <f t="shared" si="164"/>
        <v>0</v>
      </c>
      <c r="AQ208" s="292">
        <f t="shared" si="165"/>
        <v>0</v>
      </c>
      <c r="AR208" s="292">
        <f t="shared" si="166"/>
        <v>0</v>
      </c>
      <c r="AS208" s="292">
        <f t="shared" si="167"/>
        <v>0</v>
      </c>
      <c r="AT208" s="292">
        <f t="shared" si="168"/>
        <v>0</v>
      </c>
      <c r="AU208" s="292">
        <f t="shared" si="169"/>
        <v>0</v>
      </c>
      <c r="AV208" s="292">
        <f t="shared" si="170"/>
        <v>0</v>
      </c>
      <c r="AW208" s="292">
        <f t="shared" si="171"/>
        <v>0</v>
      </c>
      <c r="AX208" s="292">
        <f t="shared" si="172"/>
        <v>0</v>
      </c>
      <c r="AY208" s="292">
        <f t="shared" si="173"/>
        <v>0</v>
      </c>
      <c r="AZ208" s="292">
        <f t="shared" si="174"/>
        <v>0</v>
      </c>
      <c r="BA208" s="292">
        <f t="shared" si="175"/>
        <v>0</v>
      </c>
    </row>
    <row r="209" spans="1:53" s="289" customFormat="1" ht="15.75" customHeight="1">
      <c r="A209" s="63" t="str">
        <f t="array" ref="A209">IF(C209&lt;&gt;0,SUM(($C$11:C209&lt;&gt;0)*1),"")</f>
        <v/>
      </c>
      <c r="B209" s="290"/>
      <c r="C209" s="290"/>
      <c r="D209" s="290"/>
      <c r="E209" s="396"/>
      <c r="F209" s="345"/>
      <c r="G209" s="347"/>
      <c r="H209" s="347"/>
      <c r="I209" s="63" t="str">
        <f t="shared" si="137"/>
        <v/>
      </c>
      <c r="J209" s="292">
        <f t="shared" si="138"/>
        <v>0</v>
      </c>
      <c r="K209" s="292">
        <f t="shared" si="139"/>
        <v>0</v>
      </c>
      <c r="L209" s="292">
        <f t="shared" si="140"/>
        <v>0</v>
      </c>
      <c r="M209" s="292">
        <f t="shared" si="141"/>
        <v>0</v>
      </c>
      <c r="N209" s="292">
        <f t="shared" si="176"/>
        <v>0</v>
      </c>
      <c r="O209" s="292">
        <f t="shared" si="177"/>
        <v>0</v>
      </c>
      <c r="P209" s="292">
        <f t="shared" si="142"/>
        <v>0</v>
      </c>
      <c r="Q209" s="292">
        <f t="shared" si="143"/>
        <v>0</v>
      </c>
      <c r="R209" s="292">
        <f t="shared" si="144"/>
        <v>0</v>
      </c>
      <c r="S209" s="292">
        <f t="shared" si="145"/>
        <v>0</v>
      </c>
      <c r="T209" s="292">
        <f t="shared" si="178"/>
        <v>0</v>
      </c>
      <c r="U209" s="292">
        <f t="shared" si="179"/>
        <v>0</v>
      </c>
      <c r="V209" s="292">
        <f t="shared" si="146"/>
        <v>0</v>
      </c>
      <c r="W209" s="292">
        <f t="shared" si="147"/>
        <v>0</v>
      </c>
      <c r="X209" s="292">
        <f t="shared" si="148"/>
        <v>0</v>
      </c>
      <c r="Y209" s="292">
        <f t="shared" si="149"/>
        <v>0</v>
      </c>
      <c r="Z209" s="292">
        <f t="shared" si="150"/>
        <v>0</v>
      </c>
      <c r="AA209" s="292">
        <f t="shared" si="151"/>
        <v>0</v>
      </c>
      <c r="AB209" s="292">
        <f t="shared" si="152"/>
        <v>0</v>
      </c>
      <c r="AC209" s="292">
        <f t="shared" si="153"/>
        <v>0</v>
      </c>
      <c r="AD209" s="292">
        <f t="shared" si="154"/>
        <v>0</v>
      </c>
      <c r="AE209" s="292">
        <f t="shared" si="155"/>
        <v>0</v>
      </c>
      <c r="AF209" s="292">
        <f t="shared" si="180"/>
        <v>0</v>
      </c>
      <c r="AG209" s="292">
        <f t="shared" si="181"/>
        <v>0</v>
      </c>
      <c r="AH209" s="292">
        <f t="shared" si="156"/>
        <v>0</v>
      </c>
      <c r="AI209" s="292">
        <f t="shared" si="157"/>
        <v>0</v>
      </c>
      <c r="AJ209" s="292">
        <f t="shared" si="158"/>
        <v>0</v>
      </c>
      <c r="AK209" s="292">
        <f t="shared" si="159"/>
        <v>0</v>
      </c>
      <c r="AL209" s="292">
        <f t="shared" si="160"/>
        <v>0</v>
      </c>
      <c r="AM209" s="292">
        <f t="shared" si="161"/>
        <v>0</v>
      </c>
      <c r="AN209" s="292">
        <f t="shared" si="162"/>
        <v>0</v>
      </c>
      <c r="AO209" s="292">
        <f t="shared" si="163"/>
        <v>0</v>
      </c>
      <c r="AP209" s="292">
        <f t="shared" si="164"/>
        <v>0</v>
      </c>
      <c r="AQ209" s="292">
        <f t="shared" si="165"/>
        <v>0</v>
      </c>
      <c r="AR209" s="292">
        <f t="shared" si="166"/>
        <v>0</v>
      </c>
      <c r="AS209" s="292">
        <f t="shared" si="167"/>
        <v>0</v>
      </c>
      <c r="AT209" s="292">
        <f t="shared" si="168"/>
        <v>0</v>
      </c>
      <c r="AU209" s="292">
        <f t="shared" si="169"/>
        <v>0</v>
      </c>
      <c r="AV209" s="292">
        <f t="shared" si="170"/>
        <v>0</v>
      </c>
      <c r="AW209" s="292">
        <f t="shared" si="171"/>
        <v>0</v>
      </c>
      <c r="AX209" s="292">
        <f t="shared" si="172"/>
        <v>0</v>
      </c>
      <c r="AY209" s="292">
        <f t="shared" si="173"/>
        <v>0</v>
      </c>
      <c r="AZ209" s="292">
        <f t="shared" si="174"/>
        <v>0</v>
      </c>
      <c r="BA209" s="292">
        <f t="shared" si="175"/>
        <v>0</v>
      </c>
    </row>
    <row r="210" spans="1:53" s="289" customFormat="1" ht="15.75" customHeight="1">
      <c r="A210" s="63" t="str">
        <f t="array" ref="A210">IF(C210&lt;&gt;0,SUM(($C$11:C210&lt;&gt;0)*1),"")</f>
        <v/>
      </c>
      <c r="B210" s="290"/>
      <c r="C210" s="290"/>
      <c r="D210" s="290"/>
      <c r="E210" s="396"/>
      <c r="F210" s="345"/>
      <c r="G210" s="347"/>
      <c r="H210" s="347"/>
      <c r="I210" s="63" t="str">
        <f t="shared" si="137"/>
        <v/>
      </c>
      <c r="J210" s="292">
        <f t="shared" si="138"/>
        <v>0</v>
      </c>
      <c r="K210" s="292">
        <f t="shared" si="139"/>
        <v>0</v>
      </c>
      <c r="L210" s="292">
        <f t="shared" si="140"/>
        <v>0</v>
      </c>
      <c r="M210" s="292">
        <f t="shared" si="141"/>
        <v>0</v>
      </c>
      <c r="N210" s="292">
        <f t="shared" si="176"/>
        <v>0</v>
      </c>
      <c r="O210" s="292">
        <f t="shared" si="177"/>
        <v>0</v>
      </c>
      <c r="P210" s="292">
        <f t="shared" si="142"/>
        <v>0</v>
      </c>
      <c r="Q210" s="292">
        <f t="shared" si="143"/>
        <v>0</v>
      </c>
      <c r="R210" s="292">
        <f t="shared" si="144"/>
        <v>0</v>
      </c>
      <c r="S210" s="292">
        <f t="shared" si="145"/>
        <v>0</v>
      </c>
      <c r="T210" s="292">
        <f t="shared" si="178"/>
        <v>0</v>
      </c>
      <c r="U210" s="292">
        <f t="shared" si="179"/>
        <v>0</v>
      </c>
      <c r="V210" s="292">
        <f t="shared" si="146"/>
        <v>0</v>
      </c>
      <c r="W210" s="292">
        <f t="shared" si="147"/>
        <v>0</v>
      </c>
      <c r="X210" s="292">
        <f t="shared" si="148"/>
        <v>0</v>
      </c>
      <c r="Y210" s="292">
        <f t="shared" si="149"/>
        <v>0</v>
      </c>
      <c r="Z210" s="292">
        <f t="shared" si="150"/>
        <v>0</v>
      </c>
      <c r="AA210" s="292">
        <f t="shared" si="151"/>
        <v>0</v>
      </c>
      <c r="AB210" s="292">
        <f t="shared" si="152"/>
        <v>0</v>
      </c>
      <c r="AC210" s="292">
        <f t="shared" si="153"/>
        <v>0</v>
      </c>
      <c r="AD210" s="292">
        <f t="shared" si="154"/>
        <v>0</v>
      </c>
      <c r="AE210" s="292">
        <f t="shared" si="155"/>
        <v>0</v>
      </c>
      <c r="AF210" s="292">
        <f t="shared" si="180"/>
        <v>0</v>
      </c>
      <c r="AG210" s="292">
        <f t="shared" si="181"/>
        <v>0</v>
      </c>
      <c r="AH210" s="292">
        <f t="shared" si="156"/>
        <v>0</v>
      </c>
      <c r="AI210" s="292">
        <f t="shared" si="157"/>
        <v>0</v>
      </c>
      <c r="AJ210" s="292">
        <f t="shared" si="158"/>
        <v>0</v>
      </c>
      <c r="AK210" s="292">
        <f t="shared" si="159"/>
        <v>0</v>
      </c>
      <c r="AL210" s="292">
        <f t="shared" si="160"/>
        <v>0</v>
      </c>
      <c r="AM210" s="292">
        <f t="shared" si="161"/>
        <v>0</v>
      </c>
      <c r="AN210" s="292">
        <f t="shared" si="162"/>
        <v>0</v>
      </c>
      <c r="AO210" s="292">
        <f t="shared" si="163"/>
        <v>0</v>
      </c>
      <c r="AP210" s="292">
        <f t="shared" si="164"/>
        <v>0</v>
      </c>
      <c r="AQ210" s="292">
        <f t="shared" si="165"/>
        <v>0</v>
      </c>
      <c r="AR210" s="292">
        <f t="shared" si="166"/>
        <v>0</v>
      </c>
      <c r="AS210" s="292">
        <f t="shared" si="167"/>
        <v>0</v>
      </c>
      <c r="AT210" s="292">
        <f t="shared" si="168"/>
        <v>0</v>
      </c>
      <c r="AU210" s="292">
        <f t="shared" si="169"/>
        <v>0</v>
      </c>
      <c r="AV210" s="292">
        <f t="shared" si="170"/>
        <v>0</v>
      </c>
      <c r="AW210" s="292">
        <f t="shared" si="171"/>
        <v>0</v>
      </c>
      <c r="AX210" s="292">
        <f t="shared" si="172"/>
        <v>0</v>
      </c>
      <c r="AY210" s="292">
        <f t="shared" si="173"/>
        <v>0</v>
      </c>
      <c r="AZ210" s="292">
        <f t="shared" si="174"/>
        <v>0</v>
      </c>
      <c r="BA210" s="292">
        <f t="shared" si="175"/>
        <v>0</v>
      </c>
    </row>
    <row r="211" spans="1:53" s="289" customFormat="1" ht="15.75" customHeight="1">
      <c r="A211" s="63" t="str">
        <f t="array" ref="A211">IF(C211&lt;&gt;0,SUM(($C$11:C211&lt;&gt;0)*1),"")</f>
        <v/>
      </c>
      <c r="B211" s="290"/>
      <c r="C211" s="290"/>
      <c r="D211" s="290"/>
      <c r="E211" s="396"/>
      <c r="F211" s="345"/>
      <c r="G211" s="347"/>
      <c r="H211" s="347"/>
      <c r="I211" s="63" t="str">
        <f t="shared" si="137"/>
        <v/>
      </c>
      <c r="J211" s="292">
        <f t="shared" si="138"/>
        <v>0</v>
      </c>
      <c r="K211" s="292">
        <f t="shared" si="139"/>
        <v>0</v>
      </c>
      <c r="L211" s="292">
        <f t="shared" si="140"/>
        <v>0</v>
      </c>
      <c r="M211" s="292">
        <f t="shared" si="141"/>
        <v>0</v>
      </c>
      <c r="N211" s="292">
        <f t="shared" si="176"/>
        <v>0</v>
      </c>
      <c r="O211" s="292">
        <f t="shared" si="177"/>
        <v>0</v>
      </c>
      <c r="P211" s="292">
        <f t="shared" si="142"/>
        <v>0</v>
      </c>
      <c r="Q211" s="292">
        <f t="shared" si="143"/>
        <v>0</v>
      </c>
      <c r="R211" s="292">
        <f t="shared" si="144"/>
        <v>0</v>
      </c>
      <c r="S211" s="292">
        <f t="shared" si="145"/>
        <v>0</v>
      </c>
      <c r="T211" s="292">
        <f t="shared" si="178"/>
        <v>0</v>
      </c>
      <c r="U211" s="292">
        <f t="shared" si="179"/>
        <v>0</v>
      </c>
      <c r="V211" s="292">
        <f t="shared" si="146"/>
        <v>0</v>
      </c>
      <c r="W211" s="292">
        <f t="shared" si="147"/>
        <v>0</v>
      </c>
      <c r="X211" s="292">
        <f t="shared" si="148"/>
        <v>0</v>
      </c>
      <c r="Y211" s="292">
        <f t="shared" si="149"/>
        <v>0</v>
      </c>
      <c r="Z211" s="292">
        <f t="shared" si="150"/>
        <v>0</v>
      </c>
      <c r="AA211" s="292">
        <f t="shared" si="151"/>
        <v>0</v>
      </c>
      <c r="AB211" s="292">
        <f t="shared" si="152"/>
        <v>0</v>
      </c>
      <c r="AC211" s="292">
        <f t="shared" si="153"/>
        <v>0</v>
      </c>
      <c r="AD211" s="292">
        <f t="shared" si="154"/>
        <v>0</v>
      </c>
      <c r="AE211" s="292">
        <f t="shared" si="155"/>
        <v>0</v>
      </c>
      <c r="AF211" s="292">
        <f t="shared" si="180"/>
        <v>0</v>
      </c>
      <c r="AG211" s="292">
        <f t="shared" si="181"/>
        <v>0</v>
      </c>
      <c r="AH211" s="292">
        <f t="shared" si="156"/>
        <v>0</v>
      </c>
      <c r="AI211" s="292">
        <f t="shared" si="157"/>
        <v>0</v>
      </c>
      <c r="AJ211" s="292">
        <f t="shared" si="158"/>
        <v>0</v>
      </c>
      <c r="AK211" s="292">
        <f t="shared" si="159"/>
        <v>0</v>
      </c>
      <c r="AL211" s="292">
        <f t="shared" si="160"/>
        <v>0</v>
      </c>
      <c r="AM211" s="292">
        <f t="shared" si="161"/>
        <v>0</v>
      </c>
      <c r="AN211" s="292">
        <f t="shared" si="162"/>
        <v>0</v>
      </c>
      <c r="AO211" s="292">
        <f t="shared" si="163"/>
        <v>0</v>
      </c>
      <c r="AP211" s="292">
        <f t="shared" si="164"/>
        <v>0</v>
      </c>
      <c r="AQ211" s="292">
        <f t="shared" si="165"/>
        <v>0</v>
      </c>
      <c r="AR211" s="292">
        <f t="shared" si="166"/>
        <v>0</v>
      </c>
      <c r="AS211" s="292">
        <f t="shared" si="167"/>
        <v>0</v>
      </c>
      <c r="AT211" s="292">
        <f t="shared" si="168"/>
        <v>0</v>
      </c>
      <c r="AU211" s="292">
        <f t="shared" si="169"/>
        <v>0</v>
      </c>
      <c r="AV211" s="292">
        <f t="shared" si="170"/>
        <v>0</v>
      </c>
      <c r="AW211" s="292">
        <f t="shared" si="171"/>
        <v>0</v>
      </c>
      <c r="AX211" s="292">
        <f t="shared" si="172"/>
        <v>0</v>
      </c>
      <c r="AY211" s="292">
        <f t="shared" si="173"/>
        <v>0</v>
      </c>
      <c r="AZ211" s="292">
        <f t="shared" si="174"/>
        <v>0</v>
      </c>
      <c r="BA211" s="292">
        <f t="shared" si="175"/>
        <v>0</v>
      </c>
    </row>
    <row r="212" spans="1:53" s="289" customFormat="1" ht="15.75" customHeight="1">
      <c r="A212" s="63" t="str">
        <f t="array" ref="A212">IF(C212&lt;&gt;0,SUM(($C$11:C212&lt;&gt;0)*1),"")</f>
        <v/>
      </c>
      <c r="B212" s="290"/>
      <c r="C212" s="290"/>
      <c r="D212" s="290"/>
      <c r="E212" s="396"/>
      <c r="F212" s="345"/>
      <c r="G212" s="347"/>
      <c r="H212" s="347"/>
      <c r="I212" s="63" t="str">
        <f t="shared" si="137"/>
        <v/>
      </c>
      <c r="J212" s="292">
        <f t="shared" si="138"/>
        <v>0</v>
      </c>
      <c r="K212" s="292">
        <f t="shared" si="139"/>
        <v>0</v>
      </c>
      <c r="L212" s="292">
        <f t="shared" si="140"/>
        <v>0</v>
      </c>
      <c r="M212" s="292">
        <f t="shared" si="141"/>
        <v>0</v>
      </c>
      <c r="N212" s="292">
        <f t="shared" si="176"/>
        <v>0</v>
      </c>
      <c r="O212" s="292">
        <f t="shared" si="177"/>
        <v>0</v>
      </c>
      <c r="P212" s="292">
        <f t="shared" si="142"/>
        <v>0</v>
      </c>
      <c r="Q212" s="292">
        <f t="shared" si="143"/>
        <v>0</v>
      </c>
      <c r="R212" s="292">
        <f t="shared" si="144"/>
        <v>0</v>
      </c>
      <c r="S212" s="292">
        <f t="shared" si="145"/>
        <v>0</v>
      </c>
      <c r="T212" s="292">
        <f t="shared" si="178"/>
        <v>0</v>
      </c>
      <c r="U212" s="292">
        <f t="shared" si="179"/>
        <v>0</v>
      </c>
      <c r="V212" s="292">
        <f t="shared" si="146"/>
        <v>0</v>
      </c>
      <c r="W212" s="292">
        <f t="shared" si="147"/>
        <v>0</v>
      </c>
      <c r="X212" s="292">
        <f t="shared" si="148"/>
        <v>0</v>
      </c>
      <c r="Y212" s="292">
        <f t="shared" si="149"/>
        <v>0</v>
      </c>
      <c r="Z212" s="292">
        <f t="shared" si="150"/>
        <v>0</v>
      </c>
      <c r="AA212" s="292">
        <f t="shared" si="151"/>
        <v>0</v>
      </c>
      <c r="AB212" s="292">
        <f t="shared" si="152"/>
        <v>0</v>
      </c>
      <c r="AC212" s="292">
        <f t="shared" si="153"/>
        <v>0</v>
      </c>
      <c r="AD212" s="292">
        <f t="shared" si="154"/>
        <v>0</v>
      </c>
      <c r="AE212" s="292">
        <f t="shared" si="155"/>
        <v>0</v>
      </c>
      <c r="AF212" s="292">
        <f t="shared" si="180"/>
        <v>0</v>
      </c>
      <c r="AG212" s="292">
        <f t="shared" si="181"/>
        <v>0</v>
      </c>
      <c r="AH212" s="292">
        <f t="shared" si="156"/>
        <v>0</v>
      </c>
      <c r="AI212" s="292">
        <f t="shared" si="157"/>
        <v>0</v>
      </c>
      <c r="AJ212" s="292">
        <f t="shared" si="158"/>
        <v>0</v>
      </c>
      <c r="AK212" s="292">
        <f t="shared" si="159"/>
        <v>0</v>
      </c>
      <c r="AL212" s="292">
        <f t="shared" si="160"/>
        <v>0</v>
      </c>
      <c r="AM212" s="292">
        <f t="shared" si="161"/>
        <v>0</v>
      </c>
      <c r="AN212" s="292">
        <f t="shared" si="162"/>
        <v>0</v>
      </c>
      <c r="AO212" s="292">
        <f t="shared" si="163"/>
        <v>0</v>
      </c>
      <c r="AP212" s="292">
        <f t="shared" si="164"/>
        <v>0</v>
      </c>
      <c r="AQ212" s="292">
        <f t="shared" si="165"/>
        <v>0</v>
      </c>
      <c r="AR212" s="292">
        <f t="shared" si="166"/>
        <v>0</v>
      </c>
      <c r="AS212" s="292">
        <f t="shared" si="167"/>
        <v>0</v>
      </c>
      <c r="AT212" s="292">
        <f t="shared" si="168"/>
        <v>0</v>
      </c>
      <c r="AU212" s="292">
        <f t="shared" si="169"/>
        <v>0</v>
      </c>
      <c r="AV212" s="292">
        <f t="shared" si="170"/>
        <v>0</v>
      </c>
      <c r="AW212" s="292">
        <f t="shared" si="171"/>
        <v>0</v>
      </c>
      <c r="AX212" s="292">
        <f t="shared" si="172"/>
        <v>0</v>
      </c>
      <c r="AY212" s="292">
        <f t="shared" si="173"/>
        <v>0</v>
      </c>
      <c r="AZ212" s="292">
        <f t="shared" si="174"/>
        <v>0</v>
      </c>
      <c r="BA212" s="292">
        <f t="shared" si="175"/>
        <v>0</v>
      </c>
    </row>
    <row r="213" spans="1:53" s="289" customFormat="1" ht="15.75" customHeight="1">
      <c r="A213" s="63" t="str">
        <f t="array" ref="A213">IF(C213&lt;&gt;0,SUM(($C$11:C213&lt;&gt;0)*1),"")</f>
        <v/>
      </c>
      <c r="B213" s="290"/>
      <c r="C213" s="290"/>
      <c r="D213" s="290"/>
      <c r="E213" s="396"/>
      <c r="F213" s="345"/>
      <c r="G213" s="347"/>
      <c r="H213" s="347"/>
      <c r="I213" s="63" t="str">
        <f t="shared" si="137"/>
        <v/>
      </c>
      <c r="J213" s="292">
        <f t="shared" si="138"/>
        <v>0</v>
      </c>
      <c r="K213" s="292">
        <f t="shared" si="139"/>
        <v>0</v>
      </c>
      <c r="L213" s="292">
        <f t="shared" si="140"/>
        <v>0</v>
      </c>
      <c r="M213" s="292">
        <f t="shared" si="141"/>
        <v>0</v>
      </c>
      <c r="N213" s="292">
        <f t="shared" si="176"/>
        <v>0</v>
      </c>
      <c r="O213" s="292">
        <f t="shared" si="177"/>
        <v>0</v>
      </c>
      <c r="P213" s="292">
        <f t="shared" si="142"/>
        <v>0</v>
      </c>
      <c r="Q213" s="292">
        <f t="shared" si="143"/>
        <v>0</v>
      </c>
      <c r="R213" s="292">
        <f t="shared" si="144"/>
        <v>0</v>
      </c>
      <c r="S213" s="292">
        <f t="shared" si="145"/>
        <v>0</v>
      </c>
      <c r="T213" s="292">
        <f t="shared" si="178"/>
        <v>0</v>
      </c>
      <c r="U213" s="292">
        <f t="shared" si="179"/>
        <v>0</v>
      </c>
      <c r="V213" s="292">
        <f t="shared" si="146"/>
        <v>0</v>
      </c>
      <c r="W213" s="292">
        <f t="shared" si="147"/>
        <v>0</v>
      </c>
      <c r="X213" s="292">
        <f t="shared" si="148"/>
        <v>0</v>
      </c>
      <c r="Y213" s="292">
        <f t="shared" si="149"/>
        <v>0</v>
      </c>
      <c r="Z213" s="292">
        <f t="shared" si="150"/>
        <v>0</v>
      </c>
      <c r="AA213" s="292">
        <f t="shared" si="151"/>
        <v>0</v>
      </c>
      <c r="AB213" s="292">
        <f t="shared" si="152"/>
        <v>0</v>
      </c>
      <c r="AC213" s="292">
        <f t="shared" si="153"/>
        <v>0</v>
      </c>
      <c r="AD213" s="292">
        <f t="shared" si="154"/>
        <v>0</v>
      </c>
      <c r="AE213" s="292">
        <f t="shared" si="155"/>
        <v>0</v>
      </c>
      <c r="AF213" s="292">
        <f t="shared" si="180"/>
        <v>0</v>
      </c>
      <c r="AG213" s="292">
        <f t="shared" si="181"/>
        <v>0</v>
      </c>
      <c r="AH213" s="292">
        <f t="shared" si="156"/>
        <v>0</v>
      </c>
      <c r="AI213" s="292">
        <f t="shared" si="157"/>
        <v>0</v>
      </c>
      <c r="AJ213" s="292">
        <f t="shared" si="158"/>
        <v>0</v>
      </c>
      <c r="AK213" s="292">
        <f t="shared" si="159"/>
        <v>0</v>
      </c>
      <c r="AL213" s="292">
        <f t="shared" si="160"/>
        <v>0</v>
      </c>
      <c r="AM213" s="292">
        <f t="shared" si="161"/>
        <v>0</v>
      </c>
      <c r="AN213" s="292">
        <f t="shared" si="162"/>
        <v>0</v>
      </c>
      <c r="AO213" s="292">
        <f t="shared" si="163"/>
        <v>0</v>
      </c>
      <c r="AP213" s="292">
        <f t="shared" si="164"/>
        <v>0</v>
      </c>
      <c r="AQ213" s="292">
        <f t="shared" si="165"/>
        <v>0</v>
      </c>
      <c r="AR213" s="292">
        <f t="shared" si="166"/>
        <v>0</v>
      </c>
      <c r="AS213" s="292">
        <f t="shared" si="167"/>
        <v>0</v>
      </c>
      <c r="AT213" s="292">
        <f t="shared" si="168"/>
        <v>0</v>
      </c>
      <c r="AU213" s="292">
        <f t="shared" si="169"/>
        <v>0</v>
      </c>
      <c r="AV213" s="292">
        <f t="shared" si="170"/>
        <v>0</v>
      </c>
      <c r="AW213" s="292">
        <f t="shared" si="171"/>
        <v>0</v>
      </c>
      <c r="AX213" s="292">
        <f t="shared" si="172"/>
        <v>0</v>
      </c>
      <c r="AY213" s="292">
        <f t="shared" si="173"/>
        <v>0</v>
      </c>
      <c r="AZ213" s="292">
        <f t="shared" si="174"/>
        <v>0</v>
      </c>
      <c r="BA213" s="292">
        <f t="shared" si="175"/>
        <v>0</v>
      </c>
    </row>
    <row r="214" spans="1:53" s="289" customFormat="1" ht="15.75" customHeight="1">
      <c r="A214" s="63" t="str">
        <f t="array" ref="A214">IF(C214&lt;&gt;0,SUM(($C$11:C214&lt;&gt;0)*1),"")</f>
        <v/>
      </c>
      <c r="B214" s="290"/>
      <c r="C214" s="290"/>
      <c r="D214" s="290"/>
      <c r="E214" s="396"/>
      <c r="F214" s="345"/>
      <c r="G214" s="347"/>
      <c r="H214" s="347"/>
      <c r="I214" s="63" t="str">
        <f t="shared" si="137"/>
        <v/>
      </c>
      <c r="J214" s="292">
        <f t="shared" si="138"/>
        <v>0</v>
      </c>
      <c r="K214" s="292">
        <f t="shared" si="139"/>
        <v>0</v>
      </c>
      <c r="L214" s="292">
        <f t="shared" si="140"/>
        <v>0</v>
      </c>
      <c r="M214" s="292">
        <f t="shared" si="141"/>
        <v>0</v>
      </c>
      <c r="N214" s="292">
        <f t="shared" si="176"/>
        <v>0</v>
      </c>
      <c r="O214" s="292">
        <f t="shared" si="177"/>
        <v>0</v>
      </c>
      <c r="P214" s="292">
        <f t="shared" si="142"/>
        <v>0</v>
      </c>
      <c r="Q214" s="292">
        <f t="shared" si="143"/>
        <v>0</v>
      </c>
      <c r="R214" s="292">
        <f t="shared" si="144"/>
        <v>0</v>
      </c>
      <c r="S214" s="292">
        <f t="shared" si="145"/>
        <v>0</v>
      </c>
      <c r="T214" s="292">
        <f t="shared" si="178"/>
        <v>0</v>
      </c>
      <c r="U214" s="292">
        <f t="shared" si="179"/>
        <v>0</v>
      </c>
      <c r="V214" s="292">
        <f t="shared" si="146"/>
        <v>0</v>
      </c>
      <c r="W214" s="292">
        <f t="shared" si="147"/>
        <v>0</v>
      </c>
      <c r="X214" s="292">
        <f t="shared" si="148"/>
        <v>0</v>
      </c>
      <c r="Y214" s="292">
        <f t="shared" si="149"/>
        <v>0</v>
      </c>
      <c r="Z214" s="292">
        <f t="shared" si="150"/>
        <v>0</v>
      </c>
      <c r="AA214" s="292">
        <f t="shared" si="151"/>
        <v>0</v>
      </c>
      <c r="AB214" s="292">
        <f t="shared" si="152"/>
        <v>0</v>
      </c>
      <c r="AC214" s="292">
        <f t="shared" si="153"/>
        <v>0</v>
      </c>
      <c r="AD214" s="292">
        <f t="shared" si="154"/>
        <v>0</v>
      </c>
      <c r="AE214" s="292">
        <f t="shared" si="155"/>
        <v>0</v>
      </c>
      <c r="AF214" s="292">
        <f t="shared" si="180"/>
        <v>0</v>
      </c>
      <c r="AG214" s="292">
        <f t="shared" si="181"/>
        <v>0</v>
      </c>
      <c r="AH214" s="292">
        <f t="shared" si="156"/>
        <v>0</v>
      </c>
      <c r="AI214" s="292">
        <f t="shared" si="157"/>
        <v>0</v>
      </c>
      <c r="AJ214" s="292">
        <f t="shared" si="158"/>
        <v>0</v>
      </c>
      <c r="AK214" s="292">
        <f t="shared" si="159"/>
        <v>0</v>
      </c>
      <c r="AL214" s="292">
        <f t="shared" si="160"/>
        <v>0</v>
      </c>
      <c r="AM214" s="292">
        <f t="shared" si="161"/>
        <v>0</v>
      </c>
      <c r="AN214" s="292">
        <f t="shared" si="162"/>
        <v>0</v>
      </c>
      <c r="AO214" s="292">
        <f t="shared" si="163"/>
        <v>0</v>
      </c>
      <c r="AP214" s="292">
        <f t="shared" si="164"/>
        <v>0</v>
      </c>
      <c r="AQ214" s="292">
        <f t="shared" si="165"/>
        <v>0</v>
      </c>
      <c r="AR214" s="292">
        <f t="shared" si="166"/>
        <v>0</v>
      </c>
      <c r="AS214" s="292">
        <f t="shared" si="167"/>
        <v>0</v>
      </c>
      <c r="AT214" s="292">
        <f t="shared" si="168"/>
        <v>0</v>
      </c>
      <c r="AU214" s="292">
        <f t="shared" si="169"/>
        <v>0</v>
      </c>
      <c r="AV214" s="292">
        <f t="shared" si="170"/>
        <v>0</v>
      </c>
      <c r="AW214" s="292">
        <f t="shared" si="171"/>
        <v>0</v>
      </c>
      <c r="AX214" s="292">
        <f t="shared" si="172"/>
        <v>0</v>
      </c>
      <c r="AY214" s="292">
        <f t="shared" si="173"/>
        <v>0</v>
      </c>
      <c r="AZ214" s="292">
        <f t="shared" si="174"/>
        <v>0</v>
      </c>
      <c r="BA214" s="292">
        <f t="shared" si="175"/>
        <v>0</v>
      </c>
    </row>
    <row r="215" spans="1:53" s="289" customFormat="1" ht="15.75" customHeight="1">
      <c r="A215" s="63" t="str">
        <f t="array" ref="A215">IF(C215&lt;&gt;0,SUM(($C$11:C215&lt;&gt;0)*1),"")</f>
        <v/>
      </c>
      <c r="B215" s="290"/>
      <c r="C215" s="290"/>
      <c r="D215" s="290"/>
      <c r="E215" s="396"/>
      <c r="F215" s="345"/>
      <c r="G215" s="347"/>
      <c r="H215" s="347"/>
      <c r="I215" s="63" t="str">
        <f t="shared" si="137"/>
        <v/>
      </c>
      <c r="J215" s="292">
        <f t="shared" si="138"/>
        <v>0</v>
      </c>
      <c r="K215" s="292">
        <f t="shared" si="139"/>
        <v>0</v>
      </c>
      <c r="L215" s="292">
        <f t="shared" si="140"/>
        <v>0</v>
      </c>
      <c r="M215" s="292">
        <f t="shared" si="141"/>
        <v>0</v>
      </c>
      <c r="N215" s="292">
        <f t="shared" si="176"/>
        <v>0</v>
      </c>
      <c r="O215" s="292">
        <f t="shared" si="177"/>
        <v>0</v>
      </c>
      <c r="P215" s="292">
        <f t="shared" si="142"/>
        <v>0</v>
      </c>
      <c r="Q215" s="292">
        <f t="shared" si="143"/>
        <v>0</v>
      </c>
      <c r="R215" s="292">
        <f t="shared" si="144"/>
        <v>0</v>
      </c>
      <c r="S215" s="292">
        <f t="shared" si="145"/>
        <v>0</v>
      </c>
      <c r="T215" s="292">
        <f t="shared" si="178"/>
        <v>0</v>
      </c>
      <c r="U215" s="292">
        <f t="shared" si="179"/>
        <v>0</v>
      </c>
      <c r="V215" s="292">
        <f t="shared" si="146"/>
        <v>0</v>
      </c>
      <c r="W215" s="292">
        <f t="shared" si="147"/>
        <v>0</v>
      </c>
      <c r="X215" s="292">
        <f t="shared" si="148"/>
        <v>0</v>
      </c>
      <c r="Y215" s="292">
        <f t="shared" si="149"/>
        <v>0</v>
      </c>
      <c r="Z215" s="292">
        <f t="shared" si="150"/>
        <v>0</v>
      </c>
      <c r="AA215" s="292">
        <f t="shared" si="151"/>
        <v>0</v>
      </c>
      <c r="AB215" s="292">
        <f t="shared" si="152"/>
        <v>0</v>
      </c>
      <c r="AC215" s="292">
        <f t="shared" si="153"/>
        <v>0</v>
      </c>
      <c r="AD215" s="292">
        <f t="shared" si="154"/>
        <v>0</v>
      </c>
      <c r="AE215" s="292">
        <f t="shared" si="155"/>
        <v>0</v>
      </c>
      <c r="AF215" s="292">
        <f t="shared" si="180"/>
        <v>0</v>
      </c>
      <c r="AG215" s="292">
        <f t="shared" si="181"/>
        <v>0</v>
      </c>
      <c r="AH215" s="292">
        <f t="shared" si="156"/>
        <v>0</v>
      </c>
      <c r="AI215" s="292">
        <f t="shared" si="157"/>
        <v>0</v>
      </c>
      <c r="AJ215" s="292">
        <f t="shared" si="158"/>
        <v>0</v>
      </c>
      <c r="AK215" s="292">
        <f t="shared" si="159"/>
        <v>0</v>
      </c>
      <c r="AL215" s="292">
        <f t="shared" si="160"/>
        <v>0</v>
      </c>
      <c r="AM215" s="292">
        <f t="shared" si="161"/>
        <v>0</v>
      </c>
      <c r="AN215" s="292">
        <f t="shared" si="162"/>
        <v>0</v>
      </c>
      <c r="AO215" s="292">
        <f t="shared" si="163"/>
        <v>0</v>
      </c>
      <c r="AP215" s="292">
        <f t="shared" si="164"/>
        <v>0</v>
      </c>
      <c r="AQ215" s="292">
        <f t="shared" si="165"/>
        <v>0</v>
      </c>
      <c r="AR215" s="292">
        <f t="shared" si="166"/>
        <v>0</v>
      </c>
      <c r="AS215" s="292">
        <f t="shared" si="167"/>
        <v>0</v>
      </c>
      <c r="AT215" s="292">
        <f t="shared" si="168"/>
        <v>0</v>
      </c>
      <c r="AU215" s="292">
        <f t="shared" si="169"/>
        <v>0</v>
      </c>
      <c r="AV215" s="292">
        <f t="shared" si="170"/>
        <v>0</v>
      </c>
      <c r="AW215" s="292">
        <f t="shared" si="171"/>
        <v>0</v>
      </c>
      <c r="AX215" s="292">
        <f t="shared" si="172"/>
        <v>0</v>
      </c>
      <c r="AY215" s="292">
        <f t="shared" si="173"/>
        <v>0</v>
      </c>
      <c r="AZ215" s="292">
        <f t="shared" si="174"/>
        <v>0</v>
      </c>
      <c r="BA215" s="292">
        <f t="shared" si="175"/>
        <v>0</v>
      </c>
    </row>
    <row r="216" spans="1:53" s="289" customFormat="1" ht="15.75" customHeight="1">
      <c r="A216" s="63" t="str">
        <f t="array" ref="A216">IF(C216&lt;&gt;0,SUM(($C$11:C216&lt;&gt;0)*1),"")</f>
        <v/>
      </c>
      <c r="B216" s="290"/>
      <c r="C216" s="290"/>
      <c r="D216" s="290"/>
      <c r="E216" s="396"/>
      <c r="F216" s="345"/>
      <c r="G216" s="347"/>
      <c r="H216" s="347"/>
      <c r="I216" s="63" t="str">
        <f t="shared" si="137"/>
        <v/>
      </c>
      <c r="J216" s="292">
        <f t="shared" si="138"/>
        <v>0</v>
      </c>
      <c r="K216" s="292">
        <f t="shared" si="139"/>
        <v>0</v>
      </c>
      <c r="L216" s="292">
        <f t="shared" si="140"/>
        <v>0</v>
      </c>
      <c r="M216" s="292">
        <f t="shared" si="141"/>
        <v>0</v>
      </c>
      <c r="N216" s="292">
        <f t="shared" si="176"/>
        <v>0</v>
      </c>
      <c r="O216" s="292">
        <f t="shared" si="177"/>
        <v>0</v>
      </c>
      <c r="P216" s="292">
        <f t="shared" si="142"/>
        <v>0</v>
      </c>
      <c r="Q216" s="292">
        <f t="shared" si="143"/>
        <v>0</v>
      </c>
      <c r="R216" s="292">
        <f t="shared" si="144"/>
        <v>0</v>
      </c>
      <c r="S216" s="292">
        <f t="shared" si="145"/>
        <v>0</v>
      </c>
      <c r="T216" s="292">
        <f t="shared" si="178"/>
        <v>0</v>
      </c>
      <c r="U216" s="292">
        <f t="shared" si="179"/>
        <v>0</v>
      </c>
      <c r="V216" s="292">
        <f t="shared" si="146"/>
        <v>0</v>
      </c>
      <c r="W216" s="292">
        <f t="shared" si="147"/>
        <v>0</v>
      </c>
      <c r="X216" s="292">
        <f t="shared" si="148"/>
        <v>0</v>
      </c>
      <c r="Y216" s="292">
        <f t="shared" si="149"/>
        <v>0</v>
      </c>
      <c r="Z216" s="292">
        <f t="shared" si="150"/>
        <v>0</v>
      </c>
      <c r="AA216" s="292">
        <f t="shared" si="151"/>
        <v>0</v>
      </c>
      <c r="AB216" s="292">
        <f t="shared" si="152"/>
        <v>0</v>
      </c>
      <c r="AC216" s="292">
        <f t="shared" si="153"/>
        <v>0</v>
      </c>
      <c r="AD216" s="292">
        <f t="shared" si="154"/>
        <v>0</v>
      </c>
      <c r="AE216" s="292">
        <f t="shared" si="155"/>
        <v>0</v>
      </c>
      <c r="AF216" s="292">
        <f t="shared" si="180"/>
        <v>0</v>
      </c>
      <c r="AG216" s="292">
        <f t="shared" si="181"/>
        <v>0</v>
      </c>
      <c r="AH216" s="292">
        <f t="shared" si="156"/>
        <v>0</v>
      </c>
      <c r="AI216" s="292">
        <f t="shared" si="157"/>
        <v>0</v>
      </c>
      <c r="AJ216" s="292">
        <f t="shared" si="158"/>
        <v>0</v>
      </c>
      <c r="AK216" s="292">
        <f t="shared" si="159"/>
        <v>0</v>
      </c>
      <c r="AL216" s="292">
        <f t="shared" si="160"/>
        <v>0</v>
      </c>
      <c r="AM216" s="292">
        <f t="shared" si="161"/>
        <v>0</v>
      </c>
      <c r="AN216" s="292">
        <f t="shared" si="162"/>
        <v>0</v>
      </c>
      <c r="AO216" s="292">
        <f t="shared" si="163"/>
        <v>0</v>
      </c>
      <c r="AP216" s="292">
        <f t="shared" si="164"/>
        <v>0</v>
      </c>
      <c r="AQ216" s="292">
        <f t="shared" si="165"/>
        <v>0</v>
      </c>
      <c r="AR216" s="292">
        <f t="shared" si="166"/>
        <v>0</v>
      </c>
      <c r="AS216" s="292">
        <f t="shared" si="167"/>
        <v>0</v>
      </c>
      <c r="AT216" s="292">
        <f t="shared" si="168"/>
        <v>0</v>
      </c>
      <c r="AU216" s="292">
        <f t="shared" si="169"/>
        <v>0</v>
      </c>
      <c r="AV216" s="292">
        <f t="shared" si="170"/>
        <v>0</v>
      </c>
      <c r="AW216" s="292">
        <f t="shared" si="171"/>
        <v>0</v>
      </c>
      <c r="AX216" s="292">
        <f t="shared" si="172"/>
        <v>0</v>
      </c>
      <c r="AY216" s="292">
        <f t="shared" si="173"/>
        <v>0</v>
      </c>
      <c r="AZ216" s="292">
        <f t="shared" si="174"/>
        <v>0</v>
      </c>
      <c r="BA216" s="292">
        <f t="shared" si="175"/>
        <v>0</v>
      </c>
    </row>
    <row r="217" spans="1:53" s="289" customFormat="1" ht="15.75" customHeight="1">
      <c r="A217" s="63" t="str">
        <f t="array" ref="A217">IF(C217&lt;&gt;0,SUM(($C$11:C217&lt;&gt;0)*1),"")</f>
        <v/>
      </c>
      <c r="B217" s="290"/>
      <c r="C217" s="290"/>
      <c r="D217" s="290"/>
      <c r="E217" s="396"/>
      <c r="F217" s="345"/>
      <c r="G217" s="347"/>
      <c r="H217" s="347"/>
      <c r="I217" s="63" t="str">
        <f t="shared" si="137"/>
        <v/>
      </c>
      <c r="J217" s="292">
        <f t="shared" si="138"/>
        <v>0</v>
      </c>
      <c r="K217" s="292">
        <f t="shared" si="139"/>
        <v>0</v>
      </c>
      <c r="L217" s="292">
        <f t="shared" si="140"/>
        <v>0</v>
      </c>
      <c r="M217" s="292">
        <f t="shared" si="141"/>
        <v>0</v>
      </c>
      <c r="N217" s="292">
        <f t="shared" si="176"/>
        <v>0</v>
      </c>
      <c r="O217" s="292">
        <f t="shared" si="177"/>
        <v>0</v>
      </c>
      <c r="P217" s="292">
        <f t="shared" si="142"/>
        <v>0</v>
      </c>
      <c r="Q217" s="292">
        <f t="shared" si="143"/>
        <v>0</v>
      </c>
      <c r="R217" s="292">
        <f t="shared" si="144"/>
        <v>0</v>
      </c>
      <c r="S217" s="292">
        <f t="shared" si="145"/>
        <v>0</v>
      </c>
      <c r="T217" s="292">
        <f t="shared" si="178"/>
        <v>0</v>
      </c>
      <c r="U217" s="292">
        <f t="shared" si="179"/>
        <v>0</v>
      </c>
      <c r="V217" s="292">
        <f t="shared" si="146"/>
        <v>0</v>
      </c>
      <c r="W217" s="292">
        <f t="shared" si="147"/>
        <v>0</v>
      </c>
      <c r="X217" s="292">
        <f t="shared" si="148"/>
        <v>0</v>
      </c>
      <c r="Y217" s="292">
        <f t="shared" si="149"/>
        <v>0</v>
      </c>
      <c r="Z217" s="292">
        <f t="shared" si="150"/>
        <v>0</v>
      </c>
      <c r="AA217" s="292">
        <f t="shared" si="151"/>
        <v>0</v>
      </c>
      <c r="AB217" s="292">
        <f t="shared" si="152"/>
        <v>0</v>
      </c>
      <c r="AC217" s="292">
        <f t="shared" si="153"/>
        <v>0</v>
      </c>
      <c r="AD217" s="292">
        <f t="shared" si="154"/>
        <v>0</v>
      </c>
      <c r="AE217" s="292">
        <f t="shared" si="155"/>
        <v>0</v>
      </c>
      <c r="AF217" s="292">
        <f t="shared" si="180"/>
        <v>0</v>
      </c>
      <c r="AG217" s="292">
        <f t="shared" si="181"/>
        <v>0</v>
      </c>
      <c r="AH217" s="292">
        <f t="shared" si="156"/>
        <v>0</v>
      </c>
      <c r="AI217" s="292">
        <f t="shared" si="157"/>
        <v>0</v>
      </c>
      <c r="AJ217" s="292">
        <f t="shared" si="158"/>
        <v>0</v>
      </c>
      <c r="AK217" s="292">
        <f t="shared" si="159"/>
        <v>0</v>
      </c>
      <c r="AL217" s="292">
        <f t="shared" si="160"/>
        <v>0</v>
      </c>
      <c r="AM217" s="292">
        <f t="shared" si="161"/>
        <v>0</v>
      </c>
      <c r="AN217" s="292">
        <f t="shared" si="162"/>
        <v>0</v>
      </c>
      <c r="AO217" s="292">
        <f t="shared" si="163"/>
        <v>0</v>
      </c>
      <c r="AP217" s="292">
        <f t="shared" si="164"/>
        <v>0</v>
      </c>
      <c r="AQ217" s="292">
        <f t="shared" si="165"/>
        <v>0</v>
      </c>
      <c r="AR217" s="292">
        <f t="shared" si="166"/>
        <v>0</v>
      </c>
      <c r="AS217" s="292">
        <f t="shared" si="167"/>
        <v>0</v>
      </c>
      <c r="AT217" s="292">
        <f t="shared" si="168"/>
        <v>0</v>
      </c>
      <c r="AU217" s="292">
        <f t="shared" si="169"/>
        <v>0</v>
      </c>
      <c r="AV217" s="292">
        <f t="shared" si="170"/>
        <v>0</v>
      </c>
      <c r="AW217" s="292">
        <f t="shared" si="171"/>
        <v>0</v>
      </c>
      <c r="AX217" s="292">
        <f t="shared" si="172"/>
        <v>0</v>
      </c>
      <c r="AY217" s="292">
        <f t="shared" si="173"/>
        <v>0</v>
      </c>
      <c r="AZ217" s="292">
        <f t="shared" si="174"/>
        <v>0</v>
      </c>
      <c r="BA217" s="292">
        <f t="shared" si="175"/>
        <v>0</v>
      </c>
    </row>
    <row r="218" spans="1:53" s="289" customFormat="1" ht="15.75" customHeight="1">
      <c r="A218" s="63" t="str">
        <f t="array" ref="A218">IF(C218&lt;&gt;0,SUM(($C$11:C218&lt;&gt;0)*1),"")</f>
        <v/>
      </c>
      <c r="B218" s="290"/>
      <c r="C218" s="290"/>
      <c r="D218" s="290"/>
      <c r="E218" s="396"/>
      <c r="F218" s="345"/>
      <c r="G218" s="347"/>
      <c r="H218" s="347"/>
      <c r="I218" s="63" t="str">
        <f t="shared" si="137"/>
        <v/>
      </c>
      <c r="J218" s="292">
        <f t="shared" si="138"/>
        <v>0</v>
      </c>
      <c r="K218" s="292">
        <f t="shared" si="139"/>
        <v>0</v>
      </c>
      <c r="L218" s="292">
        <f t="shared" si="140"/>
        <v>0</v>
      </c>
      <c r="M218" s="292">
        <f t="shared" si="141"/>
        <v>0</v>
      </c>
      <c r="N218" s="292">
        <f t="shared" si="176"/>
        <v>0</v>
      </c>
      <c r="O218" s="292">
        <f t="shared" si="177"/>
        <v>0</v>
      </c>
      <c r="P218" s="292">
        <f t="shared" si="142"/>
        <v>0</v>
      </c>
      <c r="Q218" s="292">
        <f t="shared" si="143"/>
        <v>0</v>
      </c>
      <c r="R218" s="292">
        <f t="shared" si="144"/>
        <v>0</v>
      </c>
      <c r="S218" s="292">
        <f t="shared" si="145"/>
        <v>0</v>
      </c>
      <c r="T218" s="292">
        <f t="shared" si="178"/>
        <v>0</v>
      </c>
      <c r="U218" s="292">
        <f t="shared" si="179"/>
        <v>0</v>
      </c>
      <c r="V218" s="292">
        <f t="shared" si="146"/>
        <v>0</v>
      </c>
      <c r="W218" s="292">
        <f t="shared" si="147"/>
        <v>0</v>
      </c>
      <c r="X218" s="292">
        <f t="shared" si="148"/>
        <v>0</v>
      </c>
      <c r="Y218" s="292">
        <f t="shared" si="149"/>
        <v>0</v>
      </c>
      <c r="Z218" s="292">
        <f t="shared" si="150"/>
        <v>0</v>
      </c>
      <c r="AA218" s="292">
        <f t="shared" si="151"/>
        <v>0</v>
      </c>
      <c r="AB218" s="292">
        <f t="shared" si="152"/>
        <v>0</v>
      </c>
      <c r="AC218" s="292">
        <f t="shared" si="153"/>
        <v>0</v>
      </c>
      <c r="AD218" s="292">
        <f t="shared" si="154"/>
        <v>0</v>
      </c>
      <c r="AE218" s="292">
        <f t="shared" si="155"/>
        <v>0</v>
      </c>
      <c r="AF218" s="292">
        <f t="shared" si="180"/>
        <v>0</v>
      </c>
      <c r="AG218" s="292">
        <f t="shared" si="181"/>
        <v>0</v>
      </c>
      <c r="AH218" s="292">
        <f t="shared" si="156"/>
        <v>0</v>
      </c>
      <c r="AI218" s="292">
        <f t="shared" si="157"/>
        <v>0</v>
      </c>
      <c r="AJ218" s="292">
        <f t="shared" si="158"/>
        <v>0</v>
      </c>
      <c r="AK218" s="292">
        <f t="shared" si="159"/>
        <v>0</v>
      </c>
      <c r="AL218" s="292">
        <f t="shared" si="160"/>
        <v>0</v>
      </c>
      <c r="AM218" s="292">
        <f t="shared" si="161"/>
        <v>0</v>
      </c>
      <c r="AN218" s="292">
        <f t="shared" si="162"/>
        <v>0</v>
      </c>
      <c r="AO218" s="292">
        <f t="shared" si="163"/>
        <v>0</v>
      </c>
      <c r="AP218" s="292">
        <f t="shared" si="164"/>
        <v>0</v>
      </c>
      <c r="AQ218" s="292">
        <f t="shared" si="165"/>
        <v>0</v>
      </c>
      <c r="AR218" s="292">
        <f t="shared" si="166"/>
        <v>0</v>
      </c>
      <c r="AS218" s="292">
        <f t="shared" si="167"/>
        <v>0</v>
      </c>
      <c r="AT218" s="292">
        <f t="shared" si="168"/>
        <v>0</v>
      </c>
      <c r="AU218" s="292">
        <f t="shared" si="169"/>
        <v>0</v>
      </c>
      <c r="AV218" s="292">
        <f t="shared" si="170"/>
        <v>0</v>
      </c>
      <c r="AW218" s="292">
        <f t="shared" si="171"/>
        <v>0</v>
      </c>
      <c r="AX218" s="292">
        <f t="shared" si="172"/>
        <v>0</v>
      </c>
      <c r="AY218" s="292">
        <f t="shared" si="173"/>
        <v>0</v>
      </c>
      <c r="AZ218" s="292">
        <f t="shared" si="174"/>
        <v>0</v>
      </c>
      <c r="BA218" s="292">
        <f t="shared" si="175"/>
        <v>0</v>
      </c>
    </row>
    <row r="219" spans="1:53" s="289" customFormat="1" ht="15.75" customHeight="1">
      <c r="A219" s="63" t="str">
        <f t="array" ref="A219">IF(C219&lt;&gt;0,SUM(($C$11:C219&lt;&gt;0)*1),"")</f>
        <v/>
      </c>
      <c r="B219" s="290"/>
      <c r="C219" s="290"/>
      <c r="D219" s="290"/>
      <c r="E219" s="396"/>
      <c r="F219" s="345"/>
      <c r="G219" s="347"/>
      <c r="H219" s="347"/>
      <c r="I219" s="63" t="str">
        <f t="shared" si="137"/>
        <v/>
      </c>
      <c r="J219" s="292">
        <f t="shared" si="138"/>
        <v>0</v>
      </c>
      <c r="K219" s="292">
        <f t="shared" si="139"/>
        <v>0</v>
      </c>
      <c r="L219" s="292">
        <f t="shared" si="140"/>
        <v>0</v>
      </c>
      <c r="M219" s="292">
        <f t="shared" si="141"/>
        <v>0</v>
      </c>
      <c r="N219" s="292">
        <f t="shared" si="176"/>
        <v>0</v>
      </c>
      <c r="O219" s="292">
        <f t="shared" si="177"/>
        <v>0</v>
      </c>
      <c r="P219" s="292">
        <f t="shared" si="142"/>
        <v>0</v>
      </c>
      <c r="Q219" s="292">
        <f t="shared" si="143"/>
        <v>0</v>
      </c>
      <c r="R219" s="292">
        <f t="shared" si="144"/>
        <v>0</v>
      </c>
      <c r="S219" s="292">
        <f t="shared" si="145"/>
        <v>0</v>
      </c>
      <c r="T219" s="292">
        <f t="shared" si="178"/>
        <v>0</v>
      </c>
      <c r="U219" s="292">
        <f t="shared" si="179"/>
        <v>0</v>
      </c>
      <c r="V219" s="292">
        <f t="shared" si="146"/>
        <v>0</v>
      </c>
      <c r="W219" s="292">
        <f t="shared" si="147"/>
        <v>0</v>
      </c>
      <c r="X219" s="292">
        <f t="shared" si="148"/>
        <v>0</v>
      </c>
      <c r="Y219" s="292">
        <f t="shared" si="149"/>
        <v>0</v>
      </c>
      <c r="Z219" s="292">
        <f t="shared" si="150"/>
        <v>0</v>
      </c>
      <c r="AA219" s="292">
        <f t="shared" si="151"/>
        <v>0</v>
      </c>
      <c r="AB219" s="292">
        <f t="shared" si="152"/>
        <v>0</v>
      </c>
      <c r="AC219" s="292">
        <f t="shared" si="153"/>
        <v>0</v>
      </c>
      <c r="AD219" s="292">
        <f t="shared" si="154"/>
        <v>0</v>
      </c>
      <c r="AE219" s="292">
        <f t="shared" si="155"/>
        <v>0</v>
      </c>
      <c r="AF219" s="292">
        <f t="shared" si="180"/>
        <v>0</v>
      </c>
      <c r="AG219" s="292">
        <f t="shared" si="181"/>
        <v>0</v>
      </c>
      <c r="AH219" s="292">
        <f t="shared" si="156"/>
        <v>0</v>
      </c>
      <c r="AI219" s="292">
        <f t="shared" si="157"/>
        <v>0</v>
      </c>
      <c r="AJ219" s="292">
        <f t="shared" si="158"/>
        <v>0</v>
      </c>
      <c r="AK219" s="292">
        <f t="shared" si="159"/>
        <v>0</v>
      </c>
      <c r="AL219" s="292">
        <f t="shared" si="160"/>
        <v>0</v>
      </c>
      <c r="AM219" s="292">
        <f t="shared" si="161"/>
        <v>0</v>
      </c>
      <c r="AN219" s="292">
        <f t="shared" si="162"/>
        <v>0</v>
      </c>
      <c r="AO219" s="292">
        <f t="shared" si="163"/>
        <v>0</v>
      </c>
      <c r="AP219" s="292">
        <f t="shared" si="164"/>
        <v>0</v>
      </c>
      <c r="AQ219" s="292">
        <f t="shared" si="165"/>
        <v>0</v>
      </c>
      <c r="AR219" s="292">
        <f t="shared" si="166"/>
        <v>0</v>
      </c>
      <c r="AS219" s="292">
        <f t="shared" si="167"/>
        <v>0</v>
      </c>
      <c r="AT219" s="292">
        <f t="shared" si="168"/>
        <v>0</v>
      </c>
      <c r="AU219" s="292">
        <f t="shared" si="169"/>
        <v>0</v>
      </c>
      <c r="AV219" s="292">
        <f t="shared" si="170"/>
        <v>0</v>
      </c>
      <c r="AW219" s="292">
        <f t="shared" si="171"/>
        <v>0</v>
      </c>
      <c r="AX219" s="292">
        <f t="shared" si="172"/>
        <v>0</v>
      </c>
      <c r="AY219" s="292">
        <f t="shared" si="173"/>
        <v>0</v>
      </c>
      <c r="AZ219" s="292">
        <f t="shared" si="174"/>
        <v>0</v>
      </c>
      <c r="BA219" s="292">
        <f t="shared" si="175"/>
        <v>0</v>
      </c>
    </row>
    <row r="220" spans="1:53" s="289" customFormat="1" ht="15.75" customHeight="1">
      <c r="A220" s="63" t="str">
        <f t="array" ref="A220">IF(C220&lt;&gt;0,SUM(($C$11:C220&lt;&gt;0)*1),"")</f>
        <v/>
      </c>
      <c r="B220" s="290"/>
      <c r="C220" s="290"/>
      <c r="D220" s="290"/>
      <c r="E220" s="396"/>
      <c r="F220" s="345"/>
      <c r="G220" s="347"/>
      <c r="H220" s="347"/>
      <c r="I220" s="63" t="str">
        <f t="shared" si="137"/>
        <v/>
      </c>
      <c r="J220" s="292">
        <f t="shared" si="138"/>
        <v>0</v>
      </c>
      <c r="K220" s="292">
        <f t="shared" si="139"/>
        <v>0</v>
      </c>
      <c r="L220" s="292">
        <f t="shared" si="140"/>
        <v>0</v>
      </c>
      <c r="M220" s="292">
        <f t="shared" si="141"/>
        <v>0</v>
      </c>
      <c r="N220" s="292">
        <f t="shared" si="176"/>
        <v>0</v>
      </c>
      <c r="O220" s="292">
        <f t="shared" si="177"/>
        <v>0</v>
      </c>
      <c r="P220" s="292">
        <f t="shared" si="142"/>
        <v>0</v>
      </c>
      <c r="Q220" s="292">
        <f t="shared" si="143"/>
        <v>0</v>
      </c>
      <c r="R220" s="292">
        <f t="shared" si="144"/>
        <v>0</v>
      </c>
      <c r="S220" s="292">
        <f t="shared" si="145"/>
        <v>0</v>
      </c>
      <c r="T220" s="292">
        <f t="shared" si="178"/>
        <v>0</v>
      </c>
      <c r="U220" s="292">
        <f t="shared" si="179"/>
        <v>0</v>
      </c>
      <c r="V220" s="292">
        <f t="shared" si="146"/>
        <v>0</v>
      </c>
      <c r="W220" s="292">
        <f t="shared" si="147"/>
        <v>0</v>
      </c>
      <c r="X220" s="292">
        <f t="shared" si="148"/>
        <v>0</v>
      </c>
      <c r="Y220" s="292">
        <f t="shared" si="149"/>
        <v>0</v>
      </c>
      <c r="Z220" s="292">
        <f t="shared" si="150"/>
        <v>0</v>
      </c>
      <c r="AA220" s="292">
        <f t="shared" si="151"/>
        <v>0</v>
      </c>
      <c r="AB220" s="292">
        <f t="shared" si="152"/>
        <v>0</v>
      </c>
      <c r="AC220" s="292">
        <f t="shared" si="153"/>
        <v>0</v>
      </c>
      <c r="AD220" s="292">
        <f t="shared" si="154"/>
        <v>0</v>
      </c>
      <c r="AE220" s="292">
        <f t="shared" si="155"/>
        <v>0</v>
      </c>
      <c r="AF220" s="292">
        <f t="shared" si="180"/>
        <v>0</v>
      </c>
      <c r="AG220" s="292">
        <f t="shared" si="181"/>
        <v>0</v>
      </c>
      <c r="AH220" s="292">
        <f t="shared" si="156"/>
        <v>0</v>
      </c>
      <c r="AI220" s="292">
        <f t="shared" si="157"/>
        <v>0</v>
      </c>
      <c r="AJ220" s="292">
        <f t="shared" si="158"/>
        <v>0</v>
      </c>
      <c r="AK220" s="292">
        <f t="shared" si="159"/>
        <v>0</v>
      </c>
      <c r="AL220" s="292">
        <f t="shared" si="160"/>
        <v>0</v>
      </c>
      <c r="AM220" s="292">
        <f t="shared" si="161"/>
        <v>0</v>
      </c>
      <c r="AN220" s="292">
        <f t="shared" si="162"/>
        <v>0</v>
      </c>
      <c r="AO220" s="292">
        <f t="shared" si="163"/>
        <v>0</v>
      </c>
      <c r="AP220" s="292">
        <f t="shared" si="164"/>
        <v>0</v>
      </c>
      <c r="AQ220" s="292">
        <f t="shared" si="165"/>
        <v>0</v>
      </c>
      <c r="AR220" s="292">
        <f t="shared" si="166"/>
        <v>0</v>
      </c>
      <c r="AS220" s="292">
        <f t="shared" si="167"/>
        <v>0</v>
      </c>
      <c r="AT220" s="292">
        <f t="shared" si="168"/>
        <v>0</v>
      </c>
      <c r="AU220" s="292">
        <f t="shared" si="169"/>
        <v>0</v>
      </c>
      <c r="AV220" s="292">
        <f t="shared" si="170"/>
        <v>0</v>
      </c>
      <c r="AW220" s="292">
        <f t="shared" si="171"/>
        <v>0</v>
      </c>
      <c r="AX220" s="292">
        <f t="shared" si="172"/>
        <v>0</v>
      </c>
      <c r="AY220" s="292">
        <f t="shared" si="173"/>
        <v>0</v>
      </c>
      <c r="AZ220" s="292">
        <f t="shared" si="174"/>
        <v>0</v>
      </c>
      <c r="BA220" s="292">
        <f t="shared" si="175"/>
        <v>0</v>
      </c>
    </row>
    <row r="221" spans="1:53" s="289" customFormat="1" ht="15.75" customHeight="1">
      <c r="A221" s="63" t="str">
        <f t="array" ref="A221">IF(C221&lt;&gt;0,SUM(($C$11:C221&lt;&gt;0)*1),"")</f>
        <v/>
      </c>
      <c r="B221" s="290"/>
      <c r="C221" s="290"/>
      <c r="D221" s="290"/>
      <c r="E221" s="396"/>
      <c r="F221" s="345"/>
      <c r="G221" s="347"/>
      <c r="H221" s="347"/>
      <c r="I221" s="63" t="str">
        <f t="shared" si="137"/>
        <v/>
      </c>
      <c r="J221" s="292">
        <f t="shared" si="138"/>
        <v>0</v>
      </c>
      <c r="K221" s="292">
        <f t="shared" si="139"/>
        <v>0</v>
      </c>
      <c r="L221" s="292">
        <f t="shared" si="140"/>
        <v>0</v>
      </c>
      <c r="M221" s="292">
        <f t="shared" si="141"/>
        <v>0</v>
      </c>
      <c r="N221" s="292">
        <f t="shared" si="176"/>
        <v>0</v>
      </c>
      <c r="O221" s="292">
        <f t="shared" si="177"/>
        <v>0</v>
      </c>
      <c r="P221" s="292">
        <f t="shared" si="142"/>
        <v>0</v>
      </c>
      <c r="Q221" s="292">
        <f t="shared" si="143"/>
        <v>0</v>
      </c>
      <c r="R221" s="292">
        <f t="shared" si="144"/>
        <v>0</v>
      </c>
      <c r="S221" s="292">
        <f t="shared" si="145"/>
        <v>0</v>
      </c>
      <c r="T221" s="292">
        <f t="shared" si="178"/>
        <v>0</v>
      </c>
      <c r="U221" s="292">
        <f t="shared" si="179"/>
        <v>0</v>
      </c>
      <c r="V221" s="292">
        <f t="shared" si="146"/>
        <v>0</v>
      </c>
      <c r="W221" s="292">
        <f t="shared" si="147"/>
        <v>0</v>
      </c>
      <c r="X221" s="292">
        <f t="shared" si="148"/>
        <v>0</v>
      </c>
      <c r="Y221" s="292">
        <f t="shared" si="149"/>
        <v>0</v>
      </c>
      <c r="Z221" s="292">
        <f t="shared" si="150"/>
        <v>0</v>
      </c>
      <c r="AA221" s="292">
        <f t="shared" si="151"/>
        <v>0</v>
      </c>
      <c r="AB221" s="292">
        <f t="shared" si="152"/>
        <v>0</v>
      </c>
      <c r="AC221" s="292">
        <f t="shared" si="153"/>
        <v>0</v>
      </c>
      <c r="AD221" s="292">
        <f t="shared" si="154"/>
        <v>0</v>
      </c>
      <c r="AE221" s="292">
        <f t="shared" si="155"/>
        <v>0</v>
      </c>
      <c r="AF221" s="292">
        <f t="shared" si="180"/>
        <v>0</v>
      </c>
      <c r="AG221" s="292">
        <f t="shared" si="181"/>
        <v>0</v>
      </c>
      <c r="AH221" s="292">
        <f t="shared" si="156"/>
        <v>0</v>
      </c>
      <c r="AI221" s="292">
        <f t="shared" si="157"/>
        <v>0</v>
      </c>
      <c r="AJ221" s="292">
        <f t="shared" si="158"/>
        <v>0</v>
      </c>
      <c r="AK221" s="292">
        <f t="shared" si="159"/>
        <v>0</v>
      </c>
      <c r="AL221" s="292">
        <f t="shared" si="160"/>
        <v>0</v>
      </c>
      <c r="AM221" s="292">
        <f t="shared" si="161"/>
        <v>0</v>
      </c>
      <c r="AN221" s="292">
        <f t="shared" si="162"/>
        <v>0</v>
      </c>
      <c r="AO221" s="292">
        <f t="shared" si="163"/>
        <v>0</v>
      </c>
      <c r="AP221" s="292">
        <f t="shared" si="164"/>
        <v>0</v>
      </c>
      <c r="AQ221" s="292">
        <f t="shared" si="165"/>
        <v>0</v>
      </c>
      <c r="AR221" s="292">
        <f t="shared" si="166"/>
        <v>0</v>
      </c>
      <c r="AS221" s="292">
        <f t="shared" si="167"/>
        <v>0</v>
      </c>
      <c r="AT221" s="292">
        <f t="shared" si="168"/>
        <v>0</v>
      </c>
      <c r="AU221" s="292">
        <f t="shared" si="169"/>
        <v>0</v>
      </c>
      <c r="AV221" s="292">
        <f t="shared" si="170"/>
        <v>0</v>
      </c>
      <c r="AW221" s="292">
        <f t="shared" si="171"/>
        <v>0</v>
      </c>
      <c r="AX221" s="292">
        <f t="shared" si="172"/>
        <v>0</v>
      </c>
      <c r="AY221" s="292">
        <f t="shared" si="173"/>
        <v>0</v>
      </c>
      <c r="AZ221" s="292">
        <f t="shared" si="174"/>
        <v>0</v>
      </c>
      <c r="BA221" s="292">
        <f t="shared" si="175"/>
        <v>0</v>
      </c>
    </row>
    <row r="222" spans="1:53" s="289" customFormat="1" ht="15.75" customHeight="1">
      <c r="A222" s="63" t="str">
        <f t="array" ref="A222">IF(C222&lt;&gt;0,SUM(($C$11:C222&lt;&gt;0)*1),"")</f>
        <v/>
      </c>
      <c r="B222" s="290"/>
      <c r="C222" s="290"/>
      <c r="D222" s="290"/>
      <c r="E222" s="396"/>
      <c r="F222" s="345"/>
      <c r="G222" s="347"/>
      <c r="H222" s="347"/>
      <c r="I222" s="63" t="str">
        <f t="shared" si="137"/>
        <v/>
      </c>
      <c r="J222" s="292">
        <f t="shared" si="138"/>
        <v>0</v>
      </c>
      <c r="K222" s="292">
        <f t="shared" si="139"/>
        <v>0</v>
      </c>
      <c r="L222" s="292">
        <f t="shared" si="140"/>
        <v>0</v>
      </c>
      <c r="M222" s="292">
        <f t="shared" si="141"/>
        <v>0</v>
      </c>
      <c r="N222" s="292">
        <f t="shared" si="176"/>
        <v>0</v>
      </c>
      <c r="O222" s="292">
        <f t="shared" si="177"/>
        <v>0</v>
      </c>
      <c r="P222" s="292">
        <f t="shared" si="142"/>
        <v>0</v>
      </c>
      <c r="Q222" s="292">
        <f t="shared" si="143"/>
        <v>0</v>
      </c>
      <c r="R222" s="292">
        <f t="shared" si="144"/>
        <v>0</v>
      </c>
      <c r="S222" s="292">
        <f t="shared" si="145"/>
        <v>0</v>
      </c>
      <c r="T222" s="292">
        <f t="shared" si="178"/>
        <v>0</v>
      </c>
      <c r="U222" s="292">
        <f t="shared" si="179"/>
        <v>0</v>
      </c>
      <c r="V222" s="292">
        <f t="shared" si="146"/>
        <v>0</v>
      </c>
      <c r="W222" s="292">
        <f t="shared" si="147"/>
        <v>0</v>
      </c>
      <c r="X222" s="292">
        <f t="shared" si="148"/>
        <v>0</v>
      </c>
      <c r="Y222" s="292">
        <f t="shared" si="149"/>
        <v>0</v>
      </c>
      <c r="Z222" s="292">
        <f t="shared" si="150"/>
        <v>0</v>
      </c>
      <c r="AA222" s="292">
        <f t="shared" si="151"/>
        <v>0</v>
      </c>
      <c r="AB222" s="292">
        <f t="shared" si="152"/>
        <v>0</v>
      </c>
      <c r="AC222" s="292">
        <f t="shared" si="153"/>
        <v>0</v>
      </c>
      <c r="AD222" s="292">
        <f t="shared" si="154"/>
        <v>0</v>
      </c>
      <c r="AE222" s="292">
        <f t="shared" si="155"/>
        <v>0</v>
      </c>
      <c r="AF222" s="292">
        <f t="shared" si="180"/>
        <v>0</v>
      </c>
      <c r="AG222" s="292">
        <f t="shared" si="181"/>
        <v>0</v>
      </c>
      <c r="AH222" s="292">
        <f t="shared" si="156"/>
        <v>0</v>
      </c>
      <c r="AI222" s="292">
        <f t="shared" si="157"/>
        <v>0</v>
      </c>
      <c r="AJ222" s="292">
        <f t="shared" si="158"/>
        <v>0</v>
      </c>
      <c r="AK222" s="292">
        <f t="shared" si="159"/>
        <v>0</v>
      </c>
      <c r="AL222" s="292">
        <f t="shared" si="160"/>
        <v>0</v>
      </c>
      <c r="AM222" s="292">
        <f t="shared" si="161"/>
        <v>0</v>
      </c>
      <c r="AN222" s="292">
        <f t="shared" si="162"/>
        <v>0</v>
      </c>
      <c r="AO222" s="292">
        <f t="shared" si="163"/>
        <v>0</v>
      </c>
      <c r="AP222" s="292">
        <f t="shared" si="164"/>
        <v>0</v>
      </c>
      <c r="AQ222" s="292">
        <f t="shared" si="165"/>
        <v>0</v>
      </c>
      <c r="AR222" s="292">
        <f t="shared" si="166"/>
        <v>0</v>
      </c>
      <c r="AS222" s="292">
        <f t="shared" si="167"/>
        <v>0</v>
      </c>
      <c r="AT222" s="292">
        <f t="shared" si="168"/>
        <v>0</v>
      </c>
      <c r="AU222" s="292">
        <f t="shared" si="169"/>
        <v>0</v>
      </c>
      <c r="AV222" s="292">
        <f t="shared" si="170"/>
        <v>0</v>
      </c>
      <c r="AW222" s="292">
        <f t="shared" si="171"/>
        <v>0</v>
      </c>
      <c r="AX222" s="292">
        <f t="shared" si="172"/>
        <v>0</v>
      </c>
      <c r="AY222" s="292">
        <f t="shared" si="173"/>
        <v>0</v>
      </c>
      <c r="AZ222" s="292">
        <f t="shared" si="174"/>
        <v>0</v>
      </c>
      <c r="BA222" s="292">
        <f t="shared" si="175"/>
        <v>0</v>
      </c>
    </row>
    <row r="223" spans="1:53" s="289" customFormat="1" ht="15.75" customHeight="1">
      <c r="A223" s="63" t="str">
        <f t="array" ref="A223">IF(C223&lt;&gt;0,SUM(($C$11:C223&lt;&gt;0)*1),"")</f>
        <v/>
      </c>
      <c r="B223" s="290"/>
      <c r="C223" s="290"/>
      <c r="D223" s="290"/>
      <c r="E223" s="396"/>
      <c r="F223" s="345"/>
      <c r="G223" s="347"/>
      <c r="H223" s="347"/>
      <c r="I223" s="63" t="str">
        <f t="shared" si="137"/>
        <v/>
      </c>
      <c r="J223" s="292">
        <f t="shared" si="138"/>
        <v>0</v>
      </c>
      <c r="K223" s="292">
        <f t="shared" si="139"/>
        <v>0</v>
      </c>
      <c r="L223" s="292">
        <f t="shared" si="140"/>
        <v>0</v>
      </c>
      <c r="M223" s="292">
        <f t="shared" si="141"/>
        <v>0</v>
      </c>
      <c r="N223" s="292">
        <f t="shared" si="176"/>
        <v>0</v>
      </c>
      <c r="O223" s="292">
        <f t="shared" si="177"/>
        <v>0</v>
      </c>
      <c r="P223" s="292">
        <f t="shared" si="142"/>
        <v>0</v>
      </c>
      <c r="Q223" s="292">
        <f t="shared" si="143"/>
        <v>0</v>
      </c>
      <c r="R223" s="292">
        <f t="shared" si="144"/>
        <v>0</v>
      </c>
      <c r="S223" s="292">
        <f t="shared" si="145"/>
        <v>0</v>
      </c>
      <c r="T223" s="292">
        <f t="shared" si="178"/>
        <v>0</v>
      </c>
      <c r="U223" s="292">
        <f t="shared" si="179"/>
        <v>0</v>
      </c>
      <c r="V223" s="292">
        <f t="shared" si="146"/>
        <v>0</v>
      </c>
      <c r="W223" s="292">
        <f t="shared" si="147"/>
        <v>0</v>
      </c>
      <c r="X223" s="292">
        <f t="shared" si="148"/>
        <v>0</v>
      </c>
      <c r="Y223" s="292">
        <f t="shared" si="149"/>
        <v>0</v>
      </c>
      <c r="Z223" s="292">
        <f t="shared" si="150"/>
        <v>0</v>
      </c>
      <c r="AA223" s="292">
        <f t="shared" si="151"/>
        <v>0</v>
      </c>
      <c r="AB223" s="292">
        <f t="shared" si="152"/>
        <v>0</v>
      </c>
      <c r="AC223" s="292">
        <f t="shared" si="153"/>
        <v>0</v>
      </c>
      <c r="AD223" s="292">
        <f t="shared" si="154"/>
        <v>0</v>
      </c>
      <c r="AE223" s="292">
        <f t="shared" si="155"/>
        <v>0</v>
      </c>
      <c r="AF223" s="292">
        <f t="shared" si="180"/>
        <v>0</v>
      </c>
      <c r="AG223" s="292">
        <f t="shared" si="181"/>
        <v>0</v>
      </c>
      <c r="AH223" s="292">
        <f t="shared" si="156"/>
        <v>0</v>
      </c>
      <c r="AI223" s="292">
        <f t="shared" si="157"/>
        <v>0</v>
      </c>
      <c r="AJ223" s="292">
        <f t="shared" si="158"/>
        <v>0</v>
      </c>
      <c r="AK223" s="292">
        <f t="shared" si="159"/>
        <v>0</v>
      </c>
      <c r="AL223" s="292">
        <f t="shared" si="160"/>
        <v>0</v>
      </c>
      <c r="AM223" s="292">
        <f t="shared" si="161"/>
        <v>0</v>
      </c>
      <c r="AN223" s="292">
        <f t="shared" si="162"/>
        <v>0</v>
      </c>
      <c r="AO223" s="292">
        <f t="shared" si="163"/>
        <v>0</v>
      </c>
      <c r="AP223" s="292">
        <f t="shared" si="164"/>
        <v>0</v>
      </c>
      <c r="AQ223" s="292">
        <f t="shared" si="165"/>
        <v>0</v>
      </c>
      <c r="AR223" s="292">
        <f t="shared" si="166"/>
        <v>0</v>
      </c>
      <c r="AS223" s="292">
        <f t="shared" si="167"/>
        <v>0</v>
      </c>
      <c r="AT223" s="292">
        <f t="shared" si="168"/>
        <v>0</v>
      </c>
      <c r="AU223" s="292">
        <f t="shared" si="169"/>
        <v>0</v>
      </c>
      <c r="AV223" s="292">
        <f t="shared" si="170"/>
        <v>0</v>
      </c>
      <c r="AW223" s="292">
        <f t="shared" si="171"/>
        <v>0</v>
      </c>
      <c r="AX223" s="292">
        <f t="shared" si="172"/>
        <v>0</v>
      </c>
      <c r="AY223" s="292">
        <f t="shared" si="173"/>
        <v>0</v>
      </c>
      <c r="AZ223" s="292">
        <f t="shared" si="174"/>
        <v>0</v>
      </c>
      <c r="BA223" s="292">
        <f t="shared" si="175"/>
        <v>0</v>
      </c>
    </row>
    <row r="224" spans="1:53" s="289" customFormat="1" ht="15.75" customHeight="1">
      <c r="A224" s="63" t="str">
        <f t="array" ref="A224">IF(C224&lt;&gt;0,SUM(($C$11:C224&lt;&gt;0)*1),"")</f>
        <v/>
      </c>
      <c r="B224" s="290"/>
      <c r="C224" s="290"/>
      <c r="D224" s="290"/>
      <c r="E224" s="396"/>
      <c r="F224" s="345"/>
      <c r="G224" s="347"/>
      <c r="H224" s="347"/>
      <c r="I224" s="63" t="str">
        <f t="shared" si="137"/>
        <v/>
      </c>
      <c r="J224" s="292">
        <f t="shared" si="138"/>
        <v>0</v>
      </c>
      <c r="K224" s="292">
        <f t="shared" si="139"/>
        <v>0</v>
      </c>
      <c r="L224" s="292">
        <f t="shared" si="140"/>
        <v>0</v>
      </c>
      <c r="M224" s="292">
        <f t="shared" si="141"/>
        <v>0</v>
      </c>
      <c r="N224" s="292">
        <f t="shared" si="176"/>
        <v>0</v>
      </c>
      <c r="O224" s="292">
        <f t="shared" si="177"/>
        <v>0</v>
      </c>
      <c r="P224" s="292">
        <f t="shared" si="142"/>
        <v>0</v>
      </c>
      <c r="Q224" s="292">
        <f t="shared" si="143"/>
        <v>0</v>
      </c>
      <c r="R224" s="292">
        <f t="shared" si="144"/>
        <v>0</v>
      </c>
      <c r="S224" s="292">
        <f t="shared" si="145"/>
        <v>0</v>
      </c>
      <c r="T224" s="292">
        <f t="shared" si="178"/>
        <v>0</v>
      </c>
      <c r="U224" s="292">
        <f t="shared" si="179"/>
        <v>0</v>
      </c>
      <c r="V224" s="292">
        <f t="shared" si="146"/>
        <v>0</v>
      </c>
      <c r="W224" s="292">
        <f t="shared" si="147"/>
        <v>0</v>
      </c>
      <c r="X224" s="292">
        <f t="shared" si="148"/>
        <v>0</v>
      </c>
      <c r="Y224" s="292">
        <f t="shared" si="149"/>
        <v>0</v>
      </c>
      <c r="Z224" s="292">
        <f t="shared" si="150"/>
        <v>0</v>
      </c>
      <c r="AA224" s="292">
        <f t="shared" si="151"/>
        <v>0</v>
      </c>
      <c r="AB224" s="292">
        <f t="shared" si="152"/>
        <v>0</v>
      </c>
      <c r="AC224" s="292">
        <f t="shared" si="153"/>
        <v>0</v>
      </c>
      <c r="AD224" s="292">
        <f t="shared" si="154"/>
        <v>0</v>
      </c>
      <c r="AE224" s="292">
        <f t="shared" si="155"/>
        <v>0</v>
      </c>
      <c r="AF224" s="292">
        <f t="shared" si="180"/>
        <v>0</v>
      </c>
      <c r="AG224" s="292">
        <f t="shared" si="181"/>
        <v>0</v>
      </c>
      <c r="AH224" s="292">
        <f t="shared" si="156"/>
        <v>0</v>
      </c>
      <c r="AI224" s="292">
        <f t="shared" si="157"/>
        <v>0</v>
      </c>
      <c r="AJ224" s="292">
        <f t="shared" si="158"/>
        <v>0</v>
      </c>
      <c r="AK224" s="292">
        <f t="shared" si="159"/>
        <v>0</v>
      </c>
      <c r="AL224" s="292">
        <f t="shared" si="160"/>
        <v>0</v>
      </c>
      <c r="AM224" s="292">
        <f t="shared" si="161"/>
        <v>0</v>
      </c>
      <c r="AN224" s="292">
        <f t="shared" si="162"/>
        <v>0</v>
      </c>
      <c r="AO224" s="292">
        <f t="shared" si="163"/>
        <v>0</v>
      </c>
      <c r="AP224" s="292">
        <f t="shared" si="164"/>
        <v>0</v>
      </c>
      <c r="AQ224" s="292">
        <f t="shared" si="165"/>
        <v>0</v>
      </c>
      <c r="AR224" s="292">
        <f t="shared" si="166"/>
        <v>0</v>
      </c>
      <c r="AS224" s="292">
        <f t="shared" si="167"/>
        <v>0</v>
      </c>
      <c r="AT224" s="292">
        <f t="shared" si="168"/>
        <v>0</v>
      </c>
      <c r="AU224" s="292">
        <f t="shared" si="169"/>
        <v>0</v>
      </c>
      <c r="AV224" s="292">
        <f t="shared" si="170"/>
        <v>0</v>
      </c>
      <c r="AW224" s="292">
        <f t="shared" si="171"/>
        <v>0</v>
      </c>
      <c r="AX224" s="292">
        <f t="shared" si="172"/>
        <v>0</v>
      </c>
      <c r="AY224" s="292">
        <f t="shared" si="173"/>
        <v>0</v>
      </c>
      <c r="AZ224" s="292">
        <f t="shared" si="174"/>
        <v>0</v>
      </c>
      <c r="BA224" s="292">
        <f t="shared" si="175"/>
        <v>0</v>
      </c>
    </row>
    <row r="225" spans="1:53" s="289" customFormat="1" ht="15.75" customHeight="1">
      <c r="A225" s="63" t="str">
        <f t="array" ref="A225">IF(C225&lt;&gt;0,SUM(($C$11:C225&lt;&gt;0)*1),"")</f>
        <v/>
      </c>
      <c r="B225" s="290"/>
      <c r="C225" s="290"/>
      <c r="D225" s="290"/>
      <c r="E225" s="396"/>
      <c r="F225" s="345"/>
      <c r="G225" s="347"/>
      <c r="H225" s="347"/>
      <c r="I225" s="63" t="str">
        <f t="shared" si="137"/>
        <v/>
      </c>
      <c r="J225" s="292">
        <f t="shared" si="138"/>
        <v>0</v>
      </c>
      <c r="K225" s="292">
        <f t="shared" si="139"/>
        <v>0</v>
      </c>
      <c r="L225" s="292">
        <f t="shared" si="140"/>
        <v>0</v>
      </c>
      <c r="M225" s="292">
        <f t="shared" si="141"/>
        <v>0</v>
      </c>
      <c r="N225" s="292">
        <f t="shared" si="176"/>
        <v>0</v>
      </c>
      <c r="O225" s="292">
        <f t="shared" si="177"/>
        <v>0</v>
      </c>
      <c r="P225" s="292">
        <f t="shared" si="142"/>
        <v>0</v>
      </c>
      <c r="Q225" s="292">
        <f t="shared" si="143"/>
        <v>0</v>
      </c>
      <c r="R225" s="292">
        <f t="shared" si="144"/>
        <v>0</v>
      </c>
      <c r="S225" s="292">
        <f t="shared" si="145"/>
        <v>0</v>
      </c>
      <c r="T225" s="292">
        <f t="shared" si="178"/>
        <v>0</v>
      </c>
      <c r="U225" s="292">
        <f t="shared" si="179"/>
        <v>0</v>
      </c>
      <c r="V225" s="292">
        <f t="shared" si="146"/>
        <v>0</v>
      </c>
      <c r="W225" s="292">
        <f t="shared" si="147"/>
        <v>0</v>
      </c>
      <c r="X225" s="292">
        <f t="shared" si="148"/>
        <v>0</v>
      </c>
      <c r="Y225" s="292">
        <f t="shared" si="149"/>
        <v>0</v>
      </c>
      <c r="Z225" s="292">
        <f t="shared" si="150"/>
        <v>0</v>
      </c>
      <c r="AA225" s="292">
        <f t="shared" si="151"/>
        <v>0</v>
      </c>
      <c r="AB225" s="292">
        <f t="shared" si="152"/>
        <v>0</v>
      </c>
      <c r="AC225" s="292">
        <f t="shared" si="153"/>
        <v>0</v>
      </c>
      <c r="AD225" s="292">
        <f t="shared" si="154"/>
        <v>0</v>
      </c>
      <c r="AE225" s="292">
        <f t="shared" si="155"/>
        <v>0</v>
      </c>
      <c r="AF225" s="292">
        <f t="shared" si="180"/>
        <v>0</v>
      </c>
      <c r="AG225" s="292">
        <f t="shared" si="181"/>
        <v>0</v>
      </c>
      <c r="AH225" s="292">
        <f t="shared" si="156"/>
        <v>0</v>
      </c>
      <c r="AI225" s="292">
        <f t="shared" si="157"/>
        <v>0</v>
      </c>
      <c r="AJ225" s="292">
        <f t="shared" si="158"/>
        <v>0</v>
      </c>
      <c r="AK225" s="292">
        <f t="shared" si="159"/>
        <v>0</v>
      </c>
      <c r="AL225" s="292">
        <f t="shared" si="160"/>
        <v>0</v>
      </c>
      <c r="AM225" s="292">
        <f t="shared" si="161"/>
        <v>0</v>
      </c>
      <c r="AN225" s="292">
        <f t="shared" si="162"/>
        <v>0</v>
      </c>
      <c r="AO225" s="292">
        <f t="shared" si="163"/>
        <v>0</v>
      </c>
      <c r="AP225" s="292">
        <f t="shared" si="164"/>
        <v>0</v>
      </c>
      <c r="AQ225" s="292">
        <f t="shared" si="165"/>
        <v>0</v>
      </c>
      <c r="AR225" s="292">
        <f t="shared" si="166"/>
        <v>0</v>
      </c>
      <c r="AS225" s="292">
        <f t="shared" si="167"/>
        <v>0</v>
      </c>
      <c r="AT225" s="292">
        <f t="shared" si="168"/>
        <v>0</v>
      </c>
      <c r="AU225" s="292">
        <f t="shared" si="169"/>
        <v>0</v>
      </c>
      <c r="AV225" s="292">
        <f t="shared" si="170"/>
        <v>0</v>
      </c>
      <c r="AW225" s="292">
        <f t="shared" si="171"/>
        <v>0</v>
      </c>
      <c r="AX225" s="292">
        <f t="shared" si="172"/>
        <v>0</v>
      </c>
      <c r="AY225" s="292">
        <f t="shared" si="173"/>
        <v>0</v>
      </c>
      <c r="AZ225" s="292">
        <f t="shared" si="174"/>
        <v>0</v>
      </c>
      <c r="BA225" s="292">
        <f t="shared" si="175"/>
        <v>0</v>
      </c>
    </row>
    <row r="226" spans="1:53" s="289" customFormat="1" ht="15.75" customHeight="1">
      <c r="A226" s="63" t="str">
        <f t="array" ref="A226">IF(C226&lt;&gt;0,SUM(($C$11:C226&lt;&gt;0)*1),"")</f>
        <v/>
      </c>
      <c r="B226" s="290"/>
      <c r="C226" s="290"/>
      <c r="D226" s="290"/>
      <c r="E226" s="396"/>
      <c r="F226" s="345"/>
      <c r="G226" s="347"/>
      <c r="H226" s="347"/>
      <c r="I226" s="63" t="str">
        <f t="shared" si="137"/>
        <v/>
      </c>
      <c r="J226" s="292">
        <f t="shared" si="138"/>
        <v>0</v>
      </c>
      <c r="K226" s="292">
        <f t="shared" si="139"/>
        <v>0</v>
      </c>
      <c r="L226" s="292">
        <f t="shared" si="140"/>
        <v>0</v>
      </c>
      <c r="M226" s="292">
        <f t="shared" si="141"/>
        <v>0</v>
      </c>
      <c r="N226" s="292">
        <f t="shared" si="176"/>
        <v>0</v>
      </c>
      <c r="O226" s="292">
        <f t="shared" si="177"/>
        <v>0</v>
      </c>
      <c r="P226" s="292">
        <f t="shared" si="142"/>
        <v>0</v>
      </c>
      <c r="Q226" s="292">
        <f t="shared" si="143"/>
        <v>0</v>
      </c>
      <c r="R226" s="292">
        <f t="shared" si="144"/>
        <v>0</v>
      </c>
      <c r="S226" s="292">
        <f t="shared" si="145"/>
        <v>0</v>
      </c>
      <c r="T226" s="292">
        <f t="shared" si="178"/>
        <v>0</v>
      </c>
      <c r="U226" s="292">
        <f t="shared" si="179"/>
        <v>0</v>
      </c>
      <c r="V226" s="292">
        <f t="shared" si="146"/>
        <v>0</v>
      </c>
      <c r="W226" s="292">
        <f t="shared" si="147"/>
        <v>0</v>
      </c>
      <c r="X226" s="292">
        <f t="shared" si="148"/>
        <v>0</v>
      </c>
      <c r="Y226" s="292">
        <f t="shared" si="149"/>
        <v>0</v>
      </c>
      <c r="Z226" s="292">
        <f t="shared" si="150"/>
        <v>0</v>
      </c>
      <c r="AA226" s="292">
        <f t="shared" si="151"/>
        <v>0</v>
      </c>
      <c r="AB226" s="292">
        <f t="shared" si="152"/>
        <v>0</v>
      </c>
      <c r="AC226" s="292">
        <f t="shared" si="153"/>
        <v>0</v>
      </c>
      <c r="AD226" s="292">
        <f t="shared" si="154"/>
        <v>0</v>
      </c>
      <c r="AE226" s="292">
        <f t="shared" si="155"/>
        <v>0</v>
      </c>
      <c r="AF226" s="292">
        <f t="shared" si="180"/>
        <v>0</v>
      </c>
      <c r="AG226" s="292">
        <f t="shared" si="181"/>
        <v>0</v>
      </c>
      <c r="AH226" s="292">
        <f t="shared" si="156"/>
        <v>0</v>
      </c>
      <c r="AI226" s="292">
        <f t="shared" si="157"/>
        <v>0</v>
      </c>
      <c r="AJ226" s="292">
        <f t="shared" si="158"/>
        <v>0</v>
      </c>
      <c r="AK226" s="292">
        <f t="shared" si="159"/>
        <v>0</v>
      </c>
      <c r="AL226" s="292">
        <f t="shared" si="160"/>
        <v>0</v>
      </c>
      <c r="AM226" s="292">
        <f t="shared" si="161"/>
        <v>0</v>
      </c>
      <c r="AN226" s="292">
        <f t="shared" si="162"/>
        <v>0</v>
      </c>
      <c r="AO226" s="292">
        <f t="shared" si="163"/>
        <v>0</v>
      </c>
      <c r="AP226" s="292">
        <f t="shared" si="164"/>
        <v>0</v>
      </c>
      <c r="AQ226" s="292">
        <f t="shared" si="165"/>
        <v>0</v>
      </c>
      <c r="AR226" s="292">
        <f t="shared" si="166"/>
        <v>0</v>
      </c>
      <c r="AS226" s="292">
        <f t="shared" si="167"/>
        <v>0</v>
      </c>
      <c r="AT226" s="292">
        <f t="shared" si="168"/>
        <v>0</v>
      </c>
      <c r="AU226" s="292">
        <f t="shared" si="169"/>
        <v>0</v>
      </c>
      <c r="AV226" s="292">
        <f t="shared" si="170"/>
        <v>0</v>
      </c>
      <c r="AW226" s="292">
        <f t="shared" si="171"/>
        <v>0</v>
      </c>
      <c r="AX226" s="292">
        <f t="shared" si="172"/>
        <v>0</v>
      </c>
      <c r="AY226" s="292">
        <f t="shared" si="173"/>
        <v>0</v>
      </c>
      <c r="AZ226" s="292">
        <f t="shared" si="174"/>
        <v>0</v>
      </c>
      <c r="BA226" s="292">
        <f t="shared" si="175"/>
        <v>0</v>
      </c>
    </row>
    <row r="227" spans="1:53" s="289" customFormat="1" ht="15.75" customHeight="1">
      <c r="A227" s="63" t="str">
        <f t="array" ref="A227">IF(C227&lt;&gt;0,SUM(($C$11:C227&lt;&gt;0)*1),"")</f>
        <v/>
      </c>
      <c r="B227" s="290"/>
      <c r="C227" s="290"/>
      <c r="D227" s="290"/>
      <c r="E227" s="396"/>
      <c r="F227" s="345"/>
      <c r="G227" s="347"/>
      <c r="H227" s="347"/>
      <c r="I227" s="63" t="str">
        <f t="shared" si="137"/>
        <v/>
      </c>
      <c r="J227" s="292">
        <f t="shared" si="138"/>
        <v>0</v>
      </c>
      <c r="K227" s="292">
        <f t="shared" si="139"/>
        <v>0</v>
      </c>
      <c r="L227" s="292">
        <f t="shared" si="140"/>
        <v>0</v>
      </c>
      <c r="M227" s="292">
        <f t="shared" si="141"/>
        <v>0</v>
      </c>
      <c r="N227" s="292">
        <f t="shared" si="176"/>
        <v>0</v>
      </c>
      <c r="O227" s="292">
        <f t="shared" si="177"/>
        <v>0</v>
      </c>
      <c r="P227" s="292">
        <f t="shared" si="142"/>
        <v>0</v>
      </c>
      <c r="Q227" s="292">
        <f t="shared" si="143"/>
        <v>0</v>
      </c>
      <c r="R227" s="292">
        <f t="shared" si="144"/>
        <v>0</v>
      </c>
      <c r="S227" s="292">
        <f t="shared" si="145"/>
        <v>0</v>
      </c>
      <c r="T227" s="292">
        <f t="shared" si="178"/>
        <v>0</v>
      </c>
      <c r="U227" s="292">
        <f t="shared" si="179"/>
        <v>0</v>
      </c>
      <c r="V227" s="292">
        <f t="shared" si="146"/>
        <v>0</v>
      </c>
      <c r="W227" s="292">
        <f t="shared" si="147"/>
        <v>0</v>
      </c>
      <c r="X227" s="292">
        <f t="shared" si="148"/>
        <v>0</v>
      </c>
      <c r="Y227" s="292">
        <f t="shared" si="149"/>
        <v>0</v>
      </c>
      <c r="Z227" s="292">
        <f t="shared" si="150"/>
        <v>0</v>
      </c>
      <c r="AA227" s="292">
        <f t="shared" si="151"/>
        <v>0</v>
      </c>
      <c r="AB227" s="292">
        <f t="shared" si="152"/>
        <v>0</v>
      </c>
      <c r="AC227" s="292">
        <f t="shared" si="153"/>
        <v>0</v>
      </c>
      <c r="AD227" s="292">
        <f t="shared" si="154"/>
        <v>0</v>
      </c>
      <c r="AE227" s="292">
        <f t="shared" si="155"/>
        <v>0</v>
      </c>
      <c r="AF227" s="292">
        <f t="shared" si="180"/>
        <v>0</v>
      </c>
      <c r="AG227" s="292">
        <f t="shared" si="181"/>
        <v>0</v>
      </c>
      <c r="AH227" s="292">
        <f t="shared" si="156"/>
        <v>0</v>
      </c>
      <c r="AI227" s="292">
        <f t="shared" si="157"/>
        <v>0</v>
      </c>
      <c r="AJ227" s="292">
        <f t="shared" si="158"/>
        <v>0</v>
      </c>
      <c r="AK227" s="292">
        <f t="shared" si="159"/>
        <v>0</v>
      </c>
      <c r="AL227" s="292">
        <f t="shared" si="160"/>
        <v>0</v>
      </c>
      <c r="AM227" s="292">
        <f t="shared" si="161"/>
        <v>0</v>
      </c>
      <c r="AN227" s="292">
        <f t="shared" si="162"/>
        <v>0</v>
      </c>
      <c r="AO227" s="292">
        <f t="shared" si="163"/>
        <v>0</v>
      </c>
      <c r="AP227" s="292">
        <f t="shared" si="164"/>
        <v>0</v>
      </c>
      <c r="AQ227" s="292">
        <f t="shared" si="165"/>
        <v>0</v>
      </c>
      <c r="AR227" s="292">
        <f t="shared" si="166"/>
        <v>0</v>
      </c>
      <c r="AS227" s="292">
        <f t="shared" si="167"/>
        <v>0</v>
      </c>
      <c r="AT227" s="292">
        <f t="shared" si="168"/>
        <v>0</v>
      </c>
      <c r="AU227" s="292">
        <f t="shared" si="169"/>
        <v>0</v>
      </c>
      <c r="AV227" s="292">
        <f t="shared" si="170"/>
        <v>0</v>
      </c>
      <c r="AW227" s="292">
        <f t="shared" si="171"/>
        <v>0</v>
      </c>
      <c r="AX227" s="292">
        <f t="shared" si="172"/>
        <v>0</v>
      </c>
      <c r="AY227" s="292">
        <f t="shared" si="173"/>
        <v>0</v>
      </c>
      <c r="AZ227" s="292">
        <f t="shared" si="174"/>
        <v>0</v>
      </c>
      <c r="BA227" s="292">
        <f t="shared" si="175"/>
        <v>0</v>
      </c>
    </row>
    <row r="228" spans="1:53" s="289" customFormat="1" ht="15.75" customHeight="1">
      <c r="A228" s="63" t="str">
        <f t="array" ref="A228">IF(C228&lt;&gt;0,SUM(($C$11:C228&lt;&gt;0)*1),"")</f>
        <v/>
      </c>
      <c r="B228" s="290"/>
      <c r="C228" s="290"/>
      <c r="D228" s="290"/>
      <c r="E228" s="396"/>
      <c r="F228" s="345"/>
      <c r="G228" s="347"/>
      <c r="H228" s="347"/>
      <c r="I228" s="63" t="str">
        <f t="shared" si="137"/>
        <v/>
      </c>
      <c r="J228" s="292">
        <f t="shared" si="138"/>
        <v>0</v>
      </c>
      <c r="K228" s="292">
        <f t="shared" si="139"/>
        <v>0</v>
      </c>
      <c r="L228" s="292">
        <f t="shared" si="140"/>
        <v>0</v>
      </c>
      <c r="M228" s="292">
        <f t="shared" si="141"/>
        <v>0</v>
      </c>
      <c r="N228" s="292">
        <f t="shared" si="176"/>
        <v>0</v>
      </c>
      <c r="O228" s="292">
        <f t="shared" si="177"/>
        <v>0</v>
      </c>
      <c r="P228" s="292">
        <f t="shared" si="142"/>
        <v>0</v>
      </c>
      <c r="Q228" s="292">
        <f t="shared" si="143"/>
        <v>0</v>
      </c>
      <c r="R228" s="292">
        <f t="shared" si="144"/>
        <v>0</v>
      </c>
      <c r="S228" s="292">
        <f t="shared" si="145"/>
        <v>0</v>
      </c>
      <c r="T228" s="292">
        <f t="shared" si="178"/>
        <v>0</v>
      </c>
      <c r="U228" s="292">
        <f t="shared" si="179"/>
        <v>0</v>
      </c>
      <c r="V228" s="292">
        <f t="shared" si="146"/>
        <v>0</v>
      </c>
      <c r="W228" s="292">
        <f t="shared" si="147"/>
        <v>0</v>
      </c>
      <c r="X228" s="292">
        <f t="shared" si="148"/>
        <v>0</v>
      </c>
      <c r="Y228" s="292">
        <f t="shared" si="149"/>
        <v>0</v>
      </c>
      <c r="Z228" s="292">
        <f t="shared" si="150"/>
        <v>0</v>
      </c>
      <c r="AA228" s="292">
        <f t="shared" si="151"/>
        <v>0</v>
      </c>
      <c r="AB228" s="292">
        <f t="shared" si="152"/>
        <v>0</v>
      </c>
      <c r="AC228" s="292">
        <f t="shared" si="153"/>
        <v>0</v>
      </c>
      <c r="AD228" s="292">
        <f t="shared" si="154"/>
        <v>0</v>
      </c>
      <c r="AE228" s="292">
        <f t="shared" si="155"/>
        <v>0</v>
      </c>
      <c r="AF228" s="292">
        <f t="shared" si="180"/>
        <v>0</v>
      </c>
      <c r="AG228" s="292">
        <f t="shared" si="181"/>
        <v>0</v>
      </c>
      <c r="AH228" s="292">
        <f t="shared" si="156"/>
        <v>0</v>
      </c>
      <c r="AI228" s="292">
        <f t="shared" si="157"/>
        <v>0</v>
      </c>
      <c r="AJ228" s="292">
        <f t="shared" si="158"/>
        <v>0</v>
      </c>
      <c r="AK228" s="292">
        <f t="shared" si="159"/>
        <v>0</v>
      </c>
      <c r="AL228" s="292">
        <f t="shared" si="160"/>
        <v>0</v>
      </c>
      <c r="AM228" s="292">
        <f t="shared" si="161"/>
        <v>0</v>
      </c>
      <c r="AN228" s="292">
        <f t="shared" si="162"/>
        <v>0</v>
      </c>
      <c r="AO228" s="292">
        <f t="shared" si="163"/>
        <v>0</v>
      </c>
      <c r="AP228" s="292">
        <f t="shared" si="164"/>
        <v>0</v>
      </c>
      <c r="AQ228" s="292">
        <f t="shared" si="165"/>
        <v>0</v>
      </c>
      <c r="AR228" s="292">
        <f t="shared" si="166"/>
        <v>0</v>
      </c>
      <c r="AS228" s="292">
        <f t="shared" si="167"/>
        <v>0</v>
      </c>
      <c r="AT228" s="292">
        <f t="shared" si="168"/>
        <v>0</v>
      </c>
      <c r="AU228" s="292">
        <f t="shared" si="169"/>
        <v>0</v>
      </c>
      <c r="AV228" s="292">
        <f t="shared" si="170"/>
        <v>0</v>
      </c>
      <c r="AW228" s="292">
        <f t="shared" si="171"/>
        <v>0</v>
      </c>
      <c r="AX228" s="292">
        <f t="shared" si="172"/>
        <v>0</v>
      </c>
      <c r="AY228" s="292">
        <f t="shared" si="173"/>
        <v>0</v>
      </c>
      <c r="AZ228" s="292">
        <f t="shared" si="174"/>
        <v>0</v>
      </c>
      <c r="BA228" s="292">
        <f t="shared" si="175"/>
        <v>0</v>
      </c>
    </row>
    <row r="229" spans="1:53" s="289" customFormat="1" ht="15.75" customHeight="1">
      <c r="A229" s="63" t="str">
        <f t="array" ref="A229">IF(C229&lt;&gt;0,SUM(($C$11:C229&lt;&gt;0)*1),"")</f>
        <v/>
      </c>
      <c r="B229" s="290"/>
      <c r="C229" s="290"/>
      <c r="D229" s="290"/>
      <c r="E229" s="396"/>
      <c r="F229" s="345"/>
      <c r="G229" s="347"/>
      <c r="H229" s="347"/>
      <c r="I229" s="63" t="str">
        <f t="shared" si="137"/>
        <v/>
      </c>
      <c r="J229" s="292">
        <f t="shared" si="138"/>
        <v>0</v>
      </c>
      <c r="K229" s="292">
        <f t="shared" si="139"/>
        <v>0</v>
      </c>
      <c r="L229" s="292">
        <f t="shared" si="140"/>
        <v>0</v>
      </c>
      <c r="M229" s="292">
        <f t="shared" si="141"/>
        <v>0</v>
      </c>
      <c r="N229" s="292">
        <f t="shared" si="176"/>
        <v>0</v>
      </c>
      <c r="O229" s="292">
        <f t="shared" si="177"/>
        <v>0</v>
      </c>
      <c r="P229" s="292">
        <f t="shared" si="142"/>
        <v>0</v>
      </c>
      <c r="Q229" s="292">
        <f t="shared" si="143"/>
        <v>0</v>
      </c>
      <c r="R229" s="292">
        <f t="shared" si="144"/>
        <v>0</v>
      </c>
      <c r="S229" s="292">
        <f t="shared" si="145"/>
        <v>0</v>
      </c>
      <c r="T229" s="292">
        <f t="shared" si="178"/>
        <v>0</v>
      </c>
      <c r="U229" s="292">
        <f t="shared" si="179"/>
        <v>0</v>
      </c>
      <c r="V229" s="292">
        <f t="shared" si="146"/>
        <v>0</v>
      </c>
      <c r="W229" s="292">
        <f t="shared" si="147"/>
        <v>0</v>
      </c>
      <c r="X229" s="292">
        <f t="shared" si="148"/>
        <v>0</v>
      </c>
      <c r="Y229" s="292">
        <f t="shared" si="149"/>
        <v>0</v>
      </c>
      <c r="Z229" s="292">
        <f t="shared" si="150"/>
        <v>0</v>
      </c>
      <c r="AA229" s="292">
        <f t="shared" si="151"/>
        <v>0</v>
      </c>
      <c r="AB229" s="292">
        <f t="shared" si="152"/>
        <v>0</v>
      </c>
      <c r="AC229" s="292">
        <f t="shared" si="153"/>
        <v>0</v>
      </c>
      <c r="AD229" s="292">
        <f t="shared" si="154"/>
        <v>0</v>
      </c>
      <c r="AE229" s="292">
        <f t="shared" si="155"/>
        <v>0</v>
      </c>
      <c r="AF229" s="292">
        <f t="shared" si="180"/>
        <v>0</v>
      </c>
      <c r="AG229" s="292">
        <f t="shared" si="181"/>
        <v>0</v>
      </c>
      <c r="AH229" s="292">
        <f t="shared" si="156"/>
        <v>0</v>
      </c>
      <c r="AI229" s="292">
        <f t="shared" si="157"/>
        <v>0</v>
      </c>
      <c r="AJ229" s="292">
        <f t="shared" si="158"/>
        <v>0</v>
      </c>
      <c r="AK229" s="292">
        <f t="shared" si="159"/>
        <v>0</v>
      </c>
      <c r="AL229" s="292">
        <f t="shared" si="160"/>
        <v>0</v>
      </c>
      <c r="AM229" s="292">
        <f t="shared" si="161"/>
        <v>0</v>
      </c>
      <c r="AN229" s="292">
        <f t="shared" si="162"/>
        <v>0</v>
      </c>
      <c r="AO229" s="292">
        <f t="shared" si="163"/>
        <v>0</v>
      </c>
      <c r="AP229" s="292">
        <f t="shared" si="164"/>
        <v>0</v>
      </c>
      <c r="AQ229" s="292">
        <f t="shared" si="165"/>
        <v>0</v>
      </c>
      <c r="AR229" s="292">
        <f t="shared" si="166"/>
        <v>0</v>
      </c>
      <c r="AS229" s="292">
        <f t="shared" si="167"/>
        <v>0</v>
      </c>
      <c r="AT229" s="292">
        <f t="shared" si="168"/>
        <v>0</v>
      </c>
      <c r="AU229" s="292">
        <f t="shared" si="169"/>
        <v>0</v>
      </c>
      <c r="AV229" s="292">
        <f t="shared" si="170"/>
        <v>0</v>
      </c>
      <c r="AW229" s="292">
        <f t="shared" si="171"/>
        <v>0</v>
      </c>
      <c r="AX229" s="292">
        <f t="shared" si="172"/>
        <v>0</v>
      </c>
      <c r="AY229" s="292">
        <f t="shared" si="173"/>
        <v>0</v>
      </c>
      <c r="AZ229" s="292">
        <f t="shared" si="174"/>
        <v>0</v>
      </c>
      <c r="BA229" s="292">
        <f t="shared" si="175"/>
        <v>0</v>
      </c>
    </row>
    <row r="230" spans="1:53" s="289" customFormat="1" ht="15.75" customHeight="1">
      <c r="A230" s="63" t="str">
        <f t="array" ref="A230">IF(C230&lt;&gt;0,SUM(($C$11:C230&lt;&gt;0)*1),"")</f>
        <v/>
      </c>
      <c r="B230" s="290"/>
      <c r="C230" s="290"/>
      <c r="D230" s="290"/>
      <c r="E230" s="396"/>
      <c r="F230" s="345"/>
      <c r="G230" s="347"/>
      <c r="H230" s="347"/>
      <c r="I230" s="63" t="str">
        <f t="shared" si="137"/>
        <v/>
      </c>
      <c r="J230" s="292">
        <f t="shared" si="138"/>
        <v>0</v>
      </c>
      <c r="K230" s="292">
        <f t="shared" si="139"/>
        <v>0</v>
      </c>
      <c r="L230" s="292">
        <f t="shared" si="140"/>
        <v>0</v>
      </c>
      <c r="M230" s="292">
        <f t="shared" si="141"/>
        <v>0</v>
      </c>
      <c r="N230" s="292">
        <f t="shared" si="176"/>
        <v>0</v>
      </c>
      <c r="O230" s="292">
        <f t="shared" si="177"/>
        <v>0</v>
      </c>
      <c r="P230" s="292">
        <f t="shared" si="142"/>
        <v>0</v>
      </c>
      <c r="Q230" s="292">
        <f t="shared" si="143"/>
        <v>0</v>
      </c>
      <c r="R230" s="292">
        <f t="shared" si="144"/>
        <v>0</v>
      </c>
      <c r="S230" s="292">
        <f t="shared" si="145"/>
        <v>0</v>
      </c>
      <c r="T230" s="292">
        <f t="shared" si="178"/>
        <v>0</v>
      </c>
      <c r="U230" s="292">
        <f t="shared" si="179"/>
        <v>0</v>
      </c>
      <c r="V230" s="292">
        <f t="shared" si="146"/>
        <v>0</v>
      </c>
      <c r="W230" s="292">
        <f t="shared" si="147"/>
        <v>0</v>
      </c>
      <c r="X230" s="292">
        <f t="shared" si="148"/>
        <v>0</v>
      </c>
      <c r="Y230" s="292">
        <f t="shared" si="149"/>
        <v>0</v>
      </c>
      <c r="Z230" s="292">
        <f t="shared" si="150"/>
        <v>0</v>
      </c>
      <c r="AA230" s="292">
        <f t="shared" si="151"/>
        <v>0</v>
      </c>
      <c r="AB230" s="292">
        <f t="shared" si="152"/>
        <v>0</v>
      </c>
      <c r="AC230" s="292">
        <f t="shared" si="153"/>
        <v>0</v>
      </c>
      <c r="AD230" s="292">
        <f t="shared" si="154"/>
        <v>0</v>
      </c>
      <c r="AE230" s="292">
        <f t="shared" si="155"/>
        <v>0</v>
      </c>
      <c r="AF230" s="292">
        <f t="shared" si="180"/>
        <v>0</v>
      </c>
      <c r="AG230" s="292">
        <f t="shared" si="181"/>
        <v>0</v>
      </c>
      <c r="AH230" s="292">
        <f t="shared" si="156"/>
        <v>0</v>
      </c>
      <c r="AI230" s="292">
        <f t="shared" si="157"/>
        <v>0</v>
      </c>
      <c r="AJ230" s="292">
        <f t="shared" si="158"/>
        <v>0</v>
      </c>
      <c r="AK230" s="292">
        <f t="shared" si="159"/>
        <v>0</v>
      </c>
      <c r="AL230" s="292">
        <f t="shared" si="160"/>
        <v>0</v>
      </c>
      <c r="AM230" s="292">
        <f t="shared" si="161"/>
        <v>0</v>
      </c>
      <c r="AN230" s="292">
        <f t="shared" si="162"/>
        <v>0</v>
      </c>
      <c r="AO230" s="292">
        <f t="shared" si="163"/>
        <v>0</v>
      </c>
      <c r="AP230" s="292">
        <f t="shared" si="164"/>
        <v>0</v>
      </c>
      <c r="AQ230" s="292">
        <f t="shared" si="165"/>
        <v>0</v>
      </c>
      <c r="AR230" s="292">
        <f t="shared" si="166"/>
        <v>0</v>
      </c>
      <c r="AS230" s="292">
        <f t="shared" si="167"/>
        <v>0</v>
      </c>
      <c r="AT230" s="292">
        <f t="shared" si="168"/>
        <v>0</v>
      </c>
      <c r="AU230" s="292">
        <f t="shared" si="169"/>
        <v>0</v>
      </c>
      <c r="AV230" s="292">
        <f t="shared" si="170"/>
        <v>0</v>
      </c>
      <c r="AW230" s="292">
        <f t="shared" si="171"/>
        <v>0</v>
      </c>
      <c r="AX230" s="292">
        <f t="shared" si="172"/>
        <v>0</v>
      </c>
      <c r="AY230" s="292">
        <f t="shared" si="173"/>
        <v>0</v>
      </c>
      <c r="AZ230" s="292">
        <f t="shared" si="174"/>
        <v>0</v>
      </c>
      <c r="BA230" s="292">
        <f t="shared" si="175"/>
        <v>0</v>
      </c>
    </row>
    <row r="231" spans="1:53" s="289" customFormat="1" ht="15.75" customHeight="1">
      <c r="A231" s="63" t="str">
        <f t="array" ref="A231">IF(C231&lt;&gt;0,SUM(($C$11:C231&lt;&gt;0)*1),"")</f>
        <v/>
      </c>
      <c r="B231" s="290"/>
      <c r="C231" s="290"/>
      <c r="D231" s="290"/>
      <c r="E231" s="396"/>
      <c r="F231" s="345"/>
      <c r="G231" s="347"/>
      <c r="H231" s="347"/>
      <c r="I231" s="63" t="str">
        <f>A231</f>
        <v/>
      </c>
      <c r="J231" s="292">
        <f t="shared" si="138"/>
        <v>0</v>
      </c>
      <c r="K231" s="292">
        <f t="shared" si="139"/>
        <v>0</v>
      </c>
      <c r="L231" s="292">
        <f t="shared" si="140"/>
        <v>0</v>
      </c>
      <c r="M231" s="292">
        <f t="shared" si="141"/>
        <v>0</v>
      </c>
      <c r="N231" s="292">
        <f t="shared" si="176"/>
        <v>0</v>
      </c>
      <c r="O231" s="292">
        <f t="shared" si="177"/>
        <v>0</v>
      </c>
      <c r="P231" s="292">
        <f t="shared" si="142"/>
        <v>0</v>
      </c>
      <c r="Q231" s="292">
        <f t="shared" si="143"/>
        <v>0</v>
      </c>
      <c r="R231" s="292">
        <f t="shared" si="144"/>
        <v>0</v>
      </c>
      <c r="S231" s="292">
        <f t="shared" si="145"/>
        <v>0</v>
      </c>
      <c r="T231" s="292">
        <f t="shared" si="178"/>
        <v>0</v>
      </c>
      <c r="U231" s="292">
        <f t="shared" si="179"/>
        <v>0</v>
      </c>
      <c r="V231" s="292">
        <f t="shared" si="146"/>
        <v>0</v>
      </c>
      <c r="W231" s="292">
        <f t="shared" si="147"/>
        <v>0</v>
      </c>
      <c r="X231" s="292">
        <f t="shared" si="148"/>
        <v>0</v>
      </c>
      <c r="Y231" s="292">
        <f t="shared" si="149"/>
        <v>0</v>
      </c>
      <c r="Z231" s="292">
        <f t="shared" si="150"/>
        <v>0</v>
      </c>
      <c r="AA231" s="292">
        <f t="shared" si="151"/>
        <v>0</v>
      </c>
      <c r="AB231" s="292">
        <f t="shared" si="152"/>
        <v>0</v>
      </c>
      <c r="AC231" s="292">
        <f t="shared" si="153"/>
        <v>0</v>
      </c>
      <c r="AD231" s="292">
        <f t="shared" si="154"/>
        <v>0</v>
      </c>
      <c r="AE231" s="292">
        <f t="shared" si="155"/>
        <v>0</v>
      </c>
      <c r="AF231" s="292">
        <f t="shared" si="180"/>
        <v>0</v>
      </c>
      <c r="AG231" s="292">
        <f t="shared" si="181"/>
        <v>0</v>
      </c>
      <c r="AH231" s="292">
        <f t="shared" si="156"/>
        <v>0</v>
      </c>
      <c r="AI231" s="292">
        <f t="shared" si="157"/>
        <v>0</v>
      </c>
      <c r="AJ231" s="292">
        <f t="shared" si="158"/>
        <v>0</v>
      </c>
      <c r="AK231" s="292">
        <f t="shared" si="159"/>
        <v>0</v>
      </c>
      <c r="AL231" s="292">
        <f t="shared" si="160"/>
        <v>0</v>
      </c>
      <c r="AM231" s="292">
        <f t="shared" si="161"/>
        <v>0</v>
      </c>
      <c r="AN231" s="292">
        <f t="shared" si="162"/>
        <v>0</v>
      </c>
      <c r="AO231" s="292">
        <f t="shared" si="163"/>
        <v>0</v>
      </c>
      <c r="AP231" s="292">
        <f t="shared" si="164"/>
        <v>0</v>
      </c>
      <c r="AQ231" s="292">
        <f t="shared" si="165"/>
        <v>0</v>
      </c>
      <c r="AR231" s="292">
        <f t="shared" si="166"/>
        <v>0</v>
      </c>
      <c r="AS231" s="292">
        <f t="shared" si="167"/>
        <v>0</v>
      </c>
      <c r="AT231" s="292">
        <f t="shared" si="168"/>
        <v>0</v>
      </c>
      <c r="AU231" s="292">
        <f t="shared" si="169"/>
        <v>0</v>
      </c>
      <c r="AV231" s="292">
        <f t="shared" si="170"/>
        <v>0</v>
      </c>
      <c r="AW231" s="292">
        <f t="shared" si="171"/>
        <v>0</v>
      </c>
      <c r="AX231" s="292">
        <f t="shared" si="172"/>
        <v>0</v>
      </c>
      <c r="AY231" s="292">
        <f t="shared" si="173"/>
        <v>0</v>
      </c>
      <c r="AZ231" s="292">
        <f t="shared" si="174"/>
        <v>0</v>
      </c>
      <c r="BA231" s="292">
        <f t="shared" si="175"/>
        <v>0</v>
      </c>
    </row>
    <row r="232" spans="1:53" s="289" customFormat="1" ht="15.75" customHeight="1">
      <c r="A232" s="63" t="str">
        <f t="array" ref="A232">IF(C232&lt;&gt;0,SUM(($C$11:C232&lt;&gt;0)*1),"")</f>
        <v/>
      </c>
      <c r="B232" s="290"/>
      <c r="C232" s="290"/>
      <c r="D232" s="290"/>
      <c r="E232" s="396"/>
      <c r="F232" s="345"/>
      <c r="G232" s="347"/>
      <c r="H232" s="347"/>
      <c r="I232" s="63" t="str">
        <f>A232</f>
        <v/>
      </c>
      <c r="J232" s="292">
        <f t="shared" si="138"/>
        <v>0</v>
      </c>
      <c r="K232" s="292">
        <f t="shared" si="139"/>
        <v>0</v>
      </c>
      <c r="L232" s="292">
        <f t="shared" si="140"/>
        <v>0</v>
      </c>
      <c r="M232" s="292">
        <f t="shared" si="141"/>
        <v>0</v>
      </c>
      <c r="N232" s="292">
        <f t="shared" si="176"/>
        <v>0</v>
      </c>
      <c r="O232" s="292">
        <f t="shared" si="177"/>
        <v>0</v>
      </c>
      <c r="P232" s="292">
        <f t="shared" si="142"/>
        <v>0</v>
      </c>
      <c r="Q232" s="292">
        <f t="shared" si="143"/>
        <v>0</v>
      </c>
      <c r="R232" s="292">
        <f t="shared" si="144"/>
        <v>0</v>
      </c>
      <c r="S232" s="292">
        <f t="shared" si="145"/>
        <v>0</v>
      </c>
      <c r="T232" s="292">
        <f t="shared" si="178"/>
        <v>0</v>
      </c>
      <c r="U232" s="292">
        <f t="shared" si="179"/>
        <v>0</v>
      </c>
      <c r="V232" s="292">
        <f t="shared" si="146"/>
        <v>0</v>
      </c>
      <c r="W232" s="292">
        <f t="shared" si="147"/>
        <v>0</v>
      </c>
      <c r="X232" s="292">
        <f t="shared" si="148"/>
        <v>0</v>
      </c>
      <c r="Y232" s="292">
        <f t="shared" si="149"/>
        <v>0</v>
      </c>
      <c r="Z232" s="292">
        <f t="shared" si="150"/>
        <v>0</v>
      </c>
      <c r="AA232" s="292">
        <f t="shared" si="151"/>
        <v>0</v>
      </c>
      <c r="AB232" s="292">
        <f t="shared" si="152"/>
        <v>0</v>
      </c>
      <c r="AC232" s="292">
        <f t="shared" si="153"/>
        <v>0</v>
      </c>
      <c r="AD232" s="292">
        <f t="shared" si="154"/>
        <v>0</v>
      </c>
      <c r="AE232" s="292">
        <f t="shared" si="155"/>
        <v>0</v>
      </c>
      <c r="AF232" s="292">
        <f t="shared" si="180"/>
        <v>0</v>
      </c>
      <c r="AG232" s="292">
        <f t="shared" si="181"/>
        <v>0</v>
      </c>
      <c r="AH232" s="292">
        <f t="shared" si="156"/>
        <v>0</v>
      </c>
      <c r="AI232" s="292">
        <f t="shared" si="157"/>
        <v>0</v>
      </c>
      <c r="AJ232" s="292">
        <f t="shared" si="158"/>
        <v>0</v>
      </c>
      <c r="AK232" s="292">
        <f t="shared" si="159"/>
        <v>0</v>
      </c>
      <c r="AL232" s="292">
        <f t="shared" si="160"/>
        <v>0</v>
      </c>
      <c r="AM232" s="292">
        <f t="shared" si="161"/>
        <v>0</v>
      </c>
      <c r="AN232" s="292">
        <f t="shared" si="162"/>
        <v>0</v>
      </c>
      <c r="AO232" s="292">
        <f t="shared" si="163"/>
        <v>0</v>
      </c>
      <c r="AP232" s="292">
        <f t="shared" si="164"/>
        <v>0</v>
      </c>
      <c r="AQ232" s="292">
        <f t="shared" si="165"/>
        <v>0</v>
      </c>
      <c r="AR232" s="292">
        <f t="shared" si="166"/>
        <v>0</v>
      </c>
      <c r="AS232" s="292">
        <f t="shared" si="167"/>
        <v>0</v>
      </c>
      <c r="AT232" s="292">
        <f t="shared" si="168"/>
        <v>0</v>
      </c>
      <c r="AU232" s="292">
        <f t="shared" si="169"/>
        <v>0</v>
      </c>
      <c r="AV232" s="292">
        <f t="shared" si="170"/>
        <v>0</v>
      </c>
      <c r="AW232" s="292">
        <f t="shared" si="171"/>
        <v>0</v>
      </c>
      <c r="AX232" s="292">
        <f t="shared" si="172"/>
        <v>0</v>
      </c>
      <c r="AY232" s="292">
        <f t="shared" si="173"/>
        <v>0</v>
      </c>
      <c r="AZ232" s="292">
        <f t="shared" si="174"/>
        <v>0</v>
      </c>
      <c r="BA232" s="292">
        <f t="shared" si="175"/>
        <v>0</v>
      </c>
    </row>
    <row r="233" spans="1:53" s="289" customFormat="1" ht="15.75" customHeight="1">
      <c r="A233" s="63" t="str">
        <f t="array" ref="A233">IF(C233&lt;&gt;0,SUM(($C$11:C233&lt;&gt;0)*1),"")</f>
        <v/>
      </c>
      <c r="B233" s="290"/>
      <c r="C233" s="290"/>
      <c r="D233" s="290"/>
      <c r="E233" s="396"/>
      <c r="F233" s="345"/>
      <c r="G233" s="347"/>
      <c r="H233" s="347"/>
      <c r="I233" s="63" t="str">
        <f>A233</f>
        <v/>
      </c>
      <c r="J233" s="292">
        <f t="shared" si="138"/>
        <v>0</v>
      </c>
      <c r="K233" s="292">
        <f t="shared" si="139"/>
        <v>0</v>
      </c>
      <c r="L233" s="292">
        <f t="shared" si="140"/>
        <v>0</v>
      </c>
      <c r="M233" s="292">
        <f t="shared" si="141"/>
        <v>0</v>
      </c>
      <c r="N233" s="292">
        <f t="shared" si="176"/>
        <v>0</v>
      </c>
      <c r="O233" s="292">
        <f t="shared" si="177"/>
        <v>0</v>
      </c>
      <c r="P233" s="292">
        <f t="shared" si="142"/>
        <v>0</v>
      </c>
      <c r="Q233" s="292">
        <f t="shared" si="143"/>
        <v>0</v>
      </c>
      <c r="R233" s="292">
        <f t="shared" si="144"/>
        <v>0</v>
      </c>
      <c r="S233" s="292">
        <f t="shared" si="145"/>
        <v>0</v>
      </c>
      <c r="T233" s="292">
        <f t="shared" si="178"/>
        <v>0</v>
      </c>
      <c r="U233" s="292">
        <f t="shared" si="179"/>
        <v>0</v>
      </c>
      <c r="V233" s="292">
        <f t="shared" si="146"/>
        <v>0</v>
      </c>
      <c r="W233" s="292">
        <f t="shared" si="147"/>
        <v>0</v>
      </c>
      <c r="X233" s="292">
        <f t="shared" si="148"/>
        <v>0</v>
      </c>
      <c r="Y233" s="292">
        <f t="shared" si="149"/>
        <v>0</v>
      </c>
      <c r="Z233" s="292">
        <f t="shared" si="150"/>
        <v>0</v>
      </c>
      <c r="AA233" s="292">
        <f t="shared" si="151"/>
        <v>0</v>
      </c>
      <c r="AB233" s="292">
        <f t="shared" si="152"/>
        <v>0</v>
      </c>
      <c r="AC233" s="292">
        <f t="shared" si="153"/>
        <v>0</v>
      </c>
      <c r="AD233" s="292">
        <f t="shared" si="154"/>
        <v>0</v>
      </c>
      <c r="AE233" s="292">
        <f t="shared" si="155"/>
        <v>0</v>
      </c>
      <c r="AF233" s="292">
        <f t="shared" si="180"/>
        <v>0</v>
      </c>
      <c r="AG233" s="292">
        <f t="shared" si="181"/>
        <v>0</v>
      </c>
      <c r="AH233" s="292">
        <f t="shared" si="156"/>
        <v>0</v>
      </c>
      <c r="AI233" s="292">
        <f t="shared" si="157"/>
        <v>0</v>
      </c>
      <c r="AJ233" s="292">
        <f t="shared" si="158"/>
        <v>0</v>
      </c>
      <c r="AK233" s="292">
        <f t="shared" si="159"/>
        <v>0</v>
      </c>
      <c r="AL233" s="292">
        <f t="shared" si="160"/>
        <v>0</v>
      </c>
      <c r="AM233" s="292">
        <f t="shared" si="161"/>
        <v>0</v>
      </c>
      <c r="AN233" s="292">
        <f t="shared" si="162"/>
        <v>0</v>
      </c>
      <c r="AO233" s="292">
        <f t="shared" si="163"/>
        <v>0</v>
      </c>
      <c r="AP233" s="292">
        <f t="shared" si="164"/>
        <v>0</v>
      </c>
      <c r="AQ233" s="292">
        <f t="shared" si="165"/>
        <v>0</v>
      </c>
      <c r="AR233" s="292">
        <f t="shared" si="166"/>
        <v>0</v>
      </c>
      <c r="AS233" s="292">
        <f t="shared" si="167"/>
        <v>0</v>
      </c>
      <c r="AT233" s="292">
        <f t="shared" si="168"/>
        <v>0</v>
      </c>
      <c r="AU233" s="292">
        <f t="shared" si="169"/>
        <v>0</v>
      </c>
      <c r="AV233" s="292">
        <f t="shared" si="170"/>
        <v>0</v>
      </c>
      <c r="AW233" s="292">
        <f t="shared" si="171"/>
        <v>0</v>
      </c>
      <c r="AX233" s="292">
        <f t="shared" si="172"/>
        <v>0</v>
      </c>
      <c r="AY233" s="292">
        <f t="shared" si="173"/>
        <v>0</v>
      </c>
      <c r="AZ233" s="292">
        <f t="shared" si="174"/>
        <v>0</v>
      </c>
      <c r="BA233" s="292">
        <f t="shared" si="175"/>
        <v>0</v>
      </c>
    </row>
    <row r="234" spans="1:53" s="289" customFormat="1" ht="15.75" customHeight="1">
      <c r="A234" s="63" t="str">
        <f t="array" ref="A234">IF(C234&lt;&gt;0,SUM(($C$11:C234&lt;&gt;0)*1),"")</f>
        <v/>
      </c>
      <c r="B234" s="290"/>
      <c r="C234" s="290"/>
      <c r="D234" s="290"/>
      <c r="E234" s="396"/>
      <c r="F234" s="345"/>
      <c r="G234" s="347"/>
      <c r="H234" s="347"/>
      <c r="I234" s="63" t="str">
        <f>A234</f>
        <v/>
      </c>
      <c r="J234" s="292">
        <f t="shared" si="138"/>
        <v>0</v>
      </c>
      <c r="K234" s="292">
        <f t="shared" si="139"/>
        <v>0</v>
      </c>
      <c r="L234" s="292">
        <f t="shared" si="140"/>
        <v>0</v>
      </c>
      <c r="M234" s="292">
        <f t="shared" si="141"/>
        <v>0</v>
      </c>
      <c r="N234" s="292">
        <f t="shared" si="176"/>
        <v>0</v>
      </c>
      <c r="O234" s="292">
        <f t="shared" si="177"/>
        <v>0</v>
      </c>
      <c r="P234" s="292">
        <f t="shared" si="142"/>
        <v>0</v>
      </c>
      <c r="Q234" s="292">
        <f t="shared" si="143"/>
        <v>0</v>
      </c>
      <c r="R234" s="292">
        <f t="shared" si="144"/>
        <v>0</v>
      </c>
      <c r="S234" s="292">
        <f t="shared" si="145"/>
        <v>0</v>
      </c>
      <c r="T234" s="292">
        <f t="shared" si="178"/>
        <v>0</v>
      </c>
      <c r="U234" s="292">
        <f t="shared" si="179"/>
        <v>0</v>
      </c>
      <c r="V234" s="292">
        <f t="shared" si="146"/>
        <v>0</v>
      </c>
      <c r="W234" s="292">
        <f t="shared" si="147"/>
        <v>0</v>
      </c>
      <c r="X234" s="292">
        <f t="shared" si="148"/>
        <v>0</v>
      </c>
      <c r="Y234" s="292">
        <f t="shared" si="149"/>
        <v>0</v>
      </c>
      <c r="Z234" s="292">
        <f t="shared" si="150"/>
        <v>0</v>
      </c>
      <c r="AA234" s="292">
        <f t="shared" si="151"/>
        <v>0</v>
      </c>
      <c r="AB234" s="292">
        <f t="shared" si="152"/>
        <v>0</v>
      </c>
      <c r="AC234" s="292">
        <f t="shared" si="153"/>
        <v>0</v>
      </c>
      <c r="AD234" s="292">
        <f t="shared" si="154"/>
        <v>0</v>
      </c>
      <c r="AE234" s="292">
        <f t="shared" si="155"/>
        <v>0</v>
      </c>
      <c r="AF234" s="292">
        <f t="shared" si="180"/>
        <v>0</v>
      </c>
      <c r="AG234" s="292">
        <f t="shared" si="181"/>
        <v>0</v>
      </c>
      <c r="AH234" s="292">
        <f t="shared" si="156"/>
        <v>0</v>
      </c>
      <c r="AI234" s="292">
        <f t="shared" si="157"/>
        <v>0</v>
      </c>
      <c r="AJ234" s="292">
        <f t="shared" si="158"/>
        <v>0</v>
      </c>
      <c r="AK234" s="292">
        <f t="shared" si="159"/>
        <v>0</v>
      </c>
      <c r="AL234" s="292">
        <f t="shared" si="160"/>
        <v>0</v>
      </c>
      <c r="AM234" s="292">
        <f t="shared" si="161"/>
        <v>0</v>
      </c>
      <c r="AN234" s="292">
        <f t="shared" si="162"/>
        <v>0</v>
      </c>
      <c r="AO234" s="292">
        <f t="shared" si="163"/>
        <v>0</v>
      </c>
      <c r="AP234" s="292">
        <f t="shared" si="164"/>
        <v>0</v>
      </c>
      <c r="AQ234" s="292">
        <f t="shared" si="165"/>
        <v>0</v>
      </c>
      <c r="AR234" s="292">
        <f t="shared" si="166"/>
        <v>0</v>
      </c>
      <c r="AS234" s="292">
        <f t="shared" si="167"/>
        <v>0</v>
      </c>
      <c r="AT234" s="292">
        <f t="shared" si="168"/>
        <v>0</v>
      </c>
      <c r="AU234" s="292">
        <f t="shared" si="169"/>
        <v>0</v>
      </c>
      <c r="AV234" s="292">
        <f t="shared" si="170"/>
        <v>0</v>
      </c>
      <c r="AW234" s="292">
        <f t="shared" si="171"/>
        <v>0</v>
      </c>
      <c r="AX234" s="292">
        <f t="shared" si="172"/>
        <v>0</v>
      </c>
      <c r="AY234" s="292">
        <f t="shared" si="173"/>
        <v>0</v>
      </c>
      <c r="AZ234" s="292">
        <f t="shared" si="174"/>
        <v>0</v>
      </c>
      <c r="BA234" s="292">
        <f t="shared" si="175"/>
        <v>0</v>
      </c>
    </row>
    <row r="235" spans="1:53" s="289" customFormat="1" ht="15.75" customHeight="1">
      <c r="A235" s="63" t="str">
        <f t="array" ref="A235">IF(C235&lt;&gt;0,SUM(($C$11:C235&lt;&gt;0)*1),"")</f>
        <v/>
      </c>
      <c r="B235" s="290"/>
      <c r="C235" s="290"/>
      <c r="D235" s="290"/>
      <c r="E235" s="396"/>
      <c r="F235" s="345"/>
      <c r="G235" s="347"/>
      <c r="H235" s="347"/>
      <c r="I235" s="63" t="str">
        <f>A235</f>
        <v/>
      </c>
      <c r="J235" s="292">
        <f t="shared" si="138"/>
        <v>0</v>
      </c>
      <c r="K235" s="292">
        <f t="shared" si="139"/>
        <v>0</v>
      </c>
      <c r="L235" s="292">
        <f t="shared" si="140"/>
        <v>0</v>
      </c>
      <c r="M235" s="292">
        <f t="shared" si="141"/>
        <v>0</v>
      </c>
      <c r="N235" s="292">
        <f t="shared" si="176"/>
        <v>0</v>
      </c>
      <c r="O235" s="292">
        <f t="shared" si="177"/>
        <v>0</v>
      </c>
      <c r="P235" s="292">
        <f t="shared" si="142"/>
        <v>0</v>
      </c>
      <c r="Q235" s="292">
        <f t="shared" si="143"/>
        <v>0</v>
      </c>
      <c r="R235" s="292">
        <f t="shared" si="144"/>
        <v>0</v>
      </c>
      <c r="S235" s="292">
        <f t="shared" si="145"/>
        <v>0</v>
      </c>
      <c r="T235" s="292">
        <f t="shared" si="178"/>
        <v>0</v>
      </c>
      <c r="U235" s="292">
        <f t="shared" si="179"/>
        <v>0</v>
      </c>
      <c r="V235" s="292">
        <f t="shared" si="146"/>
        <v>0</v>
      </c>
      <c r="W235" s="292">
        <f t="shared" si="147"/>
        <v>0</v>
      </c>
      <c r="X235" s="292">
        <f t="shared" si="148"/>
        <v>0</v>
      </c>
      <c r="Y235" s="292">
        <f t="shared" si="149"/>
        <v>0</v>
      </c>
      <c r="Z235" s="292">
        <f t="shared" si="150"/>
        <v>0</v>
      </c>
      <c r="AA235" s="292">
        <f t="shared" si="151"/>
        <v>0</v>
      </c>
      <c r="AB235" s="292">
        <f t="shared" si="152"/>
        <v>0</v>
      </c>
      <c r="AC235" s="292">
        <f t="shared" si="153"/>
        <v>0</v>
      </c>
      <c r="AD235" s="292">
        <f t="shared" si="154"/>
        <v>0</v>
      </c>
      <c r="AE235" s="292">
        <f t="shared" si="155"/>
        <v>0</v>
      </c>
      <c r="AF235" s="292">
        <f t="shared" si="180"/>
        <v>0</v>
      </c>
      <c r="AG235" s="292">
        <f t="shared" si="181"/>
        <v>0</v>
      </c>
      <c r="AH235" s="292">
        <f t="shared" si="156"/>
        <v>0</v>
      </c>
      <c r="AI235" s="292">
        <f t="shared" si="157"/>
        <v>0</v>
      </c>
      <c r="AJ235" s="292">
        <f t="shared" si="158"/>
        <v>0</v>
      </c>
      <c r="AK235" s="292">
        <f t="shared" si="159"/>
        <v>0</v>
      </c>
      <c r="AL235" s="292">
        <f t="shared" si="160"/>
        <v>0</v>
      </c>
      <c r="AM235" s="292">
        <f t="shared" si="161"/>
        <v>0</v>
      </c>
      <c r="AN235" s="292">
        <f t="shared" si="162"/>
        <v>0</v>
      </c>
      <c r="AO235" s="292">
        <f t="shared" si="163"/>
        <v>0</v>
      </c>
      <c r="AP235" s="292">
        <f t="shared" si="164"/>
        <v>0</v>
      </c>
      <c r="AQ235" s="292">
        <f t="shared" si="165"/>
        <v>0</v>
      </c>
      <c r="AR235" s="292">
        <f t="shared" si="166"/>
        <v>0</v>
      </c>
      <c r="AS235" s="292">
        <f t="shared" si="167"/>
        <v>0</v>
      </c>
      <c r="AT235" s="292">
        <f t="shared" si="168"/>
        <v>0</v>
      </c>
      <c r="AU235" s="292">
        <f t="shared" si="169"/>
        <v>0</v>
      </c>
      <c r="AV235" s="292">
        <f t="shared" si="170"/>
        <v>0</v>
      </c>
      <c r="AW235" s="292">
        <f t="shared" si="171"/>
        <v>0</v>
      </c>
      <c r="AX235" s="292">
        <f t="shared" si="172"/>
        <v>0</v>
      </c>
      <c r="AY235" s="292">
        <f t="shared" si="173"/>
        <v>0</v>
      </c>
      <c r="AZ235" s="292">
        <f t="shared" si="174"/>
        <v>0</v>
      </c>
      <c r="BA235" s="292">
        <f t="shared" si="175"/>
        <v>0</v>
      </c>
    </row>
    <row r="236" spans="1:53" s="289" customFormat="1" ht="15.75" customHeight="1">
      <c r="A236" s="63">
        <f t="array" aca="1" ref="A236" ca="1">IF(C236&lt;&gt;0,SUM(($C$11:C236&lt;&gt;0)*1),"")</f>
        <v>2</v>
      </c>
      <c r="B236" s="293">
        <v>42277</v>
      </c>
      <c r="C236" s="293" t="s">
        <v>149</v>
      </c>
      <c r="D236" s="293">
        <f t="shared" ref="D236:D241" si="182">B236</f>
        <v>42277</v>
      </c>
      <c r="E236" s="294" t="s">
        <v>150</v>
      </c>
      <c r="F236" s="79">
        <f ca="1">AP243</f>
        <v>0</v>
      </c>
      <c r="G236" s="295" t="s">
        <v>242</v>
      </c>
      <c r="H236" s="295" t="s">
        <v>133</v>
      </c>
      <c r="I236" s="63">
        <f t="shared" ref="I236:I242" ca="1" si="183">A236</f>
        <v>2</v>
      </c>
      <c r="J236" s="292">
        <f t="shared" si="138"/>
        <v>0</v>
      </c>
      <c r="K236" s="292">
        <f t="shared" si="139"/>
        <v>0</v>
      </c>
      <c r="L236" s="292">
        <f t="shared" si="140"/>
        <v>0</v>
      </c>
      <c r="M236" s="292">
        <f t="shared" si="141"/>
        <v>0</v>
      </c>
      <c r="N236" s="292">
        <f t="shared" si="176"/>
        <v>0</v>
      </c>
      <c r="O236" s="292">
        <f t="shared" si="177"/>
        <v>0</v>
      </c>
      <c r="P236" s="292">
        <f t="shared" si="142"/>
        <v>0</v>
      </c>
      <c r="Q236" s="292">
        <f t="shared" si="143"/>
        <v>0</v>
      </c>
      <c r="R236" s="292">
        <f t="shared" si="144"/>
        <v>0</v>
      </c>
      <c r="S236" s="292">
        <f t="shared" si="145"/>
        <v>0</v>
      </c>
      <c r="T236" s="292">
        <f t="shared" ca="1" si="178"/>
        <v>0</v>
      </c>
      <c r="U236" s="292">
        <f t="shared" si="179"/>
        <v>0</v>
      </c>
      <c r="V236" s="292">
        <f t="shared" si="146"/>
        <v>0</v>
      </c>
      <c r="W236" s="292">
        <f t="shared" si="147"/>
        <v>0</v>
      </c>
      <c r="X236" s="292">
        <f t="shared" si="148"/>
        <v>0</v>
      </c>
      <c r="Y236" s="292">
        <f t="shared" si="149"/>
        <v>0</v>
      </c>
      <c r="Z236" s="292">
        <f t="shared" si="150"/>
        <v>0</v>
      </c>
      <c r="AA236" s="292">
        <f t="shared" si="151"/>
        <v>0</v>
      </c>
      <c r="AB236" s="292">
        <f t="shared" si="152"/>
        <v>0</v>
      </c>
      <c r="AC236" s="292">
        <f t="shared" si="153"/>
        <v>0</v>
      </c>
      <c r="AD236" s="292">
        <f t="shared" si="154"/>
        <v>0</v>
      </c>
      <c r="AE236" s="292">
        <f t="shared" si="155"/>
        <v>0</v>
      </c>
      <c r="AF236" s="292">
        <f t="shared" si="180"/>
        <v>0</v>
      </c>
      <c r="AG236" s="292">
        <f t="shared" si="181"/>
        <v>0</v>
      </c>
      <c r="AH236" s="292">
        <f t="shared" si="156"/>
        <v>0</v>
      </c>
      <c r="AI236" s="292">
        <f t="shared" si="157"/>
        <v>0</v>
      </c>
      <c r="AJ236" s="292">
        <f t="shared" si="158"/>
        <v>0</v>
      </c>
      <c r="AK236" s="292">
        <f t="shared" si="159"/>
        <v>0</v>
      </c>
      <c r="AL236" s="292">
        <f t="shared" si="160"/>
        <v>0</v>
      </c>
      <c r="AM236" s="292">
        <f t="shared" si="161"/>
        <v>0</v>
      </c>
      <c r="AN236" s="292">
        <f t="shared" si="162"/>
        <v>0</v>
      </c>
      <c r="AO236" s="292">
        <f t="shared" si="163"/>
        <v>0</v>
      </c>
      <c r="AP236" s="292">
        <f t="shared" si="164"/>
        <v>0</v>
      </c>
      <c r="AQ236" s="292">
        <f t="shared" ca="1" si="165"/>
        <v>0</v>
      </c>
      <c r="AR236" s="292">
        <f t="shared" si="166"/>
        <v>0</v>
      </c>
      <c r="AS236" s="292">
        <f t="shared" si="167"/>
        <v>0</v>
      </c>
      <c r="AT236" s="292">
        <f t="shared" si="168"/>
        <v>0</v>
      </c>
      <c r="AU236" s="292">
        <f t="shared" si="169"/>
        <v>0</v>
      </c>
      <c r="AV236" s="292">
        <f t="shared" si="170"/>
        <v>0</v>
      </c>
      <c r="AW236" s="292">
        <f t="shared" si="171"/>
        <v>0</v>
      </c>
      <c r="AX236" s="292">
        <f t="shared" si="172"/>
        <v>0</v>
      </c>
      <c r="AY236" s="292">
        <f t="shared" si="173"/>
        <v>0</v>
      </c>
      <c r="AZ236" s="292">
        <f t="shared" si="174"/>
        <v>0</v>
      </c>
      <c r="BA236" s="292">
        <f t="shared" si="175"/>
        <v>0</v>
      </c>
    </row>
    <row r="237" spans="1:53" s="289" customFormat="1" ht="15.75" customHeight="1">
      <c r="A237" s="63">
        <f t="array" aca="1" ref="A237" ca="1">IF(C237&lt;&gt;0,SUM(($C$11:C237&lt;&gt;0)*1),"")</f>
        <v>3</v>
      </c>
      <c r="B237" s="293">
        <v>42277</v>
      </c>
      <c r="C237" s="293" t="s">
        <v>149</v>
      </c>
      <c r="D237" s="293">
        <f t="shared" si="182"/>
        <v>42277</v>
      </c>
      <c r="E237" s="294" t="s">
        <v>151</v>
      </c>
      <c r="F237" s="79">
        <f ca="1">AR243</f>
        <v>0</v>
      </c>
      <c r="G237" s="295" t="s">
        <v>143</v>
      </c>
      <c r="H237" s="295" t="s">
        <v>135</v>
      </c>
      <c r="I237" s="63">
        <f t="shared" ca="1" si="183"/>
        <v>3</v>
      </c>
      <c r="J237" s="292">
        <f t="shared" si="138"/>
        <v>0</v>
      </c>
      <c r="K237" s="292">
        <f t="shared" si="139"/>
        <v>0</v>
      </c>
      <c r="L237" s="292">
        <f t="shared" si="140"/>
        <v>0</v>
      </c>
      <c r="M237" s="292">
        <f t="shared" si="141"/>
        <v>0</v>
      </c>
      <c r="N237" s="292">
        <f t="shared" si="176"/>
        <v>0</v>
      </c>
      <c r="O237" s="292">
        <f t="shared" si="177"/>
        <v>0</v>
      </c>
      <c r="P237" s="292">
        <f t="shared" si="142"/>
        <v>0</v>
      </c>
      <c r="Q237" s="292">
        <f t="shared" si="143"/>
        <v>0</v>
      </c>
      <c r="R237" s="292">
        <f t="shared" si="144"/>
        <v>0</v>
      </c>
      <c r="S237" s="292">
        <f t="shared" si="145"/>
        <v>0</v>
      </c>
      <c r="T237" s="292">
        <f t="shared" si="178"/>
        <v>0</v>
      </c>
      <c r="U237" s="292">
        <f t="shared" si="179"/>
        <v>0</v>
      </c>
      <c r="V237" s="292">
        <f t="shared" si="146"/>
        <v>0</v>
      </c>
      <c r="W237" s="292">
        <f t="shared" si="147"/>
        <v>0</v>
      </c>
      <c r="X237" s="292">
        <f t="shared" si="148"/>
        <v>0</v>
      </c>
      <c r="Y237" s="292">
        <f t="shared" si="149"/>
        <v>0</v>
      </c>
      <c r="Z237" s="292">
        <f t="shared" si="150"/>
        <v>0</v>
      </c>
      <c r="AA237" s="292">
        <f t="shared" si="151"/>
        <v>0</v>
      </c>
      <c r="AB237" s="292">
        <f t="shared" si="152"/>
        <v>0</v>
      </c>
      <c r="AC237" s="292">
        <f t="shared" si="153"/>
        <v>0</v>
      </c>
      <c r="AD237" s="292">
        <f t="shared" si="154"/>
        <v>0</v>
      </c>
      <c r="AE237" s="292">
        <f t="shared" si="155"/>
        <v>0</v>
      </c>
      <c r="AF237" s="292">
        <f t="shared" si="180"/>
        <v>0</v>
      </c>
      <c r="AG237" s="292">
        <f t="shared" si="181"/>
        <v>0</v>
      </c>
      <c r="AH237" s="292">
        <f t="shared" si="156"/>
        <v>0</v>
      </c>
      <c r="AI237" s="292">
        <f t="shared" si="157"/>
        <v>0</v>
      </c>
      <c r="AJ237" s="292">
        <f t="shared" si="158"/>
        <v>0</v>
      </c>
      <c r="AK237" s="292">
        <f t="shared" si="159"/>
        <v>0</v>
      </c>
      <c r="AL237" s="292">
        <f t="shared" si="160"/>
        <v>0</v>
      </c>
      <c r="AM237" s="292">
        <f t="shared" si="161"/>
        <v>0</v>
      </c>
      <c r="AN237" s="292">
        <f t="shared" si="162"/>
        <v>0</v>
      </c>
      <c r="AO237" s="292">
        <f t="shared" si="163"/>
        <v>0</v>
      </c>
      <c r="AP237" s="292">
        <f t="shared" si="164"/>
        <v>0</v>
      </c>
      <c r="AQ237" s="292">
        <f t="shared" si="165"/>
        <v>0</v>
      </c>
      <c r="AR237" s="292">
        <f t="shared" si="166"/>
        <v>0</v>
      </c>
      <c r="AS237" s="292">
        <f t="shared" ca="1" si="167"/>
        <v>0</v>
      </c>
      <c r="AT237" s="292">
        <f t="shared" si="168"/>
        <v>0</v>
      </c>
      <c r="AU237" s="292">
        <f t="shared" si="169"/>
        <v>0</v>
      </c>
      <c r="AV237" s="292">
        <f t="shared" si="170"/>
        <v>0</v>
      </c>
      <c r="AW237" s="292">
        <f t="shared" si="171"/>
        <v>0</v>
      </c>
      <c r="AX237" s="292">
        <f t="shared" si="172"/>
        <v>0</v>
      </c>
      <c r="AY237" s="292">
        <f t="shared" si="173"/>
        <v>0</v>
      </c>
      <c r="AZ237" s="292">
        <f t="shared" ca="1" si="174"/>
        <v>0</v>
      </c>
      <c r="BA237" s="292">
        <f t="shared" si="175"/>
        <v>0</v>
      </c>
    </row>
    <row r="238" spans="1:53" s="289" customFormat="1" ht="15.75" customHeight="1">
      <c r="A238" s="63">
        <f t="array" aca="1" ref="A238" ca="1">IF(C238&lt;&gt;0,SUM(($C$11:C238&lt;&gt;0)*1),"")</f>
        <v>4</v>
      </c>
      <c r="B238" s="293">
        <v>42277</v>
      </c>
      <c r="C238" s="293" t="s">
        <v>149</v>
      </c>
      <c r="D238" s="293">
        <f t="shared" si="182"/>
        <v>42277</v>
      </c>
      <c r="E238" s="294" t="s">
        <v>300</v>
      </c>
      <c r="F238" s="79">
        <v>10580244</v>
      </c>
      <c r="G238" s="295" t="s">
        <v>128</v>
      </c>
      <c r="H238" s="295" t="s">
        <v>143</v>
      </c>
      <c r="I238" s="63">
        <f t="shared" ca="1" si="183"/>
        <v>4</v>
      </c>
      <c r="J238" s="292">
        <f t="shared" si="138"/>
        <v>0</v>
      </c>
      <c r="K238" s="292">
        <f t="shared" si="139"/>
        <v>0</v>
      </c>
      <c r="L238" s="292">
        <f t="shared" si="140"/>
        <v>0</v>
      </c>
      <c r="M238" s="292">
        <f t="shared" si="141"/>
        <v>0</v>
      </c>
      <c r="N238" s="292">
        <f t="shared" si="176"/>
        <v>0</v>
      </c>
      <c r="O238" s="292">
        <f t="shared" si="177"/>
        <v>0</v>
      </c>
      <c r="P238" s="292">
        <f t="shared" si="142"/>
        <v>0</v>
      </c>
      <c r="Q238" s="292">
        <f t="shared" si="143"/>
        <v>0</v>
      </c>
      <c r="R238" s="292">
        <f t="shared" si="144"/>
        <v>0</v>
      </c>
      <c r="S238" s="292">
        <f t="shared" si="145"/>
        <v>0</v>
      </c>
      <c r="T238" s="292">
        <f t="shared" si="178"/>
        <v>0</v>
      </c>
      <c r="U238" s="292">
        <f t="shared" si="179"/>
        <v>0</v>
      </c>
      <c r="V238" s="292">
        <f t="shared" si="146"/>
        <v>0</v>
      </c>
      <c r="W238" s="292">
        <f t="shared" si="147"/>
        <v>0</v>
      </c>
      <c r="X238" s="292">
        <f t="shared" si="148"/>
        <v>0</v>
      </c>
      <c r="Y238" s="292">
        <f t="shared" si="149"/>
        <v>0</v>
      </c>
      <c r="Z238" s="292">
        <f t="shared" si="150"/>
        <v>0</v>
      </c>
      <c r="AA238" s="292">
        <f t="shared" si="151"/>
        <v>0</v>
      </c>
      <c r="AB238" s="292">
        <f t="shared" si="152"/>
        <v>0</v>
      </c>
      <c r="AC238" s="292">
        <f t="shared" si="153"/>
        <v>0</v>
      </c>
      <c r="AD238" s="292">
        <f t="shared" si="154"/>
        <v>0</v>
      </c>
      <c r="AE238" s="292">
        <f t="shared" si="155"/>
        <v>0</v>
      </c>
      <c r="AF238" s="292">
        <f t="shared" si="180"/>
        <v>0</v>
      </c>
      <c r="AG238" s="292">
        <f t="shared" si="181"/>
        <v>0</v>
      </c>
      <c r="AH238" s="292">
        <f t="shared" si="156"/>
        <v>0</v>
      </c>
      <c r="AI238" s="292">
        <f t="shared" si="157"/>
        <v>0</v>
      </c>
      <c r="AJ238" s="292">
        <f t="shared" si="158"/>
        <v>0</v>
      </c>
      <c r="AK238" s="292">
        <f t="shared" si="159"/>
        <v>0</v>
      </c>
      <c r="AL238" s="292">
        <f t="shared" si="160"/>
        <v>10580244</v>
      </c>
      <c r="AM238" s="292">
        <f t="shared" si="161"/>
        <v>0</v>
      </c>
      <c r="AN238" s="292">
        <f t="shared" si="162"/>
        <v>0</v>
      </c>
      <c r="AO238" s="292">
        <f t="shared" si="163"/>
        <v>0</v>
      </c>
      <c r="AP238" s="292">
        <f t="shared" si="164"/>
        <v>0</v>
      </c>
      <c r="AQ238" s="292">
        <f t="shared" si="165"/>
        <v>0</v>
      </c>
      <c r="AR238" s="292">
        <f t="shared" si="166"/>
        <v>0</v>
      </c>
      <c r="AS238" s="292">
        <f t="shared" si="167"/>
        <v>0</v>
      </c>
      <c r="AT238" s="292">
        <f t="shared" si="168"/>
        <v>0</v>
      </c>
      <c r="AU238" s="292">
        <f t="shared" si="169"/>
        <v>0</v>
      </c>
      <c r="AV238" s="292">
        <f t="shared" si="170"/>
        <v>0</v>
      </c>
      <c r="AW238" s="292">
        <f t="shared" si="171"/>
        <v>0</v>
      </c>
      <c r="AX238" s="292">
        <f t="shared" si="172"/>
        <v>0</v>
      </c>
      <c r="AY238" s="292">
        <f t="shared" si="173"/>
        <v>0</v>
      </c>
      <c r="AZ238" s="292">
        <f t="shared" si="174"/>
        <v>0</v>
      </c>
      <c r="BA238" s="292">
        <f t="shared" si="175"/>
        <v>10580244</v>
      </c>
    </row>
    <row r="239" spans="1:53" s="289" customFormat="1" ht="15.75" customHeight="1">
      <c r="A239" s="63">
        <f t="array" aca="1" ref="A239" ca="1">IF(C239&lt;&gt;0,SUM(($C$11:C239&lt;&gt;0)*1),"")</f>
        <v>5</v>
      </c>
      <c r="B239" s="293">
        <v>42277</v>
      </c>
      <c r="C239" s="293" t="s">
        <v>149</v>
      </c>
      <c r="D239" s="293">
        <f t="shared" si="182"/>
        <v>42277</v>
      </c>
      <c r="E239" s="294" t="s">
        <v>153</v>
      </c>
      <c r="F239" s="79">
        <f ca="1">AO243</f>
        <v>0</v>
      </c>
      <c r="G239" s="295" t="s">
        <v>58</v>
      </c>
      <c r="H239" s="295" t="s">
        <v>143</v>
      </c>
      <c r="I239" s="63">
        <f t="shared" ca="1" si="183"/>
        <v>5</v>
      </c>
      <c r="J239" s="292">
        <f t="shared" si="138"/>
        <v>0</v>
      </c>
      <c r="K239" s="292">
        <f t="shared" si="139"/>
        <v>0</v>
      </c>
      <c r="L239" s="292">
        <f t="shared" si="140"/>
        <v>0</v>
      </c>
      <c r="M239" s="292">
        <f t="shared" si="141"/>
        <v>0</v>
      </c>
      <c r="N239" s="292">
        <f t="shared" si="176"/>
        <v>0</v>
      </c>
      <c r="O239" s="292">
        <f t="shared" si="177"/>
        <v>0</v>
      </c>
      <c r="P239" s="292">
        <f t="shared" si="142"/>
        <v>0</v>
      </c>
      <c r="Q239" s="292">
        <f t="shared" si="143"/>
        <v>0</v>
      </c>
      <c r="R239" s="292">
        <f t="shared" si="144"/>
        <v>0</v>
      </c>
      <c r="S239" s="292">
        <f t="shared" si="145"/>
        <v>0</v>
      </c>
      <c r="T239" s="292">
        <f t="shared" si="178"/>
        <v>0</v>
      </c>
      <c r="U239" s="292">
        <f t="shared" si="179"/>
        <v>0</v>
      </c>
      <c r="V239" s="292">
        <f t="shared" si="146"/>
        <v>0</v>
      </c>
      <c r="W239" s="292">
        <f t="shared" si="147"/>
        <v>0</v>
      </c>
      <c r="X239" s="292">
        <f t="shared" si="148"/>
        <v>0</v>
      </c>
      <c r="Y239" s="292">
        <f t="shared" si="149"/>
        <v>0</v>
      </c>
      <c r="Z239" s="292">
        <f t="shared" si="150"/>
        <v>0</v>
      </c>
      <c r="AA239" s="292">
        <f t="shared" si="151"/>
        <v>0</v>
      </c>
      <c r="AB239" s="292">
        <f t="shared" si="152"/>
        <v>0</v>
      </c>
      <c r="AC239" s="292">
        <f t="shared" si="153"/>
        <v>0</v>
      </c>
      <c r="AD239" s="292">
        <f t="shared" si="154"/>
        <v>0</v>
      </c>
      <c r="AE239" s="292">
        <f t="shared" si="155"/>
        <v>0</v>
      </c>
      <c r="AF239" s="292">
        <f t="shared" si="180"/>
        <v>0</v>
      </c>
      <c r="AG239" s="292">
        <f t="shared" si="181"/>
        <v>0</v>
      </c>
      <c r="AH239" s="292">
        <f t="shared" si="156"/>
        <v>0</v>
      </c>
      <c r="AI239" s="292">
        <f t="shared" si="157"/>
        <v>0</v>
      </c>
      <c r="AJ239" s="292">
        <f t="shared" si="158"/>
        <v>0</v>
      </c>
      <c r="AK239" s="292">
        <f t="shared" si="159"/>
        <v>0</v>
      </c>
      <c r="AL239" s="292">
        <f t="shared" si="160"/>
        <v>0</v>
      </c>
      <c r="AM239" s="292">
        <f t="shared" si="161"/>
        <v>0</v>
      </c>
      <c r="AN239" s="292">
        <f t="shared" ca="1" si="162"/>
        <v>0</v>
      </c>
      <c r="AO239" s="292">
        <f t="shared" si="163"/>
        <v>0</v>
      </c>
      <c r="AP239" s="292">
        <f t="shared" si="164"/>
        <v>0</v>
      </c>
      <c r="AQ239" s="292">
        <f t="shared" si="165"/>
        <v>0</v>
      </c>
      <c r="AR239" s="292">
        <f t="shared" si="166"/>
        <v>0</v>
      </c>
      <c r="AS239" s="292">
        <f t="shared" si="167"/>
        <v>0</v>
      </c>
      <c r="AT239" s="292">
        <f t="shared" si="168"/>
        <v>0</v>
      </c>
      <c r="AU239" s="292">
        <f t="shared" si="169"/>
        <v>0</v>
      </c>
      <c r="AV239" s="292">
        <f t="shared" si="170"/>
        <v>0</v>
      </c>
      <c r="AW239" s="292">
        <f t="shared" si="171"/>
        <v>0</v>
      </c>
      <c r="AX239" s="292">
        <f t="shared" si="172"/>
        <v>0</v>
      </c>
      <c r="AY239" s="292">
        <f t="shared" si="173"/>
        <v>0</v>
      </c>
      <c r="AZ239" s="292">
        <f t="shared" si="174"/>
        <v>0</v>
      </c>
      <c r="BA239" s="292">
        <f t="shared" ca="1" si="175"/>
        <v>0</v>
      </c>
    </row>
    <row r="240" spans="1:53" s="289" customFormat="1" ht="15.75" customHeight="1">
      <c r="A240" s="63">
        <f t="array" aca="1" ref="A240" ca="1">IF(C240&lt;&gt;0,SUM(($C$11:C240&lt;&gt;0)*1),"")</f>
        <v>6</v>
      </c>
      <c r="B240" s="293">
        <v>42277</v>
      </c>
      <c r="C240" s="293" t="s">
        <v>149</v>
      </c>
      <c r="D240" s="293">
        <f t="shared" si="182"/>
        <v>42277</v>
      </c>
      <c r="E240" s="294" t="s">
        <v>154</v>
      </c>
      <c r="F240" s="79">
        <f ca="1">AU243</f>
        <v>0</v>
      </c>
      <c r="G240" s="295" t="s">
        <v>137</v>
      </c>
      <c r="H240" s="295" t="s">
        <v>143</v>
      </c>
      <c r="I240" s="63">
        <f t="shared" ca="1" si="183"/>
        <v>6</v>
      </c>
      <c r="J240" s="292">
        <f t="shared" si="138"/>
        <v>0</v>
      </c>
      <c r="K240" s="292">
        <f t="shared" si="139"/>
        <v>0</v>
      </c>
      <c r="L240" s="292">
        <f t="shared" si="140"/>
        <v>0</v>
      </c>
      <c r="M240" s="292">
        <f t="shared" si="141"/>
        <v>0</v>
      </c>
      <c r="N240" s="292">
        <f t="shared" si="176"/>
        <v>0</v>
      </c>
      <c r="O240" s="292">
        <f t="shared" si="177"/>
        <v>0</v>
      </c>
      <c r="P240" s="292">
        <f t="shared" si="142"/>
        <v>0</v>
      </c>
      <c r="Q240" s="292">
        <f t="shared" si="143"/>
        <v>0</v>
      </c>
      <c r="R240" s="292">
        <f t="shared" si="144"/>
        <v>0</v>
      </c>
      <c r="S240" s="292">
        <f t="shared" si="145"/>
        <v>0</v>
      </c>
      <c r="T240" s="292">
        <f t="shared" si="178"/>
        <v>0</v>
      </c>
      <c r="U240" s="292">
        <f t="shared" si="179"/>
        <v>0</v>
      </c>
      <c r="V240" s="292">
        <f t="shared" si="146"/>
        <v>0</v>
      </c>
      <c r="W240" s="292">
        <f t="shared" si="147"/>
        <v>0</v>
      </c>
      <c r="X240" s="292">
        <f t="shared" si="148"/>
        <v>0</v>
      </c>
      <c r="Y240" s="292">
        <f t="shared" si="149"/>
        <v>0</v>
      </c>
      <c r="Z240" s="292">
        <f t="shared" si="150"/>
        <v>0</v>
      </c>
      <c r="AA240" s="292">
        <f t="shared" si="151"/>
        <v>0</v>
      </c>
      <c r="AB240" s="292">
        <f t="shared" si="152"/>
        <v>0</v>
      </c>
      <c r="AC240" s="292">
        <f t="shared" si="153"/>
        <v>0</v>
      </c>
      <c r="AD240" s="292">
        <f t="shared" si="154"/>
        <v>0</v>
      </c>
      <c r="AE240" s="292">
        <f t="shared" si="155"/>
        <v>0</v>
      </c>
      <c r="AF240" s="292">
        <f t="shared" si="180"/>
        <v>0</v>
      </c>
      <c r="AG240" s="292">
        <f t="shared" si="181"/>
        <v>0</v>
      </c>
      <c r="AH240" s="292">
        <f t="shared" si="156"/>
        <v>0</v>
      </c>
      <c r="AI240" s="292">
        <f t="shared" si="157"/>
        <v>0</v>
      </c>
      <c r="AJ240" s="292">
        <f t="shared" si="158"/>
        <v>0</v>
      </c>
      <c r="AK240" s="292">
        <f t="shared" si="159"/>
        <v>0</v>
      </c>
      <c r="AL240" s="292">
        <f t="shared" si="160"/>
        <v>0</v>
      </c>
      <c r="AM240" s="292">
        <f t="shared" si="161"/>
        <v>0</v>
      </c>
      <c r="AN240" s="292">
        <f t="shared" si="162"/>
        <v>0</v>
      </c>
      <c r="AO240" s="292">
        <f t="shared" si="163"/>
        <v>0</v>
      </c>
      <c r="AP240" s="292">
        <f t="shared" si="164"/>
        <v>0</v>
      </c>
      <c r="AQ240" s="292">
        <f t="shared" si="165"/>
        <v>0</v>
      </c>
      <c r="AR240" s="292">
        <f t="shared" si="166"/>
        <v>0</v>
      </c>
      <c r="AS240" s="292">
        <f t="shared" si="167"/>
        <v>0</v>
      </c>
      <c r="AT240" s="292">
        <f t="shared" ca="1" si="168"/>
        <v>0</v>
      </c>
      <c r="AU240" s="292">
        <f t="shared" si="169"/>
        <v>0</v>
      </c>
      <c r="AV240" s="292">
        <f t="shared" si="170"/>
        <v>0</v>
      </c>
      <c r="AW240" s="292">
        <f t="shared" si="171"/>
        <v>0</v>
      </c>
      <c r="AX240" s="292">
        <f t="shared" si="172"/>
        <v>0</v>
      </c>
      <c r="AY240" s="292">
        <f t="shared" si="173"/>
        <v>0</v>
      </c>
      <c r="AZ240" s="292">
        <f t="shared" si="174"/>
        <v>0</v>
      </c>
      <c r="BA240" s="292">
        <f t="shared" ca="1" si="175"/>
        <v>0</v>
      </c>
    </row>
    <row r="241" spans="1:53" s="289" customFormat="1" ht="15.75" customHeight="1">
      <c r="A241" s="63">
        <f t="array" aca="1" ref="A241" ca="1">IF(C241&lt;&gt;0,SUM(($C$11:C241&lt;&gt;0)*1),"")</f>
        <v>7</v>
      </c>
      <c r="B241" s="293">
        <v>42277</v>
      </c>
      <c r="C241" s="293" t="s">
        <v>149</v>
      </c>
      <c r="D241" s="293">
        <f t="shared" si="182"/>
        <v>42277</v>
      </c>
      <c r="E241" s="294" t="s">
        <v>155</v>
      </c>
      <c r="F241" s="79">
        <f ca="1">AV243</f>
        <v>0</v>
      </c>
      <c r="G241" s="295" t="s">
        <v>143</v>
      </c>
      <c r="H241" s="295" t="s">
        <v>139</v>
      </c>
      <c r="I241" s="63">
        <f t="shared" ca="1" si="183"/>
        <v>7</v>
      </c>
      <c r="J241" s="292">
        <f t="shared" si="138"/>
        <v>0</v>
      </c>
      <c r="K241" s="292">
        <f t="shared" si="139"/>
        <v>0</v>
      </c>
      <c r="L241" s="292">
        <f t="shared" si="140"/>
        <v>0</v>
      </c>
      <c r="M241" s="292">
        <f t="shared" si="141"/>
        <v>0</v>
      </c>
      <c r="N241" s="292">
        <f t="shared" si="176"/>
        <v>0</v>
      </c>
      <c r="O241" s="292">
        <f t="shared" si="177"/>
        <v>0</v>
      </c>
      <c r="P241" s="292">
        <f t="shared" si="142"/>
        <v>0</v>
      </c>
      <c r="Q241" s="292">
        <f t="shared" si="143"/>
        <v>0</v>
      </c>
      <c r="R241" s="292">
        <f t="shared" si="144"/>
        <v>0</v>
      </c>
      <c r="S241" s="292">
        <f t="shared" si="145"/>
        <v>0</v>
      </c>
      <c r="T241" s="292">
        <f t="shared" si="178"/>
        <v>0</v>
      </c>
      <c r="U241" s="292">
        <f t="shared" si="179"/>
        <v>0</v>
      </c>
      <c r="V241" s="292">
        <f t="shared" si="146"/>
        <v>0</v>
      </c>
      <c r="W241" s="292">
        <f t="shared" si="147"/>
        <v>0</v>
      </c>
      <c r="X241" s="292">
        <f t="shared" si="148"/>
        <v>0</v>
      </c>
      <c r="Y241" s="292">
        <f t="shared" si="149"/>
        <v>0</v>
      </c>
      <c r="Z241" s="292">
        <f t="shared" si="150"/>
        <v>0</v>
      </c>
      <c r="AA241" s="292">
        <f t="shared" si="151"/>
        <v>0</v>
      </c>
      <c r="AB241" s="292">
        <f t="shared" si="152"/>
        <v>0</v>
      </c>
      <c r="AC241" s="292">
        <f t="shared" si="153"/>
        <v>0</v>
      </c>
      <c r="AD241" s="292">
        <f t="shared" si="154"/>
        <v>0</v>
      </c>
      <c r="AE241" s="292">
        <f t="shared" si="155"/>
        <v>0</v>
      </c>
      <c r="AF241" s="292">
        <f t="shared" si="180"/>
        <v>0</v>
      </c>
      <c r="AG241" s="292">
        <f t="shared" si="181"/>
        <v>0</v>
      </c>
      <c r="AH241" s="292">
        <f t="shared" si="156"/>
        <v>0</v>
      </c>
      <c r="AI241" s="292">
        <f t="shared" si="157"/>
        <v>0</v>
      </c>
      <c r="AJ241" s="292">
        <f t="shared" si="158"/>
        <v>0</v>
      </c>
      <c r="AK241" s="292">
        <f t="shared" si="159"/>
        <v>0</v>
      </c>
      <c r="AL241" s="292">
        <f t="shared" si="160"/>
        <v>0</v>
      </c>
      <c r="AM241" s="292">
        <f t="shared" si="161"/>
        <v>0</v>
      </c>
      <c r="AN241" s="292">
        <f t="shared" si="162"/>
        <v>0</v>
      </c>
      <c r="AO241" s="292">
        <f t="shared" si="163"/>
        <v>0</v>
      </c>
      <c r="AP241" s="292">
        <f t="shared" si="164"/>
        <v>0</v>
      </c>
      <c r="AQ241" s="292">
        <f t="shared" si="165"/>
        <v>0</v>
      </c>
      <c r="AR241" s="292">
        <f t="shared" si="166"/>
        <v>0</v>
      </c>
      <c r="AS241" s="292">
        <f t="shared" si="167"/>
        <v>0</v>
      </c>
      <c r="AT241" s="292">
        <f t="shared" si="168"/>
        <v>0</v>
      </c>
      <c r="AU241" s="292">
        <f t="shared" si="169"/>
        <v>0</v>
      </c>
      <c r="AV241" s="292">
        <f t="shared" si="170"/>
        <v>0</v>
      </c>
      <c r="AW241" s="292">
        <f t="shared" ca="1" si="171"/>
        <v>0</v>
      </c>
      <c r="AX241" s="292">
        <f t="shared" si="172"/>
        <v>0</v>
      </c>
      <c r="AY241" s="292">
        <f t="shared" si="173"/>
        <v>0</v>
      </c>
      <c r="AZ241" s="292">
        <f t="shared" ca="1" si="174"/>
        <v>0</v>
      </c>
      <c r="BA241" s="292">
        <f t="shared" si="175"/>
        <v>0</v>
      </c>
    </row>
    <row r="242" spans="1:53" s="289" customFormat="1" ht="15.75" customHeight="1">
      <c r="A242" s="63" t="str">
        <f t="array" ref="A242">IF(C242&lt;&gt;0,SUM(($C$11:C242&lt;&gt;0)*1),"")</f>
        <v/>
      </c>
      <c r="B242" s="253"/>
      <c r="C242" s="296"/>
      <c r="D242" s="253"/>
      <c r="E242" s="291"/>
      <c r="F242" s="65"/>
      <c r="G242" s="297"/>
      <c r="H242" s="297"/>
      <c r="I242" s="63" t="str">
        <f t="shared" si="183"/>
        <v/>
      </c>
      <c r="J242" s="292">
        <f t="shared" si="138"/>
        <v>0</v>
      </c>
      <c r="K242" s="292">
        <f t="shared" si="139"/>
        <v>0</v>
      </c>
      <c r="L242" s="292">
        <f t="shared" si="140"/>
        <v>0</v>
      </c>
      <c r="M242" s="292">
        <f t="shared" si="141"/>
        <v>0</v>
      </c>
      <c r="N242" s="292">
        <f t="shared" si="176"/>
        <v>0</v>
      </c>
      <c r="O242" s="292">
        <f t="shared" si="177"/>
        <v>0</v>
      </c>
      <c r="P242" s="292">
        <f t="shared" si="142"/>
        <v>0</v>
      </c>
      <c r="Q242" s="292">
        <f t="shared" si="143"/>
        <v>0</v>
      </c>
      <c r="R242" s="292">
        <f t="shared" si="144"/>
        <v>0</v>
      </c>
      <c r="S242" s="292">
        <f t="shared" si="145"/>
        <v>0</v>
      </c>
      <c r="T242" s="292">
        <f t="shared" si="178"/>
        <v>0</v>
      </c>
      <c r="U242" s="292">
        <f t="shared" si="179"/>
        <v>0</v>
      </c>
      <c r="V242" s="292">
        <f t="shared" si="146"/>
        <v>0</v>
      </c>
      <c r="W242" s="292">
        <f t="shared" si="147"/>
        <v>0</v>
      </c>
      <c r="X242" s="292">
        <f t="shared" si="148"/>
        <v>0</v>
      </c>
      <c r="Y242" s="292">
        <f t="shared" si="149"/>
        <v>0</v>
      </c>
      <c r="Z242" s="292">
        <f t="shared" si="150"/>
        <v>0</v>
      </c>
      <c r="AA242" s="292">
        <f t="shared" si="151"/>
        <v>0</v>
      </c>
      <c r="AB242" s="292">
        <f t="shared" si="152"/>
        <v>0</v>
      </c>
      <c r="AC242" s="292">
        <f t="shared" si="153"/>
        <v>0</v>
      </c>
      <c r="AD242" s="292">
        <f t="shared" si="154"/>
        <v>0</v>
      </c>
      <c r="AE242" s="292">
        <f t="shared" si="155"/>
        <v>0</v>
      </c>
      <c r="AF242" s="292">
        <f t="shared" si="180"/>
        <v>0</v>
      </c>
      <c r="AG242" s="292">
        <f t="shared" si="181"/>
        <v>0</v>
      </c>
      <c r="AH242" s="292">
        <f t="shared" si="156"/>
        <v>0</v>
      </c>
      <c r="AI242" s="292">
        <f t="shared" si="157"/>
        <v>0</v>
      </c>
      <c r="AJ242" s="292">
        <f t="shared" si="158"/>
        <v>0</v>
      </c>
      <c r="AK242" s="292">
        <f t="shared" si="159"/>
        <v>0</v>
      </c>
      <c r="AL242" s="292">
        <f t="shared" si="160"/>
        <v>0</v>
      </c>
      <c r="AM242" s="292">
        <f t="shared" si="161"/>
        <v>0</v>
      </c>
      <c r="AN242" s="292">
        <f t="shared" si="162"/>
        <v>0</v>
      </c>
      <c r="AO242" s="292">
        <f t="shared" si="163"/>
        <v>0</v>
      </c>
      <c r="AP242" s="292">
        <f t="shared" si="164"/>
        <v>0</v>
      </c>
      <c r="AQ242" s="292">
        <f t="shared" si="165"/>
        <v>0</v>
      </c>
      <c r="AR242" s="292">
        <f t="shared" si="166"/>
        <v>0</v>
      </c>
      <c r="AS242" s="292">
        <f t="shared" si="167"/>
        <v>0</v>
      </c>
      <c r="AT242" s="292">
        <f t="shared" si="168"/>
        <v>0</v>
      </c>
      <c r="AU242" s="292">
        <f t="shared" si="169"/>
        <v>0</v>
      </c>
      <c r="AV242" s="292">
        <f t="shared" si="170"/>
        <v>0</v>
      </c>
      <c r="AW242" s="292">
        <f t="shared" si="171"/>
        <v>0</v>
      </c>
      <c r="AX242" s="292">
        <f t="shared" si="172"/>
        <v>0</v>
      </c>
      <c r="AY242" s="292">
        <f t="shared" si="173"/>
        <v>0</v>
      </c>
      <c r="AZ242" s="292">
        <f t="shared" si="174"/>
        <v>0</v>
      </c>
      <c r="BA242" s="292">
        <f t="shared" si="175"/>
        <v>0</v>
      </c>
    </row>
    <row r="243" spans="1:53" s="289" customFormat="1" ht="15.75" customHeight="1">
      <c r="A243" s="298"/>
      <c r="B243" s="298"/>
      <c r="C243" s="325"/>
      <c r="D243" s="298"/>
      <c r="E243" s="291" t="s">
        <v>260</v>
      </c>
      <c r="F243" s="298"/>
      <c r="G243" s="297"/>
      <c r="H243" s="297"/>
      <c r="I243" s="298"/>
      <c r="J243" s="298">
        <f t="shared" ref="J243:BA243" ca="1" si="184">SUM(J11:J242)</f>
        <v>0</v>
      </c>
      <c r="K243" s="298">
        <f t="shared" ca="1" si="184"/>
        <v>0</v>
      </c>
      <c r="L243" s="298">
        <f t="shared" ca="1" si="184"/>
        <v>0</v>
      </c>
      <c r="M243" s="298">
        <f t="shared" ca="1" si="184"/>
        <v>0</v>
      </c>
      <c r="N243" s="298">
        <f ca="1">SUM(N11:N242)</f>
        <v>0</v>
      </c>
      <c r="O243" s="298">
        <f ca="1">SUM(O11:O242)</f>
        <v>0</v>
      </c>
      <c r="P243" s="298">
        <f ca="1">SUM(P11:P242)</f>
        <v>0</v>
      </c>
      <c r="Q243" s="298">
        <f ca="1">SUM(Q11:Q242)</f>
        <v>0</v>
      </c>
      <c r="R243" s="298">
        <f t="shared" ca="1" si="184"/>
        <v>0</v>
      </c>
      <c r="S243" s="298">
        <f t="shared" ca="1" si="184"/>
        <v>0</v>
      </c>
      <c r="T243" s="298">
        <f t="shared" ca="1" si="184"/>
        <v>0</v>
      </c>
      <c r="U243" s="298">
        <f t="shared" ca="1" si="184"/>
        <v>0</v>
      </c>
      <c r="V243" s="298">
        <f t="shared" ca="1" si="184"/>
        <v>0</v>
      </c>
      <c r="W243" s="298">
        <f t="shared" ca="1" si="184"/>
        <v>0</v>
      </c>
      <c r="X243" s="298">
        <f t="shared" ca="1" si="184"/>
        <v>0</v>
      </c>
      <c r="Y243" s="298">
        <f t="shared" ca="1" si="184"/>
        <v>0</v>
      </c>
      <c r="Z243" s="298">
        <f t="shared" ca="1" si="184"/>
        <v>0</v>
      </c>
      <c r="AA243" s="298">
        <f t="shared" ca="1" si="184"/>
        <v>0</v>
      </c>
      <c r="AB243" s="298">
        <f t="shared" ca="1" si="184"/>
        <v>0</v>
      </c>
      <c r="AC243" s="298">
        <f t="shared" ca="1" si="184"/>
        <v>0</v>
      </c>
      <c r="AD243" s="298">
        <f t="shared" ca="1" si="184"/>
        <v>0</v>
      </c>
      <c r="AE243" s="298">
        <f t="shared" ca="1" si="184"/>
        <v>0</v>
      </c>
      <c r="AF243" s="298">
        <f ca="1">SUM(AF11:AF242)</f>
        <v>0</v>
      </c>
      <c r="AG243" s="298">
        <f ca="1">SUM(AG11:AG242)</f>
        <v>0</v>
      </c>
      <c r="AH243" s="298">
        <f t="shared" ca="1" si="184"/>
        <v>0</v>
      </c>
      <c r="AI243" s="298">
        <f t="shared" ca="1" si="184"/>
        <v>0</v>
      </c>
      <c r="AJ243" s="298">
        <f t="shared" ca="1" si="184"/>
        <v>0</v>
      </c>
      <c r="AK243" s="298">
        <f t="shared" ca="1" si="184"/>
        <v>0</v>
      </c>
      <c r="AL243" s="298">
        <f t="shared" ca="1" si="184"/>
        <v>10580244</v>
      </c>
      <c r="AM243" s="298">
        <f t="shared" ca="1" si="184"/>
        <v>0</v>
      </c>
      <c r="AN243" s="298">
        <f t="shared" ca="1" si="184"/>
        <v>0</v>
      </c>
      <c r="AO243" s="298">
        <f t="shared" ca="1" si="184"/>
        <v>0</v>
      </c>
      <c r="AP243" s="298">
        <f t="shared" ca="1" si="184"/>
        <v>0</v>
      </c>
      <c r="AQ243" s="298">
        <f t="shared" ca="1" si="184"/>
        <v>0</v>
      </c>
      <c r="AR243" s="298">
        <f t="shared" ca="1" si="184"/>
        <v>0</v>
      </c>
      <c r="AS243" s="298">
        <f t="shared" ca="1" si="184"/>
        <v>0</v>
      </c>
      <c r="AT243" s="298">
        <f t="shared" ca="1" si="184"/>
        <v>0</v>
      </c>
      <c r="AU243" s="298">
        <f t="shared" ca="1" si="184"/>
        <v>0</v>
      </c>
      <c r="AV243" s="298">
        <f t="shared" ca="1" si="184"/>
        <v>0</v>
      </c>
      <c r="AW243" s="298">
        <f t="shared" ca="1" si="184"/>
        <v>0</v>
      </c>
      <c r="AX243" s="298">
        <f t="shared" ca="1" si="184"/>
        <v>0</v>
      </c>
      <c r="AY243" s="298">
        <f t="shared" ca="1" si="184"/>
        <v>0</v>
      </c>
      <c r="AZ243" s="298">
        <f t="shared" ca="1" si="184"/>
        <v>0</v>
      </c>
      <c r="BA243" s="298">
        <f t="shared" ca="1" si="184"/>
        <v>10580244</v>
      </c>
    </row>
    <row r="244" spans="1:53" s="289" customFormat="1" ht="15.75" customHeight="1">
      <c r="A244" s="299"/>
      <c r="B244" s="299"/>
      <c r="C244" s="299"/>
      <c r="D244" s="299"/>
      <c r="E244" s="300" t="s">
        <v>301</v>
      </c>
      <c r="F244" s="299"/>
      <c r="G244" s="301"/>
      <c r="H244" s="301"/>
      <c r="I244" s="299"/>
      <c r="J244" s="321">
        <f ca="1">MAX(J10+J243-K10-K243,0)</f>
        <v>481905579</v>
      </c>
      <c r="K244" s="321">
        <f ca="1">MAX(K10+K243-J10-J243,0)</f>
        <v>0</v>
      </c>
      <c r="L244" s="321">
        <f ca="1">MAX(L10+L243-M10-M243,0)</f>
        <v>1518304</v>
      </c>
      <c r="M244" s="321">
        <f ca="1">MAX(M10+M243-L10-L243,0)</f>
        <v>0</v>
      </c>
      <c r="N244" s="321">
        <f ca="1">MAX(N10+N243-O10-O243,0)</f>
        <v>0</v>
      </c>
      <c r="O244" s="321">
        <f ca="1">MAX(O10+O243-N10-N243,0)</f>
        <v>0</v>
      </c>
      <c r="P244" s="321">
        <f ca="1">MAX(P10+P243-Q10-Q243,0)</f>
        <v>62811209</v>
      </c>
      <c r="Q244" s="321">
        <f ca="1">MAX(Q10+Q243-P10-P243,0)</f>
        <v>0</v>
      </c>
      <c r="R244" s="321">
        <f ca="1">MAX(R10+R243-S10-S243,0)</f>
        <v>1219554047</v>
      </c>
      <c r="S244" s="321">
        <f ca="1">MAX(S10+S243-R10-R243,0)</f>
        <v>0</v>
      </c>
      <c r="T244" s="321">
        <f ca="1">MAX(T10+T243-U10-U243,0)</f>
        <v>31348179853</v>
      </c>
      <c r="U244" s="321">
        <f ca="1">MAX(U10+U243-T10-T243,0)</f>
        <v>0</v>
      </c>
      <c r="V244" s="321">
        <f ca="1">MAX(V10+V243-W10-W243,0)</f>
        <v>0</v>
      </c>
      <c r="W244" s="321">
        <f ca="1">MAX(W10+W243-V10-V243,0)</f>
        <v>1597487431</v>
      </c>
      <c r="X244" s="321">
        <f ca="1">MAX(X10+X243-Y10-Y243,0)</f>
        <v>0</v>
      </c>
      <c r="Y244" s="321">
        <f ca="1">MAX(Y10+Y243-X10-X243,0)</f>
        <v>0</v>
      </c>
      <c r="Z244" s="321">
        <f ca="1">MAX(Z10+Z243-AA10-AA243,0)</f>
        <v>0</v>
      </c>
      <c r="AA244" s="321">
        <f ca="1">MAX(AA10+AA243-Z10-Z243,0)</f>
        <v>0</v>
      </c>
      <c r="AB244" s="321">
        <f ca="1">MAX(AB10+AB243-AC10-AC243,0)</f>
        <v>0</v>
      </c>
      <c r="AC244" s="321">
        <f ca="1">MAX(AC10+AC243-AB10-AB243,0)</f>
        <v>7000000000</v>
      </c>
      <c r="AD244" s="321">
        <f ca="1">MAX(AD10+AD243-AE10-AE243,0)</f>
        <v>0</v>
      </c>
      <c r="AE244" s="321">
        <f ca="1">MAX(AE10+AE243-AD10-AD243,0)</f>
        <v>20000000000</v>
      </c>
      <c r="AF244" s="321">
        <f ca="1">MAX(AF10+AF243-AG10-AG243,0)</f>
        <v>0</v>
      </c>
      <c r="AG244" s="321">
        <f ca="1">MAX(AG10+AG243-AF10-AF243,0)</f>
        <v>1961520000</v>
      </c>
      <c r="AH244" s="321">
        <f ca="1">MAX(AH10+AH243-AI10-AI243,0)</f>
        <v>0</v>
      </c>
      <c r="AI244" s="321">
        <f ca="1">MAX(AI10+AI243-AH10-AH243,0)</f>
        <v>4000000000</v>
      </c>
      <c r="AJ244" s="321">
        <f ca="1">MAX(AJ10+AJ243-AK10-AK243,0)</f>
        <v>583066238</v>
      </c>
      <c r="AK244" s="321">
        <f ca="1">MAX(AK10+AK243-AJ10-AJ243,0)</f>
        <v>0</v>
      </c>
      <c r="AL244" s="321">
        <f ca="1">MAX(AL10+AL243-AM10-AM243,0)</f>
        <v>703220234</v>
      </c>
      <c r="AM244" s="321">
        <f ca="1">MAX(AM10+AM243-AL10-AL243,0)</f>
        <v>0</v>
      </c>
      <c r="AN244" s="321">
        <f ca="1">MAX(AN10+AN243-AO10-AO243,0)</f>
        <v>0</v>
      </c>
      <c r="AO244" s="321">
        <f ca="1">MAX(AO10+AO243-AN10-AN243,0)</f>
        <v>0</v>
      </c>
      <c r="AP244" s="321">
        <f ca="1">MAX(AP10+AP243-AQ10-AQ243,0)</f>
        <v>0</v>
      </c>
      <c r="AQ244" s="321">
        <f ca="1">MAX(AQ10+AQ243-AP10-AP243,0)</f>
        <v>0</v>
      </c>
      <c r="AR244" s="321">
        <f ca="1">MAX(AR10+AR243-AS10-AS243,0)</f>
        <v>0</v>
      </c>
      <c r="AS244" s="321">
        <f ca="1">MAX(AS10+AS243-AR10-AR243,0)</f>
        <v>0</v>
      </c>
      <c r="AT244" s="321">
        <f ca="1">MAX(AT10+AT243-AU10-AU243,0)</f>
        <v>0</v>
      </c>
      <c r="AU244" s="321">
        <f ca="1">MAX(AU10+AU243-AT10-AT243,0)</f>
        <v>0</v>
      </c>
      <c r="AV244" s="321">
        <f ca="1">MAX(AV10+AV243-AW10-AW243,0)</f>
        <v>0</v>
      </c>
      <c r="AW244" s="321">
        <f ca="1">MAX(AW10+AW243-AV10-AV243,0)</f>
        <v>0</v>
      </c>
      <c r="AX244" s="321">
        <f ca="1">MAX(AX10+AX243-AY10-AY243,0)</f>
        <v>0</v>
      </c>
      <c r="AY244" s="321">
        <f ca="1">MAX(AY10+AY243-AX10-AX243,0)</f>
        <v>0</v>
      </c>
      <c r="AZ244" s="321">
        <f ca="1">MAX(AZ10+AZ243-BA10-BA243,0)</f>
        <v>0</v>
      </c>
      <c r="BA244" s="321">
        <f ca="1">MAX(BA10+BA243-AZ10-AZ243,0)</f>
        <v>52285608</v>
      </c>
    </row>
    <row r="245" spans="1:53" s="289" customFormat="1" ht="15.75" customHeight="1">
      <c r="A245" s="303"/>
      <c r="B245" s="303"/>
      <c r="C245" s="304"/>
      <c r="D245" s="303"/>
      <c r="E245" s="305" t="s">
        <v>302</v>
      </c>
      <c r="F245" s="303"/>
      <c r="G245" s="306"/>
      <c r="H245" s="306"/>
      <c r="I245" s="303"/>
      <c r="J245" s="303">
        <f ca="1">J243+'SC-II'!J157</f>
        <v>4472000000</v>
      </c>
      <c r="K245" s="303">
        <f ca="1">K243+'SC-II'!K157</f>
        <v>5332259831</v>
      </c>
      <c r="L245" s="303">
        <f ca="1">L243+'SC-II'!L157</f>
        <v>6620715947</v>
      </c>
      <c r="M245" s="303">
        <f ca="1">M243+'SC-II'!M157</f>
        <v>8313972335</v>
      </c>
      <c r="N245" s="303">
        <f ca="1">N243+'SC-II'!N157</f>
        <v>1962840000</v>
      </c>
      <c r="O245" s="303">
        <f ca="1">O243+'SC-II'!O157</f>
        <v>1962840000</v>
      </c>
      <c r="P245" s="303">
        <f ca="1">P243+'SC-II'!P157</f>
        <v>62811209</v>
      </c>
      <c r="Q245" s="303">
        <f ca="1">Q243+'SC-II'!Q157</f>
        <v>0</v>
      </c>
      <c r="R245" s="303">
        <f ca="1">R243+'SC-II'!R157</f>
        <v>1219554047</v>
      </c>
      <c r="S245" s="303">
        <f ca="1">S243+'SC-II'!S157</f>
        <v>0</v>
      </c>
      <c r="T245" s="303">
        <f ca="1">T243+'SC-II'!T157</f>
        <v>8748192551</v>
      </c>
      <c r="U245" s="303">
        <f ca="1">U243+'SC-II'!U157</f>
        <v>0</v>
      </c>
      <c r="V245" s="303">
        <f ca="1">V243+'SC-II'!V157</f>
        <v>2854957314</v>
      </c>
      <c r="W245" s="303">
        <f ca="1">W243+'SC-II'!W157</f>
        <v>8762476509</v>
      </c>
      <c r="X245" s="303">
        <f ca="1">X243+'SC-II'!X157</f>
        <v>0</v>
      </c>
      <c r="Y245" s="303">
        <f ca="1">Y243+'SC-II'!Y157</f>
        <v>0</v>
      </c>
      <c r="Z245" s="303">
        <f ca="1">Z243+'SC-II'!Z157</f>
        <v>1500000</v>
      </c>
      <c r="AA245" s="303">
        <f ca="1">AA243+'SC-II'!AA157</f>
        <v>1500000</v>
      </c>
      <c r="AB245" s="303">
        <f ca="1">AB243+'SC-II'!AB157</f>
        <v>2405000000</v>
      </c>
      <c r="AC245" s="303">
        <f ca="1">AC243+'SC-II'!AC157</f>
        <v>4405000000</v>
      </c>
      <c r="AD245" s="303">
        <f ca="1">AD243+'SC-II'!AD157</f>
        <v>0</v>
      </c>
      <c r="AE245" s="303">
        <f ca="1">AE243+'SC-II'!AE157</f>
        <v>0</v>
      </c>
      <c r="AF245" s="303">
        <f ca="1">AF243+'SC-II'!AF157</f>
        <v>1982640000</v>
      </c>
      <c r="AG245" s="303">
        <f ca="1">AG243+'SC-II'!AG157</f>
        <v>1961520000</v>
      </c>
      <c r="AH245" s="303">
        <f ca="1">AH243+'SC-II'!AH157</f>
        <v>0</v>
      </c>
      <c r="AI245" s="303">
        <f ca="1">AI243+'SC-II'!AI157</f>
        <v>0</v>
      </c>
      <c r="AJ245" s="303">
        <f ca="1">AJ243+'SC-II'!AJ157</f>
        <v>359476733</v>
      </c>
      <c r="AK245" s="303">
        <f ca="1">AK243+'SC-II'!AK157</f>
        <v>0</v>
      </c>
      <c r="AL245" s="303">
        <f ca="1">AL243+'SC-II'!AL157</f>
        <v>703220234</v>
      </c>
      <c r="AM245" s="303">
        <f ca="1">AM243+'SC-II'!AM157</f>
        <v>359476733</v>
      </c>
      <c r="AN245" s="303">
        <f ca="1">AN243+'SC-II'!AN157</f>
        <v>19995947</v>
      </c>
      <c r="AO245" s="303">
        <f ca="1">AO243+'SC-II'!AO157</f>
        <v>19995947</v>
      </c>
      <c r="AP245" s="303">
        <f ca="1">AP243+'SC-II'!AP157</f>
        <v>1005486220</v>
      </c>
      <c r="AQ245" s="303">
        <f ca="1">AQ243+'SC-II'!AQ157</f>
        <v>1005486220</v>
      </c>
      <c r="AR245" s="303">
        <f ca="1">AR243+'SC-II'!AR157</f>
        <v>670930573</v>
      </c>
      <c r="AS245" s="303">
        <f ca="1">AS243+'SC-II'!AS157</f>
        <v>670930573</v>
      </c>
      <c r="AT245" s="303">
        <f ca="1">AT243+'SC-II'!AT157</f>
        <v>0</v>
      </c>
      <c r="AU245" s="303">
        <f ca="1">AU243+'SC-II'!AU157</f>
        <v>0</v>
      </c>
      <c r="AV245" s="303">
        <f ca="1">AV243+'SC-II'!AV157</f>
        <v>0</v>
      </c>
      <c r="AW245" s="303">
        <f ca="1">AW243+'SC-II'!AW157</f>
        <v>0</v>
      </c>
      <c r="AX245" s="303">
        <f ca="1">AX243+'SC-II'!AX157</f>
        <v>0</v>
      </c>
      <c r="AY245" s="303">
        <f ca="1">AY243+'SC-II'!AY157</f>
        <v>0</v>
      </c>
      <c r="AZ245" s="303">
        <f ca="1">AZ243+'SC-II'!AZ157</f>
        <v>670930573</v>
      </c>
      <c r="BA245" s="303">
        <f ca="1">BA243+'SC-II'!BA157</f>
        <v>723216181</v>
      </c>
    </row>
    <row r="246" spans="1:53" ht="12" customHeight="1">
      <c r="B246" s="308"/>
      <c r="C246" s="309"/>
      <c r="D246" s="309"/>
      <c r="E246" s="309"/>
      <c r="F246" s="309"/>
      <c r="G246" s="310"/>
      <c r="H246" s="310"/>
      <c r="I246" s="309"/>
      <c r="J246" s="309"/>
      <c r="K246" s="309"/>
      <c r="AR246" s="308"/>
      <c r="AS246" s="308"/>
      <c r="AT246" s="309"/>
      <c r="AU246" s="309"/>
      <c r="AV246" s="309"/>
      <c r="AW246" s="310"/>
      <c r="AX246" s="310"/>
      <c r="AY246" s="310"/>
      <c r="AZ246" s="310"/>
      <c r="BA246" s="326"/>
    </row>
    <row r="247" spans="1:53">
      <c r="F247" s="267"/>
      <c r="M247" s="311"/>
      <c r="O247" s="311"/>
      <c r="Q247" s="311"/>
      <c r="R247" s="311"/>
      <c r="S247" s="311"/>
      <c r="T247" s="311"/>
      <c r="U247" s="311"/>
      <c r="V247" s="311"/>
      <c r="AL247" s="312" t="s">
        <v>331</v>
      </c>
      <c r="AM247" s="313"/>
      <c r="AN247" s="313"/>
      <c r="AO247" s="313"/>
      <c r="AP247" s="313"/>
      <c r="AQ247" s="313"/>
      <c r="AR247" s="314"/>
      <c r="AS247" s="314"/>
      <c r="AT247" s="313"/>
    </row>
    <row r="248" spans="1:53">
      <c r="F248" s="267"/>
      <c r="M248" s="311"/>
      <c r="O248" s="311"/>
      <c r="Q248" s="311"/>
      <c r="R248" s="311"/>
      <c r="S248" s="311"/>
      <c r="T248" s="311"/>
      <c r="U248" s="311"/>
      <c r="V248" s="311"/>
      <c r="AL248" s="315" t="s">
        <v>306</v>
      </c>
      <c r="AM248" s="313"/>
      <c r="AN248" s="313"/>
      <c r="AO248" s="313"/>
      <c r="AP248" s="313"/>
      <c r="AQ248" s="313"/>
      <c r="AR248" s="314"/>
      <c r="AS248" s="314"/>
      <c r="AT248" s="313"/>
    </row>
    <row r="249" spans="1:53">
      <c r="F249" s="267"/>
      <c r="M249" s="311"/>
      <c r="O249" s="311"/>
      <c r="Q249" s="311"/>
      <c r="R249" s="311"/>
      <c r="S249" s="311"/>
      <c r="T249" s="311"/>
      <c r="U249" s="311"/>
      <c r="V249" s="311"/>
      <c r="AL249" s="313"/>
      <c r="AM249" s="313"/>
      <c r="AN249" s="313"/>
      <c r="AO249" s="313"/>
      <c r="AP249" s="313"/>
      <c r="AQ249" s="313"/>
      <c r="AR249" s="313"/>
      <c r="AS249" s="313"/>
      <c r="AT249" s="314"/>
    </row>
    <row r="250" spans="1:53">
      <c r="F250" s="267"/>
      <c r="M250" s="311"/>
      <c r="O250" s="311"/>
      <c r="Q250" s="311"/>
      <c r="R250" s="311"/>
      <c r="S250" s="311"/>
      <c r="T250" s="311"/>
      <c r="U250" s="311"/>
      <c r="V250" s="311"/>
      <c r="AL250" s="313"/>
      <c r="AM250" s="313"/>
      <c r="AN250" s="313"/>
      <c r="AO250" s="313"/>
      <c r="AP250" s="313"/>
      <c r="AQ250" s="313"/>
      <c r="AR250" s="313"/>
      <c r="AS250" s="313"/>
      <c r="AT250" s="314"/>
      <c r="AZ250" s="316" t="str">
        <f>"Ngày 30 tháng 09 năm 2015 "</f>
        <v xml:space="preserve">Ngày 30 tháng 09 năm 2015 </v>
      </c>
    </row>
    <row r="251" spans="1:53">
      <c r="F251" s="267"/>
      <c r="M251" s="311"/>
      <c r="O251" s="311"/>
      <c r="Q251" s="311"/>
      <c r="R251" s="311"/>
      <c r="S251" s="311"/>
      <c r="T251" s="311"/>
      <c r="U251" s="311"/>
      <c r="V251" s="311"/>
      <c r="AL251" s="313"/>
      <c r="AM251" s="317" t="s">
        <v>14</v>
      </c>
      <c r="AN251" s="313"/>
      <c r="AO251" s="313"/>
      <c r="AP251" s="313"/>
      <c r="AQ251" s="313"/>
      <c r="AR251" s="313"/>
      <c r="AS251" s="318" t="s">
        <v>15</v>
      </c>
      <c r="AT251" s="314"/>
      <c r="AZ251" s="317" t="s">
        <v>205</v>
      </c>
    </row>
    <row r="252" spans="1:53">
      <c r="F252" s="267"/>
      <c r="M252" s="311"/>
      <c r="O252" s="311"/>
      <c r="Q252" s="311"/>
      <c r="R252" s="311"/>
      <c r="S252" s="311"/>
      <c r="T252" s="311"/>
      <c r="U252" s="311"/>
      <c r="V252" s="311"/>
      <c r="AL252" s="313"/>
      <c r="AM252" s="319" t="s">
        <v>16</v>
      </c>
      <c r="AN252" s="313"/>
      <c r="AO252" s="313"/>
      <c r="AP252" s="313"/>
      <c r="AQ252" s="313"/>
      <c r="AR252" s="313"/>
      <c r="AS252" s="320" t="s">
        <v>16</v>
      </c>
      <c r="AT252" s="314"/>
      <c r="AZ252" s="319" t="s">
        <v>240</v>
      </c>
    </row>
    <row r="253" spans="1:53">
      <c r="F253" s="267"/>
      <c r="M253" s="311"/>
      <c r="O253" s="311"/>
      <c r="Q253" s="311"/>
      <c r="R253" s="311"/>
      <c r="S253" s="311"/>
      <c r="T253" s="311"/>
      <c r="U253" s="311"/>
      <c r="V253" s="311"/>
      <c r="AL253" s="313"/>
      <c r="AM253" s="313"/>
      <c r="AN253" s="313"/>
      <c r="AO253" s="313"/>
      <c r="AP253" s="313"/>
      <c r="AQ253" s="313"/>
      <c r="AR253" s="313"/>
      <c r="AS253" s="313"/>
      <c r="AT253" s="314"/>
      <c r="AZ253" s="313"/>
    </row>
    <row r="254" spans="1:53">
      <c r="F254" s="267"/>
      <c r="M254" s="311"/>
      <c r="O254" s="311"/>
      <c r="Q254" s="311"/>
      <c r="R254" s="311"/>
      <c r="S254" s="311"/>
      <c r="T254" s="311"/>
      <c r="U254" s="311"/>
      <c r="V254" s="311"/>
      <c r="AZ254" s="313"/>
    </row>
    <row r="255" spans="1:53">
      <c r="F255" s="267"/>
      <c r="M255" s="311"/>
      <c r="O255" s="311"/>
      <c r="Q255" s="311"/>
      <c r="R255" s="311"/>
      <c r="S255" s="311"/>
      <c r="T255" s="311"/>
      <c r="U255" s="311"/>
      <c r="V255" s="311"/>
    </row>
    <row r="256" spans="1:53">
      <c r="F256" s="267"/>
      <c r="M256" s="311"/>
      <c r="O256" s="311"/>
      <c r="Q256" s="311"/>
      <c r="R256" s="311"/>
      <c r="S256" s="311"/>
      <c r="T256" s="311"/>
      <c r="U256" s="311"/>
      <c r="V256" s="311"/>
    </row>
    <row r="257" spans="6:22">
      <c r="F257" s="267"/>
      <c r="M257" s="311"/>
      <c r="O257" s="311"/>
      <c r="Q257" s="311"/>
      <c r="R257" s="311"/>
      <c r="S257" s="311"/>
      <c r="T257" s="311"/>
      <c r="U257" s="311"/>
      <c r="V257" s="311"/>
    </row>
    <row r="258" spans="6:22">
      <c r="F258" s="267"/>
      <c r="M258" s="311"/>
      <c r="O258" s="311"/>
      <c r="Q258" s="311"/>
      <c r="R258" s="311"/>
      <c r="S258" s="311"/>
      <c r="T258" s="311"/>
      <c r="U258" s="311"/>
      <c r="V258" s="311"/>
    </row>
    <row r="259" spans="6:22">
      <c r="F259" s="267"/>
      <c r="M259" s="311"/>
      <c r="O259" s="311"/>
      <c r="Q259" s="311"/>
      <c r="R259" s="311"/>
      <c r="S259" s="311"/>
      <c r="T259" s="311"/>
      <c r="U259" s="311"/>
      <c r="V259" s="311"/>
    </row>
    <row r="260" spans="6:22">
      <c r="F260" s="267"/>
      <c r="M260" s="311"/>
      <c r="O260" s="311"/>
      <c r="Q260" s="311"/>
      <c r="R260" s="311"/>
      <c r="S260" s="311"/>
      <c r="T260" s="311"/>
      <c r="U260" s="311"/>
      <c r="V260" s="311"/>
    </row>
    <row r="269" spans="6:22">
      <c r="R269" s="311"/>
    </row>
    <row r="270" spans="6:22">
      <c r="R270" s="311"/>
    </row>
    <row r="271" spans="6:22">
      <c r="M271" s="311"/>
      <c r="O271" s="311"/>
      <c r="P271" s="311"/>
      <c r="Q271" s="311"/>
      <c r="R271" s="311"/>
    </row>
    <row r="272" spans="6:22">
      <c r="M272" s="311"/>
      <c r="O272" s="311"/>
      <c r="P272" s="311"/>
      <c r="Q272" s="311"/>
      <c r="R272" s="311"/>
    </row>
    <row r="273" spans="13:18">
      <c r="M273" s="311"/>
      <c r="O273" s="311"/>
      <c r="P273" s="311"/>
      <c r="Q273" s="311"/>
    </row>
    <row r="274" spans="13:18">
      <c r="M274" s="311"/>
      <c r="O274" s="311"/>
      <c r="P274" s="311"/>
      <c r="Q274" s="311"/>
    </row>
    <row r="276" spans="13:18">
      <c r="M276" s="311"/>
      <c r="O276" s="311"/>
      <c r="P276" s="311"/>
      <c r="Q276" s="311"/>
      <c r="R276" s="311"/>
    </row>
    <row r="277" spans="13:18">
      <c r="M277" s="311"/>
      <c r="O277" s="311"/>
      <c r="P277" s="311"/>
      <c r="Q277" s="311"/>
      <c r="R277" s="311"/>
    </row>
    <row r="284" spans="13:18">
      <c r="M284" s="311"/>
      <c r="O284" s="311"/>
      <c r="P284" s="311"/>
      <c r="Q284" s="311"/>
      <c r="R284" s="311"/>
    </row>
    <row r="285" spans="13:18">
      <c r="M285" s="311"/>
      <c r="O285" s="311"/>
      <c r="P285" s="311"/>
      <c r="Q285" s="311"/>
      <c r="R285" s="311"/>
    </row>
    <row r="286" spans="13:18">
      <c r="M286" s="311"/>
      <c r="O286" s="311"/>
      <c r="P286" s="311"/>
      <c r="Q286" s="311"/>
      <c r="R286" s="311"/>
    </row>
    <row r="290" spans="13:18">
      <c r="M290" s="311"/>
      <c r="O290" s="311"/>
      <c r="P290" s="311"/>
      <c r="Q290" s="311"/>
      <c r="R290" s="311"/>
    </row>
    <row r="291" spans="13:18">
      <c r="M291" s="311"/>
      <c r="O291" s="311"/>
      <c r="P291" s="311"/>
      <c r="Q291" s="311"/>
      <c r="R291" s="311"/>
    </row>
    <row r="292" spans="13:18">
      <c r="M292" s="311"/>
      <c r="O292" s="311"/>
      <c r="P292" s="311"/>
      <c r="Q292" s="311"/>
      <c r="R292" s="311"/>
    </row>
    <row r="293" spans="13:18">
      <c r="M293" s="311"/>
      <c r="O293" s="311"/>
      <c r="P293" s="311"/>
      <c r="Q293" s="311"/>
      <c r="R293" s="311"/>
    </row>
    <row r="294" spans="13:18">
      <c r="M294" s="311"/>
      <c r="O294" s="311"/>
      <c r="P294" s="311"/>
      <c r="Q294" s="311"/>
      <c r="R294" s="311"/>
    </row>
    <row r="295" spans="13:18">
      <c r="M295" s="311"/>
      <c r="O295" s="311"/>
      <c r="P295" s="311"/>
      <c r="Q295" s="311"/>
      <c r="R295" s="311"/>
    </row>
    <row r="296" spans="13:18">
      <c r="M296" s="311"/>
      <c r="O296" s="311"/>
      <c r="P296" s="311"/>
      <c r="Q296" s="311"/>
      <c r="R296" s="311"/>
    </row>
    <row r="297" spans="13:18">
      <c r="M297" s="311"/>
      <c r="O297" s="311"/>
      <c r="P297" s="311"/>
      <c r="Q297" s="311"/>
      <c r="R297" s="311"/>
    </row>
    <row r="298" spans="13:18">
      <c r="M298" s="311"/>
      <c r="O298" s="311"/>
      <c r="P298" s="311"/>
      <c r="Q298" s="311"/>
      <c r="R298" s="311"/>
    </row>
    <row r="299" spans="13:18">
      <c r="M299" s="311"/>
      <c r="O299" s="311"/>
      <c r="P299" s="311"/>
      <c r="Q299" s="311"/>
      <c r="R299" s="311"/>
    </row>
    <row r="300" spans="13:18">
      <c r="M300" s="311"/>
      <c r="O300" s="311"/>
      <c r="P300" s="311"/>
      <c r="Q300" s="311"/>
      <c r="R300" s="311"/>
    </row>
    <row r="301" spans="13:18">
      <c r="M301" s="311"/>
      <c r="O301" s="311"/>
      <c r="P301" s="311"/>
      <c r="Q301" s="311"/>
      <c r="R301" s="311"/>
    </row>
    <row r="302" spans="13:18">
      <c r="M302" s="311"/>
      <c r="O302" s="311"/>
      <c r="P302" s="311"/>
      <c r="Q302" s="311"/>
      <c r="R302" s="311"/>
    </row>
    <row r="303" spans="13:18">
      <c r="M303" s="311"/>
      <c r="O303" s="311"/>
      <c r="P303" s="311"/>
      <c r="Q303" s="311"/>
      <c r="R303" s="311"/>
    </row>
    <row r="304" spans="13:18">
      <c r="M304" s="311"/>
      <c r="O304" s="311"/>
      <c r="P304" s="311"/>
      <c r="Q304" s="311"/>
      <c r="R304" s="311"/>
    </row>
    <row r="305" spans="13:18">
      <c r="M305" s="311"/>
      <c r="O305" s="311"/>
      <c r="P305" s="311"/>
      <c r="Q305" s="311"/>
      <c r="R305" s="311"/>
    </row>
    <row r="306" spans="13:18">
      <c r="M306" s="311"/>
      <c r="O306" s="311"/>
      <c r="P306" s="311"/>
      <c r="Q306" s="311"/>
      <c r="R306" s="311"/>
    </row>
    <row r="307" spans="13:18">
      <c r="M307" s="311"/>
      <c r="O307" s="311"/>
      <c r="P307" s="311"/>
      <c r="Q307" s="311"/>
      <c r="R307" s="311"/>
    </row>
    <row r="308" spans="13:18">
      <c r="M308" s="311"/>
      <c r="O308" s="311"/>
      <c r="P308" s="311"/>
      <c r="Q308" s="311"/>
      <c r="R308" s="311"/>
    </row>
    <row r="309" spans="13:18">
      <c r="M309" s="311"/>
      <c r="O309" s="311"/>
      <c r="P309" s="311"/>
      <c r="Q309" s="311"/>
      <c r="R309" s="311"/>
    </row>
    <row r="310" spans="13:18">
      <c r="M310" s="311"/>
      <c r="O310" s="311"/>
      <c r="P310" s="311"/>
      <c r="Q310" s="311"/>
      <c r="R310" s="311"/>
    </row>
    <row r="311" spans="13:18">
      <c r="M311" s="311"/>
      <c r="O311" s="311"/>
      <c r="P311" s="311"/>
      <c r="Q311" s="311"/>
      <c r="R311" s="311"/>
    </row>
    <row r="312" spans="13:18">
      <c r="M312" s="311"/>
      <c r="O312" s="311"/>
      <c r="P312" s="311"/>
      <c r="Q312" s="311"/>
      <c r="R312" s="311"/>
    </row>
    <row r="313" spans="13:18">
      <c r="M313" s="311"/>
      <c r="O313" s="311"/>
      <c r="P313" s="311"/>
      <c r="Q313" s="311"/>
      <c r="R313" s="311"/>
    </row>
    <row r="314" spans="13:18">
      <c r="M314" s="311"/>
      <c r="O314" s="311"/>
      <c r="P314" s="311"/>
      <c r="Q314" s="311"/>
      <c r="R314" s="311"/>
    </row>
    <row r="315" spans="13:18">
      <c r="M315" s="311"/>
      <c r="O315" s="311"/>
      <c r="P315" s="311"/>
      <c r="Q315" s="311"/>
      <c r="R315" s="311"/>
    </row>
    <row r="316" spans="13:18">
      <c r="M316" s="311"/>
      <c r="O316" s="311"/>
      <c r="P316" s="311"/>
      <c r="Q316" s="311"/>
      <c r="R316" s="311"/>
    </row>
    <row r="317" spans="13:18">
      <c r="M317" s="311"/>
      <c r="O317" s="311"/>
      <c r="P317" s="311"/>
      <c r="Q317" s="311"/>
      <c r="R317" s="311"/>
    </row>
    <row r="318" spans="13:18">
      <c r="M318" s="311"/>
      <c r="O318" s="311"/>
      <c r="P318" s="311"/>
      <c r="Q318" s="311"/>
      <c r="R318" s="311"/>
    </row>
    <row r="319" spans="13:18">
      <c r="M319" s="311"/>
      <c r="O319" s="311"/>
      <c r="P319" s="311"/>
      <c r="Q319" s="311"/>
      <c r="R319" s="311"/>
    </row>
    <row r="320" spans="13:18">
      <c r="M320" s="311"/>
      <c r="O320" s="311"/>
      <c r="P320" s="311"/>
      <c r="Q320" s="311"/>
      <c r="R320" s="311"/>
    </row>
    <row r="321" spans="13:18">
      <c r="M321" s="311"/>
      <c r="O321" s="311"/>
      <c r="P321" s="311"/>
      <c r="Q321" s="311"/>
      <c r="R321" s="311"/>
    </row>
    <row r="322" spans="13:18">
      <c r="M322" s="311"/>
      <c r="O322" s="311"/>
      <c r="P322" s="311"/>
      <c r="Q322" s="311"/>
      <c r="R322" s="311"/>
    </row>
    <row r="323" spans="13:18">
      <c r="M323" s="311"/>
      <c r="O323" s="311"/>
      <c r="P323" s="311"/>
      <c r="Q323" s="311"/>
      <c r="R323" s="311"/>
    </row>
    <row r="324" spans="13:18">
      <c r="M324" s="311"/>
      <c r="O324" s="311"/>
      <c r="P324" s="311"/>
      <c r="Q324" s="311"/>
      <c r="R324" s="311"/>
    </row>
    <row r="325" spans="13:18">
      <c r="M325" s="311"/>
      <c r="O325" s="311"/>
      <c r="P325" s="311"/>
      <c r="Q325" s="311"/>
      <c r="R325" s="311"/>
    </row>
    <row r="326" spans="13:18">
      <c r="M326" s="311"/>
      <c r="O326" s="311"/>
      <c r="P326" s="311"/>
      <c r="Q326" s="311"/>
      <c r="R326" s="311"/>
    </row>
    <row r="327" spans="13:18">
      <c r="M327" s="311"/>
      <c r="O327" s="311"/>
      <c r="P327" s="311"/>
      <c r="Q327" s="311"/>
      <c r="R327" s="311"/>
    </row>
    <row r="328" spans="13:18">
      <c r="M328" s="311"/>
      <c r="O328" s="311"/>
      <c r="P328" s="311"/>
      <c r="Q328" s="311"/>
      <c r="R328" s="311"/>
    </row>
    <row r="329" spans="13:18">
      <c r="M329" s="311"/>
      <c r="O329" s="311"/>
      <c r="P329" s="311"/>
      <c r="Q329" s="311"/>
      <c r="R329" s="311"/>
    </row>
    <row r="330" spans="13:18">
      <c r="M330" s="311"/>
      <c r="O330" s="311"/>
      <c r="P330" s="311"/>
      <c r="Q330" s="311"/>
      <c r="R330" s="311"/>
    </row>
    <row r="331" spans="13:18">
      <c r="M331" s="311"/>
      <c r="O331" s="311"/>
      <c r="P331" s="311"/>
      <c r="Q331" s="311"/>
      <c r="R331" s="311"/>
    </row>
    <row r="332" spans="13:18">
      <c r="M332" s="311"/>
      <c r="O332" s="311"/>
      <c r="P332" s="311"/>
      <c r="Q332" s="311"/>
      <c r="R332" s="311"/>
    </row>
    <row r="333" spans="13:18">
      <c r="M333" s="311"/>
      <c r="O333" s="311"/>
      <c r="P333" s="311"/>
      <c r="Q333" s="311"/>
      <c r="R333" s="311"/>
    </row>
    <row r="334" spans="13:18">
      <c r="M334" s="311"/>
      <c r="O334" s="311"/>
      <c r="P334" s="311"/>
      <c r="Q334" s="311"/>
      <c r="R334" s="311"/>
    </row>
    <row r="335" spans="13:18">
      <c r="M335" s="311"/>
      <c r="O335" s="311"/>
      <c r="P335" s="311"/>
      <c r="Q335" s="311"/>
      <c r="R335" s="311"/>
    </row>
    <row r="336" spans="13:18">
      <c r="M336" s="311"/>
      <c r="O336" s="311"/>
      <c r="P336" s="311"/>
      <c r="Q336" s="311"/>
      <c r="R336" s="311"/>
    </row>
    <row r="337" spans="13:18">
      <c r="M337" s="311"/>
      <c r="O337" s="311"/>
      <c r="P337" s="311"/>
      <c r="Q337" s="311"/>
      <c r="R337" s="311"/>
    </row>
    <row r="338" spans="13:18">
      <c r="M338" s="311"/>
      <c r="O338" s="311"/>
      <c r="P338" s="311"/>
      <c r="Q338" s="311"/>
      <c r="R338" s="311"/>
    </row>
    <row r="339" spans="13:18">
      <c r="M339" s="311"/>
      <c r="O339" s="311"/>
      <c r="P339" s="311"/>
      <c r="Q339" s="311"/>
      <c r="R339" s="311"/>
    </row>
    <row r="340" spans="13:18">
      <c r="M340" s="311"/>
      <c r="O340" s="311"/>
      <c r="P340" s="311"/>
      <c r="Q340" s="311"/>
      <c r="R340" s="311"/>
    </row>
    <row r="341" spans="13:18">
      <c r="M341" s="311"/>
      <c r="O341" s="311"/>
      <c r="P341" s="311"/>
      <c r="Q341" s="311"/>
      <c r="R341" s="311"/>
    </row>
    <row r="342" spans="13:18">
      <c r="M342" s="311"/>
      <c r="O342" s="311"/>
      <c r="P342" s="311"/>
      <c r="Q342" s="311"/>
      <c r="R342" s="311"/>
    </row>
    <row r="343" spans="13:18">
      <c r="M343" s="311"/>
      <c r="O343" s="311"/>
      <c r="P343" s="311"/>
      <c r="Q343" s="311"/>
      <c r="R343" s="311"/>
    </row>
    <row r="344" spans="13:18">
      <c r="M344" s="311"/>
      <c r="O344" s="311"/>
      <c r="P344" s="311"/>
      <c r="Q344" s="311"/>
      <c r="R344" s="311"/>
    </row>
    <row r="345" spans="13:18">
      <c r="M345" s="311"/>
      <c r="O345" s="311"/>
      <c r="P345" s="311"/>
      <c r="Q345" s="311"/>
      <c r="R345" s="311"/>
    </row>
    <row r="346" spans="13:18">
      <c r="M346" s="311"/>
      <c r="O346" s="311"/>
      <c r="P346" s="311"/>
      <c r="Q346" s="311"/>
      <c r="R346" s="311"/>
    </row>
    <row r="347" spans="13:18">
      <c r="M347" s="311"/>
      <c r="O347" s="311"/>
      <c r="P347" s="311"/>
      <c r="Q347" s="311"/>
      <c r="R347" s="311"/>
    </row>
    <row r="348" spans="13:18">
      <c r="M348" s="311"/>
      <c r="O348" s="311"/>
      <c r="P348" s="311"/>
      <c r="Q348" s="311"/>
      <c r="R348" s="311"/>
    </row>
    <row r="349" spans="13:18">
      <c r="M349" s="311"/>
      <c r="O349" s="311"/>
      <c r="P349" s="311"/>
      <c r="Q349" s="311"/>
      <c r="R349" s="311"/>
    </row>
    <row r="350" spans="13:18">
      <c r="M350" s="311"/>
      <c r="O350" s="311"/>
      <c r="P350" s="311"/>
      <c r="Q350" s="311"/>
      <c r="R350" s="311"/>
    </row>
    <row r="351" spans="13:18">
      <c r="M351" s="311"/>
      <c r="O351" s="311"/>
      <c r="P351" s="311"/>
      <c r="Q351" s="311"/>
      <c r="R351" s="311"/>
    </row>
    <row r="352" spans="13:18">
      <c r="M352" s="311"/>
      <c r="O352" s="311"/>
      <c r="P352" s="311"/>
      <c r="Q352" s="311"/>
      <c r="R352" s="311"/>
    </row>
    <row r="353" spans="13:18">
      <c r="M353" s="311"/>
      <c r="O353" s="311"/>
      <c r="P353" s="311"/>
      <c r="Q353" s="311"/>
      <c r="R353" s="311"/>
    </row>
    <row r="354" spans="13:18">
      <c r="M354" s="311"/>
      <c r="O354" s="311"/>
      <c r="P354" s="311"/>
      <c r="Q354" s="311"/>
      <c r="R354" s="311"/>
    </row>
    <row r="355" spans="13:18">
      <c r="M355" s="311"/>
      <c r="O355" s="311"/>
      <c r="P355" s="311"/>
      <c r="Q355" s="311"/>
      <c r="R355" s="311"/>
    </row>
    <row r="356" spans="13:18">
      <c r="M356" s="311"/>
      <c r="O356" s="311"/>
      <c r="P356" s="311"/>
      <c r="Q356" s="311"/>
      <c r="R356" s="311"/>
    </row>
    <row r="357" spans="13:18">
      <c r="M357" s="311"/>
      <c r="O357" s="311"/>
      <c r="P357" s="311"/>
      <c r="Q357" s="311"/>
      <c r="R357" s="311"/>
    </row>
    <row r="358" spans="13:18">
      <c r="M358" s="311"/>
      <c r="O358" s="311"/>
      <c r="P358" s="311"/>
      <c r="Q358" s="311"/>
      <c r="R358" s="311"/>
    </row>
    <row r="359" spans="13:18">
      <c r="M359" s="311"/>
      <c r="O359" s="311"/>
      <c r="P359" s="311"/>
      <c r="Q359" s="311"/>
      <c r="R359" s="311"/>
    </row>
    <row r="360" spans="13:18">
      <c r="M360" s="311"/>
      <c r="O360" s="311"/>
      <c r="P360" s="311"/>
      <c r="Q360" s="311"/>
      <c r="R360" s="311"/>
    </row>
    <row r="361" spans="13:18">
      <c r="M361" s="311"/>
      <c r="O361" s="311"/>
      <c r="P361" s="311"/>
      <c r="Q361" s="311"/>
      <c r="R361" s="311"/>
    </row>
    <row r="362" spans="13:18">
      <c r="M362" s="311"/>
      <c r="O362" s="311"/>
      <c r="P362" s="311"/>
      <c r="Q362" s="311"/>
      <c r="R362" s="311"/>
    </row>
    <row r="363" spans="13:18">
      <c r="M363" s="311"/>
      <c r="O363" s="311"/>
      <c r="P363" s="311"/>
      <c r="Q363" s="311"/>
      <c r="R363" s="311"/>
    </row>
    <row r="364" spans="13:18">
      <c r="M364" s="311"/>
      <c r="O364" s="311"/>
      <c r="P364" s="311"/>
      <c r="Q364" s="311"/>
      <c r="R364" s="311"/>
    </row>
  </sheetData>
  <autoFilter ref="A9:BA245"/>
  <mergeCells count="33">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7030A0"/>
  </sheetPr>
  <dimension ref="A1:BA519"/>
  <sheetViews>
    <sheetView topLeftCell="A7" workbookViewId="0">
      <pane xSplit="8" ySplit="5" topLeftCell="I336" activePane="bottomRight" state="frozen"/>
      <selection activeCell="A7" sqref="A7"/>
      <selection pane="topRight" activeCell="I7" sqref="I7"/>
      <selection pane="bottomLeft" activeCell="A12" sqref="A12"/>
      <selection pane="bottomRight" activeCell="E353" sqref="E353"/>
    </sheetView>
  </sheetViews>
  <sheetFormatPr defaultRowHeight="12.75"/>
  <cols>
    <col min="1" max="1" width="4.85546875" style="267" customWidth="1"/>
    <col min="2" max="2" width="8.42578125" style="267" customWidth="1"/>
    <col min="3" max="3" width="7.85546875" style="267" customWidth="1"/>
    <col min="4" max="4" width="8.7109375" style="267" customWidth="1"/>
    <col min="5" max="5" width="44" style="267" customWidth="1"/>
    <col min="6" max="6" width="13.5703125" style="267" customWidth="1"/>
    <col min="7" max="8" width="5.85546875" style="268" customWidth="1"/>
    <col min="9" max="9" width="4.85546875" style="267" customWidth="1"/>
    <col min="10" max="10" width="13.140625" style="267" customWidth="1"/>
    <col min="11" max="11" width="13.28515625" style="267" customWidth="1"/>
    <col min="12" max="12" width="13.7109375" style="267" customWidth="1"/>
    <col min="13" max="13" width="14" style="267" customWidth="1"/>
    <col min="14" max="14" width="13.7109375" style="267" customWidth="1"/>
    <col min="15" max="15" width="14" style="267" customWidth="1"/>
    <col min="16" max="16" width="12.7109375" style="267" customWidth="1"/>
    <col min="17" max="17" width="14.5703125" style="267" customWidth="1"/>
    <col min="18" max="18" width="13.28515625" style="267" customWidth="1"/>
    <col min="19" max="19" width="13" style="267" customWidth="1"/>
    <col min="20" max="20" width="14" style="267" customWidth="1"/>
    <col min="21" max="21" width="5" style="267" customWidth="1"/>
    <col min="22" max="22" width="13.7109375" style="267" customWidth="1"/>
    <col min="23" max="23" width="13.42578125" style="267" customWidth="1"/>
    <col min="24" max="24" width="6.140625" style="267" customWidth="1"/>
    <col min="25" max="25" width="7.140625" style="267" customWidth="1"/>
    <col min="26" max="27" width="9.42578125" style="267" customWidth="1"/>
    <col min="28" max="28" width="11.140625" style="267" customWidth="1"/>
    <col min="29" max="29" width="13" style="267" customWidth="1"/>
    <col min="30" max="30" width="4.5703125" style="267" customWidth="1"/>
    <col min="31" max="31" width="13.5703125" style="267" customWidth="1"/>
    <col min="32" max="32" width="4.5703125" style="267" customWidth="1"/>
    <col min="33" max="33" width="13.5703125" style="267" customWidth="1"/>
    <col min="34" max="34" width="4.42578125" style="267" customWidth="1"/>
    <col min="35" max="35" width="12.7109375" style="267" customWidth="1"/>
    <col min="36" max="36" width="11.140625" style="267" customWidth="1"/>
    <col min="37" max="37" width="4.7109375" style="267" customWidth="1"/>
    <col min="38" max="38" width="12.28515625" style="267" customWidth="1"/>
    <col min="39" max="39" width="11.42578125" style="267" customWidth="1"/>
    <col min="40" max="40" width="11.28515625" style="267" customWidth="1"/>
    <col min="41" max="41" width="11.140625" style="267" customWidth="1"/>
    <col min="42" max="43" width="12.5703125" style="267" customWidth="1"/>
    <col min="44" max="44" width="13.42578125" style="267" customWidth="1"/>
    <col min="45" max="45" width="12.7109375" style="267" customWidth="1"/>
    <col min="46" max="46" width="11.85546875" style="267" customWidth="1"/>
    <col min="47" max="47" width="11.5703125" style="267" customWidth="1"/>
    <col min="48" max="48" width="7.5703125" style="267" customWidth="1"/>
    <col min="49" max="49" width="8.140625" style="267" customWidth="1"/>
    <col min="50" max="50" width="7.5703125" style="267" customWidth="1"/>
    <col min="51" max="51" width="7.42578125" style="267" customWidth="1"/>
    <col min="52" max="53" width="13.140625" style="267" customWidth="1"/>
    <col min="54" max="16384" width="9.140625" style="267"/>
  </cols>
  <sheetData>
    <row r="1" spans="1:53" ht="12.75" customHeight="1">
      <c r="A1" s="263"/>
      <c r="B1" s="264" t="s">
        <v>156</v>
      </c>
      <c r="C1" s="265"/>
      <c r="D1" s="265"/>
      <c r="E1" s="266"/>
      <c r="I1" s="265"/>
      <c r="L1" s="1198" t="s">
        <v>277</v>
      </c>
      <c r="M1" s="1198"/>
      <c r="N1" s="1198"/>
      <c r="O1" s="1198"/>
      <c r="P1" s="1198"/>
      <c r="Q1" s="1198"/>
      <c r="R1" s="382"/>
      <c r="T1" s="265"/>
      <c r="U1" s="265"/>
      <c r="V1" s="265"/>
      <c r="W1" s="265"/>
      <c r="X1" s="265"/>
      <c r="Y1" s="265"/>
      <c r="Z1" s="265"/>
      <c r="AA1" s="265"/>
      <c r="AB1" s="265"/>
      <c r="AC1" s="265"/>
      <c r="AD1" s="265"/>
      <c r="AE1" s="265"/>
      <c r="AF1" s="462"/>
      <c r="AG1" s="462"/>
      <c r="AH1" s="265"/>
      <c r="AI1" s="265"/>
      <c r="AJ1" s="265"/>
      <c r="AK1" s="265"/>
      <c r="AL1" s="265"/>
      <c r="AM1" s="265"/>
      <c r="AN1" s="265"/>
      <c r="AO1" s="265"/>
      <c r="AP1" s="265"/>
      <c r="AQ1" s="265"/>
      <c r="AR1" s="265"/>
      <c r="AS1" s="265"/>
      <c r="AT1" s="265"/>
      <c r="AU1" s="265"/>
      <c r="AV1" s="265"/>
      <c r="AW1" s="265"/>
      <c r="AX1" s="265"/>
      <c r="AY1" s="265"/>
      <c r="AZ1" s="265"/>
      <c r="BA1" s="265"/>
    </row>
    <row r="2" spans="1:53" ht="12.75" customHeight="1">
      <c r="A2" s="263"/>
      <c r="B2" s="264" t="s">
        <v>266</v>
      </c>
      <c r="C2" s="265"/>
      <c r="D2" s="265"/>
      <c r="E2" s="265"/>
      <c r="I2" s="269"/>
      <c r="L2" s="1199" t="s">
        <v>223</v>
      </c>
      <c r="M2" s="1199"/>
      <c r="N2" s="1199"/>
      <c r="O2" s="1199"/>
      <c r="P2" s="1199"/>
      <c r="Q2" s="1199"/>
      <c r="R2" s="383"/>
      <c r="T2" s="269"/>
      <c r="U2" s="269"/>
      <c r="V2" s="269"/>
      <c r="W2" s="269"/>
      <c r="X2" s="269"/>
      <c r="Y2" s="269"/>
      <c r="Z2" s="269"/>
      <c r="AA2" s="269"/>
      <c r="AB2" s="269"/>
      <c r="AC2" s="269"/>
      <c r="AD2" s="269"/>
      <c r="AE2" s="269"/>
      <c r="AF2" s="463"/>
      <c r="AG2" s="463"/>
      <c r="AH2" s="269"/>
      <c r="AI2" s="269"/>
      <c r="AJ2" s="269"/>
      <c r="AK2" s="269"/>
      <c r="AL2" s="269"/>
      <c r="AM2" s="269"/>
      <c r="AN2" s="269"/>
      <c r="AO2" s="269"/>
      <c r="AP2" s="269"/>
      <c r="AQ2" s="269"/>
      <c r="AR2" s="269"/>
      <c r="AS2" s="269"/>
      <c r="AT2" s="269"/>
      <c r="AU2" s="269"/>
      <c r="AV2" s="269"/>
      <c r="AW2" s="269"/>
      <c r="AX2" s="269"/>
      <c r="AY2" s="269"/>
      <c r="AZ2" s="269"/>
      <c r="BA2" s="269"/>
    </row>
    <row r="3" spans="1:53" ht="10.5" customHeight="1">
      <c r="A3" s="265"/>
      <c r="B3" s="265"/>
      <c r="C3" s="265"/>
      <c r="D3" s="265"/>
      <c r="E3" s="265"/>
      <c r="F3" s="269"/>
      <c r="G3" s="271"/>
      <c r="H3" s="271"/>
      <c r="I3" s="269"/>
      <c r="L3" s="1199"/>
      <c r="M3" s="1199"/>
      <c r="N3" s="1199"/>
      <c r="O3" s="1199"/>
      <c r="P3" s="1199"/>
      <c r="Q3" s="1199"/>
      <c r="R3" s="383"/>
      <c r="T3" s="269"/>
      <c r="U3" s="269"/>
      <c r="V3" s="269"/>
      <c r="W3" s="269"/>
      <c r="X3" s="269"/>
      <c r="Y3" s="269"/>
      <c r="Z3" s="269"/>
      <c r="AA3" s="269"/>
      <c r="AB3" s="269"/>
      <c r="AC3" s="269"/>
      <c r="AD3" s="269"/>
      <c r="AE3" s="269"/>
      <c r="AF3" s="463"/>
      <c r="AG3" s="463"/>
      <c r="AH3" s="269"/>
      <c r="AI3" s="269"/>
      <c r="AJ3" s="269"/>
      <c r="AK3" s="269"/>
      <c r="AL3" s="269"/>
      <c r="AM3" s="269"/>
      <c r="AN3" s="269"/>
      <c r="AO3" s="269"/>
      <c r="AP3" s="269"/>
      <c r="AQ3" s="269"/>
      <c r="AR3" s="269"/>
      <c r="AS3" s="269"/>
      <c r="AT3" s="269"/>
      <c r="AU3" s="269"/>
      <c r="AV3" s="269"/>
      <c r="AW3" s="269"/>
      <c r="AX3" s="269"/>
      <c r="AY3" s="269"/>
      <c r="AZ3" s="269"/>
      <c r="BA3" s="269"/>
    </row>
    <row r="4" spans="1:53" ht="19.5" customHeight="1">
      <c r="B4" s="1201" t="s">
        <v>146</v>
      </c>
      <c r="C4" s="1201"/>
      <c r="D4" s="1201"/>
      <c r="E4" s="1201"/>
      <c r="F4" s="1201"/>
      <c r="G4" s="1201"/>
      <c r="H4" s="1201"/>
      <c r="I4" s="1201"/>
      <c r="J4" s="1201"/>
      <c r="K4" s="1201"/>
      <c r="L4" s="1201"/>
      <c r="M4" s="1201"/>
      <c r="N4" s="1201"/>
      <c r="O4" s="1201"/>
      <c r="P4" s="1201"/>
      <c r="Q4" s="1201"/>
      <c r="R4" s="1201"/>
      <c r="S4" s="272"/>
      <c r="T4" s="274"/>
      <c r="U4" s="274"/>
      <c r="V4" s="274"/>
      <c r="W4" s="274"/>
      <c r="X4" s="274"/>
      <c r="Y4" s="274"/>
      <c r="Z4" s="274"/>
      <c r="AA4" s="274"/>
      <c r="AB4" s="274"/>
      <c r="AC4" s="274"/>
      <c r="AD4" s="274"/>
      <c r="AE4" s="274"/>
      <c r="AF4" s="274"/>
      <c r="AG4" s="274"/>
      <c r="AH4" s="274"/>
      <c r="AI4" s="274"/>
      <c r="AJ4" s="274"/>
      <c r="AK4" s="274"/>
      <c r="AL4" s="274"/>
      <c r="AM4" s="274"/>
      <c r="AN4" s="274"/>
      <c r="AO4" s="274"/>
      <c r="AP4" s="274"/>
      <c r="AQ4" s="274"/>
      <c r="AR4" s="274"/>
      <c r="AS4" s="274"/>
      <c r="AT4" s="274"/>
      <c r="AU4" s="274"/>
      <c r="AV4" s="274"/>
      <c r="AW4" s="274"/>
      <c r="AX4" s="274"/>
      <c r="AY4" s="274"/>
      <c r="AZ4" s="274"/>
      <c r="BA4" s="274"/>
    </row>
    <row r="5" spans="1:53" ht="15">
      <c r="B5" s="1202" t="s">
        <v>307</v>
      </c>
      <c r="C5" s="1202"/>
      <c r="D5" s="1202"/>
      <c r="E5" s="1202"/>
      <c r="F5" s="1202"/>
      <c r="G5" s="1202"/>
      <c r="H5" s="1202"/>
      <c r="I5" s="1202"/>
      <c r="J5" s="1202"/>
      <c r="K5" s="1202"/>
      <c r="L5" s="1202"/>
      <c r="M5" s="1202"/>
      <c r="N5" s="1202"/>
      <c r="O5" s="1202"/>
      <c r="P5" s="1202"/>
      <c r="Q5" s="1202"/>
      <c r="R5" s="1202"/>
      <c r="S5" s="275"/>
    </row>
    <row r="7" spans="1:53" ht="13.5" customHeight="1">
      <c r="A7" s="1203" t="s">
        <v>45</v>
      </c>
      <c r="B7" s="1197" t="s">
        <v>27</v>
      </c>
      <c r="C7" s="1206" t="s">
        <v>1</v>
      </c>
      <c r="D7" s="1207"/>
      <c r="E7" s="1197" t="s">
        <v>0</v>
      </c>
      <c r="F7" s="1197" t="s">
        <v>147</v>
      </c>
      <c r="G7" s="1208" t="s">
        <v>148</v>
      </c>
      <c r="H7" s="1208"/>
      <c r="I7" s="1200" t="s">
        <v>45</v>
      </c>
      <c r="J7" s="1197" t="s">
        <v>278</v>
      </c>
      <c r="K7" s="1197"/>
      <c r="L7" s="1197" t="s">
        <v>279</v>
      </c>
      <c r="M7" s="1197"/>
      <c r="N7" s="1197" t="s">
        <v>454</v>
      </c>
      <c r="O7" s="1197"/>
      <c r="P7" s="1197" t="s">
        <v>280</v>
      </c>
      <c r="Q7" s="1197"/>
      <c r="R7" s="1197" t="s">
        <v>281</v>
      </c>
      <c r="S7" s="1197"/>
      <c r="T7" s="1197" t="s">
        <v>282</v>
      </c>
      <c r="U7" s="1197"/>
      <c r="V7" s="1197" t="s">
        <v>283</v>
      </c>
      <c r="W7" s="1197"/>
      <c r="X7" s="1197" t="s">
        <v>284</v>
      </c>
      <c r="Y7" s="1197"/>
      <c r="Z7" s="1197" t="s">
        <v>285</v>
      </c>
      <c r="AA7" s="1197"/>
      <c r="AB7" s="1197" t="s">
        <v>286</v>
      </c>
      <c r="AC7" s="1197"/>
      <c r="AD7" s="1197" t="s">
        <v>287</v>
      </c>
      <c r="AE7" s="1197"/>
      <c r="AF7" s="1197" t="s">
        <v>444</v>
      </c>
      <c r="AG7" s="1197"/>
      <c r="AH7" s="1197" t="s">
        <v>288</v>
      </c>
      <c r="AI7" s="1197"/>
      <c r="AJ7" s="1197" t="s">
        <v>289</v>
      </c>
      <c r="AK7" s="1197"/>
      <c r="AL7" s="1197" t="s">
        <v>290</v>
      </c>
      <c r="AM7" s="1197"/>
      <c r="AN7" s="1197" t="s">
        <v>291</v>
      </c>
      <c r="AO7" s="1197"/>
      <c r="AP7" s="1197" t="s">
        <v>292</v>
      </c>
      <c r="AQ7" s="1197"/>
      <c r="AR7" s="1197" t="s">
        <v>293</v>
      </c>
      <c r="AS7" s="1197"/>
      <c r="AT7" s="1197" t="s">
        <v>294</v>
      </c>
      <c r="AU7" s="1197"/>
      <c r="AV7" s="1197" t="s">
        <v>295</v>
      </c>
      <c r="AW7" s="1197"/>
      <c r="AX7" s="1197" t="s">
        <v>296</v>
      </c>
      <c r="AY7" s="1197"/>
      <c r="AZ7" s="1197" t="s">
        <v>297</v>
      </c>
      <c r="BA7" s="1197"/>
    </row>
    <row r="8" spans="1:53" ht="22.5" customHeight="1">
      <c r="A8" s="1204"/>
      <c r="B8" s="1197"/>
      <c r="C8" s="384" t="s">
        <v>20</v>
      </c>
      <c r="D8" s="381" t="s">
        <v>39</v>
      </c>
      <c r="E8" s="1197"/>
      <c r="F8" s="1197"/>
      <c r="G8" s="385" t="s">
        <v>29</v>
      </c>
      <c r="H8" s="385" t="s">
        <v>30</v>
      </c>
      <c r="I8" s="1200"/>
      <c r="J8" s="381" t="s">
        <v>29</v>
      </c>
      <c r="K8" s="381" t="s">
        <v>30</v>
      </c>
      <c r="L8" s="381" t="s">
        <v>29</v>
      </c>
      <c r="M8" s="381" t="s">
        <v>30</v>
      </c>
      <c r="N8" s="465" t="s">
        <v>29</v>
      </c>
      <c r="O8" s="465" t="s">
        <v>30</v>
      </c>
      <c r="P8" s="381" t="s">
        <v>29</v>
      </c>
      <c r="Q8" s="381" t="s">
        <v>30</v>
      </c>
      <c r="R8" s="381" t="s">
        <v>29</v>
      </c>
      <c r="S8" s="381" t="s">
        <v>30</v>
      </c>
      <c r="T8" s="381" t="s">
        <v>29</v>
      </c>
      <c r="U8" s="381" t="s">
        <v>30</v>
      </c>
      <c r="V8" s="381" t="s">
        <v>29</v>
      </c>
      <c r="W8" s="381" t="s">
        <v>30</v>
      </c>
      <c r="X8" s="381" t="s">
        <v>29</v>
      </c>
      <c r="Y8" s="381" t="s">
        <v>30</v>
      </c>
      <c r="Z8" s="381" t="s">
        <v>29</v>
      </c>
      <c r="AA8" s="381" t="s">
        <v>30</v>
      </c>
      <c r="AB8" s="381" t="s">
        <v>29</v>
      </c>
      <c r="AC8" s="381" t="s">
        <v>30</v>
      </c>
      <c r="AD8" s="381" t="s">
        <v>29</v>
      </c>
      <c r="AE8" s="381" t="s">
        <v>30</v>
      </c>
      <c r="AF8" s="461" t="s">
        <v>29</v>
      </c>
      <c r="AG8" s="461" t="s">
        <v>30</v>
      </c>
      <c r="AH8" s="381" t="s">
        <v>29</v>
      </c>
      <c r="AI8" s="381" t="s">
        <v>30</v>
      </c>
      <c r="AJ8" s="381" t="s">
        <v>29</v>
      </c>
      <c r="AK8" s="381" t="s">
        <v>30</v>
      </c>
      <c r="AL8" s="381" t="s">
        <v>29</v>
      </c>
      <c r="AM8" s="381" t="s">
        <v>30</v>
      </c>
      <c r="AN8" s="381" t="s">
        <v>29</v>
      </c>
      <c r="AO8" s="381" t="s">
        <v>30</v>
      </c>
      <c r="AP8" s="381" t="s">
        <v>29</v>
      </c>
      <c r="AQ8" s="381" t="s">
        <v>30</v>
      </c>
      <c r="AR8" s="381" t="s">
        <v>29</v>
      </c>
      <c r="AS8" s="381" t="s">
        <v>30</v>
      </c>
      <c r="AT8" s="381" t="s">
        <v>29</v>
      </c>
      <c r="AU8" s="381" t="s">
        <v>30</v>
      </c>
      <c r="AV8" s="381" t="s">
        <v>29</v>
      </c>
      <c r="AW8" s="381" t="s">
        <v>30</v>
      </c>
      <c r="AX8" s="381" t="s">
        <v>29</v>
      </c>
      <c r="AY8" s="381" t="s">
        <v>30</v>
      </c>
      <c r="AZ8" s="381" t="s">
        <v>29</v>
      </c>
      <c r="BA8" s="381" t="s">
        <v>30</v>
      </c>
    </row>
    <row r="9" spans="1:53" s="281" customFormat="1" ht="8.25" customHeight="1">
      <c r="A9" s="280">
        <v>1</v>
      </c>
      <c r="B9" s="280">
        <v>2</v>
      </c>
      <c r="C9" s="280">
        <v>3</v>
      </c>
      <c r="D9" s="280">
        <v>4</v>
      </c>
      <c r="E9" s="280">
        <v>5</v>
      </c>
      <c r="F9" s="280">
        <v>6</v>
      </c>
      <c r="G9" s="280">
        <v>7</v>
      </c>
      <c r="H9" s="280">
        <v>8</v>
      </c>
      <c r="I9" s="280">
        <v>9</v>
      </c>
      <c r="J9" s="280">
        <v>10</v>
      </c>
      <c r="K9" s="280">
        <v>11</v>
      </c>
      <c r="L9" s="280">
        <v>12</v>
      </c>
      <c r="M9" s="280">
        <v>13</v>
      </c>
      <c r="N9" s="280">
        <v>12</v>
      </c>
      <c r="O9" s="280">
        <v>13</v>
      </c>
      <c r="P9" s="280">
        <v>14</v>
      </c>
      <c r="Q9" s="280">
        <v>15</v>
      </c>
      <c r="R9" s="280">
        <v>16</v>
      </c>
      <c r="S9" s="280">
        <v>17</v>
      </c>
      <c r="T9" s="280">
        <v>18</v>
      </c>
      <c r="U9" s="280">
        <v>19</v>
      </c>
      <c r="V9" s="280">
        <v>20</v>
      </c>
      <c r="W9" s="280">
        <v>21</v>
      </c>
      <c r="X9" s="280">
        <v>22</v>
      </c>
      <c r="Y9" s="280">
        <v>23</v>
      </c>
      <c r="Z9" s="280">
        <v>24</v>
      </c>
      <c r="AA9" s="280">
        <v>25</v>
      </c>
      <c r="AB9" s="280">
        <v>26</v>
      </c>
      <c r="AC9" s="280">
        <v>27</v>
      </c>
      <c r="AD9" s="280">
        <v>28</v>
      </c>
      <c r="AE9" s="280">
        <v>29</v>
      </c>
      <c r="AF9" s="280">
        <v>28</v>
      </c>
      <c r="AG9" s="280">
        <v>29</v>
      </c>
      <c r="AH9" s="280">
        <v>30</v>
      </c>
      <c r="AI9" s="280">
        <v>31</v>
      </c>
      <c r="AJ9" s="280">
        <v>32</v>
      </c>
      <c r="AK9" s="280">
        <v>33</v>
      </c>
      <c r="AL9" s="280">
        <v>34</v>
      </c>
      <c r="AM9" s="280">
        <v>35</v>
      </c>
      <c r="AN9" s="280">
        <v>36</v>
      </c>
      <c r="AO9" s="280">
        <v>37</v>
      </c>
      <c r="AP9" s="280">
        <v>38</v>
      </c>
      <c r="AQ9" s="280">
        <v>39</v>
      </c>
      <c r="AR9" s="280">
        <v>40</v>
      </c>
      <c r="AS9" s="280">
        <v>41</v>
      </c>
      <c r="AT9" s="280">
        <v>42</v>
      </c>
      <c r="AU9" s="280">
        <v>43</v>
      </c>
      <c r="AV9" s="280">
        <v>44</v>
      </c>
      <c r="AW9" s="280">
        <v>45</v>
      </c>
      <c r="AX9" s="280">
        <v>46</v>
      </c>
      <c r="AY9" s="280">
        <v>47</v>
      </c>
      <c r="AZ9" s="280">
        <v>48</v>
      </c>
      <c r="BA9" s="280">
        <v>49</v>
      </c>
    </row>
    <row r="10" spans="1:53" s="289" customFormat="1" ht="16.5" customHeight="1">
      <c r="A10" s="63" t="str">
        <f t="array" ref="A10">IF(C10&lt;&gt;0,SUM(($C10:C$15&lt;&gt;0)*1),"")</f>
        <v/>
      </c>
      <c r="B10" s="282"/>
      <c r="C10" s="283"/>
      <c r="D10" s="282"/>
      <c r="E10" s="284" t="s">
        <v>258</v>
      </c>
      <c r="F10" s="285"/>
      <c r="G10" s="286"/>
      <c r="H10" s="286"/>
      <c r="I10" s="287"/>
      <c r="J10" s="288">
        <f ca="1">'SC-III'!J244</f>
        <v>481905579</v>
      </c>
      <c r="K10" s="288">
        <f ca="1">'SC-III'!K244</f>
        <v>0</v>
      </c>
      <c r="L10" s="288">
        <f ca="1">'SC-III'!L244</f>
        <v>1518304</v>
      </c>
      <c r="M10" s="288">
        <f ca="1">'SC-III'!M244</f>
        <v>0</v>
      </c>
      <c r="N10" s="288">
        <f ca="1">'SC-III'!N244</f>
        <v>0</v>
      </c>
      <c r="O10" s="288">
        <f ca="1">'SC-III'!O244</f>
        <v>0</v>
      </c>
      <c r="P10" s="288">
        <f ca="1">'SC-III'!P244</f>
        <v>62811209</v>
      </c>
      <c r="Q10" s="288">
        <f ca="1">'SC-III'!Q244</f>
        <v>0</v>
      </c>
      <c r="R10" s="288">
        <f ca="1">'SC-III'!R244</f>
        <v>1219554047</v>
      </c>
      <c r="S10" s="288">
        <f ca="1">'SC-III'!S244</f>
        <v>0</v>
      </c>
      <c r="T10" s="288">
        <f ca="1">'SC-III'!T244</f>
        <v>31348179853</v>
      </c>
      <c r="U10" s="288">
        <f ca="1">'SC-III'!U244</f>
        <v>0</v>
      </c>
      <c r="V10" s="288">
        <f ca="1">'SC-III'!V244</f>
        <v>0</v>
      </c>
      <c r="W10" s="288">
        <f ca="1">'SC-III'!W244</f>
        <v>1597487431</v>
      </c>
      <c r="X10" s="288">
        <f ca="1">'SC-III'!X244</f>
        <v>0</v>
      </c>
      <c r="Y10" s="288">
        <f ca="1">'SC-III'!Y244</f>
        <v>0</v>
      </c>
      <c r="Z10" s="288">
        <f ca="1">'SC-III'!Z244</f>
        <v>0</v>
      </c>
      <c r="AA10" s="288">
        <f ca="1">'SC-III'!AA244</f>
        <v>0</v>
      </c>
      <c r="AB10" s="288">
        <f ca="1">'SC-III'!AB244</f>
        <v>0</v>
      </c>
      <c r="AC10" s="288">
        <f ca="1">'SC-III'!AC244</f>
        <v>7000000000</v>
      </c>
      <c r="AD10" s="288">
        <f ca="1">'SC-III'!AD244</f>
        <v>0</v>
      </c>
      <c r="AE10" s="288">
        <f ca="1">'SC-III'!AE244</f>
        <v>20000000000</v>
      </c>
      <c r="AF10" s="288">
        <f ca="1">'SC-III'!AF244</f>
        <v>0</v>
      </c>
      <c r="AG10" s="288">
        <f ca="1">'SC-III'!AG244</f>
        <v>1961520000</v>
      </c>
      <c r="AH10" s="288">
        <f ca="1">'SC-III'!AH244</f>
        <v>0</v>
      </c>
      <c r="AI10" s="288">
        <f ca="1">'SC-III'!AI244</f>
        <v>4000000000</v>
      </c>
      <c r="AJ10" s="288">
        <f ca="1">'SC-III'!AJ244</f>
        <v>583066238</v>
      </c>
      <c r="AK10" s="288">
        <f ca="1">'SC-III'!AK244</f>
        <v>0</v>
      </c>
      <c r="AL10" s="288">
        <f ca="1">'SC-III'!AL244</f>
        <v>703220234</v>
      </c>
      <c r="AM10" s="288">
        <f ca="1">'SC-III'!AM244</f>
        <v>0</v>
      </c>
      <c r="AN10" s="288">
        <f ca="1">'SC-III'!AN244</f>
        <v>0</v>
      </c>
      <c r="AO10" s="288">
        <f ca="1">'SC-III'!AO244</f>
        <v>0</v>
      </c>
      <c r="AP10" s="288">
        <f ca="1">'SC-III'!AP244</f>
        <v>0</v>
      </c>
      <c r="AQ10" s="288">
        <f ca="1">'SC-III'!AQ244</f>
        <v>0</v>
      </c>
      <c r="AR10" s="288">
        <f ca="1">'SC-III'!AR244</f>
        <v>0</v>
      </c>
      <c r="AS10" s="288">
        <f ca="1">'SC-III'!AS244</f>
        <v>0</v>
      </c>
      <c r="AT10" s="288">
        <f ca="1">'SC-III'!AT244</f>
        <v>0</v>
      </c>
      <c r="AU10" s="288">
        <f ca="1">'SC-III'!AU244</f>
        <v>0</v>
      </c>
      <c r="AV10" s="288">
        <f ca="1">'SC-III'!AV244</f>
        <v>0</v>
      </c>
      <c r="AW10" s="288">
        <f ca="1">'SC-III'!AW244</f>
        <v>0</v>
      </c>
      <c r="AX10" s="288">
        <f ca="1">'SC-III'!AX244</f>
        <v>0</v>
      </c>
      <c r="AY10" s="288">
        <f ca="1">'SC-III'!AY244</f>
        <v>0</v>
      </c>
      <c r="AZ10" s="288">
        <f ca="1">'SC-III'!AZ244</f>
        <v>0</v>
      </c>
      <c r="BA10" s="288">
        <f ca="1">'SC-III'!BA244</f>
        <v>52285608</v>
      </c>
    </row>
    <row r="11" spans="1:53" s="289" customFormat="1" ht="16.5" customHeight="1">
      <c r="A11" s="63">
        <f t="array" aca="1" ref="A11" ca="1">IF(C11&lt;&gt;0,SUM(($C$11:C11&lt;&gt;0)*1),"")</f>
        <v>1</v>
      </c>
      <c r="B11" s="290" t="str">
        <f ca="1">IF(ROWS($1:1)&gt;COUNT(Dong9),"",OFFSET(TH!C$1,SMALL(Dong9,ROWS($1:1)),))</f>
        <v/>
      </c>
      <c r="C11" s="290" t="str">
        <f ca="1">IF(ROWS($1:1)&gt;COUNT(Dong9),"",OFFSET(TH!D$1,SMALL(Dong9,ROWS($1:1)),))</f>
        <v/>
      </c>
      <c r="D11" s="290" t="str">
        <f ca="1">IF(ROWS($1:1)&gt;COUNT(Dong9),"",OFFSET(TH!E$1,SMALL(Dong9,ROWS($1:1)),))</f>
        <v/>
      </c>
      <c r="E11" s="396" t="str">
        <f ca="1">IF(ROWS($1:1)&gt;COUNT(Dong9),"",OFFSET(TH!F$1,SMALL(Dong9,ROWS($1:1)),))</f>
        <v/>
      </c>
      <c r="F11" s="345" t="str">
        <f ca="1">IF(ROWS($1:1)&gt;COUNT(Dong9),"",OFFSET(TH!M$1,SMALL(Dong9,ROWS($1:1)),))</f>
        <v/>
      </c>
      <c r="G11" s="347" t="str">
        <f ca="1">IF(ROWS($1:1)&gt;COUNT(Dong9),"",OFFSET(TH!O$1,SMALL(Dong9,ROWS($1:1)),))</f>
        <v/>
      </c>
      <c r="H11" s="347" t="str">
        <f ca="1">IF(ROWS($1:1)&gt;COUNT(Dong9),"",OFFSET(TH!P$1,SMALL(Dong9,ROWS($1:1)),))</f>
        <v/>
      </c>
      <c r="I11" s="63">
        <f t="shared" ref="I11:I89" ca="1" si="0">A11</f>
        <v>1</v>
      </c>
      <c r="J11" s="292">
        <f t="shared" ref="J11:J74" ca="1" si="1">IF($G11="1111",$F11,0)</f>
        <v>0</v>
      </c>
      <c r="K11" s="292">
        <f t="shared" ref="K11:K74" ca="1" si="2">IF($H11="1111",$F11,0)</f>
        <v>0</v>
      </c>
      <c r="L11" s="292">
        <f t="shared" ref="L11:L74" ca="1" si="3">IF($G11="1121",$F11,0)</f>
        <v>0</v>
      </c>
      <c r="M11" s="292">
        <f t="shared" ref="M11:M74" ca="1" si="4">IF($H11="1121",$F11,0)</f>
        <v>0</v>
      </c>
      <c r="N11" s="292">
        <f ca="1">IF($G11="1122",$F11,0)</f>
        <v>0</v>
      </c>
      <c r="O11" s="292">
        <f ca="1">IF($H11="1122",$F11,0)</f>
        <v>0</v>
      </c>
      <c r="P11" s="292">
        <f t="shared" ref="P11:P74" ca="1" si="5">IF($G11="1331",$F11,0)</f>
        <v>0</v>
      </c>
      <c r="Q11" s="292">
        <f t="shared" ref="Q11:Q74" ca="1" si="6">IF($H11="1331",$F11,0)</f>
        <v>0</v>
      </c>
      <c r="R11" s="292">
        <f t="shared" ref="R11:R74" ca="1" si="7">IF($G11="1388",$F11,0)</f>
        <v>0</v>
      </c>
      <c r="S11" s="292">
        <f t="shared" ref="S11:S74" ca="1" si="8">IF($H11="1388",$F11,0)</f>
        <v>0</v>
      </c>
      <c r="T11" s="292">
        <f ca="1">IF($G11="2412",$F11,0)</f>
        <v>0</v>
      </c>
      <c r="U11" s="292">
        <f ca="1">IF($H11="2412",$F11,0)</f>
        <v>0</v>
      </c>
      <c r="V11" s="292">
        <f t="shared" ref="V11:V74" ca="1" si="9">IF($G11="331",$F11,0)</f>
        <v>0</v>
      </c>
      <c r="W11" s="292">
        <f t="shared" ref="W11:W74" ca="1" si="10">IF($H11="331",$F11,0)</f>
        <v>0</v>
      </c>
      <c r="X11" s="292">
        <f t="shared" ref="X11:X74" ca="1" si="11">IF($G11="3334",$F11,0)</f>
        <v>0</v>
      </c>
      <c r="Y11" s="292">
        <f t="shared" ref="Y11:Y74" ca="1" si="12">IF($H11="3334",$F11,0)</f>
        <v>0</v>
      </c>
      <c r="Z11" s="292">
        <f t="shared" ref="Z11:Z74" ca="1" si="13">IF($G11="33382",$F11,0)</f>
        <v>0</v>
      </c>
      <c r="AA11" s="292">
        <f t="shared" ref="AA11:AA74" ca="1" si="14">IF($H11="33382",$F11,0)</f>
        <v>0</v>
      </c>
      <c r="AB11" s="292">
        <f t="shared" ref="AB11:AB74" ca="1" si="15">IF($G11="3388",$F11,0)</f>
        <v>0</v>
      </c>
      <c r="AC11" s="292">
        <f t="shared" ref="AC11:AC74" ca="1" si="16">IF($H11="3388",$F11,0)</f>
        <v>0</v>
      </c>
      <c r="AD11" s="292">
        <f t="shared" ref="AD11:AD74" ca="1" si="17">IF($G11="3411",$F11,0)</f>
        <v>0</v>
      </c>
      <c r="AE11" s="292">
        <f t="shared" ref="AE11:AE74" ca="1" si="18">IF($H11="3411",$F11,0)</f>
        <v>0</v>
      </c>
      <c r="AF11" s="292">
        <f ca="1">IF($G11="3412",$F11,0)</f>
        <v>0</v>
      </c>
      <c r="AG11" s="292">
        <f ca="1">IF($H11="3412",$F11,0)</f>
        <v>0</v>
      </c>
      <c r="AH11" s="292">
        <f t="shared" ref="AH11:AH74" ca="1" si="19">IF($G11="4111",$F11,0)</f>
        <v>0</v>
      </c>
      <c r="AI11" s="292">
        <f t="shared" ref="AI11:AI74" ca="1" si="20">IF($H11="4111",$F11,0)</f>
        <v>0</v>
      </c>
      <c r="AJ11" s="292">
        <f t="shared" ref="AJ11:AJ74" ca="1" si="21">IF($G11="4211",$F11,0)</f>
        <v>0</v>
      </c>
      <c r="AK11" s="292">
        <f t="shared" ref="AK11:AK74" ca="1" si="22">IF($H11="4211",$F11,0)</f>
        <v>0</v>
      </c>
      <c r="AL11" s="292">
        <f t="shared" ref="AL11:AL74" ca="1" si="23">IF($G11="4212",$F11,0)</f>
        <v>0</v>
      </c>
      <c r="AM11" s="292">
        <f t="shared" ref="AM11:AM74" ca="1" si="24">IF($H11="4212",$F11,0)</f>
        <v>0</v>
      </c>
      <c r="AN11" s="292">
        <f t="shared" ref="AN11:AN74" ca="1" si="25">IF($G11="515",$F11,0)</f>
        <v>0</v>
      </c>
      <c r="AO11" s="292">
        <f t="shared" ref="AO11:AO74" ca="1" si="26">IF($H11="515",$F11,0)</f>
        <v>0</v>
      </c>
      <c r="AP11" s="292">
        <f t="shared" ref="AP11:AP74" ca="1" si="27">IF($G11="635",$F11,0)</f>
        <v>0</v>
      </c>
      <c r="AQ11" s="292">
        <f t="shared" ref="AQ11:AQ74" ca="1" si="28">IF($H11="635",$F11,0)</f>
        <v>0</v>
      </c>
      <c r="AR11" s="292">
        <f t="shared" ref="AR11:AR74" ca="1" si="29">IF($G11="642",$F11,0)</f>
        <v>0</v>
      </c>
      <c r="AS11" s="292">
        <f t="shared" ref="AS11:AS74" ca="1" si="30">IF($H11="642",$F11,0)</f>
        <v>0</v>
      </c>
      <c r="AT11" s="292">
        <f t="shared" ref="AT11:AT74" ca="1" si="31">IF($G11="711",$F11,0)</f>
        <v>0</v>
      </c>
      <c r="AU11" s="292">
        <f t="shared" ref="AU11:AU74" ca="1" si="32">IF($H11="711",$F11,0)</f>
        <v>0</v>
      </c>
      <c r="AV11" s="292">
        <f t="shared" ref="AV11:AV74" ca="1" si="33">IF($G11="811",$F11,0)</f>
        <v>0</v>
      </c>
      <c r="AW11" s="292">
        <f t="shared" ref="AW11:AW74" ca="1" si="34">IF($H11="811",$F11,0)</f>
        <v>0</v>
      </c>
      <c r="AX11" s="292">
        <f t="shared" ref="AX11:AX74" ca="1" si="35">IF($G11="821",$F11,0)</f>
        <v>0</v>
      </c>
      <c r="AY11" s="292">
        <f t="shared" ref="AY11:AY74" ca="1" si="36">IF($H11="821",$F11,0)</f>
        <v>0</v>
      </c>
      <c r="AZ11" s="292">
        <f t="shared" ref="AZ11:AZ74" ca="1" si="37">IF($G11="911",$F11,0)</f>
        <v>0</v>
      </c>
      <c r="BA11" s="292">
        <f t="shared" ref="BA11:BA74" ca="1" si="38">IF($H11="911",$F11,0)</f>
        <v>0</v>
      </c>
    </row>
    <row r="12" spans="1:53" s="289" customFormat="1" ht="16.5" customHeight="1">
      <c r="A12" s="63" t="str">
        <f t="array" ref="A12">IF(C12&lt;&gt;0,SUM(($C$11:C12&lt;&gt;0)*1),"")</f>
        <v/>
      </c>
      <c r="B12" s="290"/>
      <c r="C12" s="290"/>
      <c r="D12" s="290"/>
      <c r="E12" s="396"/>
      <c r="F12" s="345"/>
      <c r="G12" s="347"/>
      <c r="H12" s="347"/>
      <c r="I12" s="63" t="str">
        <f t="shared" si="0"/>
        <v/>
      </c>
      <c r="J12" s="292">
        <f t="shared" si="1"/>
        <v>0</v>
      </c>
      <c r="K12" s="292">
        <f t="shared" si="2"/>
        <v>0</v>
      </c>
      <c r="L12" s="292">
        <f t="shared" si="3"/>
        <v>0</v>
      </c>
      <c r="M12" s="292">
        <f t="shared" si="4"/>
        <v>0</v>
      </c>
      <c r="N12" s="292">
        <f t="shared" ref="N12:N75" si="39">IF($G12="1122",$F12,0)</f>
        <v>0</v>
      </c>
      <c r="O12" s="292">
        <f t="shared" ref="O12:O75" si="40">IF($H12="1122",$F12,0)</f>
        <v>0</v>
      </c>
      <c r="P12" s="292">
        <f t="shared" si="5"/>
        <v>0</v>
      </c>
      <c r="Q12" s="292">
        <f t="shared" si="6"/>
        <v>0</v>
      </c>
      <c r="R12" s="292">
        <f t="shared" si="7"/>
        <v>0</v>
      </c>
      <c r="S12" s="292">
        <f t="shared" si="8"/>
        <v>0</v>
      </c>
      <c r="T12" s="292">
        <f t="shared" ref="T12:T75" si="41">IF($G12="2412",$F12,0)</f>
        <v>0</v>
      </c>
      <c r="U12" s="292">
        <f t="shared" ref="U12:U75" si="42">IF($H12="2412",$F12,0)</f>
        <v>0</v>
      </c>
      <c r="V12" s="292">
        <f t="shared" si="9"/>
        <v>0</v>
      </c>
      <c r="W12" s="292">
        <f t="shared" si="10"/>
        <v>0</v>
      </c>
      <c r="X12" s="292">
        <f t="shared" si="11"/>
        <v>0</v>
      </c>
      <c r="Y12" s="292">
        <f t="shared" si="12"/>
        <v>0</v>
      </c>
      <c r="Z12" s="292">
        <f t="shared" si="13"/>
        <v>0</v>
      </c>
      <c r="AA12" s="292">
        <f t="shared" si="14"/>
        <v>0</v>
      </c>
      <c r="AB12" s="292">
        <f t="shared" si="15"/>
        <v>0</v>
      </c>
      <c r="AC12" s="292">
        <f t="shared" si="16"/>
        <v>0</v>
      </c>
      <c r="AD12" s="292">
        <f t="shared" si="17"/>
        <v>0</v>
      </c>
      <c r="AE12" s="292">
        <f t="shared" si="18"/>
        <v>0</v>
      </c>
      <c r="AF12" s="292">
        <f t="shared" ref="AF12:AF75" si="43">IF($G12="3412",$F12,0)</f>
        <v>0</v>
      </c>
      <c r="AG12" s="292">
        <f t="shared" ref="AG12:AG75" si="44">IF($H12="3412",$F12,0)</f>
        <v>0</v>
      </c>
      <c r="AH12" s="292">
        <f t="shared" si="19"/>
        <v>0</v>
      </c>
      <c r="AI12" s="292">
        <f t="shared" si="20"/>
        <v>0</v>
      </c>
      <c r="AJ12" s="292">
        <f t="shared" si="21"/>
        <v>0</v>
      </c>
      <c r="AK12" s="292">
        <f t="shared" si="22"/>
        <v>0</v>
      </c>
      <c r="AL12" s="292">
        <f t="shared" si="23"/>
        <v>0</v>
      </c>
      <c r="AM12" s="292">
        <f t="shared" si="24"/>
        <v>0</v>
      </c>
      <c r="AN12" s="292">
        <f t="shared" si="25"/>
        <v>0</v>
      </c>
      <c r="AO12" s="292">
        <f t="shared" si="26"/>
        <v>0</v>
      </c>
      <c r="AP12" s="292">
        <f t="shared" si="27"/>
        <v>0</v>
      </c>
      <c r="AQ12" s="292">
        <f t="shared" si="28"/>
        <v>0</v>
      </c>
      <c r="AR12" s="292">
        <f t="shared" si="29"/>
        <v>0</v>
      </c>
      <c r="AS12" s="292">
        <f t="shared" si="30"/>
        <v>0</v>
      </c>
      <c r="AT12" s="292">
        <f t="shared" si="31"/>
        <v>0</v>
      </c>
      <c r="AU12" s="292">
        <f t="shared" si="32"/>
        <v>0</v>
      </c>
      <c r="AV12" s="292">
        <f t="shared" si="33"/>
        <v>0</v>
      </c>
      <c r="AW12" s="292">
        <f t="shared" si="34"/>
        <v>0</v>
      </c>
      <c r="AX12" s="292">
        <f t="shared" si="35"/>
        <v>0</v>
      </c>
      <c r="AY12" s="292">
        <f t="shared" si="36"/>
        <v>0</v>
      </c>
      <c r="AZ12" s="292">
        <f t="shared" si="37"/>
        <v>0</v>
      </c>
      <c r="BA12" s="292">
        <f t="shared" si="38"/>
        <v>0</v>
      </c>
    </row>
    <row r="13" spans="1:53" s="289" customFormat="1" ht="16.5" customHeight="1">
      <c r="A13" s="63" t="str">
        <f t="array" ref="A13">IF(C13&lt;&gt;0,SUM(($C$11:C13&lt;&gt;0)*1),"")</f>
        <v/>
      </c>
      <c r="B13" s="290"/>
      <c r="C13" s="290"/>
      <c r="D13" s="290"/>
      <c r="E13" s="396"/>
      <c r="F13" s="345"/>
      <c r="G13" s="347"/>
      <c r="H13" s="347"/>
      <c r="I13" s="63" t="str">
        <f t="shared" si="0"/>
        <v/>
      </c>
      <c r="J13" s="292">
        <f t="shared" si="1"/>
        <v>0</v>
      </c>
      <c r="K13" s="292">
        <f t="shared" si="2"/>
        <v>0</v>
      </c>
      <c r="L13" s="292">
        <f t="shared" si="3"/>
        <v>0</v>
      </c>
      <c r="M13" s="292">
        <f t="shared" si="4"/>
        <v>0</v>
      </c>
      <c r="N13" s="292">
        <f t="shared" si="39"/>
        <v>0</v>
      </c>
      <c r="O13" s="292">
        <f t="shared" si="40"/>
        <v>0</v>
      </c>
      <c r="P13" s="292">
        <f t="shared" si="5"/>
        <v>0</v>
      </c>
      <c r="Q13" s="292">
        <f t="shared" si="6"/>
        <v>0</v>
      </c>
      <c r="R13" s="292">
        <f t="shared" si="7"/>
        <v>0</v>
      </c>
      <c r="S13" s="292">
        <f t="shared" si="8"/>
        <v>0</v>
      </c>
      <c r="T13" s="292">
        <f t="shared" si="41"/>
        <v>0</v>
      </c>
      <c r="U13" s="292">
        <f t="shared" si="42"/>
        <v>0</v>
      </c>
      <c r="V13" s="292">
        <f t="shared" si="9"/>
        <v>0</v>
      </c>
      <c r="W13" s="292">
        <f t="shared" si="10"/>
        <v>0</v>
      </c>
      <c r="X13" s="292">
        <f t="shared" si="11"/>
        <v>0</v>
      </c>
      <c r="Y13" s="292">
        <f t="shared" si="12"/>
        <v>0</v>
      </c>
      <c r="Z13" s="292">
        <f t="shared" si="13"/>
        <v>0</v>
      </c>
      <c r="AA13" s="292">
        <f t="shared" si="14"/>
        <v>0</v>
      </c>
      <c r="AB13" s="292">
        <f t="shared" si="15"/>
        <v>0</v>
      </c>
      <c r="AC13" s="292">
        <f t="shared" si="16"/>
        <v>0</v>
      </c>
      <c r="AD13" s="292">
        <f t="shared" si="17"/>
        <v>0</v>
      </c>
      <c r="AE13" s="292">
        <f t="shared" si="18"/>
        <v>0</v>
      </c>
      <c r="AF13" s="292">
        <f t="shared" si="43"/>
        <v>0</v>
      </c>
      <c r="AG13" s="292">
        <f t="shared" si="44"/>
        <v>0</v>
      </c>
      <c r="AH13" s="292">
        <f t="shared" si="19"/>
        <v>0</v>
      </c>
      <c r="AI13" s="292">
        <f t="shared" si="20"/>
        <v>0</v>
      </c>
      <c r="AJ13" s="292">
        <f t="shared" si="21"/>
        <v>0</v>
      </c>
      <c r="AK13" s="292">
        <f t="shared" si="22"/>
        <v>0</v>
      </c>
      <c r="AL13" s="292">
        <f t="shared" si="23"/>
        <v>0</v>
      </c>
      <c r="AM13" s="292">
        <f t="shared" si="24"/>
        <v>0</v>
      </c>
      <c r="AN13" s="292">
        <f t="shared" si="25"/>
        <v>0</v>
      </c>
      <c r="AO13" s="292">
        <f t="shared" si="26"/>
        <v>0</v>
      </c>
      <c r="AP13" s="292">
        <f t="shared" si="27"/>
        <v>0</v>
      </c>
      <c r="AQ13" s="292">
        <f t="shared" si="28"/>
        <v>0</v>
      </c>
      <c r="AR13" s="292">
        <f t="shared" si="29"/>
        <v>0</v>
      </c>
      <c r="AS13" s="292">
        <f t="shared" si="30"/>
        <v>0</v>
      </c>
      <c r="AT13" s="292">
        <f t="shared" si="31"/>
        <v>0</v>
      </c>
      <c r="AU13" s="292">
        <f t="shared" si="32"/>
        <v>0</v>
      </c>
      <c r="AV13" s="292">
        <f t="shared" si="33"/>
        <v>0</v>
      </c>
      <c r="AW13" s="292">
        <f t="shared" si="34"/>
        <v>0</v>
      </c>
      <c r="AX13" s="292">
        <f t="shared" si="35"/>
        <v>0</v>
      </c>
      <c r="AY13" s="292">
        <f t="shared" si="36"/>
        <v>0</v>
      </c>
      <c r="AZ13" s="292">
        <f t="shared" si="37"/>
        <v>0</v>
      </c>
      <c r="BA13" s="292">
        <f t="shared" si="38"/>
        <v>0</v>
      </c>
    </row>
    <row r="14" spans="1:53" s="289" customFormat="1" ht="16.5" customHeight="1">
      <c r="A14" s="63" t="str">
        <f t="array" ref="A14">IF(C14&lt;&gt;0,SUM(($C$11:C14&lt;&gt;0)*1),"")</f>
        <v/>
      </c>
      <c r="B14" s="290"/>
      <c r="C14" s="290"/>
      <c r="D14" s="290"/>
      <c r="E14" s="396"/>
      <c r="F14" s="345"/>
      <c r="G14" s="347"/>
      <c r="H14" s="347"/>
      <c r="I14" s="63" t="str">
        <f t="shared" si="0"/>
        <v/>
      </c>
      <c r="J14" s="292">
        <f t="shared" si="1"/>
        <v>0</v>
      </c>
      <c r="K14" s="292">
        <f t="shared" si="2"/>
        <v>0</v>
      </c>
      <c r="L14" s="292">
        <f t="shared" si="3"/>
        <v>0</v>
      </c>
      <c r="M14" s="292">
        <f t="shared" si="4"/>
        <v>0</v>
      </c>
      <c r="N14" s="292">
        <f t="shared" si="39"/>
        <v>0</v>
      </c>
      <c r="O14" s="292">
        <f t="shared" si="40"/>
        <v>0</v>
      </c>
      <c r="P14" s="292">
        <f t="shared" si="5"/>
        <v>0</v>
      </c>
      <c r="Q14" s="292">
        <f t="shared" si="6"/>
        <v>0</v>
      </c>
      <c r="R14" s="292">
        <f t="shared" si="7"/>
        <v>0</v>
      </c>
      <c r="S14" s="292">
        <f t="shared" si="8"/>
        <v>0</v>
      </c>
      <c r="T14" s="292">
        <f t="shared" si="41"/>
        <v>0</v>
      </c>
      <c r="U14" s="292">
        <f t="shared" si="42"/>
        <v>0</v>
      </c>
      <c r="V14" s="292">
        <f t="shared" si="9"/>
        <v>0</v>
      </c>
      <c r="W14" s="292">
        <f t="shared" si="10"/>
        <v>0</v>
      </c>
      <c r="X14" s="292">
        <f t="shared" si="11"/>
        <v>0</v>
      </c>
      <c r="Y14" s="292">
        <f t="shared" si="12"/>
        <v>0</v>
      </c>
      <c r="Z14" s="292">
        <f t="shared" si="13"/>
        <v>0</v>
      </c>
      <c r="AA14" s="292">
        <f t="shared" si="14"/>
        <v>0</v>
      </c>
      <c r="AB14" s="292">
        <f t="shared" si="15"/>
        <v>0</v>
      </c>
      <c r="AC14" s="292">
        <f t="shared" si="16"/>
        <v>0</v>
      </c>
      <c r="AD14" s="292">
        <f t="shared" si="17"/>
        <v>0</v>
      </c>
      <c r="AE14" s="292">
        <f t="shared" si="18"/>
        <v>0</v>
      </c>
      <c r="AF14" s="292">
        <f t="shared" si="43"/>
        <v>0</v>
      </c>
      <c r="AG14" s="292">
        <f t="shared" si="44"/>
        <v>0</v>
      </c>
      <c r="AH14" s="292">
        <f t="shared" si="19"/>
        <v>0</v>
      </c>
      <c r="AI14" s="292">
        <f t="shared" si="20"/>
        <v>0</v>
      </c>
      <c r="AJ14" s="292">
        <f t="shared" si="21"/>
        <v>0</v>
      </c>
      <c r="AK14" s="292">
        <f t="shared" si="22"/>
        <v>0</v>
      </c>
      <c r="AL14" s="292">
        <f t="shared" si="23"/>
        <v>0</v>
      </c>
      <c r="AM14" s="292">
        <f t="shared" si="24"/>
        <v>0</v>
      </c>
      <c r="AN14" s="292">
        <f t="shared" si="25"/>
        <v>0</v>
      </c>
      <c r="AO14" s="292">
        <f t="shared" si="26"/>
        <v>0</v>
      </c>
      <c r="AP14" s="292">
        <f t="shared" si="27"/>
        <v>0</v>
      </c>
      <c r="AQ14" s="292">
        <f t="shared" si="28"/>
        <v>0</v>
      </c>
      <c r="AR14" s="292">
        <f t="shared" si="29"/>
        <v>0</v>
      </c>
      <c r="AS14" s="292">
        <f t="shared" si="30"/>
        <v>0</v>
      </c>
      <c r="AT14" s="292">
        <f t="shared" si="31"/>
        <v>0</v>
      </c>
      <c r="AU14" s="292">
        <f t="shared" si="32"/>
        <v>0</v>
      </c>
      <c r="AV14" s="292">
        <f t="shared" si="33"/>
        <v>0</v>
      </c>
      <c r="AW14" s="292">
        <f t="shared" si="34"/>
        <v>0</v>
      </c>
      <c r="AX14" s="292">
        <f t="shared" si="35"/>
        <v>0</v>
      </c>
      <c r="AY14" s="292">
        <f t="shared" si="36"/>
        <v>0</v>
      </c>
      <c r="AZ14" s="292">
        <f t="shared" si="37"/>
        <v>0</v>
      </c>
      <c r="BA14" s="292">
        <f t="shared" si="38"/>
        <v>0</v>
      </c>
    </row>
    <row r="15" spans="1:53" s="289" customFormat="1" ht="16.5" customHeight="1">
      <c r="A15" s="63" t="str">
        <f t="array" ref="A15">IF(C15&lt;&gt;0,SUM(($C$11:C15&lt;&gt;0)*1),"")</f>
        <v/>
      </c>
      <c r="B15" s="290"/>
      <c r="C15" s="290"/>
      <c r="D15" s="290"/>
      <c r="E15" s="396"/>
      <c r="F15" s="345"/>
      <c r="G15" s="347"/>
      <c r="H15" s="347"/>
      <c r="I15" s="63" t="str">
        <f t="shared" si="0"/>
        <v/>
      </c>
      <c r="J15" s="292">
        <f t="shared" si="1"/>
        <v>0</v>
      </c>
      <c r="K15" s="292">
        <f t="shared" si="2"/>
        <v>0</v>
      </c>
      <c r="L15" s="292">
        <f t="shared" si="3"/>
        <v>0</v>
      </c>
      <c r="M15" s="292">
        <f t="shared" si="4"/>
        <v>0</v>
      </c>
      <c r="N15" s="292">
        <f t="shared" si="39"/>
        <v>0</v>
      </c>
      <c r="O15" s="292">
        <f t="shared" si="40"/>
        <v>0</v>
      </c>
      <c r="P15" s="292">
        <f t="shared" si="5"/>
        <v>0</v>
      </c>
      <c r="Q15" s="292">
        <f t="shared" si="6"/>
        <v>0</v>
      </c>
      <c r="R15" s="292">
        <f t="shared" si="7"/>
        <v>0</v>
      </c>
      <c r="S15" s="292">
        <f t="shared" si="8"/>
        <v>0</v>
      </c>
      <c r="T15" s="292">
        <f t="shared" si="41"/>
        <v>0</v>
      </c>
      <c r="U15" s="292">
        <f t="shared" si="42"/>
        <v>0</v>
      </c>
      <c r="V15" s="292">
        <f t="shared" si="9"/>
        <v>0</v>
      </c>
      <c r="W15" s="292">
        <f t="shared" si="10"/>
        <v>0</v>
      </c>
      <c r="X15" s="292">
        <f t="shared" si="11"/>
        <v>0</v>
      </c>
      <c r="Y15" s="292">
        <f t="shared" si="12"/>
        <v>0</v>
      </c>
      <c r="Z15" s="292">
        <f t="shared" si="13"/>
        <v>0</v>
      </c>
      <c r="AA15" s="292">
        <f t="shared" si="14"/>
        <v>0</v>
      </c>
      <c r="AB15" s="292">
        <f t="shared" si="15"/>
        <v>0</v>
      </c>
      <c r="AC15" s="292">
        <f t="shared" si="16"/>
        <v>0</v>
      </c>
      <c r="AD15" s="292">
        <f t="shared" si="17"/>
        <v>0</v>
      </c>
      <c r="AE15" s="292">
        <f t="shared" si="18"/>
        <v>0</v>
      </c>
      <c r="AF15" s="292">
        <f t="shared" si="43"/>
        <v>0</v>
      </c>
      <c r="AG15" s="292">
        <f t="shared" si="44"/>
        <v>0</v>
      </c>
      <c r="AH15" s="292">
        <f t="shared" si="19"/>
        <v>0</v>
      </c>
      <c r="AI15" s="292">
        <f t="shared" si="20"/>
        <v>0</v>
      </c>
      <c r="AJ15" s="292">
        <f t="shared" si="21"/>
        <v>0</v>
      </c>
      <c r="AK15" s="292">
        <f t="shared" si="22"/>
        <v>0</v>
      </c>
      <c r="AL15" s="292">
        <f t="shared" si="23"/>
        <v>0</v>
      </c>
      <c r="AM15" s="292">
        <f t="shared" si="24"/>
        <v>0</v>
      </c>
      <c r="AN15" s="292">
        <f t="shared" si="25"/>
        <v>0</v>
      </c>
      <c r="AO15" s="292">
        <f t="shared" si="26"/>
        <v>0</v>
      </c>
      <c r="AP15" s="292">
        <f t="shared" si="27"/>
        <v>0</v>
      </c>
      <c r="AQ15" s="292">
        <f t="shared" si="28"/>
        <v>0</v>
      </c>
      <c r="AR15" s="292">
        <f t="shared" si="29"/>
        <v>0</v>
      </c>
      <c r="AS15" s="292">
        <f t="shared" si="30"/>
        <v>0</v>
      </c>
      <c r="AT15" s="292">
        <f t="shared" si="31"/>
        <v>0</v>
      </c>
      <c r="AU15" s="292">
        <f t="shared" si="32"/>
        <v>0</v>
      </c>
      <c r="AV15" s="292">
        <f t="shared" si="33"/>
        <v>0</v>
      </c>
      <c r="AW15" s="292">
        <f t="shared" si="34"/>
        <v>0</v>
      </c>
      <c r="AX15" s="292">
        <f t="shared" si="35"/>
        <v>0</v>
      </c>
      <c r="AY15" s="292">
        <f t="shared" si="36"/>
        <v>0</v>
      </c>
      <c r="AZ15" s="292">
        <f t="shared" si="37"/>
        <v>0</v>
      </c>
      <c r="BA15" s="292">
        <f t="shared" si="38"/>
        <v>0</v>
      </c>
    </row>
    <row r="16" spans="1:53" s="289" customFormat="1" ht="16.5" customHeight="1">
      <c r="A16" s="63" t="str">
        <f t="array" ref="A16">IF(C16&lt;&gt;0,SUM(($C$11:C16&lt;&gt;0)*1),"")</f>
        <v/>
      </c>
      <c r="B16" s="290"/>
      <c r="C16" s="290"/>
      <c r="D16" s="290"/>
      <c r="E16" s="396"/>
      <c r="F16" s="345"/>
      <c r="G16" s="347"/>
      <c r="H16" s="347"/>
      <c r="I16" s="63" t="str">
        <f t="shared" si="0"/>
        <v/>
      </c>
      <c r="J16" s="292">
        <f t="shared" si="1"/>
        <v>0</v>
      </c>
      <c r="K16" s="292">
        <f t="shared" si="2"/>
        <v>0</v>
      </c>
      <c r="L16" s="292">
        <f t="shared" si="3"/>
        <v>0</v>
      </c>
      <c r="M16" s="292">
        <f t="shared" si="4"/>
        <v>0</v>
      </c>
      <c r="N16" s="292">
        <f t="shared" si="39"/>
        <v>0</v>
      </c>
      <c r="O16" s="292">
        <f t="shared" si="40"/>
        <v>0</v>
      </c>
      <c r="P16" s="292">
        <f t="shared" si="5"/>
        <v>0</v>
      </c>
      <c r="Q16" s="292">
        <f t="shared" si="6"/>
        <v>0</v>
      </c>
      <c r="R16" s="292">
        <f t="shared" si="7"/>
        <v>0</v>
      </c>
      <c r="S16" s="292">
        <f t="shared" si="8"/>
        <v>0</v>
      </c>
      <c r="T16" s="292">
        <f t="shared" si="41"/>
        <v>0</v>
      </c>
      <c r="U16" s="292">
        <f t="shared" si="42"/>
        <v>0</v>
      </c>
      <c r="V16" s="292">
        <f t="shared" si="9"/>
        <v>0</v>
      </c>
      <c r="W16" s="292">
        <f t="shared" si="10"/>
        <v>0</v>
      </c>
      <c r="X16" s="292">
        <f t="shared" si="11"/>
        <v>0</v>
      </c>
      <c r="Y16" s="292">
        <f t="shared" si="12"/>
        <v>0</v>
      </c>
      <c r="Z16" s="292">
        <f t="shared" si="13"/>
        <v>0</v>
      </c>
      <c r="AA16" s="292">
        <f t="shared" si="14"/>
        <v>0</v>
      </c>
      <c r="AB16" s="292">
        <f t="shared" si="15"/>
        <v>0</v>
      </c>
      <c r="AC16" s="292">
        <f t="shared" si="16"/>
        <v>0</v>
      </c>
      <c r="AD16" s="292">
        <f t="shared" si="17"/>
        <v>0</v>
      </c>
      <c r="AE16" s="292">
        <f t="shared" si="18"/>
        <v>0</v>
      </c>
      <c r="AF16" s="292">
        <f t="shared" si="43"/>
        <v>0</v>
      </c>
      <c r="AG16" s="292">
        <f t="shared" si="44"/>
        <v>0</v>
      </c>
      <c r="AH16" s="292">
        <f t="shared" si="19"/>
        <v>0</v>
      </c>
      <c r="AI16" s="292">
        <f t="shared" si="20"/>
        <v>0</v>
      </c>
      <c r="AJ16" s="292">
        <f t="shared" si="21"/>
        <v>0</v>
      </c>
      <c r="AK16" s="292">
        <f t="shared" si="22"/>
        <v>0</v>
      </c>
      <c r="AL16" s="292">
        <f t="shared" si="23"/>
        <v>0</v>
      </c>
      <c r="AM16" s="292">
        <f t="shared" si="24"/>
        <v>0</v>
      </c>
      <c r="AN16" s="292">
        <f t="shared" si="25"/>
        <v>0</v>
      </c>
      <c r="AO16" s="292">
        <f t="shared" si="26"/>
        <v>0</v>
      </c>
      <c r="AP16" s="292">
        <f t="shared" si="27"/>
        <v>0</v>
      </c>
      <c r="AQ16" s="292">
        <f t="shared" si="28"/>
        <v>0</v>
      </c>
      <c r="AR16" s="292">
        <f t="shared" si="29"/>
        <v>0</v>
      </c>
      <c r="AS16" s="292">
        <f t="shared" si="30"/>
        <v>0</v>
      </c>
      <c r="AT16" s="292">
        <f t="shared" si="31"/>
        <v>0</v>
      </c>
      <c r="AU16" s="292">
        <f t="shared" si="32"/>
        <v>0</v>
      </c>
      <c r="AV16" s="292">
        <f t="shared" si="33"/>
        <v>0</v>
      </c>
      <c r="AW16" s="292">
        <f t="shared" si="34"/>
        <v>0</v>
      </c>
      <c r="AX16" s="292">
        <f t="shared" si="35"/>
        <v>0</v>
      </c>
      <c r="AY16" s="292">
        <f t="shared" si="36"/>
        <v>0</v>
      </c>
      <c r="AZ16" s="292">
        <f t="shared" si="37"/>
        <v>0</v>
      </c>
      <c r="BA16" s="292">
        <f t="shared" si="38"/>
        <v>0</v>
      </c>
    </row>
    <row r="17" spans="1:53" s="289" customFormat="1" ht="16.5" customHeight="1">
      <c r="A17" s="63" t="str">
        <f t="array" ref="A17">IF(C17&lt;&gt;0,SUM(($C$11:C17&lt;&gt;0)*1),"")</f>
        <v/>
      </c>
      <c r="B17" s="290"/>
      <c r="C17" s="290"/>
      <c r="D17" s="290"/>
      <c r="E17" s="396"/>
      <c r="F17" s="345"/>
      <c r="G17" s="347"/>
      <c r="H17" s="347"/>
      <c r="I17" s="63" t="str">
        <f t="shared" si="0"/>
        <v/>
      </c>
      <c r="J17" s="292">
        <f t="shared" si="1"/>
        <v>0</v>
      </c>
      <c r="K17" s="292">
        <f t="shared" si="2"/>
        <v>0</v>
      </c>
      <c r="L17" s="292">
        <f t="shared" si="3"/>
        <v>0</v>
      </c>
      <c r="M17" s="292">
        <f t="shared" si="4"/>
        <v>0</v>
      </c>
      <c r="N17" s="292">
        <f t="shared" si="39"/>
        <v>0</v>
      </c>
      <c r="O17" s="292">
        <f t="shared" si="40"/>
        <v>0</v>
      </c>
      <c r="P17" s="292">
        <f t="shared" si="5"/>
        <v>0</v>
      </c>
      <c r="Q17" s="292">
        <f t="shared" si="6"/>
        <v>0</v>
      </c>
      <c r="R17" s="292">
        <f t="shared" si="7"/>
        <v>0</v>
      </c>
      <c r="S17" s="292">
        <f t="shared" si="8"/>
        <v>0</v>
      </c>
      <c r="T17" s="292">
        <f t="shared" si="41"/>
        <v>0</v>
      </c>
      <c r="U17" s="292">
        <f t="shared" si="42"/>
        <v>0</v>
      </c>
      <c r="V17" s="292">
        <f t="shared" si="9"/>
        <v>0</v>
      </c>
      <c r="W17" s="292">
        <f t="shared" si="10"/>
        <v>0</v>
      </c>
      <c r="X17" s="292">
        <f t="shared" si="11"/>
        <v>0</v>
      </c>
      <c r="Y17" s="292">
        <f t="shared" si="12"/>
        <v>0</v>
      </c>
      <c r="Z17" s="292">
        <f t="shared" si="13"/>
        <v>0</v>
      </c>
      <c r="AA17" s="292">
        <f t="shared" si="14"/>
        <v>0</v>
      </c>
      <c r="AB17" s="292">
        <f t="shared" si="15"/>
        <v>0</v>
      </c>
      <c r="AC17" s="292">
        <f t="shared" si="16"/>
        <v>0</v>
      </c>
      <c r="AD17" s="292">
        <f t="shared" si="17"/>
        <v>0</v>
      </c>
      <c r="AE17" s="292">
        <f t="shared" si="18"/>
        <v>0</v>
      </c>
      <c r="AF17" s="292">
        <f t="shared" si="43"/>
        <v>0</v>
      </c>
      <c r="AG17" s="292">
        <f t="shared" si="44"/>
        <v>0</v>
      </c>
      <c r="AH17" s="292">
        <f t="shared" si="19"/>
        <v>0</v>
      </c>
      <c r="AI17" s="292">
        <f t="shared" si="20"/>
        <v>0</v>
      </c>
      <c r="AJ17" s="292">
        <f t="shared" si="21"/>
        <v>0</v>
      </c>
      <c r="AK17" s="292">
        <f t="shared" si="22"/>
        <v>0</v>
      </c>
      <c r="AL17" s="292">
        <f t="shared" si="23"/>
        <v>0</v>
      </c>
      <c r="AM17" s="292">
        <f t="shared" si="24"/>
        <v>0</v>
      </c>
      <c r="AN17" s="292">
        <f t="shared" si="25"/>
        <v>0</v>
      </c>
      <c r="AO17" s="292">
        <f t="shared" si="26"/>
        <v>0</v>
      </c>
      <c r="AP17" s="292">
        <f t="shared" si="27"/>
        <v>0</v>
      </c>
      <c r="AQ17" s="292">
        <f t="shared" si="28"/>
        <v>0</v>
      </c>
      <c r="AR17" s="292">
        <f t="shared" si="29"/>
        <v>0</v>
      </c>
      <c r="AS17" s="292">
        <f t="shared" si="30"/>
        <v>0</v>
      </c>
      <c r="AT17" s="292">
        <f t="shared" si="31"/>
        <v>0</v>
      </c>
      <c r="AU17" s="292">
        <f t="shared" si="32"/>
        <v>0</v>
      </c>
      <c r="AV17" s="292">
        <f t="shared" si="33"/>
        <v>0</v>
      </c>
      <c r="AW17" s="292">
        <f t="shared" si="34"/>
        <v>0</v>
      </c>
      <c r="AX17" s="292">
        <f t="shared" si="35"/>
        <v>0</v>
      </c>
      <c r="AY17" s="292">
        <f t="shared" si="36"/>
        <v>0</v>
      </c>
      <c r="AZ17" s="292">
        <f t="shared" si="37"/>
        <v>0</v>
      </c>
      <c r="BA17" s="292">
        <f t="shared" si="38"/>
        <v>0</v>
      </c>
    </row>
    <row r="18" spans="1:53" s="289" customFormat="1" ht="16.5" customHeight="1">
      <c r="A18" s="63" t="str">
        <f t="array" ref="A18">IF(C18&lt;&gt;0,SUM(($C$11:C18&lt;&gt;0)*1),"")</f>
        <v/>
      </c>
      <c r="B18" s="290"/>
      <c r="C18" s="290"/>
      <c r="D18" s="290"/>
      <c r="E18" s="396"/>
      <c r="F18" s="345"/>
      <c r="G18" s="347"/>
      <c r="H18" s="347"/>
      <c r="I18" s="63" t="str">
        <f t="shared" si="0"/>
        <v/>
      </c>
      <c r="J18" s="292">
        <f t="shared" si="1"/>
        <v>0</v>
      </c>
      <c r="K18" s="292">
        <f t="shared" si="2"/>
        <v>0</v>
      </c>
      <c r="L18" s="292">
        <f t="shared" si="3"/>
        <v>0</v>
      </c>
      <c r="M18" s="292">
        <f t="shared" si="4"/>
        <v>0</v>
      </c>
      <c r="N18" s="292">
        <f t="shared" si="39"/>
        <v>0</v>
      </c>
      <c r="O18" s="292">
        <f t="shared" si="40"/>
        <v>0</v>
      </c>
      <c r="P18" s="292">
        <f t="shared" si="5"/>
        <v>0</v>
      </c>
      <c r="Q18" s="292">
        <f t="shared" si="6"/>
        <v>0</v>
      </c>
      <c r="R18" s="292">
        <f t="shared" si="7"/>
        <v>0</v>
      </c>
      <c r="S18" s="292">
        <f t="shared" si="8"/>
        <v>0</v>
      </c>
      <c r="T18" s="292">
        <f t="shared" si="41"/>
        <v>0</v>
      </c>
      <c r="U18" s="292">
        <f t="shared" si="42"/>
        <v>0</v>
      </c>
      <c r="V18" s="292">
        <f t="shared" si="9"/>
        <v>0</v>
      </c>
      <c r="W18" s="292">
        <f t="shared" si="10"/>
        <v>0</v>
      </c>
      <c r="X18" s="292">
        <f t="shared" si="11"/>
        <v>0</v>
      </c>
      <c r="Y18" s="292">
        <f t="shared" si="12"/>
        <v>0</v>
      </c>
      <c r="Z18" s="292">
        <f t="shared" si="13"/>
        <v>0</v>
      </c>
      <c r="AA18" s="292">
        <f t="shared" si="14"/>
        <v>0</v>
      </c>
      <c r="AB18" s="292">
        <f t="shared" si="15"/>
        <v>0</v>
      </c>
      <c r="AC18" s="292">
        <f t="shared" si="16"/>
        <v>0</v>
      </c>
      <c r="AD18" s="292">
        <f t="shared" si="17"/>
        <v>0</v>
      </c>
      <c r="AE18" s="292">
        <f t="shared" si="18"/>
        <v>0</v>
      </c>
      <c r="AF18" s="292">
        <f t="shared" si="43"/>
        <v>0</v>
      </c>
      <c r="AG18" s="292">
        <f t="shared" si="44"/>
        <v>0</v>
      </c>
      <c r="AH18" s="292">
        <f t="shared" si="19"/>
        <v>0</v>
      </c>
      <c r="AI18" s="292">
        <f t="shared" si="20"/>
        <v>0</v>
      </c>
      <c r="AJ18" s="292">
        <f t="shared" si="21"/>
        <v>0</v>
      </c>
      <c r="AK18" s="292">
        <f t="shared" si="22"/>
        <v>0</v>
      </c>
      <c r="AL18" s="292">
        <f t="shared" si="23"/>
        <v>0</v>
      </c>
      <c r="AM18" s="292">
        <f t="shared" si="24"/>
        <v>0</v>
      </c>
      <c r="AN18" s="292">
        <f t="shared" si="25"/>
        <v>0</v>
      </c>
      <c r="AO18" s="292">
        <f t="shared" si="26"/>
        <v>0</v>
      </c>
      <c r="AP18" s="292">
        <f t="shared" si="27"/>
        <v>0</v>
      </c>
      <c r="AQ18" s="292">
        <f t="shared" si="28"/>
        <v>0</v>
      </c>
      <c r="AR18" s="292">
        <f t="shared" si="29"/>
        <v>0</v>
      </c>
      <c r="AS18" s="292">
        <f t="shared" si="30"/>
        <v>0</v>
      </c>
      <c r="AT18" s="292">
        <f t="shared" si="31"/>
        <v>0</v>
      </c>
      <c r="AU18" s="292">
        <f t="shared" si="32"/>
        <v>0</v>
      </c>
      <c r="AV18" s="292">
        <f t="shared" si="33"/>
        <v>0</v>
      </c>
      <c r="AW18" s="292">
        <f t="shared" si="34"/>
        <v>0</v>
      </c>
      <c r="AX18" s="292">
        <f t="shared" si="35"/>
        <v>0</v>
      </c>
      <c r="AY18" s="292">
        <f t="shared" si="36"/>
        <v>0</v>
      </c>
      <c r="AZ18" s="292">
        <f t="shared" si="37"/>
        <v>0</v>
      </c>
      <c r="BA18" s="292">
        <f t="shared" si="38"/>
        <v>0</v>
      </c>
    </row>
    <row r="19" spans="1:53" s="289" customFormat="1" ht="16.5" customHeight="1">
      <c r="A19" s="63" t="str">
        <f t="array" ref="A19">IF(C19&lt;&gt;0,SUM(($C$11:C19&lt;&gt;0)*1),"")</f>
        <v/>
      </c>
      <c r="B19" s="290"/>
      <c r="C19" s="290"/>
      <c r="D19" s="290"/>
      <c r="E19" s="396"/>
      <c r="F19" s="345"/>
      <c r="G19" s="347"/>
      <c r="H19" s="347"/>
      <c r="I19" s="63" t="str">
        <f t="shared" si="0"/>
        <v/>
      </c>
      <c r="J19" s="292">
        <f t="shared" si="1"/>
        <v>0</v>
      </c>
      <c r="K19" s="292">
        <f t="shared" si="2"/>
        <v>0</v>
      </c>
      <c r="L19" s="292">
        <f t="shared" si="3"/>
        <v>0</v>
      </c>
      <c r="M19" s="292">
        <f t="shared" si="4"/>
        <v>0</v>
      </c>
      <c r="N19" s="292">
        <f t="shared" si="39"/>
        <v>0</v>
      </c>
      <c r="O19" s="292">
        <f t="shared" si="40"/>
        <v>0</v>
      </c>
      <c r="P19" s="292">
        <f t="shared" si="5"/>
        <v>0</v>
      </c>
      <c r="Q19" s="292">
        <f t="shared" si="6"/>
        <v>0</v>
      </c>
      <c r="R19" s="292">
        <f t="shared" si="7"/>
        <v>0</v>
      </c>
      <c r="S19" s="292">
        <f t="shared" si="8"/>
        <v>0</v>
      </c>
      <c r="T19" s="292">
        <f t="shared" si="41"/>
        <v>0</v>
      </c>
      <c r="U19" s="292">
        <f t="shared" si="42"/>
        <v>0</v>
      </c>
      <c r="V19" s="292">
        <f t="shared" si="9"/>
        <v>0</v>
      </c>
      <c r="W19" s="292">
        <f t="shared" si="10"/>
        <v>0</v>
      </c>
      <c r="X19" s="292">
        <f t="shared" si="11"/>
        <v>0</v>
      </c>
      <c r="Y19" s="292">
        <f t="shared" si="12"/>
        <v>0</v>
      </c>
      <c r="Z19" s="292">
        <f t="shared" si="13"/>
        <v>0</v>
      </c>
      <c r="AA19" s="292">
        <f t="shared" si="14"/>
        <v>0</v>
      </c>
      <c r="AB19" s="292">
        <f t="shared" si="15"/>
        <v>0</v>
      </c>
      <c r="AC19" s="292">
        <f t="shared" si="16"/>
        <v>0</v>
      </c>
      <c r="AD19" s="292">
        <f t="shared" si="17"/>
        <v>0</v>
      </c>
      <c r="AE19" s="292">
        <f t="shared" si="18"/>
        <v>0</v>
      </c>
      <c r="AF19" s="292">
        <f t="shared" si="43"/>
        <v>0</v>
      </c>
      <c r="AG19" s="292">
        <f t="shared" si="44"/>
        <v>0</v>
      </c>
      <c r="AH19" s="292">
        <f t="shared" si="19"/>
        <v>0</v>
      </c>
      <c r="AI19" s="292">
        <f t="shared" si="20"/>
        <v>0</v>
      </c>
      <c r="AJ19" s="292">
        <f t="shared" si="21"/>
        <v>0</v>
      </c>
      <c r="AK19" s="292">
        <f t="shared" si="22"/>
        <v>0</v>
      </c>
      <c r="AL19" s="292">
        <f t="shared" si="23"/>
        <v>0</v>
      </c>
      <c r="AM19" s="292">
        <f t="shared" si="24"/>
        <v>0</v>
      </c>
      <c r="AN19" s="292">
        <f t="shared" si="25"/>
        <v>0</v>
      </c>
      <c r="AO19" s="292">
        <f t="shared" si="26"/>
        <v>0</v>
      </c>
      <c r="AP19" s="292">
        <f t="shared" si="27"/>
        <v>0</v>
      </c>
      <c r="AQ19" s="292">
        <f t="shared" si="28"/>
        <v>0</v>
      </c>
      <c r="AR19" s="292">
        <f t="shared" si="29"/>
        <v>0</v>
      </c>
      <c r="AS19" s="292">
        <f t="shared" si="30"/>
        <v>0</v>
      </c>
      <c r="AT19" s="292">
        <f t="shared" si="31"/>
        <v>0</v>
      </c>
      <c r="AU19" s="292">
        <f t="shared" si="32"/>
        <v>0</v>
      </c>
      <c r="AV19" s="292">
        <f t="shared" si="33"/>
        <v>0</v>
      </c>
      <c r="AW19" s="292">
        <f t="shared" si="34"/>
        <v>0</v>
      </c>
      <c r="AX19" s="292">
        <f t="shared" si="35"/>
        <v>0</v>
      </c>
      <c r="AY19" s="292">
        <f t="shared" si="36"/>
        <v>0</v>
      </c>
      <c r="AZ19" s="292">
        <f t="shared" si="37"/>
        <v>0</v>
      </c>
      <c r="BA19" s="292">
        <f t="shared" si="38"/>
        <v>0</v>
      </c>
    </row>
    <row r="20" spans="1:53" s="289" customFormat="1" ht="16.5" customHeight="1">
      <c r="A20" s="63" t="str">
        <f t="array" ref="A20">IF(C20&lt;&gt;0,SUM(($C$11:C20&lt;&gt;0)*1),"")</f>
        <v/>
      </c>
      <c r="B20" s="290"/>
      <c r="C20" s="290"/>
      <c r="D20" s="290"/>
      <c r="E20" s="396"/>
      <c r="F20" s="345"/>
      <c r="G20" s="347"/>
      <c r="H20" s="347"/>
      <c r="I20" s="63" t="str">
        <f t="shared" si="0"/>
        <v/>
      </c>
      <c r="J20" s="292">
        <f t="shared" si="1"/>
        <v>0</v>
      </c>
      <c r="K20" s="292">
        <f t="shared" si="2"/>
        <v>0</v>
      </c>
      <c r="L20" s="292">
        <f t="shared" si="3"/>
        <v>0</v>
      </c>
      <c r="M20" s="292">
        <f t="shared" si="4"/>
        <v>0</v>
      </c>
      <c r="N20" s="292">
        <f t="shared" si="39"/>
        <v>0</v>
      </c>
      <c r="O20" s="292">
        <f t="shared" si="40"/>
        <v>0</v>
      </c>
      <c r="P20" s="292">
        <f t="shared" si="5"/>
        <v>0</v>
      </c>
      <c r="Q20" s="292">
        <f t="shared" si="6"/>
        <v>0</v>
      </c>
      <c r="R20" s="292">
        <f t="shared" si="7"/>
        <v>0</v>
      </c>
      <c r="S20" s="292">
        <f t="shared" si="8"/>
        <v>0</v>
      </c>
      <c r="T20" s="292">
        <f t="shared" si="41"/>
        <v>0</v>
      </c>
      <c r="U20" s="292">
        <f t="shared" si="42"/>
        <v>0</v>
      </c>
      <c r="V20" s="292">
        <f t="shared" si="9"/>
        <v>0</v>
      </c>
      <c r="W20" s="292">
        <f t="shared" si="10"/>
        <v>0</v>
      </c>
      <c r="X20" s="292">
        <f t="shared" si="11"/>
        <v>0</v>
      </c>
      <c r="Y20" s="292">
        <f t="shared" si="12"/>
        <v>0</v>
      </c>
      <c r="Z20" s="292">
        <f t="shared" si="13"/>
        <v>0</v>
      </c>
      <c r="AA20" s="292">
        <f t="shared" si="14"/>
        <v>0</v>
      </c>
      <c r="AB20" s="292">
        <f t="shared" si="15"/>
        <v>0</v>
      </c>
      <c r="AC20" s="292">
        <f t="shared" si="16"/>
        <v>0</v>
      </c>
      <c r="AD20" s="292">
        <f t="shared" si="17"/>
        <v>0</v>
      </c>
      <c r="AE20" s="292">
        <f t="shared" si="18"/>
        <v>0</v>
      </c>
      <c r="AF20" s="292">
        <f t="shared" si="43"/>
        <v>0</v>
      </c>
      <c r="AG20" s="292">
        <f t="shared" si="44"/>
        <v>0</v>
      </c>
      <c r="AH20" s="292">
        <f t="shared" si="19"/>
        <v>0</v>
      </c>
      <c r="AI20" s="292">
        <f t="shared" si="20"/>
        <v>0</v>
      </c>
      <c r="AJ20" s="292">
        <f t="shared" si="21"/>
        <v>0</v>
      </c>
      <c r="AK20" s="292">
        <f t="shared" si="22"/>
        <v>0</v>
      </c>
      <c r="AL20" s="292">
        <f t="shared" si="23"/>
        <v>0</v>
      </c>
      <c r="AM20" s="292">
        <f t="shared" si="24"/>
        <v>0</v>
      </c>
      <c r="AN20" s="292">
        <f t="shared" si="25"/>
        <v>0</v>
      </c>
      <c r="AO20" s="292">
        <f t="shared" si="26"/>
        <v>0</v>
      </c>
      <c r="AP20" s="292">
        <f t="shared" si="27"/>
        <v>0</v>
      </c>
      <c r="AQ20" s="292">
        <f t="shared" si="28"/>
        <v>0</v>
      </c>
      <c r="AR20" s="292">
        <f t="shared" si="29"/>
        <v>0</v>
      </c>
      <c r="AS20" s="292">
        <f t="shared" si="30"/>
        <v>0</v>
      </c>
      <c r="AT20" s="292">
        <f t="shared" si="31"/>
        <v>0</v>
      </c>
      <c r="AU20" s="292">
        <f t="shared" si="32"/>
        <v>0</v>
      </c>
      <c r="AV20" s="292">
        <f t="shared" si="33"/>
        <v>0</v>
      </c>
      <c r="AW20" s="292">
        <f t="shared" si="34"/>
        <v>0</v>
      </c>
      <c r="AX20" s="292">
        <f t="shared" si="35"/>
        <v>0</v>
      </c>
      <c r="AY20" s="292">
        <f t="shared" si="36"/>
        <v>0</v>
      </c>
      <c r="AZ20" s="292">
        <f t="shared" si="37"/>
        <v>0</v>
      </c>
      <c r="BA20" s="292">
        <f t="shared" si="38"/>
        <v>0</v>
      </c>
    </row>
    <row r="21" spans="1:53" s="289" customFormat="1" ht="16.5" customHeight="1">
      <c r="A21" s="63" t="str">
        <f t="array" ref="A21">IF(C21&lt;&gt;0,SUM(($C$11:C21&lt;&gt;0)*1),"")</f>
        <v/>
      </c>
      <c r="B21" s="290"/>
      <c r="C21" s="290"/>
      <c r="D21" s="290"/>
      <c r="E21" s="396"/>
      <c r="F21" s="345"/>
      <c r="G21" s="347"/>
      <c r="H21" s="347"/>
      <c r="I21" s="63" t="str">
        <f t="shared" si="0"/>
        <v/>
      </c>
      <c r="J21" s="292">
        <f t="shared" si="1"/>
        <v>0</v>
      </c>
      <c r="K21" s="292">
        <f t="shared" si="2"/>
        <v>0</v>
      </c>
      <c r="L21" s="292">
        <f t="shared" si="3"/>
        <v>0</v>
      </c>
      <c r="M21" s="292">
        <f t="shared" si="4"/>
        <v>0</v>
      </c>
      <c r="N21" s="292">
        <f t="shared" si="39"/>
        <v>0</v>
      </c>
      <c r="O21" s="292">
        <f t="shared" si="40"/>
        <v>0</v>
      </c>
      <c r="P21" s="292">
        <f t="shared" si="5"/>
        <v>0</v>
      </c>
      <c r="Q21" s="292">
        <f t="shared" si="6"/>
        <v>0</v>
      </c>
      <c r="R21" s="292">
        <f t="shared" si="7"/>
        <v>0</v>
      </c>
      <c r="S21" s="292">
        <f t="shared" si="8"/>
        <v>0</v>
      </c>
      <c r="T21" s="292">
        <f t="shared" si="41"/>
        <v>0</v>
      </c>
      <c r="U21" s="292">
        <f t="shared" si="42"/>
        <v>0</v>
      </c>
      <c r="V21" s="292">
        <f t="shared" si="9"/>
        <v>0</v>
      </c>
      <c r="W21" s="292">
        <f t="shared" si="10"/>
        <v>0</v>
      </c>
      <c r="X21" s="292">
        <f t="shared" si="11"/>
        <v>0</v>
      </c>
      <c r="Y21" s="292">
        <f t="shared" si="12"/>
        <v>0</v>
      </c>
      <c r="Z21" s="292">
        <f t="shared" si="13"/>
        <v>0</v>
      </c>
      <c r="AA21" s="292">
        <f t="shared" si="14"/>
        <v>0</v>
      </c>
      <c r="AB21" s="292">
        <f t="shared" si="15"/>
        <v>0</v>
      </c>
      <c r="AC21" s="292">
        <f t="shared" si="16"/>
        <v>0</v>
      </c>
      <c r="AD21" s="292">
        <f t="shared" si="17"/>
        <v>0</v>
      </c>
      <c r="AE21" s="292">
        <f t="shared" si="18"/>
        <v>0</v>
      </c>
      <c r="AF21" s="292">
        <f t="shared" si="43"/>
        <v>0</v>
      </c>
      <c r="AG21" s="292">
        <f t="shared" si="44"/>
        <v>0</v>
      </c>
      <c r="AH21" s="292">
        <f t="shared" si="19"/>
        <v>0</v>
      </c>
      <c r="AI21" s="292">
        <f t="shared" si="20"/>
        <v>0</v>
      </c>
      <c r="AJ21" s="292">
        <f t="shared" si="21"/>
        <v>0</v>
      </c>
      <c r="AK21" s="292">
        <f t="shared" si="22"/>
        <v>0</v>
      </c>
      <c r="AL21" s="292">
        <f t="shared" si="23"/>
        <v>0</v>
      </c>
      <c r="AM21" s="292">
        <f t="shared" si="24"/>
        <v>0</v>
      </c>
      <c r="AN21" s="292">
        <f t="shared" si="25"/>
        <v>0</v>
      </c>
      <c r="AO21" s="292">
        <f t="shared" si="26"/>
        <v>0</v>
      </c>
      <c r="AP21" s="292">
        <f t="shared" si="27"/>
        <v>0</v>
      </c>
      <c r="AQ21" s="292">
        <f t="shared" si="28"/>
        <v>0</v>
      </c>
      <c r="AR21" s="292">
        <f t="shared" si="29"/>
        <v>0</v>
      </c>
      <c r="AS21" s="292">
        <f t="shared" si="30"/>
        <v>0</v>
      </c>
      <c r="AT21" s="292">
        <f t="shared" si="31"/>
        <v>0</v>
      </c>
      <c r="AU21" s="292">
        <f t="shared" si="32"/>
        <v>0</v>
      </c>
      <c r="AV21" s="292">
        <f t="shared" si="33"/>
        <v>0</v>
      </c>
      <c r="AW21" s="292">
        <f t="shared" si="34"/>
        <v>0</v>
      </c>
      <c r="AX21" s="292">
        <f t="shared" si="35"/>
        <v>0</v>
      </c>
      <c r="AY21" s="292">
        <f t="shared" si="36"/>
        <v>0</v>
      </c>
      <c r="AZ21" s="292">
        <f t="shared" si="37"/>
        <v>0</v>
      </c>
      <c r="BA21" s="292">
        <f t="shared" si="38"/>
        <v>0</v>
      </c>
    </row>
    <row r="22" spans="1:53" s="289" customFormat="1" ht="16.5" customHeight="1">
      <c r="A22" s="63" t="str">
        <f t="array" ref="A22">IF(C22&lt;&gt;0,SUM(($C$11:C22&lt;&gt;0)*1),"")</f>
        <v/>
      </c>
      <c r="B22" s="290"/>
      <c r="C22" s="290"/>
      <c r="D22" s="290"/>
      <c r="E22" s="396"/>
      <c r="F22" s="345"/>
      <c r="G22" s="347"/>
      <c r="H22" s="347"/>
      <c r="I22" s="63" t="str">
        <f t="shared" si="0"/>
        <v/>
      </c>
      <c r="J22" s="292">
        <f t="shared" si="1"/>
        <v>0</v>
      </c>
      <c r="K22" s="292">
        <f t="shared" si="2"/>
        <v>0</v>
      </c>
      <c r="L22" s="292">
        <f t="shared" si="3"/>
        <v>0</v>
      </c>
      <c r="M22" s="292">
        <f t="shared" si="4"/>
        <v>0</v>
      </c>
      <c r="N22" s="292">
        <f t="shared" si="39"/>
        <v>0</v>
      </c>
      <c r="O22" s="292">
        <f t="shared" si="40"/>
        <v>0</v>
      </c>
      <c r="P22" s="292">
        <f t="shared" si="5"/>
        <v>0</v>
      </c>
      <c r="Q22" s="292">
        <f t="shared" si="6"/>
        <v>0</v>
      </c>
      <c r="R22" s="292">
        <f t="shared" si="7"/>
        <v>0</v>
      </c>
      <c r="S22" s="292">
        <f t="shared" si="8"/>
        <v>0</v>
      </c>
      <c r="T22" s="292">
        <f t="shared" si="41"/>
        <v>0</v>
      </c>
      <c r="U22" s="292">
        <f t="shared" si="42"/>
        <v>0</v>
      </c>
      <c r="V22" s="292">
        <f t="shared" si="9"/>
        <v>0</v>
      </c>
      <c r="W22" s="292">
        <f t="shared" si="10"/>
        <v>0</v>
      </c>
      <c r="X22" s="292">
        <f t="shared" si="11"/>
        <v>0</v>
      </c>
      <c r="Y22" s="292">
        <f t="shared" si="12"/>
        <v>0</v>
      </c>
      <c r="Z22" s="292">
        <f t="shared" si="13"/>
        <v>0</v>
      </c>
      <c r="AA22" s="292">
        <f t="shared" si="14"/>
        <v>0</v>
      </c>
      <c r="AB22" s="292">
        <f t="shared" si="15"/>
        <v>0</v>
      </c>
      <c r="AC22" s="292">
        <f t="shared" si="16"/>
        <v>0</v>
      </c>
      <c r="AD22" s="292">
        <f t="shared" si="17"/>
        <v>0</v>
      </c>
      <c r="AE22" s="292">
        <f t="shared" si="18"/>
        <v>0</v>
      </c>
      <c r="AF22" s="292">
        <f t="shared" si="43"/>
        <v>0</v>
      </c>
      <c r="AG22" s="292">
        <f t="shared" si="44"/>
        <v>0</v>
      </c>
      <c r="AH22" s="292">
        <f t="shared" si="19"/>
        <v>0</v>
      </c>
      <c r="AI22" s="292">
        <f t="shared" si="20"/>
        <v>0</v>
      </c>
      <c r="AJ22" s="292">
        <f t="shared" si="21"/>
        <v>0</v>
      </c>
      <c r="AK22" s="292">
        <f t="shared" si="22"/>
        <v>0</v>
      </c>
      <c r="AL22" s="292">
        <f t="shared" si="23"/>
        <v>0</v>
      </c>
      <c r="AM22" s="292">
        <f t="shared" si="24"/>
        <v>0</v>
      </c>
      <c r="AN22" s="292">
        <f t="shared" si="25"/>
        <v>0</v>
      </c>
      <c r="AO22" s="292">
        <f t="shared" si="26"/>
        <v>0</v>
      </c>
      <c r="AP22" s="292">
        <f t="shared" si="27"/>
        <v>0</v>
      </c>
      <c r="AQ22" s="292">
        <f t="shared" si="28"/>
        <v>0</v>
      </c>
      <c r="AR22" s="292">
        <f t="shared" si="29"/>
        <v>0</v>
      </c>
      <c r="AS22" s="292">
        <f t="shared" si="30"/>
        <v>0</v>
      </c>
      <c r="AT22" s="292">
        <f t="shared" si="31"/>
        <v>0</v>
      </c>
      <c r="AU22" s="292">
        <f t="shared" si="32"/>
        <v>0</v>
      </c>
      <c r="AV22" s="292">
        <f t="shared" si="33"/>
        <v>0</v>
      </c>
      <c r="AW22" s="292">
        <f t="shared" si="34"/>
        <v>0</v>
      </c>
      <c r="AX22" s="292">
        <f t="shared" si="35"/>
        <v>0</v>
      </c>
      <c r="AY22" s="292">
        <f t="shared" si="36"/>
        <v>0</v>
      </c>
      <c r="AZ22" s="292">
        <f t="shared" si="37"/>
        <v>0</v>
      </c>
      <c r="BA22" s="292">
        <f t="shared" si="38"/>
        <v>0</v>
      </c>
    </row>
    <row r="23" spans="1:53" s="289" customFormat="1" ht="16.5" customHeight="1">
      <c r="A23" s="63" t="str">
        <f t="array" ref="A23">IF(C23&lt;&gt;0,SUM(($C$11:C23&lt;&gt;0)*1),"")</f>
        <v/>
      </c>
      <c r="B23" s="290"/>
      <c r="C23" s="290"/>
      <c r="D23" s="290"/>
      <c r="E23" s="396"/>
      <c r="F23" s="345"/>
      <c r="G23" s="347"/>
      <c r="H23" s="347"/>
      <c r="I23" s="63" t="str">
        <f t="shared" si="0"/>
        <v/>
      </c>
      <c r="J23" s="292">
        <f t="shared" si="1"/>
        <v>0</v>
      </c>
      <c r="K23" s="292">
        <f t="shared" si="2"/>
        <v>0</v>
      </c>
      <c r="L23" s="292">
        <f t="shared" si="3"/>
        <v>0</v>
      </c>
      <c r="M23" s="292">
        <f t="shared" si="4"/>
        <v>0</v>
      </c>
      <c r="N23" s="292">
        <f t="shared" si="39"/>
        <v>0</v>
      </c>
      <c r="O23" s="292">
        <f t="shared" si="40"/>
        <v>0</v>
      </c>
      <c r="P23" s="292">
        <f t="shared" si="5"/>
        <v>0</v>
      </c>
      <c r="Q23" s="292">
        <f t="shared" si="6"/>
        <v>0</v>
      </c>
      <c r="R23" s="292">
        <f t="shared" si="7"/>
        <v>0</v>
      </c>
      <c r="S23" s="292">
        <f t="shared" si="8"/>
        <v>0</v>
      </c>
      <c r="T23" s="292">
        <f t="shared" si="41"/>
        <v>0</v>
      </c>
      <c r="U23" s="292">
        <f t="shared" si="42"/>
        <v>0</v>
      </c>
      <c r="V23" s="292">
        <f t="shared" si="9"/>
        <v>0</v>
      </c>
      <c r="W23" s="292">
        <f t="shared" si="10"/>
        <v>0</v>
      </c>
      <c r="X23" s="292">
        <f t="shared" si="11"/>
        <v>0</v>
      </c>
      <c r="Y23" s="292">
        <f t="shared" si="12"/>
        <v>0</v>
      </c>
      <c r="Z23" s="292">
        <f t="shared" si="13"/>
        <v>0</v>
      </c>
      <c r="AA23" s="292">
        <f t="shared" si="14"/>
        <v>0</v>
      </c>
      <c r="AB23" s="292">
        <f t="shared" si="15"/>
        <v>0</v>
      </c>
      <c r="AC23" s="292">
        <f t="shared" si="16"/>
        <v>0</v>
      </c>
      <c r="AD23" s="292">
        <f t="shared" si="17"/>
        <v>0</v>
      </c>
      <c r="AE23" s="292">
        <f t="shared" si="18"/>
        <v>0</v>
      </c>
      <c r="AF23" s="292">
        <f t="shared" si="43"/>
        <v>0</v>
      </c>
      <c r="AG23" s="292">
        <f t="shared" si="44"/>
        <v>0</v>
      </c>
      <c r="AH23" s="292">
        <f t="shared" si="19"/>
        <v>0</v>
      </c>
      <c r="AI23" s="292">
        <f t="shared" si="20"/>
        <v>0</v>
      </c>
      <c r="AJ23" s="292">
        <f t="shared" si="21"/>
        <v>0</v>
      </c>
      <c r="AK23" s="292">
        <f t="shared" si="22"/>
        <v>0</v>
      </c>
      <c r="AL23" s="292">
        <f t="shared" si="23"/>
        <v>0</v>
      </c>
      <c r="AM23" s="292">
        <f t="shared" si="24"/>
        <v>0</v>
      </c>
      <c r="AN23" s="292">
        <f t="shared" si="25"/>
        <v>0</v>
      </c>
      <c r="AO23" s="292">
        <f t="shared" si="26"/>
        <v>0</v>
      </c>
      <c r="AP23" s="292">
        <f t="shared" si="27"/>
        <v>0</v>
      </c>
      <c r="AQ23" s="292">
        <f t="shared" si="28"/>
        <v>0</v>
      </c>
      <c r="AR23" s="292">
        <f t="shared" si="29"/>
        <v>0</v>
      </c>
      <c r="AS23" s="292">
        <f t="shared" si="30"/>
        <v>0</v>
      </c>
      <c r="AT23" s="292">
        <f t="shared" si="31"/>
        <v>0</v>
      </c>
      <c r="AU23" s="292">
        <f t="shared" si="32"/>
        <v>0</v>
      </c>
      <c r="AV23" s="292">
        <f t="shared" si="33"/>
        <v>0</v>
      </c>
      <c r="AW23" s="292">
        <f t="shared" si="34"/>
        <v>0</v>
      </c>
      <c r="AX23" s="292">
        <f t="shared" si="35"/>
        <v>0</v>
      </c>
      <c r="AY23" s="292">
        <f t="shared" si="36"/>
        <v>0</v>
      </c>
      <c r="AZ23" s="292">
        <f t="shared" si="37"/>
        <v>0</v>
      </c>
      <c r="BA23" s="292">
        <f t="shared" si="38"/>
        <v>0</v>
      </c>
    </row>
    <row r="24" spans="1:53" s="289" customFormat="1" ht="16.5" customHeight="1">
      <c r="A24" s="63" t="str">
        <f t="array" ref="A24">IF(C24&lt;&gt;0,SUM(($C$11:C24&lt;&gt;0)*1),"")</f>
        <v/>
      </c>
      <c r="B24" s="290"/>
      <c r="C24" s="290"/>
      <c r="D24" s="290"/>
      <c r="E24" s="396"/>
      <c r="F24" s="345"/>
      <c r="G24" s="347"/>
      <c r="H24" s="347"/>
      <c r="I24" s="63" t="str">
        <f t="shared" si="0"/>
        <v/>
      </c>
      <c r="J24" s="292">
        <f t="shared" si="1"/>
        <v>0</v>
      </c>
      <c r="K24" s="292">
        <f t="shared" si="2"/>
        <v>0</v>
      </c>
      <c r="L24" s="292">
        <f t="shared" si="3"/>
        <v>0</v>
      </c>
      <c r="M24" s="292">
        <f t="shared" si="4"/>
        <v>0</v>
      </c>
      <c r="N24" s="292">
        <f t="shared" si="39"/>
        <v>0</v>
      </c>
      <c r="O24" s="292">
        <f t="shared" si="40"/>
        <v>0</v>
      </c>
      <c r="P24" s="292">
        <f t="shared" si="5"/>
        <v>0</v>
      </c>
      <c r="Q24" s="292">
        <f t="shared" si="6"/>
        <v>0</v>
      </c>
      <c r="R24" s="292">
        <f t="shared" si="7"/>
        <v>0</v>
      </c>
      <c r="S24" s="292">
        <f t="shared" si="8"/>
        <v>0</v>
      </c>
      <c r="T24" s="292">
        <f t="shared" si="41"/>
        <v>0</v>
      </c>
      <c r="U24" s="292">
        <f t="shared" si="42"/>
        <v>0</v>
      </c>
      <c r="V24" s="292">
        <f t="shared" si="9"/>
        <v>0</v>
      </c>
      <c r="W24" s="292">
        <f t="shared" si="10"/>
        <v>0</v>
      </c>
      <c r="X24" s="292">
        <f t="shared" si="11"/>
        <v>0</v>
      </c>
      <c r="Y24" s="292">
        <f t="shared" si="12"/>
        <v>0</v>
      </c>
      <c r="Z24" s="292">
        <f t="shared" si="13"/>
        <v>0</v>
      </c>
      <c r="AA24" s="292">
        <f t="shared" si="14"/>
        <v>0</v>
      </c>
      <c r="AB24" s="292">
        <f t="shared" si="15"/>
        <v>0</v>
      </c>
      <c r="AC24" s="292">
        <f t="shared" si="16"/>
        <v>0</v>
      </c>
      <c r="AD24" s="292">
        <f t="shared" si="17"/>
        <v>0</v>
      </c>
      <c r="AE24" s="292">
        <f t="shared" si="18"/>
        <v>0</v>
      </c>
      <c r="AF24" s="292">
        <f t="shared" si="43"/>
        <v>0</v>
      </c>
      <c r="AG24" s="292">
        <f t="shared" si="44"/>
        <v>0</v>
      </c>
      <c r="AH24" s="292">
        <f t="shared" si="19"/>
        <v>0</v>
      </c>
      <c r="AI24" s="292">
        <f t="shared" si="20"/>
        <v>0</v>
      </c>
      <c r="AJ24" s="292">
        <f t="shared" si="21"/>
        <v>0</v>
      </c>
      <c r="AK24" s="292">
        <f t="shared" si="22"/>
        <v>0</v>
      </c>
      <c r="AL24" s="292">
        <f t="shared" si="23"/>
        <v>0</v>
      </c>
      <c r="AM24" s="292">
        <f t="shared" si="24"/>
        <v>0</v>
      </c>
      <c r="AN24" s="292">
        <f t="shared" si="25"/>
        <v>0</v>
      </c>
      <c r="AO24" s="292">
        <f t="shared" si="26"/>
        <v>0</v>
      </c>
      <c r="AP24" s="292">
        <f t="shared" si="27"/>
        <v>0</v>
      </c>
      <c r="AQ24" s="292">
        <f t="shared" si="28"/>
        <v>0</v>
      </c>
      <c r="AR24" s="292">
        <f t="shared" si="29"/>
        <v>0</v>
      </c>
      <c r="AS24" s="292">
        <f t="shared" si="30"/>
        <v>0</v>
      </c>
      <c r="AT24" s="292">
        <f t="shared" si="31"/>
        <v>0</v>
      </c>
      <c r="AU24" s="292">
        <f t="shared" si="32"/>
        <v>0</v>
      </c>
      <c r="AV24" s="292">
        <f t="shared" si="33"/>
        <v>0</v>
      </c>
      <c r="AW24" s="292">
        <f t="shared" si="34"/>
        <v>0</v>
      </c>
      <c r="AX24" s="292">
        <f t="shared" si="35"/>
        <v>0</v>
      </c>
      <c r="AY24" s="292">
        <f t="shared" si="36"/>
        <v>0</v>
      </c>
      <c r="AZ24" s="292">
        <f t="shared" si="37"/>
        <v>0</v>
      </c>
      <c r="BA24" s="292">
        <f t="shared" si="38"/>
        <v>0</v>
      </c>
    </row>
    <row r="25" spans="1:53" s="289" customFormat="1" ht="16.5" customHeight="1">
      <c r="A25" s="63" t="str">
        <f t="array" ref="A25">IF(C25&lt;&gt;0,SUM(($C$11:C25&lt;&gt;0)*1),"")</f>
        <v/>
      </c>
      <c r="B25" s="290"/>
      <c r="C25" s="290"/>
      <c r="D25" s="290"/>
      <c r="E25" s="396"/>
      <c r="F25" s="345"/>
      <c r="G25" s="347"/>
      <c r="H25" s="347"/>
      <c r="I25" s="63" t="str">
        <f t="shared" si="0"/>
        <v/>
      </c>
      <c r="J25" s="292">
        <f t="shared" si="1"/>
        <v>0</v>
      </c>
      <c r="K25" s="292">
        <f t="shared" si="2"/>
        <v>0</v>
      </c>
      <c r="L25" s="292">
        <f t="shared" si="3"/>
        <v>0</v>
      </c>
      <c r="M25" s="292">
        <f t="shared" si="4"/>
        <v>0</v>
      </c>
      <c r="N25" s="292">
        <f t="shared" si="39"/>
        <v>0</v>
      </c>
      <c r="O25" s="292">
        <f t="shared" si="40"/>
        <v>0</v>
      </c>
      <c r="P25" s="292">
        <f t="shared" si="5"/>
        <v>0</v>
      </c>
      <c r="Q25" s="292">
        <f t="shared" si="6"/>
        <v>0</v>
      </c>
      <c r="R25" s="292">
        <f t="shared" si="7"/>
        <v>0</v>
      </c>
      <c r="S25" s="292">
        <f t="shared" si="8"/>
        <v>0</v>
      </c>
      <c r="T25" s="292">
        <f t="shared" si="41"/>
        <v>0</v>
      </c>
      <c r="U25" s="292">
        <f t="shared" si="42"/>
        <v>0</v>
      </c>
      <c r="V25" s="292">
        <f t="shared" si="9"/>
        <v>0</v>
      </c>
      <c r="W25" s="292">
        <f t="shared" si="10"/>
        <v>0</v>
      </c>
      <c r="X25" s="292">
        <f t="shared" si="11"/>
        <v>0</v>
      </c>
      <c r="Y25" s="292">
        <f t="shared" si="12"/>
        <v>0</v>
      </c>
      <c r="Z25" s="292">
        <f t="shared" si="13"/>
        <v>0</v>
      </c>
      <c r="AA25" s="292">
        <f t="shared" si="14"/>
        <v>0</v>
      </c>
      <c r="AB25" s="292">
        <f t="shared" si="15"/>
        <v>0</v>
      </c>
      <c r="AC25" s="292">
        <f t="shared" si="16"/>
        <v>0</v>
      </c>
      <c r="AD25" s="292">
        <f t="shared" si="17"/>
        <v>0</v>
      </c>
      <c r="AE25" s="292">
        <f t="shared" si="18"/>
        <v>0</v>
      </c>
      <c r="AF25" s="292">
        <f t="shared" si="43"/>
        <v>0</v>
      </c>
      <c r="AG25" s="292">
        <f t="shared" si="44"/>
        <v>0</v>
      </c>
      <c r="AH25" s="292">
        <f t="shared" si="19"/>
        <v>0</v>
      </c>
      <c r="AI25" s="292">
        <f t="shared" si="20"/>
        <v>0</v>
      </c>
      <c r="AJ25" s="292">
        <f t="shared" si="21"/>
        <v>0</v>
      </c>
      <c r="AK25" s="292">
        <f t="shared" si="22"/>
        <v>0</v>
      </c>
      <c r="AL25" s="292">
        <f t="shared" si="23"/>
        <v>0</v>
      </c>
      <c r="AM25" s="292">
        <f t="shared" si="24"/>
        <v>0</v>
      </c>
      <c r="AN25" s="292">
        <f t="shared" si="25"/>
        <v>0</v>
      </c>
      <c r="AO25" s="292">
        <f t="shared" si="26"/>
        <v>0</v>
      </c>
      <c r="AP25" s="292">
        <f t="shared" si="27"/>
        <v>0</v>
      </c>
      <c r="AQ25" s="292">
        <f t="shared" si="28"/>
        <v>0</v>
      </c>
      <c r="AR25" s="292">
        <f t="shared" si="29"/>
        <v>0</v>
      </c>
      <c r="AS25" s="292">
        <f t="shared" si="30"/>
        <v>0</v>
      </c>
      <c r="AT25" s="292">
        <f t="shared" si="31"/>
        <v>0</v>
      </c>
      <c r="AU25" s="292">
        <f t="shared" si="32"/>
        <v>0</v>
      </c>
      <c r="AV25" s="292">
        <f t="shared" si="33"/>
        <v>0</v>
      </c>
      <c r="AW25" s="292">
        <f t="shared" si="34"/>
        <v>0</v>
      </c>
      <c r="AX25" s="292">
        <f t="shared" si="35"/>
        <v>0</v>
      </c>
      <c r="AY25" s="292">
        <f t="shared" si="36"/>
        <v>0</v>
      </c>
      <c r="AZ25" s="292">
        <f t="shared" si="37"/>
        <v>0</v>
      </c>
      <c r="BA25" s="292">
        <f t="shared" si="38"/>
        <v>0</v>
      </c>
    </row>
    <row r="26" spans="1:53" s="289" customFormat="1" ht="16.5" customHeight="1">
      <c r="A26" s="63" t="str">
        <f t="array" ref="A26">IF(C26&lt;&gt;0,SUM(($C$11:C26&lt;&gt;0)*1),"")</f>
        <v/>
      </c>
      <c r="B26" s="290"/>
      <c r="C26" s="290"/>
      <c r="D26" s="290"/>
      <c r="E26" s="396"/>
      <c r="F26" s="345"/>
      <c r="G26" s="347"/>
      <c r="H26" s="347"/>
      <c r="I26" s="63" t="str">
        <f t="shared" si="0"/>
        <v/>
      </c>
      <c r="J26" s="292">
        <f t="shared" si="1"/>
        <v>0</v>
      </c>
      <c r="K26" s="292">
        <f t="shared" si="2"/>
        <v>0</v>
      </c>
      <c r="L26" s="292">
        <f t="shared" si="3"/>
        <v>0</v>
      </c>
      <c r="M26" s="292">
        <f t="shared" si="4"/>
        <v>0</v>
      </c>
      <c r="N26" s="292">
        <f t="shared" si="39"/>
        <v>0</v>
      </c>
      <c r="O26" s="292">
        <f t="shared" si="40"/>
        <v>0</v>
      </c>
      <c r="P26" s="292">
        <f t="shared" si="5"/>
        <v>0</v>
      </c>
      <c r="Q26" s="292">
        <f t="shared" si="6"/>
        <v>0</v>
      </c>
      <c r="R26" s="292">
        <f t="shared" si="7"/>
        <v>0</v>
      </c>
      <c r="S26" s="292">
        <f t="shared" si="8"/>
        <v>0</v>
      </c>
      <c r="T26" s="292">
        <f t="shared" si="41"/>
        <v>0</v>
      </c>
      <c r="U26" s="292">
        <f t="shared" si="42"/>
        <v>0</v>
      </c>
      <c r="V26" s="292">
        <f t="shared" si="9"/>
        <v>0</v>
      </c>
      <c r="W26" s="292">
        <f t="shared" si="10"/>
        <v>0</v>
      </c>
      <c r="X26" s="292">
        <f t="shared" si="11"/>
        <v>0</v>
      </c>
      <c r="Y26" s="292">
        <f t="shared" si="12"/>
        <v>0</v>
      </c>
      <c r="Z26" s="292">
        <f t="shared" si="13"/>
        <v>0</v>
      </c>
      <c r="AA26" s="292">
        <f t="shared" si="14"/>
        <v>0</v>
      </c>
      <c r="AB26" s="292">
        <f t="shared" si="15"/>
        <v>0</v>
      </c>
      <c r="AC26" s="292">
        <f t="shared" si="16"/>
        <v>0</v>
      </c>
      <c r="AD26" s="292">
        <f t="shared" si="17"/>
        <v>0</v>
      </c>
      <c r="AE26" s="292">
        <f t="shared" si="18"/>
        <v>0</v>
      </c>
      <c r="AF26" s="292">
        <f t="shared" si="43"/>
        <v>0</v>
      </c>
      <c r="AG26" s="292">
        <f t="shared" si="44"/>
        <v>0</v>
      </c>
      <c r="AH26" s="292">
        <f t="shared" si="19"/>
        <v>0</v>
      </c>
      <c r="AI26" s="292">
        <f t="shared" si="20"/>
        <v>0</v>
      </c>
      <c r="AJ26" s="292">
        <f t="shared" si="21"/>
        <v>0</v>
      </c>
      <c r="AK26" s="292">
        <f t="shared" si="22"/>
        <v>0</v>
      </c>
      <c r="AL26" s="292">
        <f t="shared" si="23"/>
        <v>0</v>
      </c>
      <c r="AM26" s="292">
        <f t="shared" si="24"/>
        <v>0</v>
      </c>
      <c r="AN26" s="292">
        <f t="shared" si="25"/>
        <v>0</v>
      </c>
      <c r="AO26" s="292">
        <f t="shared" si="26"/>
        <v>0</v>
      </c>
      <c r="AP26" s="292">
        <f t="shared" si="27"/>
        <v>0</v>
      </c>
      <c r="AQ26" s="292">
        <f t="shared" si="28"/>
        <v>0</v>
      </c>
      <c r="AR26" s="292">
        <f t="shared" si="29"/>
        <v>0</v>
      </c>
      <c r="AS26" s="292">
        <f t="shared" si="30"/>
        <v>0</v>
      </c>
      <c r="AT26" s="292">
        <f t="shared" si="31"/>
        <v>0</v>
      </c>
      <c r="AU26" s="292">
        <f t="shared" si="32"/>
        <v>0</v>
      </c>
      <c r="AV26" s="292">
        <f t="shared" si="33"/>
        <v>0</v>
      </c>
      <c r="AW26" s="292">
        <f t="shared" si="34"/>
        <v>0</v>
      </c>
      <c r="AX26" s="292">
        <f t="shared" si="35"/>
        <v>0</v>
      </c>
      <c r="AY26" s="292">
        <f t="shared" si="36"/>
        <v>0</v>
      </c>
      <c r="AZ26" s="292">
        <f t="shared" si="37"/>
        <v>0</v>
      </c>
      <c r="BA26" s="292">
        <f t="shared" si="38"/>
        <v>0</v>
      </c>
    </row>
    <row r="27" spans="1:53" s="289" customFormat="1" ht="16.5" customHeight="1">
      <c r="A27" s="63" t="str">
        <f t="array" ref="A27">IF(C27&lt;&gt;0,SUM(($C$11:C27&lt;&gt;0)*1),"")</f>
        <v/>
      </c>
      <c r="B27" s="290"/>
      <c r="C27" s="290"/>
      <c r="D27" s="290"/>
      <c r="E27" s="396"/>
      <c r="F27" s="345"/>
      <c r="G27" s="347"/>
      <c r="H27" s="347"/>
      <c r="I27" s="63" t="str">
        <f t="shared" si="0"/>
        <v/>
      </c>
      <c r="J27" s="292">
        <f t="shared" si="1"/>
        <v>0</v>
      </c>
      <c r="K27" s="292">
        <f t="shared" si="2"/>
        <v>0</v>
      </c>
      <c r="L27" s="292">
        <f t="shared" si="3"/>
        <v>0</v>
      </c>
      <c r="M27" s="292">
        <f t="shared" si="4"/>
        <v>0</v>
      </c>
      <c r="N27" s="292">
        <f t="shared" si="39"/>
        <v>0</v>
      </c>
      <c r="O27" s="292">
        <f t="shared" si="40"/>
        <v>0</v>
      </c>
      <c r="P27" s="292">
        <f t="shared" si="5"/>
        <v>0</v>
      </c>
      <c r="Q27" s="292">
        <f t="shared" si="6"/>
        <v>0</v>
      </c>
      <c r="R27" s="292">
        <f t="shared" si="7"/>
        <v>0</v>
      </c>
      <c r="S27" s="292">
        <f t="shared" si="8"/>
        <v>0</v>
      </c>
      <c r="T27" s="292">
        <f t="shared" si="41"/>
        <v>0</v>
      </c>
      <c r="U27" s="292">
        <f t="shared" si="42"/>
        <v>0</v>
      </c>
      <c r="V27" s="292">
        <f t="shared" si="9"/>
        <v>0</v>
      </c>
      <c r="W27" s="292">
        <f t="shared" si="10"/>
        <v>0</v>
      </c>
      <c r="X27" s="292">
        <f t="shared" si="11"/>
        <v>0</v>
      </c>
      <c r="Y27" s="292">
        <f t="shared" si="12"/>
        <v>0</v>
      </c>
      <c r="Z27" s="292">
        <f t="shared" si="13"/>
        <v>0</v>
      </c>
      <c r="AA27" s="292">
        <f t="shared" si="14"/>
        <v>0</v>
      </c>
      <c r="AB27" s="292">
        <f t="shared" si="15"/>
        <v>0</v>
      </c>
      <c r="AC27" s="292">
        <f t="shared" si="16"/>
        <v>0</v>
      </c>
      <c r="AD27" s="292">
        <f t="shared" si="17"/>
        <v>0</v>
      </c>
      <c r="AE27" s="292">
        <f t="shared" si="18"/>
        <v>0</v>
      </c>
      <c r="AF27" s="292">
        <f t="shared" si="43"/>
        <v>0</v>
      </c>
      <c r="AG27" s="292">
        <f t="shared" si="44"/>
        <v>0</v>
      </c>
      <c r="AH27" s="292">
        <f t="shared" si="19"/>
        <v>0</v>
      </c>
      <c r="AI27" s="292">
        <f t="shared" si="20"/>
        <v>0</v>
      </c>
      <c r="AJ27" s="292">
        <f t="shared" si="21"/>
        <v>0</v>
      </c>
      <c r="AK27" s="292">
        <f t="shared" si="22"/>
        <v>0</v>
      </c>
      <c r="AL27" s="292">
        <f t="shared" si="23"/>
        <v>0</v>
      </c>
      <c r="AM27" s="292">
        <f t="shared" si="24"/>
        <v>0</v>
      </c>
      <c r="AN27" s="292">
        <f t="shared" si="25"/>
        <v>0</v>
      </c>
      <c r="AO27" s="292">
        <f t="shared" si="26"/>
        <v>0</v>
      </c>
      <c r="AP27" s="292">
        <f t="shared" si="27"/>
        <v>0</v>
      </c>
      <c r="AQ27" s="292">
        <f t="shared" si="28"/>
        <v>0</v>
      </c>
      <c r="AR27" s="292">
        <f t="shared" si="29"/>
        <v>0</v>
      </c>
      <c r="AS27" s="292">
        <f t="shared" si="30"/>
        <v>0</v>
      </c>
      <c r="AT27" s="292">
        <f t="shared" si="31"/>
        <v>0</v>
      </c>
      <c r="AU27" s="292">
        <f t="shared" si="32"/>
        <v>0</v>
      </c>
      <c r="AV27" s="292">
        <f t="shared" si="33"/>
        <v>0</v>
      </c>
      <c r="AW27" s="292">
        <f t="shared" si="34"/>
        <v>0</v>
      </c>
      <c r="AX27" s="292">
        <f t="shared" si="35"/>
        <v>0</v>
      </c>
      <c r="AY27" s="292">
        <f t="shared" si="36"/>
        <v>0</v>
      </c>
      <c r="AZ27" s="292">
        <f t="shared" si="37"/>
        <v>0</v>
      </c>
      <c r="BA27" s="292">
        <f t="shared" si="38"/>
        <v>0</v>
      </c>
    </row>
    <row r="28" spans="1:53" s="289" customFormat="1" ht="16.5" customHeight="1">
      <c r="A28" s="63" t="str">
        <f t="array" ref="A28">IF(C28&lt;&gt;0,SUM(($C$11:C28&lt;&gt;0)*1),"")</f>
        <v/>
      </c>
      <c r="B28" s="290"/>
      <c r="C28" s="290"/>
      <c r="D28" s="290"/>
      <c r="E28" s="396"/>
      <c r="F28" s="345"/>
      <c r="G28" s="347"/>
      <c r="H28" s="347"/>
      <c r="I28" s="63" t="str">
        <f t="shared" si="0"/>
        <v/>
      </c>
      <c r="J28" s="292">
        <f t="shared" si="1"/>
        <v>0</v>
      </c>
      <c r="K28" s="292">
        <f t="shared" si="2"/>
        <v>0</v>
      </c>
      <c r="L28" s="292">
        <f t="shared" si="3"/>
        <v>0</v>
      </c>
      <c r="M28" s="292">
        <f t="shared" si="4"/>
        <v>0</v>
      </c>
      <c r="N28" s="292">
        <f t="shared" si="39"/>
        <v>0</v>
      </c>
      <c r="O28" s="292">
        <f t="shared" si="40"/>
        <v>0</v>
      </c>
      <c r="P28" s="292">
        <f t="shared" si="5"/>
        <v>0</v>
      </c>
      <c r="Q28" s="292">
        <f t="shared" si="6"/>
        <v>0</v>
      </c>
      <c r="R28" s="292">
        <f t="shared" si="7"/>
        <v>0</v>
      </c>
      <c r="S28" s="292">
        <f t="shared" si="8"/>
        <v>0</v>
      </c>
      <c r="T28" s="292">
        <f t="shared" si="41"/>
        <v>0</v>
      </c>
      <c r="U28" s="292">
        <f t="shared" si="42"/>
        <v>0</v>
      </c>
      <c r="V28" s="292">
        <f t="shared" si="9"/>
        <v>0</v>
      </c>
      <c r="W28" s="292">
        <f t="shared" si="10"/>
        <v>0</v>
      </c>
      <c r="X28" s="292">
        <f t="shared" si="11"/>
        <v>0</v>
      </c>
      <c r="Y28" s="292">
        <f t="shared" si="12"/>
        <v>0</v>
      </c>
      <c r="Z28" s="292">
        <f t="shared" si="13"/>
        <v>0</v>
      </c>
      <c r="AA28" s="292">
        <f t="shared" si="14"/>
        <v>0</v>
      </c>
      <c r="AB28" s="292">
        <f t="shared" si="15"/>
        <v>0</v>
      </c>
      <c r="AC28" s="292">
        <f t="shared" si="16"/>
        <v>0</v>
      </c>
      <c r="AD28" s="292">
        <f t="shared" si="17"/>
        <v>0</v>
      </c>
      <c r="AE28" s="292">
        <f t="shared" si="18"/>
        <v>0</v>
      </c>
      <c r="AF28" s="292">
        <f t="shared" si="43"/>
        <v>0</v>
      </c>
      <c r="AG28" s="292">
        <f t="shared" si="44"/>
        <v>0</v>
      </c>
      <c r="AH28" s="292">
        <f t="shared" si="19"/>
        <v>0</v>
      </c>
      <c r="AI28" s="292">
        <f t="shared" si="20"/>
        <v>0</v>
      </c>
      <c r="AJ28" s="292">
        <f t="shared" si="21"/>
        <v>0</v>
      </c>
      <c r="AK28" s="292">
        <f t="shared" si="22"/>
        <v>0</v>
      </c>
      <c r="AL28" s="292">
        <f t="shared" si="23"/>
        <v>0</v>
      </c>
      <c r="AM28" s="292">
        <f t="shared" si="24"/>
        <v>0</v>
      </c>
      <c r="AN28" s="292">
        <f t="shared" si="25"/>
        <v>0</v>
      </c>
      <c r="AO28" s="292">
        <f t="shared" si="26"/>
        <v>0</v>
      </c>
      <c r="AP28" s="292">
        <f t="shared" si="27"/>
        <v>0</v>
      </c>
      <c r="AQ28" s="292">
        <f t="shared" si="28"/>
        <v>0</v>
      </c>
      <c r="AR28" s="292">
        <f t="shared" si="29"/>
        <v>0</v>
      </c>
      <c r="AS28" s="292">
        <f t="shared" si="30"/>
        <v>0</v>
      </c>
      <c r="AT28" s="292">
        <f t="shared" si="31"/>
        <v>0</v>
      </c>
      <c r="AU28" s="292">
        <f t="shared" si="32"/>
        <v>0</v>
      </c>
      <c r="AV28" s="292">
        <f t="shared" si="33"/>
        <v>0</v>
      </c>
      <c r="AW28" s="292">
        <f t="shared" si="34"/>
        <v>0</v>
      </c>
      <c r="AX28" s="292">
        <f t="shared" si="35"/>
        <v>0</v>
      </c>
      <c r="AY28" s="292">
        <f t="shared" si="36"/>
        <v>0</v>
      </c>
      <c r="AZ28" s="292">
        <f t="shared" si="37"/>
        <v>0</v>
      </c>
      <c r="BA28" s="292">
        <f t="shared" si="38"/>
        <v>0</v>
      </c>
    </row>
    <row r="29" spans="1:53" s="289" customFormat="1" ht="16.5" customHeight="1">
      <c r="A29" s="63" t="str">
        <f t="array" ref="A29">IF(C29&lt;&gt;0,SUM(($C$11:C29&lt;&gt;0)*1),"")</f>
        <v/>
      </c>
      <c r="B29" s="290"/>
      <c r="C29" s="290"/>
      <c r="D29" s="290"/>
      <c r="E29" s="396"/>
      <c r="F29" s="345"/>
      <c r="G29" s="347"/>
      <c r="H29" s="347"/>
      <c r="I29" s="63" t="str">
        <f t="shared" si="0"/>
        <v/>
      </c>
      <c r="J29" s="292">
        <f t="shared" si="1"/>
        <v>0</v>
      </c>
      <c r="K29" s="292">
        <f t="shared" si="2"/>
        <v>0</v>
      </c>
      <c r="L29" s="292">
        <f t="shared" si="3"/>
        <v>0</v>
      </c>
      <c r="M29" s="292">
        <f t="shared" si="4"/>
        <v>0</v>
      </c>
      <c r="N29" s="292">
        <f t="shared" si="39"/>
        <v>0</v>
      </c>
      <c r="O29" s="292">
        <f t="shared" si="40"/>
        <v>0</v>
      </c>
      <c r="P29" s="292">
        <f t="shared" si="5"/>
        <v>0</v>
      </c>
      <c r="Q29" s="292">
        <f t="shared" si="6"/>
        <v>0</v>
      </c>
      <c r="R29" s="292">
        <f t="shared" si="7"/>
        <v>0</v>
      </c>
      <c r="S29" s="292">
        <f t="shared" si="8"/>
        <v>0</v>
      </c>
      <c r="T29" s="292">
        <f t="shared" si="41"/>
        <v>0</v>
      </c>
      <c r="U29" s="292">
        <f t="shared" si="42"/>
        <v>0</v>
      </c>
      <c r="V29" s="292">
        <f t="shared" si="9"/>
        <v>0</v>
      </c>
      <c r="W29" s="292">
        <f t="shared" si="10"/>
        <v>0</v>
      </c>
      <c r="X29" s="292">
        <f t="shared" si="11"/>
        <v>0</v>
      </c>
      <c r="Y29" s="292">
        <f t="shared" si="12"/>
        <v>0</v>
      </c>
      <c r="Z29" s="292">
        <f t="shared" si="13"/>
        <v>0</v>
      </c>
      <c r="AA29" s="292">
        <f t="shared" si="14"/>
        <v>0</v>
      </c>
      <c r="AB29" s="292">
        <f t="shared" si="15"/>
        <v>0</v>
      </c>
      <c r="AC29" s="292">
        <f t="shared" si="16"/>
        <v>0</v>
      </c>
      <c r="AD29" s="292">
        <f t="shared" si="17"/>
        <v>0</v>
      </c>
      <c r="AE29" s="292">
        <f t="shared" si="18"/>
        <v>0</v>
      </c>
      <c r="AF29" s="292">
        <f t="shared" si="43"/>
        <v>0</v>
      </c>
      <c r="AG29" s="292">
        <f t="shared" si="44"/>
        <v>0</v>
      </c>
      <c r="AH29" s="292">
        <f t="shared" si="19"/>
        <v>0</v>
      </c>
      <c r="AI29" s="292">
        <f t="shared" si="20"/>
        <v>0</v>
      </c>
      <c r="AJ29" s="292">
        <f t="shared" si="21"/>
        <v>0</v>
      </c>
      <c r="AK29" s="292">
        <f t="shared" si="22"/>
        <v>0</v>
      </c>
      <c r="AL29" s="292">
        <f t="shared" si="23"/>
        <v>0</v>
      </c>
      <c r="AM29" s="292">
        <f t="shared" si="24"/>
        <v>0</v>
      </c>
      <c r="AN29" s="292">
        <f t="shared" si="25"/>
        <v>0</v>
      </c>
      <c r="AO29" s="292">
        <f t="shared" si="26"/>
        <v>0</v>
      </c>
      <c r="AP29" s="292">
        <f t="shared" si="27"/>
        <v>0</v>
      </c>
      <c r="AQ29" s="292">
        <f t="shared" si="28"/>
        <v>0</v>
      </c>
      <c r="AR29" s="292">
        <f t="shared" si="29"/>
        <v>0</v>
      </c>
      <c r="AS29" s="292">
        <f t="shared" si="30"/>
        <v>0</v>
      </c>
      <c r="AT29" s="292">
        <f t="shared" si="31"/>
        <v>0</v>
      </c>
      <c r="AU29" s="292">
        <f t="shared" si="32"/>
        <v>0</v>
      </c>
      <c r="AV29" s="292">
        <f t="shared" si="33"/>
        <v>0</v>
      </c>
      <c r="AW29" s="292">
        <f t="shared" si="34"/>
        <v>0</v>
      </c>
      <c r="AX29" s="292">
        <f t="shared" si="35"/>
        <v>0</v>
      </c>
      <c r="AY29" s="292">
        <f t="shared" si="36"/>
        <v>0</v>
      </c>
      <c r="AZ29" s="292">
        <f t="shared" si="37"/>
        <v>0</v>
      </c>
      <c r="BA29" s="292">
        <f t="shared" si="38"/>
        <v>0</v>
      </c>
    </row>
    <row r="30" spans="1:53" s="289" customFormat="1" ht="16.5" customHeight="1">
      <c r="A30" s="63" t="str">
        <f t="array" ref="A30">IF(C30&lt;&gt;0,SUM(($C$11:C30&lt;&gt;0)*1),"")</f>
        <v/>
      </c>
      <c r="B30" s="290"/>
      <c r="C30" s="290"/>
      <c r="D30" s="290"/>
      <c r="E30" s="396"/>
      <c r="F30" s="345"/>
      <c r="G30" s="347"/>
      <c r="H30" s="347"/>
      <c r="I30" s="63" t="str">
        <f t="shared" si="0"/>
        <v/>
      </c>
      <c r="J30" s="292">
        <f t="shared" si="1"/>
        <v>0</v>
      </c>
      <c r="K30" s="292">
        <f t="shared" si="2"/>
        <v>0</v>
      </c>
      <c r="L30" s="292">
        <f t="shared" si="3"/>
        <v>0</v>
      </c>
      <c r="M30" s="292">
        <f t="shared" si="4"/>
        <v>0</v>
      </c>
      <c r="N30" s="292">
        <f t="shared" si="39"/>
        <v>0</v>
      </c>
      <c r="O30" s="292">
        <f t="shared" si="40"/>
        <v>0</v>
      </c>
      <c r="P30" s="292">
        <f t="shared" si="5"/>
        <v>0</v>
      </c>
      <c r="Q30" s="292">
        <f t="shared" si="6"/>
        <v>0</v>
      </c>
      <c r="R30" s="292">
        <f t="shared" si="7"/>
        <v>0</v>
      </c>
      <c r="S30" s="292">
        <f t="shared" si="8"/>
        <v>0</v>
      </c>
      <c r="T30" s="292">
        <f t="shared" si="41"/>
        <v>0</v>
      </c>
      <c r="U30" s="292">
        <f t="shared" si="42"/>
        <v>0</v>
      </c>
      <c r="V30" s="292">
        <f t="shared" si="9"/>
        <v>0</v>
      </c>
      <c r="W30" s="292">
        <f t="shared" si="10"/>
        <v>0</v>
      </c>
      <c r="X30" s="292">
        <f t="shared" si="11"/>
        <v>0</v>
      </c>
      <c r="Y30" s="292">
        <f t="shared" si="12"/>
        <v>0</v>
      </c>
      <c r="Z30" s="292">
        <f t="shared" si="13"/>
        <v>0</v>
      </c>
      <c r="AA30" s="292">
        <f t="shared" si="14"/>
        <v>0</v>
      </c>
      <c r="AB30" s="292">
        <f t="shared" si="15"/>
        <v>0</v>
      </c>
      <c r="AC30" s="292">
        <f t="shared" si="16"/>
        <v>0</v>
      </c>
      <c r="AD30" s="292">
        <f t="shared" si="17"/>
        <v>0</v>
      </c>
      <c r="AE30" s="292">
        <f t="shared" si="18"/>
        <v>0</v>
      </c>
      <c r="AF30" s="292">
        <f t="shared" si="43"/>
        <v>0</v>
      </c>
      <c r="AG30" s="292">
        <f t="shared" si="44"/>
        <v>0</v>
      </c>
      <c r="AH30" s="292">
        <f t="shared" si="19"/>
        <v>0</v>
      </c>
      <c r="AI30" s="292">
        <f t="shared" si="20"/>
        <v>0</v>
      </c>
      <c r="AJ30" s="292">
        <f t="shared" si="21"/>
        <v>0</v>
      </c>
      <c r="AK30" s="292">
        <f t="shared" si="22"/>
        <v>0</v>
      </c>
      <c r="AL30" s="292">
        <f t="shared" si="23"/>
        <v>0</v>
      </c>
      <c r="AM30" s="292">
        <f t="shared" si="24"/>
        <v>0</v>
      </c>
      <c r="AN30" s="292">
        <f t="shared" si="25"/>
        <v>0</v>
      </c>
      <c r="AO30" s="292">
        <f t="shared" si="26"/>
        <v>0</v>
      </c>
      <c r="AP30" s="292">
        <f t="shared" si="27"/>
        <v>0</v>
      </c>
      <c r="AQ30" s="292">
        <f t="shared" si="28"/>
        <v>0</v>
      </c>
      <c r="AR30" s="292">
        <f t="shared" si="29"/>
        <v>0</v>
      </c>
      <c r="AS30" s="292">
        <f t="shared" si="30"/>
        <v>0</v>
      </c>
      <c r="AT30" s="292">
        <f t="shared" si="31"/>
        <v>0</v>
      </c>
      <c r="AU30" s="292">
        <f t="shared" si="32"/>
        <v>0</v>
      </c>
      <c r="AV30" s="292">
        <f t="shared" si="33"/>
        <v>0</v>
      </c>
      <c r="AW30" s="292">
        <f t="shared" si="34"/>
        <v>0</v>
      </c>
      <c r="AX30" s="292">
        <f t="shared" si="35"/>
        <v>0</v>
      </c>
      <c r="AY30" s="292">
        <f t="shared" si="36"/>
        <v>0</v>
      </c>
      <c r="AZ30" s="292">
        <f t="shared" si="37"/>
        <v>0</v>
      </c>
      <c r="BA30" s="292">
        <f t="shared" si="38"/>
        <v>0</v>
      </c>
    </row>
    <row r="31" spans="1:53" s="289" customFormat="1" ht="16.5" customHeight="1">
      <c r="A31" s="63" t="str">
        <f t="array" ref="A31">IF(C31&lt;&gt;0,SUM(($C$11:C31&lt;&gt;0)*1),"")</f>
        <v/>
      </c>
      <c r="B31" s="290"/>
      <c r="C31" s="290"/>
      <c r="D31" s="290"/>
      <c r="E31" s="396"/>
      <c r="F31" s="345"/>
      <c r="G31" s="347"/>
      <c r="H31" s="347"/>
      <c r="I31" s="63" t="str">
        <f t="shared" si="0"/>
        <v/>
      </c>
      <c r="J31" s="292">
        <f t="shared" si="1"/>
        <v>0</v>
      </c>
      <c r="K31" s="292">
        <f t="shared" si="2"/>
        <v>0</v>
      </c>
      <c r="L31" s="292">
        <f t="shared" si="3"/>
        <v>0</v>
      </c>
      <c r="M31" s="292">
        <f t="shared" si="4"/>
        <v>0</v>
      </c>
      <c r="N31" s="292">
        <f t="shared" si="39"/>
        <v>0</v>
      </c>
      <c r="O31" s="292">
        <f t="shared" si="40"/>
        <v>0</v>
      </c>
      <c r="P31" s="292">
        <f t="shared" si="5"/>
        <v>0</v>
      </c>
      <c r="Q31" s="292">
        <f t="shared" si="6"/>
        <v>0</v>
      </c>
      <c r="R31" s="292">
        <f t="shared" si="7"/>
        <v>0</v>
      </c>
      <c r="S31" s="292">
        <f t="shared" si="8"/>
        <v>0</v>
      </c>
      <c r="T31" s="292">
        <f t="shared" si="41"/>
        <v>0</v>
      </c>
      <c r="U31" s="292">
        <f t="shared" si="42"/>
        <v>0</v>
      </c>
      <c r="V31" s="292">
        <f t="shared" si="9"/>
        <v>0</v>
      </c>
      <c r="W31" s="292">
        <f t="shared" si="10"/>
        <v>0</v>
      </c>
      <c r="X31" s="292">
        <f t="shared" si="11"/>
        <v>0</v>
      </c>
      <c r="Y31" s="292">
        <f t="shared" si="12"/>
        <v>0</v>
      </c>
      <c r="Z31" s="292">
        <f t="shared" si="13"/>
        <v>0</v>
      </c>
      <c r="AA31" s="292">
        <f t="shared" si="14"/>
        <v>0</v>
      </c>
      <c r="AB31" s="292">
        <f t="shared" si="15"/>
        <v>0</v>
      </c>
      <c r="AC31" s="292">
        <f t="shared" si="16"/>
        <v>0</v>
      </c>
      <c r="AD31" s="292">
        <f t="shared" si="17"/>
        <v>0</v>
      </c>
      <c r="AE31" s="292">
        <f t="shared" si="18"/>
        <v>0</v>
      </c>
      <c r="AF31" s="292">
        <f t="shared" si="43"/>
        <v>0</v>
      </c>
      <c r="AG31" s="292">
        <f t="shared" si="44"/>
        <v>0</v>
      </c>
      <c r="AH31" s="292">
        <f t="shared" si="19"/>
        <v>0</v>
      </c>
      <c r="AI31" s="292">
        <f t="shared" si="20"/>
        <v>0</v>
      </c>
      <c r="AJ31" s="292">
        <f t="shared" si="21"/>
        <v>0</v>
      </c>
      <c r="AK31" s="292">
        <f t="shared" si="22"/>
        <v>0</v>
      </c>
      <c r="AL31" s="292">
        <f t="shared" si="23"/>
        <v>0</v>
      </c>
      <c r="AM31" s="292">
        <f t="shared" si="24"/>
        <v>0</v>
      </c>
      <c r="AN31" s="292">
        <f t="shared" si="25"/>
        <v>0</v>
      </c>
      <c r="AO31" s="292">
        <f t="shared" si="26"/>
        <v>0</v>
      </c>
      <c r="AP31" s="292">
        <f t="shared" si="27"/>
        <v>0</v>
      </c>
      <c r="AQ31" s="292">
        <f t="shared" si="28"/>
        <v>0</v>
      </c>
      <c r="AR31" s="292">
        <f t="shared" si="29"/>
        <v>0</v>
      </c>
      <c r="AS31" s="292">
        <f t="shared" si="30"/>
        <v>0</v>
      </c>
      <c r="AT31" s="292">
        <f t="shared" si="31"/>
        <v>0</v>
      </c>
      <c r="AU31" s="292">
        <f t="shared" si="32"/>
        <v>0</v>
      </c>
      <c r="AV31" s="292">
        <f t="shared" si="33"/>
        <v>0</v>
      </c>
      <c r="AW31" s="292">
        <f t="shared" si="34"/>
        <v>0</v>
      </c>
      <c r="AX31" s="292">
        <f t="shared" si="35"/>
        <v>0</v>
      </c>
      <c r="AY31" s="292">
        <f t="shared" si="36"/>
        <v>0</v>
      </c>
      <c r="AZ31" s="292">
        <f t="shared" si="37"/>
        <v>0</v>
      </c>
      <c r="BA31" s="292">
        <f t="shared" si="38"/>
        <v>0</v>
      </c>
    </row>
    <row r="32" spans="1:53" s="289" customFormat="1" ht="16.5" customHeight="1">
      <c r="A32" s="63" t="str">
        <f t="array" ref="A32">IF(C32&lt;&gt;0,SUM(($C$11:C32&lt;&gt;0)*1),"")</f>
        <v/>
      </c>
      <c r="B32" s="290"/>
      <c r="C32" s="290"/>
      <c r="D32" s="290"/>
      <c r="E32" s="396"/>
      <c r="F32" s="345"/>
      <c r="G32" s="347"/>
      <c r="H32" s="347"/>
      <c r="I32" s="63" t="str">
        <f t="shared" si="0"/>
        <v/>
      </c>
      <c r="J32" s="292">
        <f t="shared" si="1"/>
        <v>0</v>
      </c>
      <c r="K32" s="292">
        <f t="shared" si="2"/>
        <v>0</v>
      </c>
      <c r="L32" s="292">
        <f t="shared" si="3"/>
        <v>0</v>
      </c>
      <c r="M32" s="292">
        <f t="shared" si="4"/>
        <v>0</v>
      </c>
      <c r="N32" s="292">
        <f t="shared" si="39"/>
        <v>0</v>
      </c>
      <c r="O32" s="292">
        <f t="shared" si="40"/>
        <v>0</v>
      </c>
      <c r="P32" s="292">
        <f t="shared" si="5"/>
        <v>0</v>
      </c>
      <c r="Q32" s="292">
        <f t="shared" si="6"/>
        <v>0</v>
      </c>
      <c r="R32" s="292">
        <f t="shared" si="7"/>
        <v>0</v>
      </c>
      <c r="S32" s="292">
        <f t="shared" si="8"/>
        <v>0</v>
      </c>
      <c r="T32" s="292">
        <f t="shared" si="41"/>
        <v>0</v>
      </c>
      <c r="U32" s="292">
        <f t="shared" si="42"/>
        <v>0</v>
      </c>
      <c r="V32" s="292">
        <f t="shared" si="9"/>
        <v>0</v>
      </c>
      <c r="W32" s="292">
        <f t="shared" si="10"/>
        <v>0</v>
      </c>
      <c r="X32" s="292">
        <f t="shared" si="11"/>
        <v>0</v>
      </c>
      <c r="Y32" s="292">
        <f t="shared" si="12"/>
        <v>0</v>
      </c>
      <c r="Z32" s="292">
        <f t="shared" si="13"/>
        <v>0</v>
      </c>
      <c r="AA32" s="292">
        <f t="shared" si="14"/>
        <v>0</v>
      </c>
      <c r="AB32" s="292">
        <f t="shared" si="15"/>
        <v>0</v>
      </c>
      <c r="AC32" s="292">
        <f t="shared" si="16"/>
        <v>0</v>
      </c>
      <c r="AD32" s="292">
        <f t="shared" si="17"/>
        <v>0</v>
      </c>
      <c r="AE32" s="292">
        <f t="shared" si="18"/>
        <v>0</v>
      </c>
      <c r="AF32" s="292">
        <f t="shared" si="43"/>
        <v>0</v>
      </c>
      <c r="AG32" s="292">
        <f t="shared" si="44"/>
        <v>0</v>
      </c>
      <c r="AH32" s="292">
        <f t="shared" si="19"/>
        <v>0</v>
      </c>
      <c r="AI32" s="292">
        <f t="shared" si="20"/>
        <v>0</v>
      </c>
      <c r="AJ32" s="292">
        <f t="shared" si="21"/>
        <v>0</v>
      </c>
      <c r="AK32" s="292">
        <f t="shared" si="22"/>
        <v>0</v>
      </c>
      <c r="AL32" s="292">
        <f t="shared" si="23"/>
        <v>0</v>
      </c>
      <c r="AM32" s="292">
        <f t="shared" si="24"/>
        <v>0</v>
      </c>
      <c r="AN32" s="292">
        <f t="shared" si="25"/>
        <v>0</v>
      </c>
      <c r="AO32" s="292">
        <f t="shared" si="26"/>
        <v>0</v>
      </c>
      <c r="AP32" s="292">
        <f t="shared" si="27"/>
        <v>0</v>
      </c>
      <c r="AQ32" s="292">
        <f t="shared" si="28"/>
        <v>0</v>
      </c>
      <c r="AR32" s="292">
        <f t="shared" si="29"/>
        <v>0</v>
      </c>
      <c r="AS32" s="292">
        <f t="shared" si="30"/>
        <v>0</v>
      </c>
      <c r="AT32" s="292">
        <f t="shared" si="31"/>
        <v>0</v>
      </c>
      <c r="AU32" s="292">
        <f t="shared" si="32"/>
        <v>0</v>
      </c>
      <c r="AV32" s="292">
        <f t="shared" si="33"/>
        <v>0</v>
      </c>
      <c r="AW32" s="292">
        <f t="shared" si="34"/>
        <v>0</v>
      </c>
      <c r="AX32" s="292">
        <f t="shared" si="35"/>
        <v>0</v>
      </c>
      <c r="AY32" s="292">
        <f t="shared" si="36"/>
        <v>0</v>
      </c>
      <c r="AZ32" s="292">
        <f t="shared" si="37"/>
        <v>0</v>
      </c>
      <c r="BA32" s="292">
        <f t="shared" si="38"/>
        <v>0</v>
      </c>
    </row>
    <row r="33" spans="1:53" s="289" customFormat="1" ht="16.5" customHeight="1">
      <c r="A33" s="63" t="str">
        <f t="array" ref="A33">IF(C33&lt;&gt;0,SUM(($C$11:C33&lt;&gt;0)*1),"")</f>
        <v/>
      </c>
      <c r="B33" s="290"/>
      <c r="C33" s="290"/>
      <c r="D33" s="290"/>
      <c r="E33" s="396"/>
      <c r="F33" s="345"/>
      <c r="G33" s="347"/>
      <c r="H33" s="347"/>
      <c r="I33" s="63" t="str">
        <f t="shared" si="0"/>
        <v/>
      </c>
      <c r="J33" s="292">
        <f t="shared" si="1"/>
        <v>0</v>
      </c>
      <c r="K33" s="292">
        <f t="shared" si="2"/>
        <v>0</v>
      </c>
      <c r="L33" s="292">
        <f t="shared" si="3"/>
        <v>0</v>
      </c>
      <c r="M33" s="292">
        <f t="shared" si="4"/>
        <v>0</v>
      </c>
      <c r="N33" s="292">
        <f t="shared" si="39"/>
        <v>0</v>
      </c>
      <c r="O33" s="292">
        <f t="shared" si="40"/>
        <v>0</v>
      </c>
      <c r="P33" s="292">
        <f t="shared" si="5"/>
        <v>0</v>
      </c>
      <c r="Q33" s="292">
        <f t="shared" si="6"/>
        <v>0</v>
      </c>
      <c r="R33" s="292">
        <f t="shared" si="7"/>
        <v>0</v>
      </c>
      <c r="S33" s="292">
        <f t="shared" si="8"/>
        <v>0</v>
      </c>
      <c r="T33" s="292">
        <f t="shared" si="41"/>
        <v>0</v>
      </c>
      <c r="U33" s="292">
        <f t="shared" si="42"/>
        <v>0</v>
      </c>
      <c r="V33" s="292">
        <f t="shared" si="9"/>
        <v>0</v>
      </c>
      <c r="W33" s="292">
        <f t="shared" si="10"/>
        <v>0</v>
      </c>
      <c r="X33" s="292">
        <f t="shared" si="11"/>
        <v>0</v>
      </c>
      <c r="Y33" s="292">
        <f t="shared" si="12"/>
        <v>0</v>
      </c>
      <c r="Z33" s="292">
        <f t="shared" si="13"/>
        <v>0</v>
      </c>
      <c r="AA33" s="292">
        <f t="shared" si="14"/>
        <v>0</v>
      </c>
      <c r="AB33" s="292">
        <f t="shared" si="15"/>
        <v>0</v>
      </c>
      <c r="AC33" s="292">
        <f t="shared" si="16"/>
        <v>0</v>
      </c>
      <c r="AD33" s="292">
        <f t="shared" si="17"/>
        <v>0</v>
      </c>
      <c r="AE33" s="292">
        <f t="shared" si="18"/>
        <v>0</v>
      </c>
      <c r="AF33" s="292">
        <f t="shared" si="43"/>
        <v>0</v>
      </c>
      <c r="AG33" s="292">
        <f t="shared" si="44"/>
        <v>0</v>
      </c>
      <c r="AH33" s="292">
        <f t="shared" si="19"/>
        <v>0</v>
      </c>
      <c r="AI33" s="292">
        <f t="shared" si="20"/>
        <v>0</v>
      </c>
      <c r="AJ33" s="292">
        <f t="shared" si="21"/>
        <v>0</v>
      </c>
      <c r="AK33" s="292">
        <f t="shared" si="22"/>
        <v>0</v>
      </c>
      <c r="AL33" s="292">
        <f t="shared" si="23"/>
        <v>0</v>
      </c>
      <c r="AM33" s="292">
        <f t="shared" si="24"/>
        <v>0</v>
      </c>
      <c r="AN33" s="292">
        <f t="shared" si="25"/>
        <v>0</v>
      </c>
      <c r="AO33" s="292">
        <f t="shared" si="26"/>
        <v>0</v>
      </c>
      <c r="AP33" s="292">
        <f t="shared" si="27"/>
        <v>0</v>
      </c>
      <c r="AQ33" s="292">
        <f t="shared" si="28"/>
        <v>0</v>
      </c>
      <c r="AR33" s="292">
        <f t="shared" si="29"/>
        <v>0</v>
      </c>
      <c r="AS33" s="292">
        <f t="shared" si="30"/>
        <v>0</v>
      </c>
      <c r="AT33" s="292">
        <f t="shared" si="31"/>
        <v>0</v>
      </c>
      <c r="AU33" s="292">
        <f t="shared" si="32"/>
        <v>0</v>
      </c>
      <c r="AV33" s="292">
        <f t="shared" si="33"/>
        <v>0</v>
      </c>
      <c r="AW33" s="292">
        <f t="shared" si="34"/>
        <v>0</v>
      </c>
      <c r="AX33" s="292">
        <f t="shared" si="35"/>
        <v>0</v>
      </c>
      <c r="AY33" s="292">
        <f t="shared" si="36"/>
        <v>0</v>
      </c>
      <c r="AZ33" s="292">
        <f t="shared" si="37"/>
        <v>0</v>
      </c>
      <c r="BA33" s="292">
        <f t="shared" si="38"/>
        <v>0</v>
      </c>
    </row>
    <row r="34" spans="1:53" s="289" customFormat="1" ht="16.5" customHeight="1">
      <c r="A34" s="63" t="str">
        <f t="array" ref="A34">IF(C34&lt;&gt;0,SUM(($C$11:C34&lt;&gt;0)*1),"")</f>
        <v/>
      </c>
      <c r="B34" s="290"/>
      <c r="C34" s="290"/>
      <c r="D34" s="290"/>
      <c r="E34" s="396"/>
      <c r="F34" s="345"/>
      <c r="G34" s="347"/>
      <c r="H34" s="347"/>
      <c r="I34" s="63" t="str">
        <f t="shared" si="0"/>
        <v/>
      </c>
      <c r="J34" s="292">
        <f t="shared" si="1"/>
        <v>0</v>
      </c>
      <c r="K34" s="292">
        <f t="shared" si="2"/>
        <v>0</v>
      </c>
      <c r="L34" s="292">
        <f t="shared" si="3"/>
        <v>0</v>
      </c>
      <c r="M34" s="292">
        <f t="shared" si="4"/>
        <v>0</v>
      </c>
      <c r="N34" s="292">
        <f t="shared" si="39"/>
        <v>0</v>
      </c>
      <c r="O34" s="292">
        <f t="shared" si="40"/>
        <v>0</v>
      </c>
      <c r="P34" s="292">
        <f t="shared" si="5"/>
        <v>0</v>
      </c>
      <c r="Q34" s="292">
        <f t="shared" si="6"/>
        <v>0</v>
      </c>
      <c r="R34" s="292">
        <f t="shared" si="7"/>
        <v>0</v>
      </c>
      <c r="S34" s="292">
        <f t="shared" si="8"/>
        <v>0</v>
      </c>
      <c r="T34" s="292">
        <f t="shared" si="41"/>
        <v>0</v>
      </c>
      <c r="U34" s="292">
        <f t="shared" si="42"/>
        <v>0</v>
      </c>
      <c r="V34" s="292">
        <f t="shared" si="9"/>
        <v>0</v>
      </c>
      <c r="W34" s="292">
        <f t="shared" si="10"/>
        <v>0</v>
      </c>
      <c r="X34" s="292">
        <f t="shared" si="11"/>
        <v>0</v>
      </c>
      <c r="Y34" s="292">
        <f t="shared" si="12"/>
        <v>0</v>
      </c>
      <c r="Z34" s="292">
        <f t="shared" si="13"/>
        <v>0</v>
      </c>
      <c r="AA34" s="292">
        <f t="shared" si="14"/>
        <v>0</v>
      </c>
      <c r="AB34" s="292">
        <f t="shared" si="15"/>
        <v>0</v>
      </c>
      <c r="AC34" s="292">
        <f t="shared" si="16"/>
        <v>0</v>
      </c>
      <c r="AD34" s="292">
        <f t="shared" si="17"/>
        <v>0</v>
      </c>
      <c r="AE34" s="292">
        <f t="shared" si="18"/>
        <v>0</v>
      </c>
      <c r="AF34" s="292">
        <f t="shared" si="43"/>
        <v>0</v>
      </c>
      <c r="AG34" s="292">
        <f t="shared" si="44"/>
        <v>0</v>
      </c>
      <c r="AH34" s="292">
        <f t="shared" si="19"/>
        <v>0</v>
      </c>
      <c r="AI34" s="292">
        <f t="shared" si="20"/>
        <v>0</v>
      </c>
      <c r="AJ34" s="292">
        <f t="shared" si="21"/>
        <v>0</v>
      </c>
      <c r="AK34" s="292">
        <f t="shared" si="22"/>
        <v>0</v>
      </c>
      <c r="AL34" s="292">
        <f t="shared" si="23"/>
        <v>0</v>
      </c>
      <c r="AM34" s="292">
        <f t="shared" si="24"/>
        <v>0</v>
      </c>
      <c r="AN34" s="292">
        <f t="shared" si="25"/>
        <v>0</v>
      </c>
      <c r="AO34" s="292">
        <f t="shared" si="26"/>
        <v>0</v>
      </c>
      <c r="AP34" s="292">
        <f t="shared" si="27"/>
        <v>0</v>
      </c>
      <c r="AQ34" s="292">
        <f t="shared" si="28"/>
        <v>0</v>
      </c>
      <c r="AR34" s="292">
        <f t="shared" si="29"/>
        <v>0</v>
      </c>
      <c r="AS34" s="292">
        <f t="shared" si="30"/>
        <v>0</v>
      </c>
      <c r="AT34" s="292">
        <f t="shared" si="31"/>
        <v>0</v>
      </c>
      <c r="AU34" s="292">
        <f t="shared" si="32"/>
        <v>0</v>
      </c>
      <c r="AV34" s="292">
        <f t="shared" si="33"/>
        <v>0</v>
      </c>
      <c r="AW34" s="292">
        <f t="shared" si="34"/>
        <v>0</v>
      </c>
      <c r="AX34" s="292">
        <f t="shared" si="35"/>
        <v>0</v>
      </c>
      <c r="AY34" s="292">
        <f t="shared" si="36"/>
        <v>0</v>
      </c>
      <c r="AZ34" s="292">
        <f t="shared" si="37"/>
        <v>0</v>
      </c>
      <c r="BA34" s="292">
        <f t="shared" si="38"/>
        <v>0</v>
      </c>
    </row>
    <row r="35" spans="1:53" s="289" customFormat="1" ht="16.5" customHeight="1">
      <c r="A35" s="63" t="str">
        <f t="array" ref="A35">IF(C35&lt;&gt;0,SUM(($C$11:C35&lt;&gt;0)*1),"")</f>
        <v/>
      </c>
      <c r="B35" s="290"/>
      <c r="C35" s="290"/>
      <c r="D35" s="290"/>
      <c r="E35" s="396"/>
      <c r="F35" s="345"/>
      <c r="G35" s="347"/>
      <c r="H35" s="347"/>
      <c r="I35" s="63" t="str">
        <f t="shared" si="0"/>
        <v/>
      </c>
      <c r="J35" s="292">
        <f t="shared" si="1"/>
        <v>0</v>
      </c>
      <c r="K35" s="292">
        <f t="shared" si="2"/>
        <v>0</v>
      </c>
      <c r="L35" s="292">
        <f t="shared" si="3"/>
        <v>0</v>
      </c>
      <c r="M35" s="292">
        <f t="shared" si="4"/>
        <v>0</v>
      </c>
      <c r="N35" s="292">
        <f t="shared" si="39"/>
        <v>0</v>
      </c>
      <c r="O35" s="292">
        <f t="shared" si="40"/>
        <v>0</v>
      </c>
      <c r="P35" s="292">
        <f t="shared" si="5"/>
        <v>0</v>
      </c>
      <c r="Q35" s="292">
        <f t="shared" si="6"/>
        <v>0</v>
      </c>
      <c r="R35" s="292">
        <f t="shared" si="7"/>
        <v>0</v>
      </c>
      <c r="S35" s="292">
        <f t="shared" si="8"/>
        <v>0</v>
      </c>
      <c r="T35" s="292">
        <f t="shared" si="41"/>
        <v>0</v>
      </c>
      <c r="U35" s="292">
        <f t="shared" si="42"/>
        <v>0</v>
      </c>
      <c r="V35" s="292">
        <f t="shared" si="9"/>
        <v>0</v>
      </c>
      <c r="W35" s="292">
        <f t="shared" si="10"/>
        <v>0</v>
      </c>
      <c r="X35" s="292">
        <f t="shared" si="11"/>
        <v>0</v>
      </c>
      <c r="Y35" s="292">
        <f t="shared" si="12"/>
        <v>0</v>
      </c>
      <c r="Z35" s="292">
        <f t="shared" si="13"/>
        <v>0</v>
      </c>
      <c r="AA35" s="292">
        <f t="shared" si="14"/>
        <v>0</v>
      </c>
      <c r="AB35" s="292">
        <f t="shared" si="15"/>
        <v>0</v>
      </c>
      <c r="AC35" s="292">
        <f t="shared" si="16"/>
        <v>0</v>
      </c>
      <c r="AD35" s="292">
        <f t="shared" si="17"/>
        <v>0</v>
      </c>
      <c r="AE35" s="292">
        <f t="shared" si="18"/>
        <v>0</v>
      </c>
      <c r="AF35" s="292">
        <f t="shared" si="43"/>
        <v>0</v>
      </c>
      <c r="AG35" s="292">
        <f t="shared" si="44"/>
        <v>0</v>
      </c>
      <c r="AH35" s="292">
        <f t="shared" si="19"/>
        <v>0</v>
      </c>
      <c r="AI35" s="292">
        <f t="shared" si="20"/>
        <v>0</v>
      </c>
      <c r="AJ35" s="292">
        <f t="shared" si="21"/>
        <v>0</v>
      </c>
      <c r="AK35" s="292">
        <f t="shared" si="22"/>
        <v>0</v>
      </c>
      <c r="AL35" s="292">
        <f t="shared" si="23"/>
        <v>0</v>
      </c>
      <c r="AM35" s="292">
        <f t="shared" si="24"/>
        <v>0</v>
      </c>
      <c r="AN35" s="292">
        <f t="shared" si="25"/>
        <v>0</v>
      </c>
      <c r="AO35" s="292">
        <f t="shared" si="26"/>
        <v>0</v>
      </c>
      <c r="AP35" s="292">
        <f t="shared" si="27"/>
        <v>0</v>
      </c>
      <c r="AQ35" s="292">
        <f t="shared" si="28"/>
        <v>0</v>
      </c>
      <c r="AR35" s="292">
        <f t="shared" si="29"/>
        <v>0</v>
      </c>
      <c r="AS35" s="292">
        <f t="shared" si="30"/>
        <v>0</v>
      </c>
      <c r="AT35" s="292">
        <f t="shared" si="31"/>
        <v>0</v>
      </c>
      <c r="AU35" s="292">
        <f t="shared" si="32"/>
        <v>0</v>
      </c>
      <c r="AV35" s="292">
        <f t="shared" si="33"/>
        <v>0</v>
      </c>
      <c r="AW35" s="292">
        <f t="shared" si="34"/>
        <v>0</v>
      </c>
      <c r="AX35" s="292">
        <f t="shared" si="35"/>
        <v>0</v>
      </c>
      <c r="AY35" s="292">
        <f t="shared" si="36"/>
        <v>0</v>
      </c>
      <c r="AZ35" s="292">
        <f t="shared" si="37"/>
        <v>0</v>
      </c>
      <c r="BA35" s="292">
        <f t="shared" si="38"/>
        <v>0</v>
      </c>
    </row>
    <row r="36" spans="1:53" s="289" customFormat="1" ht="16.5" customHeight="1">
      <c r="A36" s="63" t="str">
        <f t="array" ref="A36">IF(C36&lt;&gt;0,SUM(($C$11:C36&lt;&gt;0)*1),"")</f>
        <v/>
      </c>
      <c r="B36" s="290"/>
      <c r="C36" s="290"/>
      <c r="D36" s="290"/>
      <c r="E36" s="396"/>
      <c r="F36" s="345"/>
      <c r="G36" s="347"/>
      <c r="H36" s="347"/>
      <c r="I36" s="63" t="str">
        <f t="shared" si="0"/>
        <v/>
      </c>
      <c r="J36" s="292">
        <f t="shared" si="1"/>
        <v>0</v>
      </c>
      <c r="K36" s="292">
        <f t="shared" si="2"/>
        <v>0</v>
      </c>
      <c r="L36" s="292">
        <f t="shared" si="3"/>
        <v>0</v>
      </c>
      <c r="M36" s="292">
        <f t="shared" si="4"/>
        <v>0</v>
      </c>
      <c r="N36" s="292">
        <f t="shared" si="39"/>
        <v>0</v>
      </c>
      <c r="O36" s="292">
        <f t="shared" si="40"/>
        <v>0</v>
      </c>
      <c r="P36" s="292">
        <f t="shared" si="5"/>
        <v>0</v>
      </c>
      <c r="Q36" s="292">
        <f t="shared" si="6"/>
        <v>0</v>
      </c>
      <c r="R36" s="292">
        <f t="shared" si="7"/>
        <v>0</v>
      </c>
      <c r="S36" s="292">
        <f t="shared" si="8"/>
        <v>0</v>
      </c>
      <c r="T36" s="292">
        <f t="shared" si="41"/>
        <v>0</v>
      </c>
      <c r="U36" s="292">
        <f t="shared" si="42"/>
        <v>0</v>
      </c>
      <c r="V36" s="292">
        <f t="shared" si="9"/>
        <v>0</v>
      </c>
      <c r="W36" s="292">
        <f t="shared" si="10"/>
        <v>0</v>
      </c>
      <c r="X36" s="292">
        <f t="shared" si="11"/>
        <v>0</v>
      </c>
      <c r="Y36" s="292">
        <f t="shared" si="12"/>
        <v>0</v>
      </c>
      <c r="Z36" s="292">
        <f t="shared" si="13"/>
        <v>0</v>
      </c>
      <c r="AA36" s="292">
        <f t="shared" si="14"/>
        <v>0</v>
      </c>
      <c r="AB36" s="292">
        <f t="shared" si="15"/>
        <v>0</v>
      </c>
      <c r="AC36" s="292">
        <f t="shared" si="16"/>
        <v>0</v>
      </c>
      <c r="AD36" s="292">
        <f t="shared" si="17"/>
        <v>0</v>
      </c>
      <c r="AE36" s="292">
        <f t="shared" si="18"/>
        <v>0</v>
      </c>
      <c r="AF36" s="292">
        <f t="shared" si="43"/>
        <v>0</v>
      </c>
      <c r="AG36" s="292">
        <f t="shared" si="44"/>
        <v>0</v>
      </c>
      <c r="AH36" s="292">
        <f t="shared" si="19"/>
        <v>0</v>
      </c>
      <c r="AI36" s="292">
        <f t="shared" si="20"/>
        <v>0</v>
      </c>
      <c r="AJ36" s="292">
        <f t="shared" si="21"/>
        <v>0</v>
      </c>
      <c r="AK36" s="292">
        <f t="shared" si="22"/>
        <v>0</v>
      </c>
      <c r="AL36" s="292">
        <f t="shared" si="23"/>
        <v>0</v>
      </c>
      <c r="AM36" s="292">
        <f t="shared" si="24"/>
        <v>0</v>
      </c>
      <c r="AN36" s="292">
        <f t="shared" si="25"/>
        <v>0</v>
      </c>
      <c r="AO36" s="292">
        <f t="shared" si="26"/>
        <v>0</v>
      </c>
      <c r="AP36" s="292">
        <f t="shared" si="27"/>
        <v>0</v>
      </c>
      <c r="AQ36" s="292">
        <f t="shared" si="28"/>
        <v>0</v>
      </c>
      <c r="AR36" s="292">
        <f t="shared" si="29"/>
        <v>0</v>
      </c>
      <c r="AS36" s="292">
        <f t="shared" si="30"/>
        <v>0</v>
      </c>
      <c r="AT36" s="292">
        <f t="shared" si="31"/>
        <v>0</v>
      </c>
      <c r="AU36" s="292">
        <f t="shared" si="32"/>
        <v>0</v>
      </c>
      <c r="AV36" s="292">
        <f t="shared" si="33"/>
        <v>0</v>
      </c>
      <c r="AW36" s="292">
        <f t="shared" si="34"/>
        <v>0</v>
      </c>
      <c r="AX36" s="292">
        <f t="shared" si="35"/>
        <v>0</v>
      </c>
      <c r="AY36" s="292">
        <f t="shared" si="36"/>
        <v>0</v>
      </c>
      <c r="AZ36" s="292">
        <f t="shared" si="37"/>
        <v>0</v>
      </c>
      <c r="BA36" s="292">
        <f t="shared" si="38"/>
        <v>0</v>
      </c>
    </row>
    <row r="37" spans="1:53" s="289" customFormat="1" ht="16.5" customHeight="1">
      <c r="A37" s="63" t="str">
        <f t="array" ref="A37">IF(C37&lt;&gt;0,SUM(($C$11:C37&lt;&gt;0)*1),"")</f>
        <v/>
      </c>
      <c r="B37" s="290"/>
      <c r="C37" s="290"/>
      <c r="D37" s="290"/>
      <c r="E37" s="396"/>
      <c r="F37" s="345"/>
      <c r="G37" s="347"/>
      <c r="H37" s="347"/>
      <c r="I37" s="63" t="str">
        <f t="shared" si="0"/>
        <v/>
      </c>
      <c r="J37" s="292">
        <f t="shared" si="1"/>
        <v>0</v>
      </c>
      <c r="K37" s="292">
        <f t="shared" si="2"/>
        <v>0</v>
      </c>
      <c r="L37" s="292">
        <f t="shared" si="3"/>
        <v>0</v>
      </c>
      <c r="M37" s="292">
        <f t="shared" si="4"/>
        <v>0</v>
      </c>
      <c r="N37" s="292">
        <f t="shared" si="39"/>
        <v>0</v>
      </c>
      <c r="O37" s="292">
        <f t="shared" si="40"/>
        <v>0</v>
      </c>
      <c r="P37" s="292">
        <f t="shared" si="5"/>
        <v>0</v>
      </c>
      <c r="Q37" s="292">
        <f t="shared" si="6"/>
        <v>0</v>
      </c>
      <c r="R37" s="292">
        <f t="shared" si="7"/>
        <v>0</v>
      </c>
      <c r="S37" s="292">
        <f t="shared" si="8"/>
        <v>0</v>
      </c>
      <c r="T37" s="292">
        <f t="shared" si="41"/>
        <v>0</v>
      </c>
      <c r="U37" s="292">
        <f t="shared" si="42"/>
        <v>0</v>
      </c>
      <c r="V37" s="292">
        <f t="shared" si="9"/>
        <v>0</v>
      </c>
      <c r="W37" s="292">
        <f t="shared" si="10"/>
        <v>0</v>
      </c>
      <c r="X37" s="292">
        <f t="shared" si="11"/>
        <v>0</v>
      </c>
      <c r="Y37" s="292">
        <f t="shared" si="12"/>
        <v>0</v>
      </c>
      <c r="Z37" s="292">
        <f t="shared" si="13"/>
        <v>0</v>
      </c>
      <c r="AA37" s="292">
        <f t="shared" si="14"/>
        <v>0</v>
      </c>
      <c r="AB37" s="292">
        <f t="shared" si="15"/>
        <v>0</v>
      </c>
      <c r="AC37" s="292">
        <f t="shared" si="16"/>
        <v>0</v>
      </c>
      <c r="AD37" s="292">
        <f t="shared" si="17"/>
        <v>0</v>
      </c>
      <c r="AE37" s="292">
        <f t="shared" si="18"/>
        <v>0</v>
      </c>
      <c r="AF37" s="292">
        <f t="shared" si="43"/>
        <v>0</v>
      </c>
      <c r="AG37" s="292">
        <f t="shared" si="44"/>
        <v>0</v>
      </c>
      <c r="AH37" s="292">
        <f t="shared" si="19"/>
        <v>0</v>
      </c>
      <c r="AI37" s="292">
        <f t="shared" si="20"/>
        <v>0</v>
      </c>
      <c r="AJ37" s="292">
        <f t="shared" si="21"/>
        <v>0</v>
      </c>
      <c r="AK37" s="292">
        <f t="shared" si="22"/>
        <v>0</v>
      </c>
      <c r="AL37" s="292">
        <f t="shared" si="23"/>
        <v>0</v>
      </c>
      <c r="AM37" s="292">
        <f t="shared" si="24"/>
        <v>0</v>
      </c>
      <c r="AN37" s="292">
        <f t="shared" si="25"/>
        <v>0</v>
      </c>
      <c r="AO37" s="292">
        <f t="shared" si="26"/>
        <v>0</v>
      </c>
      <c r="AP37" s="292">
        <f t="shared" si="27"/>
        <v>0</v>
      </c>
      <c r="AQ37" s="292">
        <f t="shared" si="28"/>
        <v>0</v>
      </c>
      <c r="AR37" s="292">
        <f t="shared" si="29"/>
        <v>0</v>
      </c>
      <c r="AS37" s="292">
        <f t="shared" si="30"/>
        <v>0</v>
      </c>
      <c r="AT37" s="292">
        <f t="shared" si="31"/>
        <v>0</v>
      </c>
      <c r="AU37" s="292">
        <f t="shared" si="32"/>
        <v>0</v>
      </c>
      <c r="AV37" s="292">
        <f t="shared" si="33"/>
        <v>0</v>
      </c>
      <c r="AW37" s="292">
        <f t="shared" si="34"/>
        <v>0</v>
      </c>
      <c r="AX37" s="292">
        <f t="shared" si="35"/>
        <v>0</v>
      </c>
      <c r="AY37" s="292">
        <f t="shared" si="36"/>
        <v>0</v>
      </c>
      <c r="AZ37" s="292">
        <f t="shared" si="37"/>
        <v>0</v>
      </c>
      <c r="BA37" s="292">
        <f t="shared" si="38"/>
        <v>0</v>
      </c>
    </row>
    <row r="38" spans="1:53" s="289" customFormat="1" ht="16.5" customHeight="1">
      <c r="A38" s="63" t="str">
        <f t="array" ref="A38">IF(C38&lt;&gt;0,SUM(($C$11:C38&lt;&gt;0)*1),"")</f>
        <v/>
      </c>
      <c r="B38" s="290"/>
      <c r="C38" s="290"/>
      <c r="D38" s="290"/>
      <c r="E38" s="396"/>
      <c r="F38" s="345"/>
      <c r="G38" s="347"/>
      <c r="H38" s="347"/>
      <c r="I38" s="63" t="str">
        <f t="shared" si="0"/>
        <v/>
      </c>
      <c r="J38" s="292">
        <f t="shared" si="1"/>
        <v>0</v>
      </c>
      <c r="K38" s="292">
        <f t="shared" si="2"/>
        <v>0</v>
      </c>
      <c r="L38" s="292">
        <f t="shared" si="3"/>
        <v>0</v>
      </c>
      <c r="M38" s="292">
        <f t="shared" si="4"/>
        <v>0</v>
      </c>
      <c r="N38" s="292">
        <f t="shared" si="39"/>
        <v>0</v>
      </c>
      <c r="O38" s="292">
        <f t="shared" si="40"/>
        <v>0</v>
      </c>
      <c r="P38" s="292">
        <f t="shared" si="5"/>
        <v>0</v>
      </c>
      <c r="Q38" s="292">
        <f t="shared" si="6"/>
        <v>0</v>
      </c>
      <c r="R38" s="292">
        <f t="shared" si="7"/>
        <v>0</v>
      </c>
      <c r="S38" s="292">
        <f t="shared" si="8"/>
        <v>0</v>
      </c>
      <c r="T38" s="292">
        <f t="shared" si="41"/>
        <v>0</v>
      </c>
      <c r="U38" s="292">
        <f t="shared" si="42"/>
        <v>0</v>
      </c>
      <c r="V38" s="292">
        <f t="shared" si="9"/>
        <v>0</v>
      </c>
      <c r="W38" s="292">
        <f t="shared" si="10"/>
        <v>0</v>
      </c>
      <c r="X38" s="292">
        <f t="shared" si="11"/>
        <v>0</v>
      </c>
      <c r="Y38" s="292">
        <f t="shared" si="12"/>
        <v>0</v>
      </c>
      <c r="Z38" s="292">
        <f t="shared" si="13"/>
        <v>0</v>
      </c>
      <c r="AA38" s="292">
        <f t="shared" si="14"/>
        <v>0</v>
      </c>
      <c r="AB38" s="292">
        <f t="shared" si="15"/>
        <v>0</v>
      </c>
      <c r="AC38" s="292">
        <f t="shared" si="16"/>
        <v>0</v>
      </c>
      <c r="AD38" s="292">
        <f t="shared" si="17"/>
        <v>0</v>
      </c>
      <c r="AE38" s="292">
        <f t="shared" si="18"/>
        <v>0</v>
      </c>
      <c r="AF38" s="292">
        <f t="shared" si="43"/>
        <v>0</v>
      </c>
      <c r="AG38" s="292">
        <f t="shared" si="44"/>
        <v>0</v>
      </c>
      <c r="AH38" s="292">
        <f t="shared" si="19"/>
        <v>0</v>
      </c>
      <c r="AI38" s="292">
        <f t="shared" si="20"/>
        <v>0</v>
      </c>
      <c r="AJ38" s="292">
        <f t="shared" si="21"/>
        <v>0</v>
      </c>
      <c r="AK38" s="292">
        <f t="shared" si="22"/>
        <v>0</v>
      </c>
      <c r="AL38" s="292">
        <f t="shared" si="23"/>
        <v>0</v>
      </c>
      <c r="AM38" s="292">
        <f t="shared" si="24"/>
        <v>0</v>
      </c>
      <c r="AN38" s="292">
        <f t="shared" si="25"/>
        <v>0</v>
      </c>
      <c r="AO38" s="292">
        <f t="shared" si="26"/>
        <v>0</v>
      </c>
      <c r="AP38" s="292">
        <f t="shared" si="27"/>
        <v>0</v>
      </c>
      <c r="AQ38" s="292">
        <f t="shared" si="28"/>
        <v>0</v>
      </c>
      <c r="AR38" s="292">
        <f t="shared" si="29"/>
        <v>0</v>
      </c>
      <c r="AS38" s="292">
        <f t="shared" si="30"/>
        <v>0</v>
      </c>
      <c r="AT38" s="292">
        <f t="shared" si="31"/>
        <v>0</v>
      </c>
      <c r="AU38" s="292">
        <f t="shared" si="32"/>
        <v>0</v>
      </c>
      <c r="AV38" s="292">
        <f t="shared" si="33"/>
        <v>0</v>
      </c>
      <c r="AW38" s="292">
        <f t="shared" si="34"/>
        <v>0</v>
      </c>
      <c r="AX38" s="292">
        <f t="shared" si="35"/>
        <v>0</v>
      </c>
      <c r="AY38" s="292">
        <f t="shared" si="36"/>
        <v>0</v>
      </c>
      <c r="AZ38" s="292">
        <f t="shared" si="37"/>
        <v>0</v>
      </c>
      <c r="BA38" s="292">
        <f t="shared" si="38"/>
        <v>0</v>
      </c>
    </row>
    <row r="39" spans="1:53" s="289" customFormat="1" ht="16.5" customHeight="1">
      <c r="A39" s="63" t="str">
        <f t="array" ref="A39">IF(C39&lt;&gt;0,SUM(($C$11:C39&lt;&gt;0)*1),"")</f>
        <v/>
      </c>
      <c r="B39" s="290"/>
      <c r="C39" s="290"/>
      <c r="D39" s="290"/>
      <c r="E39" s="396"/>
      <c r="F39" s="345"/>
      <c r="G39" s="347"/>
      <c r="H39" s="347"/>
      <c r="I39" s="63" t="str">
        <f t="shared" si="0"/>
        <v/>
      </c>
      <c r="J39" s="292">
        <f t="shared" si="1"/>
        <v>0</v>
      </c>
      <c r="K39" s="292">
        <f t="shared" si="2"/>
        <v>0</v>
      </c>
      <c r="L39" s="292">
        <f t="shared" si="3"/>
        <v>0</v>
      </c>
      <c r="M39" s="292">
        <f t="shared" si="4"/>
        <v>0</v>
      </c>
      <c r="N39" s="292">
        <f t="shared" si="39"/>
        <v>0</v>
      </c>
      <c r="O39" s="292">
        <f t="shared" si="40"/>
        <v>0</v>
      </c>
      <c r="P39" s="292">
        <f t="shared" si="5"/>
        <v>0</v>
      </c>
      <c r="Q39" s="292">
        <f t="shared" si="6"/>
        <v>0</v>
      </c>
      <c r="R39" s="292">
        <f t="shared" si="7"/>
        <v>0</v>
      </c>
      <c r="S39" s="292">
        <f t="shared" si="8"/>
        <v>0</v>
      </c>
      <c r="T39" s="292">
        <f t="shared" si="41"/>
        <v>0</v>
      </c>
      <c r="U39" s="292">
        <f t="shared" si="42"/>
        <v>0</v>
      </c>
      <c r="V39" s="292">
        <f t="shared" si="9"/>
        <v>0</v>
      </c>
      <c r="W39" s="292">
        <f t="shared" si="10"/>
        <v>0</v>
      </c>
      <c r="X39" s="292">
        <f t="shared" si="11"/>
        <v>0</v>
      </c>
      <c r="Y39" s="292">
        <f t="shared" si="12"/>
        <v>0</v>
      </c>
      <c r="Z39" s="292">
        <f t="shared" si="13"/>
        <v>0</v>
      </c>
      <c r="AA39" s="292">
        <f t="shared" si="14"/>
        <v>0</v>
      </c>
      <c r="AB39" s="292">
        <f t="shared" si="15"/>
        <v>0</v>
      </c>
      <c r="AC39" s="292">
        <f t="shared" si="16"/>
        <v>0</v>
      </c>
      <c r="AD39" s="292">
        <f t="shared" si="17"/>
        <v>0</v>
      </c>
      <c r="AE39" s="292">
        <f t="shared" si="18"/>
        <v>0</v>
      </c>
      <c r="AF39" s="292">
        <f t="shared" si="43"/>
        <v>0</v>
      </c>
      <c r="AG39" s="292">
        <f t="shared" si="44"/>
        <v>0</v>
      </c>
      <c r="AH39" s="292">
        <f t="shared" si="19"/>
        <v>0</v>
      </c>
      <c r="AI39" s="292">
        <f t="shared" si="20"/>
        <v>0</v>
      </c>
      <c r="AJ39" s="292">
        <f t="shared" si="21"/>
        <v>0</v>
      </c>
      <c r="AK39" s="292">
        <f t="shared" si="22"/>
        <v>0</v>
      </c>
      <c r="AL39" s="292">
        <f t="shared" si="23"/>
        <v>0</v>
      </c>
      <c r="AM39" s="292">
        <f t="shared" si="24"/>
        <v>0</v>
      </c>
      <c r="AN39" s="292">
        <f t="shared" si="25"/>
        <v>0</v>
      </c>
      <c r="AO39" s="292">
        <f t="shared" si="26"/>
        <v>0</v>
      </c>
      <c r="AP39" s="292">
        <f t="shared" si="27"/>
        <v>0</v>
      </c>
      <c r="AQ39" s="292">
        <f t="shared" si="28"/>
        <v>0</v>
      </c>
      <c r="AR39" s="292">
        <f t="shared" si="29"/>
        <v>0</v>
      </c>
      <c r="AS39" s="292">
        <f t="shared" si="30"/>
        <v>0</v>
      </c>
      <c r="AT39" s="292">
        <f t="shared" si="31"/>
        <v>0</v>
      </c>
      <c r="AU39" s="292">
        <f t="shared" si="32"/>
        <v>0</v>
      </c>
      <c r="AV39" s="292">
        <f t="shared" si="33"/>
        <v>0</v>
      </c>
      <c r="AW39" s="292">
        <f t="shared" si="34"/>
        <v>0</v>
      </c>
      <c r="AX39" s="292">
        <f t="shared" si="35"/>
        <v>0</v>
      </c>
      <c r="AY39" s="292">
        <f t="shared" si="36"/>
        <v>0</v>
      </c>
      <c r="AZ39" s="292">
        <f t="shared" si="37"/>
        <v>0</v>
      </c>
      <c r="BA39" s="292">
        <f t="shared" si="38"/>
        <v>0</v>
      </c>
    </row>
    <row r="40" spans="1:53" s="289" customFormat="1" ht="16.5" customHeight="1">
      <c r="A40" s="63" t="str">
        <f t="array" ref="A40">IF(C40&lt;&gt;0,SUM(($C$11:C40&lt;&gt;0)*1),"")</f>
        <v/>
      </c>
      <c r="B40" s="290"/>
      <c r="C40" s="290"/>
      <c r="D40" s="290"/>
      <c r="E40" s="396"/>
      <c r="F40" s="345"/>
      <c r="G40" s="347"/>
      <c r="H40" s="347"/>
      <c r="I40" s="63" t="str">
        <f t="shared" si="0"/>
        <v/>
      </c>
      <c r="J40" s="292">
        <f t="shared" si="1"/>
        <v>0</v>
      </c>
      <c r="K40" s="292">
        <f t="shared" si="2"/>
        <v>0</v>
      </c>
      <c r="L40" s="292">
        <f t="shared" si="3"/>
        <v>0</v>
      </c>
      <c r="M40" s="292">
        <f t="shared" si="4"/>
        <v>0</v>
      </c>
      <c r="N40" s="292">
        <f t="shared" si="39"/>
        <v>0</v>
      </c>
      <c r="O40" s="292">
        <f t="shared" si="40"/>
        <v>0</v>
      </c>
      <c r="P40" s="292">
        <f t="shared" si="5"/>
        <v>0</v>
      </c>
      <c r="Q40" s="292">
        <f t="shared" si="6"/>
        <v>0</v>
      </c>
      <c r="R40" s="292">
        <f t="shared" si="7"/>
        <v>0</v>
      </c>
      <c r="S40" s="292">
        <f t="shared" si="8"/>
        <v>0</v>
      </c>
      <c r="T40" s="292">
        <f t="shared" si="41"/>
        <v>0</v>
      </c>
      <c r="U40" s="292">
        <f t="shared" si="42"/>
        <v>0</v>
      </c>
      <c r="V40" s="292">
        <f t="shared" si="9"/>
        <v>0</v>
      </c>
      <c r="W40" s="292">
        <f t="shared" si="10"/>
        <v>0</v>
      </c>
      <c r="X40" s="292">
        <f t="shared" si="11"/>
        <v>0</v>
      </c>
      <c r="Y40" s="292">
        <f t="shared" si="12"/>
        <v>0</v>
      </c>
      <c r="Z40" s="292">
        <f t="shared" si="13"/>
        <v>0</v>
      </c>
      <c r="AA40" s="292">
        <f t="shared" si="14"/>
        <v>0</v>
      </c>
      <c r="AB40" s="292">
        <f t="shared" si="15"/>
        <v>0</v>
      </c>
      <c r="AC40" s="292">
        <f t="shared" si="16"/>
        <v>0</v>
      </c>
      <c r="AD40" s="292">
        <f t="shared" si="17"/>
        <v>0</v>
      </c>
      <c r="AE40" s="292">
        <f t="shared" si="18"/>
        <v>0</v>
      </c>
      <c r="AF40" s="292">
        <f t="shared" si="43"/>
        <v>0</v>
      </c>
      <c r="AG40" s="292">
        <f t="shared" si="44"/>
        <v>0</v>
      </c>
      <c r="AH40" s="292">
        <f t="shared" si="19"/>
        <v>0</v>
      </c>
      <c r="AI40" s="292">
        <f t="shared" si="20"/>
        <v>0</v>
      </c>
      <c r="AJ40" s="292">
        <f t="shared" si="21"/>
        <v>0</v>
      </c>
      <c r="AK40" s="292">
        <f t="shared" si="22"/>
        <v>0</v>
      </c>
      <c r="AL40" s="292">
        <f t="shared" si="23"/>
        <v>0</v>
      </c>
      <c r="AM40" s="292">
        <f t="shared" si="24"/>
        <v>0</v>
      </c>
      <c r="AN40" s="292">
        <f t="shared" si="25"/>
        <v>0</v>
      </c>
      <c r="AO40" s="292">
        <f t="shared" si="26"/>
        <v>0</v>
      </c>
      <c r="AP40" s="292">
        <f t="shared" si="27"/>
        <v>0</v>
      </c>
      <c r="AQ40" s="292">
        <f t="shared" si="28"/>
        <v>0</v>
      </c>
      <c r="AR40" s="292">
        <f t="shared" si="29"/>
        <v>0</v>
      </c>
      <c r="AS40" s="292">
        <f t="shared" si="30"/>
        <v>0</v>
      </c>
      <c r="AT40" s="292">
        <f t="shared" si="31"/>
        <v>0</v>
      </c>
      <c r="AU40" s="292">
        <f t="shared" si="32"/>
        <v>0</v>
      </c>
      <c r="AV40" s="292">
        <f t="shared" si="33"/>
        <v>0</v>
      </c>
      <c r="AW40" s="292">
        <f t="shared" si="34"/>
        <v>0</v>
      </c>
      <c r="AX40" s="292">
        <f t="shared" si="35"/>
        <v>0</v>
      </c>
      <c r="AY40" s="292">
        <f t="shared" si="36"/>
        <v>0</v>
      </c>
      <c r="AZ40" s="292">
        <f t="shared" si="37"/>
        <v>0</v>
      </c>
      <c r="BA40" s="292">
        <f t="shared" si="38"/>
        <v>0</v>
      </c>
    </row>
    <row r="41" spans="1:53" s="289" customFormat="1" ht="16.5" customHeight="1">
      <c r="A41" s="63" t="str">
        <f t="array" ref="A41">IF(C41&lt;&gt;0,SUM(($C$11:C41&lt;&gt;0)*1),"")</f>
        <v/>
      </c>
      <c r="B41" s="290"/>
      <c r="C41" s="290"/>
      <c r="D41" s="290"/>
      <c r="E41" s="396"/>
      <c r="F41" s="345"/>
      <c r="G41" s="347"/>
      <c r="H41" s="347"/>
      <c r="I41" s="63" t="str">
        <f t="shared" si="0"/>
        <v/>
      </c>
      <c r="J41" s="292">
        <f t="shared" si="1"/>
        <v>0</v>
      </c>
      <c r="K41" s="292">
        <f t="shared" si="2"/>
        <v>0</v>
      </c>
      <c r="L41" s="292">
        <f t="shared" si="3"/>
        <v>0</v>
      </c>
      <c r="M41" s="292">
        <f t="shared" si="4"/>
        <v>0</v>
      </c>
      <c r="N41" s="292">
        <f t="shared" si="39"/>
        <v>0</v>
      </c>
      <c r="O41" s="292">
        <f t="shared" si="40"/>
        <v>0</v>
      </c>
      <c r="P41" s="292">
        <f t="shared" si="5"/>
        <v>0</v>
      </c>
      <c r="Q41" s="292">
        <f t="shared" si="6"/>
        <v>0</v>
      </c>
      <c r="R41" s="292">
        <f t="shared" si="7"/>
        <v>0</v>
      </c>
      <c r="S41" s="292">
        <f t="shared" si="8"/>
        <v>0</v>
      </c>
      <c r="T41" s="292">
        <f t="shared" si="41"/>
        <v>0</v>
      </c>
      <c r="U41" s="292">
        <f t="shared" si="42"/>
        <v>0</v>
      </c>
      <c r="V41" s="292">
        <f t="shared" si="9"/>
        <v>0</v>
      </c>
      <c r="W41" s="292">
        <f t="shared" si="10"/>
        <v>0</v>
      </c>
      <c r="X41" s="292">
        <f t="shared" si="11"/>
        <v>0</v>
      </c>
      <c r="Y41" s="292">
        <f t="shared" si="12"/>
        <v>0</v>
      </c>
      <c r="Z41" s="292">
        <f t="shared" si="13"/>
        <v>0</v>
      </c>
      <c r="AA41" s="292">
        <f t="shared" si="14"/>
        <v>0</v>
      </c>
      <c r="AB41" s="292">
        <f t="shared" si="15"/>
        <v>0</v>
      </c>
      <c r="AC41" s="292">
        <f t="shared" si="16"/>
        <v>0</v>
      </c>
      <c r="AD41" s="292">
        <f t="shared" si="17"/>
        <v>0</v>
      </c>
      <c r="AE41" s="292">
        <f t="shared" si="18"/>
        <v>0</v>
      </c>
      <c r="AF41" s="292">
        <f t="shared" si="43"/>
        <v>0</v>
      </c>
      <c r="AG41" s="292">
        <f t="shared" si="44"/>
        <v>0</v>
      </c>
      <c r="AH41" s="292">
        <f t="shared" si="19"/>
        <v>0</v>
      </c>
      <c r="AI41" s="292">
        <f t="shared" si="20"/>
        <v>0</v>
      </c>
      <c r="AJ41" s="292">
        <f t="shared" si="21"/>
        <v>0</v>
      </c>
      <c r="AK41" s="292">
        <f t="shared" si="22"/>
        <v>0</v>
      </c>
      <c r="AL41" s="292">
        <f t="shared" si="23"/>
        <v>0</v>
      </c>
      <c r="AM41" s="292">
        <f t="shared" si="24"/>
        <v>0</v>
      </c>
      <c r="AN41" s="292">
        <f t="shared" si="25"/>
        <v>0</v>
      </c>
      <c r="AO41" s="292">
        <f t="shared" si="26"/>
        <v>0</v>
      </c>
      <c r="AP41" s="292">
        <f t="shared" si="27"/>
        <v>0</v>
      </c>
      <c r="AQ41" s="292">
        <f t="shared" si="28"/>
        <v>0</v>
      </c>
      <c r="AR41" s="292">
        <f t="shared" si="29"/>
        <v>0</v>
      </c>
      <c r="AS41" s="292">
        <f t="shared" si="30"/>
        <v>0</v>
      </c>
      <c r="AT41" s="292">
        <f t="shared" si="31"/>
        <v>0</v>
      </c>
      <c r="AU41" s="292">
        <f t="shared" si="32"/>
        <v>0</v>
      </c>
      <c r="AV41" s="292">
        <f t="shared" si="33"/>
        <v>0</v>
      </c>
      <c r="AW41" s="292">
        <f t="shared" si="34"/>
        <v>0</v>
      </c>
      <c r="AX41" s="292">
        <f t="shared" si="35"/>
        <v>0</v>
      </c>
      <c r="AY41" s="292">
        <f t="shared" si="36"/>
        <v>0</v>
      </c>
      <c r="AZ41" s="292">
        <f t="shared" si="37"/>
        <v>0</v>
      </c>
      <c r="BA41" s="292">
        <f t="shared" si="38"/>
        <v>0</v>
      </c>
    </row>
    <row r="42" spans="1:53" s="289" customFormat="1" ht="16.5" customHeight="1">
      <c r="A42" s="63" t="str">
        <f t="array" ref="A42">IF(C42&lt;&gt;0,SUM(($C$11:C42&lt;&gt;0)*1),"")</f>
        <v/>
      </c>
      <c r="B42" s="290"/>
      <c r="C42" s="290"/>
      <c r="D42" s="290"/>
      <c r="E42" s="396"/>
      <c r="F42" s="345"/>
      <c r="G42" s="347"/>
      <c r="H42" s="347"/>
      <c r="I42" s="63" t="str">
        <f t="shared" si="0"/>
        <v/>
      </c>
      <c r="J42" s="292">
        <f t="shared" si="1"/>
        <v>0</v>
      </c>
      <c r="K42" s="292">
        <f t="shared" si="2"/>
        <v>0</v>
      </c>
      <c r="L42" s="292">
        <f t="shared" si="3"/>
        <v>0</v>
      </c>
      <c r="M42" s="292">
        <f t="shared" si="4"/>
        <v>0</v>
      </c>
      <c r="N42" s="292">
        <f t="shared" si="39"/>
        <v>0</v>
      </c>
      <c r="O42" s="292">
        <f t="shared" si="40"/>
        <v>0</v>
      </c>
      <c r="P42" s="292">
        <f t="shared" si="5"/>
        <v>0</v>
      </c>
      <c r="Q42" s="292">
        <f t="shared" si="6"/>
        <v>0</v>
      </c>
      <c r="R42" s="292">
        <f t="shared" si="7"/>
        <v>0</v>
      </c>
      <c r="S42" s="292">
        <f t="shared" si="8"/>
        <v>0</v>
      </c>
      <c r="T42" s="292">
        <f t="shared" si="41"/>
        <v>0</v>
      </c>
      <c r="U42" s="292">
        <f t="shared" si="42"/>
        <v>0</v>
      </c>
      <c r="V42" s="292">
        <f t="shared" si="9"/>
        <v>0</v>
      </c>
      <c r="W42" s="292">
        <f t="shared" si="10"/>
        <v>0</v>
      </c>
      <c r="X42" s="292">
        <f t="shared" si="11"/>
        <v>0</v>
      </c>
      <c r="Y42" s="292">
        <f t="shared" si="12"/>
        <v>0</v>
      </c>
      <c r="Z42" s="292">
        <f t="shared" si="13"/>
        <v>0</v>
      </c>
      <c r="AA42" s="292">
        <f t="shared" si="14"/>
        <v>0</v>
      </c>
      <c r="AB42" s="292">
        <f t="shared" si="15"/>
        <v>0</v>
      </c>
      <c r="AC42" s="292">
        <f t="shared" si="16"/>
        <v>0</v>
      </c>
      <c r="AD42" s="292">
        <f t="shared" si="17"/>
        <v>0</v>
      </c>
      <c r="AE42" s="292">
        <f t="shared" si="18"/>
        <v>0</v>
      </c>
      <c r="AF42" s="292">
        <f t="shared" si="43"/>
        <v>0</v>
      </c>
      <c r="AG42" s="292">
        <f t="shared" si="44"/>
        <v>0</v>
      </c>
      <c r="AH42" s="292">
        <f t="shared" si="19"/>
        <v>0</v>
      </c>
      <c r="AI42" s="292">
        <f t="shared" si="20"/>
        <v>0</v>
      </c>
      <c r="AJ42" s="292">
        <f t="shared" si="21"/>
        <v>0</v>
      </c>
      <c r="AK42" s="292">
        <f t="shared" si="22"/>
        <v>0</v>
      </c>
      <c r="AL42" s="292">
        <f t="shared" si="23"/>
        <v>0</v>
      </c>
      <c r="AM42" s="292">
        <f t="shared" si="24"/>
        <v>0</v>
      </c>
      <c r="AN42" s="292">
        <f t="shared" si="25"/>
        <v>0</v>
      </c>
      <c r="AO42" s="292">
        <f t="shared" si="26"/>
        <v>0</v>
      </c>
      <c r="AP42" s="292">
        <f t="shared" si="27"/>
        <v>0</v>
      </c>
      <c r="AQ42" s="292">
        <f t="shared" si="28"/>
        <v>0</v>
      </c>
      <c r="AR42" s="292">
        <f t="shared" si="29"/>
        <v>0</v>
      </c>
      <c r="AS42" s="292">
        <f t="shared" si="30"/>
        <v>0</v>
      </c>
      <c r="AT42" s="292">
        <f t="shared" si="31"/>
        <v>0</v>
      </c>
      <c r="AU42" s="292">
        <f t="shared" si="32"/>
        <v>0</v>
      </c>
      <c r="AV42" s="292">
        <f t="shared" si="33"/>
        <v>0</v>
      </c>
      <c r="AW42" s="292">
        <f t="shared" si="34"/>
        <v>0</v>
      </c>
      <c r="AX42" s="292">
        <f t="shared" si="35"/>
        <v>0</v>
      </c>
      <c r="AY42" s="292">
        <f t="shared" si="36"/>
        <v>0</v>
      </c>
      <c r="AZ42" s="292">
        <f t="shared" si="37"/>
        <v>0</v>
      </c>
      <c r="BA42" s="292">
        <f t="shared" si="38"/>
        <v>0</v>
      </c>
    </row>
    <row r="43" spans="1:53" s="289" customFormat="1" ht="16.5" customHeight="1">
      <c r="A43" s="63" t="str">
        <f t="array" ref="A43">IF(C43&lt;&gt;0,SUM(($C$11:C43&lt;&gt;0)*1),"")</f>
        <v/>
      </c>
      <c r="B43" s="290"/>
      <c r="C43" s="290"/>
      <c r="D43" s="290"/>
      <c r="E43" s="396"/>
      <c r="F43" s="345"/>
      <c r="G43" s="347"/>
      <c r="H43" s="347"/>
      <c r="I43" s="63" t="str">
        <f t="shared" si="0"/>
        <v/>
      </c>
      <c r="J43" s="292">
        <f t="shared" si="1"/>
        <v>0</v>
      </c>
      <c r="K43" s="292">
        <f t="shared" si="2"/>
        <v>0</v>
      </c>
      <c r="L43" s="292">
        <f t="shared" si="3"/>
        <v>0</v>
      </c>
      <c r="M43" s="292">
        <f t="shared" si="4"/>
        <v>0</v>
      </c>
      <c r="N43" s="292">
        <f t="shared" si="39"/>
        <v>0</v>
      </c>
      <c r="O43" s="292">
        <f t="shared" si="40"/>
        <v>0</v>
      </c>
      <c r="P43" s="292">
        <f t="shared" si="5"/>
        <v>0</v>
      </c>
      <c r="Q43" s="292">
        <f t="shared" si="6"/>
        <v>0</v>
      </c>
      <c r="R43" s="292">
        <f t="shared" si="7"/>
        <v>0</v>
      </c>
      <c r="S43" s="292">
        <f t="shared" si="8"/>
        <v>0</v>
      </c>
      <c r="T43" s="292">
        <f t="shared" si="41"/>
        <v>0</v>
      </c>
      <c r="U43" s="292">
        <f t="shared" si="42"/>
        <v>0</v>
      </c>
      <c r="V43" s="292">
        <f t="shared" si="9"/>
        <v>0</v>
      </c>
      <c r="W43" s="292">
        <f t="shared" si="10"/>
        <v>0</v>
      </c>
      <c r="X43" s="292">
        <f t="shared" si="11"/>
        <v>0</v>
      </c>
      <c r="Y43" s="292">
        <f t="shared" si="12"/>
        <v>0</v>
      </c>
      <c r="Z43" s="292">
        <f t="shared" si="13"/>
        <v>0</v>
      </c>
      <c r="AA43" s="292">
        <f t="shared" si="14"/>
        <v>0</v>
      </c>
      <c r="AB43" s="292">
        <f t="shared" si="15"/>
        <v>0</v>
      </c>
      <c r="AC43" s="292">
        <f t="shared" si="16"/>
        <v>0</v>
      </c>
      <c r="AD43" s="292">
        <f t="shared" si="17"/>
        <v>0</v>
      </c>
      <c r="AE43" s="292">
        <f t="shared" si="18"/>
        <v>0</v>
      </c>
      <c r="AF43" s="292">
        <f t="shared" si="43"/>
        <v>0</v>
      </c>
      <c r="AG43" s="292">
        <f t="shared" si="44"/>
        <v>0</v>
      </c>
      <c r="AH43" s="292">
        <f t="shared" si="19"/>
        <v>0</v>
      </c>
      <c r="AI43" s="292">
        <f t="shared" si="20"/>
        <v>0</v>
      </c>
      <c r="AJ43" s="292">
        <f t="shared" si="21"/>
        <v>0</v>
      </c>
      <c r="AK43" s="292">
        <f t="shared" si="22"/>
        <v>0</v>
      </c>
      <c r="AL43" s="292">
        <f t="shared" si="23"/>
        <v>0</v>
      </c>
      <c r="AM43" s="292">
        <f t="shared" si="24"/>
        <v>0</v>
      </c>
      <c r="AN43" s="292">
        <f t="shared" si="25"/>
        <v>0</v>
      </c>
      <c r="AO43" s="292">
        <f t="shared" si="26"/>
        <v>0</v>
      </c>
      <c r="AP43" s="292">
        <f t="shared" si="27"/>
        <v>0</v>
      </c>
      <c r="AQ43" s="292">
        <f t="shared" si="28"/>
        <v>0</v>
      </c>
      <c r="AR43" s="292">
        <f t="shared" si="29"/>
        <v>0</v>
      </c>
      <c r="AS43" s="292">
        <f t="shared" si="30"/>
        <v>0</v>
      </c>
      <c r="AT43" s="292">
        <f t="shared" si="31"/>
        <v>0</v>
      </c>
      <c r="AU43" s="292">
        <f t="shared" si="32"/>
        <v>0</v>
      </c>
      <c r="AV43" s="292">
        <f t="shared" si="33"/>
        <v>0</v>
      </c>
      <c r="AW43" s="292">
        <f t="shared" si="34"/>
        <v>0</v>
      </c>
      <c r="AX43" s="292">
        <f t="shared" si="35"/>
        <v>0</v>
      </c>
      <c r="AY43" s="292">
        <f t="shared" si="36"/>
        <v>0</v>
      </c>
      <c r="AZ43" s="292">
        <f t="shared" si="37"/>
        <v>0</v>
      </c>
      <c r="BA43" s="292">
        <f t="shared" si="38"/>
        <v>0</v>
      </c>
    </row>
    <row r="44" spans="1:53" s="289" customFormat="1" ht="16.5" customHeight="1">
      <c r="A44" s="63" t="str">
        <f t="array" ref="A44">IF(C44&lt;&gt;0,SUM(($C$11:C44&lt;&gt;0)*1),"")</f>
        <v/>
      </c>
      <c r="B44" s="290"/>
      <c r="C44" s="290"/>
      <c r="D44" s="290"/>
      <c r="E44" s="396"/>
      <c r="F44" s="345"/>
      <c r="G44" s="347"/>
      <c r="H44" s="347"/>
      <c r="I44" s="63" t="str">
        <f t="shared" si="0"/>
        <v/>
      </c>
      <c r="J44" s="292">
        <f t="shared" si="1"/>
        <v>0</v>
      </c>
      <c r="K44" s="292">
        <f t="shared" si="2"/>
        <v>0</v>
      </c>
      <c r="L44" s="292">
        <f t="shared" si="3"/>
        <v>0</v>
      </c>
      <c r="M44" s="292">
        <f t="shared" si="4"/>
        <v>0</v>
      </c>
      <c r="N44" s="292">
        <f t="shared" si="39"/>
        <v>0</v>
      </c>
      <c r="O44" s="292">
        <f t="shared" si="40"/>
        <v>0</v>
      </c>
      <c r="P44" s="292">
        <f t="shared" si="5"/>
        <v>0</v>
      </c>
      <c r="Q44" s="292">
        <f t="shared" si="6"/>
        <v>0</v>
      </c>
      <c r="R44" s="292">
        <f t="shared" si="7"/>
        <v>0</v>
      </c>
      <c r="S44" s="292">
        <f t="shared" si="8"/>
        <v>0</v>
      </c>
      <c r="T44" s="292">
        <f t="shared" si="41"/>
        <v>0</v>
      </c>
      <c r="U44" s="292">
        <f t="shared" si="42"/>
        <v>0</v>
      </c>
      <c r="V44" s="292">
        <f t="shared" si="9"/>
        <v>0</v>
      </c>
      <c r="W44" s="292">
        <f t="shared" si="10"/>
        <v>0</v>
      </c>
      <c r="X44" s="292">
        <f t="shared" si="11"/>
        <v>0</v>
      </c>
      <c r="Y44" s="292">
        <f t="shared" si="12"/>
        <v>0</v>
      </c>
      <c r="Z44" s="292">
        <f t="shared" si="13"/>
        <v>0</v>
      </c>
      <c r="AA44" s="292">
        <f t="shared" si="14"/>
        <v>0</v>
      </c>
      <c r="AB44" s="292">
        <f t="shared" si="15"/>
        <v>0</v>
      </c>
      <c r="AC44" s="292">
        <f t="shared" si="16"/>
        <v>0</v>
      </c>
      <c r="AD44" s="292">
        <f t="shared" si="17"/>
        <v>0</v>
      </c>
      <c r="AE44" s="292">
        <f t="shared" si="18"/>
        <v>0</v>
      </c>
      <c r="AF44" s="292">
        <f t="shared" si="43"/>
        <v>0</v>
      </c>
      <c r="AG44" s="292">
        <f t="shared" si="44"/>
        <v>0</v>
      </c>
      <c r="AH44" s="292">
        <f t="shared" si="19"/>
        <v>0</v>
      </c>
      <c r="AI44" s="292">
        <f t="shared" si="20"/>
        <v>0</v>
      </c>
      <c r="AJ44" s="292">
        <f t="shared" si="21"/>
        <v>0</v>
      </c>
      <c r="AK44" s="292">
        <f t="shared" si="22"/>
        <v>0</v>
      </c>
      <c r="AL44" s="292">
        <f t="shared" si="23"/>
        <v>0</v>
      </c>
      <c r="AM44" s="292">
        <f t="shared" si="24"/>
        <v>0</v>
      </c>
      <c r="AN44" s="292">
        <f t="shared" si="25"/>
        <v>0</v>
      </c>
      <c r="AO44" s="292">
        <f t="shared" si="26"/>
        <v>0</v>
      </c>
      <c r="AP44" s="292">
        <f t="shared" si="27"/>
        <v>0</v>
      </c>
      <c r="AQ44" s="292">
        <f t="shared" si="28"/>
        <v>0</v>
      </c>
      <c r="AR44" s="292">
        <f t="shared" si="29"/>
        <v>0</v>
      </c>
      <c r="AS44" s="292">
        <f t="shared" si="30"/>
        <v>0</v>
      </c>
      <c r="AT44" s="292">
        <f t="shared" si="31"/>
        <v>0</v>
      </c>
      <c r="AU44" s="292">
        <f t="shared" si="32"/>
        <v>0</v>
      </c>
      <c r="AV44" s="292">
        <f t="shared" si="33"/>
        <v>0</v>
      </c>
      <c r="AW44" s="292">
        <f t="shared" si="34"/>
        <v>0</v>
      </c>
      <c r="AX44" s="292">
        <f t="shared" si="35"/>
        <v>0</v>
      </c>
      <c r="AY44" s="292">
        <f t="shared" si="36"/>
        <v>0</v>
      </c>
      <c r="AZ44" s="292">
        <f t="shared" si="37"/>
        <v>0</v>
      </c>
      <c r="BA44" s="292">
        <f t="shared" si="38"/>
        <v>0</v>
      </c>
    </row>
    <row r="45" spans="1:53" s="289" customFormat="1" ht="16.5" customHeight="1">
      <c r="A45" s="63" t="str">
        <f t="array" ref="A45">IF(C45&lt;&gt;0,SUM(($C$11:C45&lt;&gt;0)*1),"")</f>
        <v/>
      </c>
      <c r="B45" s="290"/>
      <c r="C45" s="290"/>
      <c r="D45" s="290"/>
      <c r="E45" s="396"/>
      <c r="F45" s="345"/>
      <c r="G45" s="347"/>
      <c r="H45" s="347"/>
      <c r="I45" s="63" t="str">
        <f t="shared" si="0"/>
        <v/>
      </c>
      <c r="J45" s="292">
        <f t="shared" si="1"/>
        <v>0</v>
      </c>
      <c r="K45" s="292">
        <f t="shared" si="2"/>
        <v>0</v>
      </c>
      <c r="L45" s="292">
        <f t="shared" si="3"/>
        <v>0</v>
      </c>
      <c r="M45" s="292">
        <f t="shared" si="4"/>
        <v>0</v>
      </c>
      <c r="N45" s="292">
        <f t="shared" si="39"/>
        <v>0</v>
      </c>
      <c r="O45" s="292">
        <f t="shared" si="40"/>
        <v>0</v>
      </c>
      <c r="P45" s="292">
        <f t="shared" si="5"/>
        <v>0</v>
      </c>
      <c r="Q45" s="292">
        <f t="shared" si="6"/>
        <v>0</v>
      </c>
      <c r="R45" s="292">
        <f t="shared" si="7"/>
        <v>0</v>
      </c>
      <c r="S45" s="292">
        <f t="shared" si="8"/>
        <v>0</v>
      </c>
      <c r="T45" s="292">
        <f t="shared" si="41"/>
        <v>0</v>
      </c>
      <c r="U45" s="292">
        <f t="shared" si="42"/>
        <v>0</v>
      </c>
      <c r="V45" s="292">
        <f t="shared" si="9"/>
        <v>0</v>
      </c>
      <c r="W45" s="292">
        <f t="shared" si="10"/>
        <v>0</v>
      </c>
      <c r="X45" s="292">
        <f t="shared" si="11"/>
        <v>0</v>
      </c>
      <c r="Y45" s="292">
        <f t="shared" si="12"/>
        <v>0</v>
      </c>
      <c r="Z45" s="292">
        <f t="shared" si="13"/>
        <v>0</v>
      </c>
      <c r="AA45" s="292">
        <f t="shared" si="14"/>
        <v>0</v>
      </c>
      <c r="AB45" s="292">
        <f t="shared" si="15"/>
        <v>0</v>
      </c>
      <c r="AC45" s="292">
        <f t="shared" si="16"/>
        <v>0</v>
      </c>
      <c r="AD45" s="292">
        <f t="shared" si="17"/>
        <v>0</v>
      </c>
      <c r="AE45" s="292">
        <f t="shared" si="18"/>
        <v>0</v>
      </c>
      <c r="AF45" s="292">
        <f t="shared" si="43"/>
        <v>0</v>
      </c>
      <c r="AG45" s="292">
        <f t="shared" si="44"/>
        <v>0</v>
      </c>
      <c r="AH45" s="292">
        <f t="shared" si="19"/>
        <v>0</v>
      </c>
      <c r="AI45" s="292">
        <f t="shared" si="20"/>
        <v>0</v>
      </c>
      <c r="AJ45" s="292">
        <f t="shared" si="21"/>
        <v>0</v>
      </c>
      <c r="AK45" s="292">
        <f t="shared" si="22"/>
        <v>0</v>
      </c>
      <c r="AL45" s="292">
        <f t="shared" si="23"/>
        <v>0</v>
      </c>
      <c r="AM45" s="292">
        <f t="shared" si="24"/>
        <v>0</v>
      </c>
      <c r="AN45" s="292">
        <f t="shared" si="25"/>
        <v>0</v>
      </c>
      <c r="AO45" s="292">
        <f t="shared" si="26"/>
        <v>0</v>
      </c>
      <c r="AP45" s="292">
        <f t="shared" si="27"/>
        <v>0</v>
      </c>
      <c r="AQ45" s="292">
        <f t="shared" si="28"/>
        <v>0</v>
      </c>
      <c r="AR45" s="292">
        <f t="shared" si="29"/>
        <v>0</v>
      </c>
      <c r="AS45" s="292">
        <f t="shared" si="30"/>
        <v>0</v>
      </c>
      <c r="AT45" s="292">
        <f t="shared" si="31"/>
        <v>0</v>
      </c>
      <c r="AU45" s="292">
        <f t="shared" si="32"/>
        <v>0</v>
      </c>
      <c r="AV45" s="292">
        <f t="shared" si="33"/>
        <v>0</v>
      </c>
      <c r="AW45" s="292">
        <f t="shared" si="34"/>
        <v>0</v>
      </c>
      <c r="AX45" s="292">
        <f t="shared" si="35"/>
        <v>0</v>
      </c>
      <c r="AY45" s="292">
        <f t="shared" si="36"/>
        <v>0</v>
      </c>
      <c r="AZ45" s="292">
        <f t="shared" si="37"/>
        <v>0</v>
      </c>
      <c r="BA45" s="292">
        <f t="shared" si="38"/>
        <v>0</v>
      </c>
    </row>
    <row r="46" spans="1:53" s="289" customFormat="1" ht="16.5" customHeight="1">
      <c r="A46" s="63" t="str">
        <f t="array" ref="A46">IF(C46&lt;&gt;0,SUM(($C$11:C46&lt;&gt;0)*1),"")</f>
        <v/>
      </c>
      <c r="B46" s="290"/>
      <c r="C46" s="290"/>
      <c r="D46" s="290"/>
      <c r="E46" s="396"/>
      <c r="F46" s="345"/>
      <c r="G46" s="347"/>
      <c r="H46" s="347"/>
      <c r="I46" s="63" t="str">
        <f t="shared" si="0"/>
        <v/>
      </c>
      <c r="J46" s="292">
        <f t="shared" si="1"/>
        <v>0</v>
      </c>
      <c r="K46" s="292">
        <f t="shared" si="2"/>
        <v>0</v>
      </c>
      <c r="L46" s="292">
        <f t="shared" si="3"/>
        <v>0</v>
      </c>
      <c r="M46" s="292">
        <f t="shared" si="4"/>
        <v>0</v>
      </c>
      <c r="N46" s="292">
        <f t="shared" si="39"/>
        <v>0</v>
      </c>
      <c r="O46" s="292">
        <f t="shared" si="40"/>
        <v>0</v>
      </c>
      <c r="P46" s="292">
        <f t="shared" si="5"/>
        <v>0</v>
      </c>
      <c r="Q46" s="292">
        <f t="shared" si="6"/>
        <v>0</v>
      </c>
      <c r="R46" s="292">
        <f t="shared" si="7"/>
        <v>0</v>
      </c>
      <c r="S46" s="292">
        <f t="shared" si="8"/>
        <v>0</v>
      </c>
      <c r="T46" s="292">
        <f t="shared" si="41"/>
        <v>0</v>
      </c>
      <c r="U46" s="292">
        <f t="shared" si="42"/>
        <v>0</v>
      </c>
      <c r="V46" s="292">
        <f t="shared" si="9"/>
        <v>0</v>
      </c>
      <c r="W46" s="292">
        <f t="shared" si="10"/>
        <v>0</v>
      </c>
      <c r="X46" s="292">
        <f t="shared" si="11"/>
        <v>0</v>
      </c>
      <c r="Y46" s="292">
        <f t="shared" si="12"/>
        <v>0</v>
      </c>
      <c r="Z46" s="292">
        <f t="shared" si="13"/>
        <v>0</v>
      </c>
      <c r="AA46" s="292">
        <f t="shared" si="14"/>
        <v>0</v>
      </c>
      <c r="AB46" s="292">
        <f t="shared" si="15"/>
        <v>0</v>
      </c>
      <c r="AC46" s="292">
        <f t="shared" si="16"/>
        <v>0</v>
      </c>
      <c r="AD46" s="292">
        <f t="shared" si="17"/>
        <v>0</v>
      </c>
      <c r="AE46" s="292">
        <f t="shared" si="18"/>
        <v>0</v>
      </c>
      <c r="AF46" s="292">
        <f t="shared" si="43"/>
        <v>0</v>
      </c>
      <c r="AG46" s="292">
        <f t="shared" si="44"/>
        <v>0</v>
      </c>
      <c r="AH46" s="292">
        <f t="shared" si="19"/>
        <v>0</v>
      </c>
      <c r="AI46" s="292">
        <f t="shared" si="20"/>
        <v>0</v>
      </c>
      <c r="AJ46" s="292">
        <f t="shared" si="21"/>
        <v>0</v>
      </c>
      <c r="AK46" s="292">
        <f t="shared" si="22"/>
        <v>0</v>
      </c>
      <c r="AL46" s="292">
        <f t="shared" si="23"/>
        <v>0</v>
      </c>
      <c r="AM46" s="292">
        <f t="shared" si="24"/>
        <v>0</v>
      </c>
      <c r="AN46" s="292">
        <f t="shared" si="25"/>
        <v>0</v>
      </c>
      <c r="AO46" s="292">
        <f t="shared" si="26"/>
        <v>0</v>
      </c>
      <c r="AP46" s="292">
        <f t="shared" si="27"/>
        <v>0</v>
      </c>
      <c r="AQ46" s="292">
        <f t="shared" si="28"/>
        <v>0</v>
      </c>
      <c r="AR46" s="292">
        <f t="shared" si="29"/>
        <v>0</v>
      </c>
      <c r="AS46" s="292">
        <f t="shared" si="30"/>
        <v>0</v>
      </c>
      <c r="AT46" s="292">
        <f t="shared" si="31"/>
        <v>0</v>
      </c>
      <c r="AU46" s="292">
        <f t="shared" si="32"/>
        <v>0</v>
      </c>
      <c r="AV46" s="292">
        <f t="shared" si="33"/>
        <v>0</v>
      </c>
      <c r="AW46" s="292">
        <f t="shared" si="34"/>
        <v>0</v>
      </c>
      <c r="AX46" s="292">
        <f t="shared" si="35"/>
        <v>0</v>
      </c>
      <c r="AY46" s="292">
        <f t="shared" si="36"/>
        <v>0</v>
      </c>
      <c r="AZ46" s="292">
        <f t="shared" si="37"/>
        <v>0</v>
      </c>
      <c r="BA46" s="292">
        <f t="shared" si="38"/>
        <v>0</v>
      </c>
    </row>
    <row r="47" spans="1:53" s="289" customFormat="1" ht="16.5" customHeight="1">
      <c r="A47" s="63" t="str">
        <f t="array" ref="A47">IF(C47&lt;&gt;0,SUM(($C$11:C47&lt;&gt;0)*1),"")</f>
        <v/>
      </c>
      <c r="B47" s="290"/>
      <c r="C47" s="290"/>
      <c r="D47" s="290"/>
      <c r="E47" s="396"/>
      <c r="F47" s="345"/>
      <c r="G47" s="347"/>
      <c r="H47" s="347"/>
      <c r="I47" s="63" t="str">
        <f t="shared" si="0"/>
        <v/>
      </c>
      <c r="J47" s="292">
        <f t="shared" si="1"/>
        <v>0</v>
      </c>
      <c r="K47" s="292">
        <f t="shared" si="2"/>
        <v>0</v>
      </c>
      <c r="L47" s="292">
        <f t="shared" si="3"/>
        <v>0</v>
      </c>
      <c r="M47" s="292">
        <f t="shared" si="4"/>
        <v>0</v>
      </c>
      <c r="N47" s="292">
        <f t="shared" si="39"/>
        <v>0</v>
      </c>
      <c r="O47" s="292">
        <f t="shared" si="40"/>
        <v>0</v>
      </c>
      <c r="P47" s="292">
        <f t="shared" si="5"/>
        <v>0</v>
      </c>
      <c r="Q47" s="292">
        <f t="shared" si="6"/>
        <v>0</v>
      </c>
      <c r="R47" s="292">
        <f t="shared" si="7"/>
        <v>0</v>
      </c>
      <c r="S47" s="292">
        <f t="shared" si="8"/>
        <v>0</v>
      </c>
      <c r="T47" s="292">
        <f t="shared" si="41"/>
        <v>0</v>
      </c>
      <c r="U47" s="292">
        <f t="shared" si="42"/>
        <v>0</v>
      </c>
      <c r="V47" s="292">
        <f t="shared" si="9"/>
        <v>0</v>
      </c>
      <c r="W47" s="292">
        <f t="shared" si="10"/>
        <v>0</v>
      </c>
      <c r="X47" s="292">
        <f t="shared" si="11"/>
        <v>0</v>
      </c>
      <c r="Y47" s="292">
        <f t="shared" si="12"/>
        <v>0</v>
      </c>
      <c r="Z47" s="292">
        <f t="shared" si="13"/>
        <v>0</v>
      </c>
      <c r="AA47" s="292">
        <f t="shared" si="14"/>
        <v>0</v>
      </c>
      <c r="AB47" s="292">
        <f t="shared" si="15"/>
        <v>0</v>
      </c>
      <c r="AC47" s="292">
        <f t="shared" si="16"/>
        <v>0</v>
      </c>
      <c r="AD47" s="292">
        <f t="shared" si="17"/>
        <v>0</v>
      </c>
      <c r="AE47" s="292">
        <f t="shared" si="18"/>
        <v>0</v>
      </c>
      <c r="AF47" s="292">
        <f t="shared" si="43"/>
        <v>0</v>
      </c>
      <c r="AG47" s="292">
        <f t="shared" si="44"/>
        <v>0</v>
      </c>
      <c r="AH47" s="292">
        <f t="shared" si="19"/>
        <v>0</v>
      </c>
      <c r="AI47" s="292">
        <f t="shared" si="20"/>
        <v>0</v>
      </c>
      <c r="AJ47" s="292">
        <f t="shared" si="21"/>
        <v>0</v>
      </c>
      <c r="AK47" s="292">
        <f t="shared" si="22"/>
        <v>0</v>
      </c>
      <c r="AL47" s="292">
        <f t="shared" si="23"/>
        <v>0</v>
      </c>
      <c r="AM47" s="292">
        <f t="shared" si="24"/>
        <v>0</v>
      </c>
      <c r="AN47" s="292">
        <f t="shared" si="25"/>
        <v>0</v>
      </c>
      <c r="AO47" s="292">
        <f t="shared" si="26"/>
        <v>0</v>
      </c>
      <c r="AP47" s="292">
        <f t="shared" si="27"/>
        <v>0</v>
      </c>
      <c r="AQ47" s="292">
        <f t="shared" si="28"/>
        <v>0</v>
      </c>
      <c r="AR47" s="292">
        <f t="shared" si="29"/>
        <v>0</v>
      </c>
      <c r="AS47" s="292">
        <f t="shared" si="30"/>
        <v>0</v>
      </c>
      <c r="AT47" s="292">
        <f t="shared" si="31"/>
        <v>0</v>
      </c>
      <c r="AU47" s="292">
        <f t="shared" si="32"/>
        <v>0</v>
      </c>
      <c r="AV47" s="292">
        <f t="shared" si="33"/>
        <v>0</v>
      </c>
      <c r="AW47" s="292">
        <f t="shared" si="34"/>
        <v>0</v>
      </c>
      <c r="AX47" s="292">
        <f t="shared" si="35"/>
        <v>0</v>
      </c>
      <c r="AY47" s="292">
        <f t="shared" si="36"/>
        <v>0</v>
      </c>
      <c r="AZ47" s="292">
        <f t="shared" si="37"/>
        <v>0</v>
      </c>
      <c r="BA47" s="292">
        <f t="shared" si="38"/>
        <v>0</v>
      </c>
    </row>
    <row r="48" spans="1:53" s="289" customFormat="1" ht="16.5" customHeight="1">
      <c r="A48" s="63" t="str">
        <f t="array" ref="A48">IF(C48&lt;&gt;0,SUM(($C$11:C48&lt;&gt;0)*1),"")</f>
        <v/>
      </c>
      <c r="B48" s="290"/>
      <c r="C48" s="290"/>
      <c r="D48" s="290"/>
      <c r="E48" s="396"/>
      <c r="F48" s="345"/>
      <c r="G48" s="347"/>
      <c r="H48" s="347"/>
      <c r="I48" s="63" t="str">
        <f t="shared" si="0"/>
        <v/>
      </c>
      <c r="J48" s="292">
        <f t="shared" si="1"/>
        <v>0</v>
      </c>
      <c r="K48" s="292">
        <f t="shared" si="2"/>
        <v>0</v>
      </c>
      <c r="L48" s="292">
        <f t="shared" si="3"/>
        <v>0</v>
      </c>
      <c r="M48" s="292">
        <f t="shared" si="4"/>
        <v>0</v>
      </c>
      <c r="N48" s="292">
        <f t="shared" si="39"/>
        <v>0</v>
      </c>
      <c r="O48" s="292">
        <f t="shared" si="40"/>
        <v>0</v>
      </c>
      <c r="P48" s="292">
        <f t="shared" si="5"/>
        <v>0</v>
      </c>
      <c r="Q48" s="292">
        <f t="shared" si="6"/>
        <v>0</v>
      </c>
      <c r="R48" s="292">
        <f t="shared" si="7"/>
        <v>0</v>
      </c>
      <c r="S48" s="292">
        <f t="shared" si="8"/>
        <v>0</v>
      </c>
      <c r="T48" s="292">
        <f t="shared" si="41"/>
        <v>0</v>
      </c>
      <c r="U48" s="292">
        <f t="shared" si="42"/>
        <v>0</v>
      </c>
      <c r="V48" s="292">
        <f t="shared" si="9"/>
        <v>0</v>
      </c>
      <c r="W48" s="292">
        <f t="shared" si="10"/>
        <v>0</v>
      </c>
      <c r="X48" s="292">
        <f t="shared" si="11"/>
        <v>0</v>
      </c>
      <c r="Y48" s="292">
        <f t="shared" si="12"/>
        <v>0</v>
      </c>
      <c r="Z48" s="292">
        <f t="shared" si="13"/>
        <v>0</v>
      </c>
      <c r="AA48" s="292">
        <f t="shared" si="14"/>
        <v>0</v>
      </c>
      <c r="AB48" s="292">
        <f t="shared" si="15"/>
        <v>0</v>
      </c>
      <c r="AC48" s="292">
        <f t="shared" si="16"/>
        <v>0</v>
      </c>
      <c r="AD48" s="292">
        <f t="shared" si="17"/>
        <v>0</v>
      </c>
      <c r="AE48" s="292">
        <f t="shared" si="18"/>
        <v>0</v>
      </c>
      <c r="AF48" s="292">
        <f t="shared" si="43"/>
        <v>0</v>
      </c>
      <c r="AG48" s="292">
        <f t="shared" si="44"/>
        <v>0</v>
      </c>
      <c r="AH48" s="292">
        <f t="shared" si="19"/>
        <v>0</v>
      </c>
      <c r="AI48" s="292">
        <f t="shared" si="20"/>
        <v>0</v>
      </c>
      <c r="AJ48" s="292">
        <f t="shared" si="21"/>
        <v>0</v>
      </c>
      <c r="AK48" s="292">
        <f t="shared" si="22"/>
        <v>0</v>
      </c>
      <c r="AL48" s="292">
        <f t="shared" si="23"/>
        <v>0</v>
      </c>
      <c r="AM48" s="292">
        <f t="shared" si="24"/>
        <v>0</v>
      </c>
      <c r="AN48" s="292">
        <f t="shared" si="25"/>
        <v>0</v>
      </c>
      <c r="AO48" s="292">
        <f t="shared" si="26"/>
        <v>0</v>
      </c>
      <c r="AP48" s="292">
        <f t="shared" si="27"/>
        <v>0</v>
      </c>
      <c r="AQ48" s="292">
        <f t="shared" si="28"/>
        <v>0</v>
      </c>
      <c r="AR48" s="292">
        <f t="shared" si="29"/>
        <v>0</v>
      </c>
      <c r="AS48" s="292">
        <f t="shared" si="30"/>
        <v>0</v>
      </c>
      <c r="AT48" s="292">
        <f t="shared" si="31"/>
        <v>0</v>
      </c>
      <c r="AU48" s="292">
        <f t="shared" si="32"/>
        <v>0</v>
      </c>
      <c r="AV48" s="292">
        <f t="shared" si="33"/>
        <v>0</v>
      </c>
      <c r="AW48" s="292">
        <f t="shared" si="34"/>
        <v>0</v>
      </c>
      <c r="AX48" s="292">
        <f t="shared" si="35"/>
        <v>0</v>
      </c>
      <c r="AY48" s="292">
        <f t="shared" si="36"/>
        <v>0</v>
      </c>
      <c r="AZ48" s="292">
        <f t="shared" si="37"/>
        <v>0</v>
      </c>
      <c r="BA48" s="292">
        <f t="shared" si="38"/>
        <v>0</v>
      </c>
    </row>
    <row r="49" spans="1:53" s="289" customFormat="1" ht="16.5" customHeight="1">
      <c r="A49" s="63" t="str">
        <f t="array" ref="A49">IF(C49&lt;&gt;0,SUM(($C$11:C49&lt;&gt;0)*1),"")</f>
        <v/>
      </c>
      <c r="B49" s="290"/>
      <c r="C49" s="290"/>
      <c r="D49" s="290"/>
      <c r="E49" s="396"/>
      <c r="F49" s="345"/>
      <c r="G49" s="347"/>
      <c r="H49" s="347"/>
      <c r="I49" s="63" t="str">
        <f t="shared" si="0"/>
        <v/>
      </c>
      <c r="J49" s="292">
        <f t="shared" si="1"/>
        <v>0</v>
      </c>
      <c r="K49" s="292">
        <f t="shared" si="2"/>
        <v>0</v>
      </c>
      <c r="L49" s="292">
        <f t="shared" si="3"/>
        <v>0</v>
      </c>
      <c r="M49" s="292">
        <f t="shared" si="4"/>
        <v>0</v>
      </c>
      <c r="N49" s="292">
        <f t="shared" si="39"/>
        <v>0</v>
      </c>
      <c r="O49" s="292">
        <f t="shared" si="40"/>
        <v>0</v>
      </c>
      <c r="P49" s="292">
        <f t="shared" si="5"/>
        <v>0</v>
      </c>
      <c r="Q49" s="292">
        <f t="shared" si="6"/>
        <v>0</v>
      </c>
      <c r="R49" s="292">
        <f t="shared" si="7"/>
        <v>0</v>
      </c>
      <c r="S49" s="292">
        <f t="shared" si="8"/>
        <v>0</v>
      </c>
      <c r="T49" s="292">
        <f t="shared" si="41"/>
        <v>0</v>
      </c>
      <c r="U49" s="292">
        <f t="shared" si="42"/>
        <v>0</v>
      </c>
      <c r="V49" s="292">
        <f t="shared" si="9"/>
        <v>0</v>
      </c>
      <c r="W49" s="292">
        <f t="shared" si="10"/>
        <v>0</v>
      </c>
      <c r="X49" s="292">
        <f t="shared" si="11"/>
        <v>0</v>
      </c>
      <c r="Y49" s="292">
        <f t="shared" si="12"/>
        <v>0</v>
      </c>
      <c r="Z49" s="292">
        <f t="shared" si="13"/>
        <v>0</v>
      </c>
      <c r="AA49" s="292">
        <f t="shared" si="14"/>
        <v>0</v>
      </c>
      <c r="AB49" s="292">
        <f t="shared" si="15"/>
        <v>0</v>
      </c>
      <c r="AC49" s="292">
        <f t="shared" si="16"/>
        <v>0</v>
      </c>
      <c r="AD49" s="292">
        <f t="shared" si="17"/>
        <v>0</v>
      </c>
      <c r="AE49" s="292">
        <f t="shared" si="18"/>
        <v>0</v>
      </c>
      <c r="AF49" s="292">
        <f t="shared" si="43"/>
        <v>0</v>
      </c>
      <c r="AG49" s="292">
        <f t="shared" si="44"/>
        <v>0</v>
      </c>
      <c r="AH49" s="292">
        <f t="shared" si="19"/>
        <v>0</v>
      </c>
      <c r="AI49" s="292">
        <f t="shared" si="20"/>
        <v>0</v>
      </c>
      <c r="AJ49" s="292">
        <f t="shared" si="21"/>
        <v>0</v>
      </c>
      <c r="AK49" s="292">
        <f t="shared" si="22"/>
        <v>0</v>
      </c>
      <c r="AL49" s="292">
        <f t="shared" si="23"/>
        <v>0</v>
      </c>
      <c r="AM49" s="292">
        <f t="shared" si="24"/>
        <v>0</v>
      </c>
      <c r="AN49" s="292">
        <f t="shared" si="25"/>
        <v>0</v>
      </c>
      <c r="AO49" s="292">
        <f t="shared" si="26"/>
        <v>0</v>
      </c>
      <c r="AP49" s="292">
        <f t="shared" si="27"/>
        <v>0</v>
      </c>
      <c r="AQ49" s="292">
        <f t="shared" si="28"/>
        <v>0</v>
      </c>
      <c r="AR49" s="292">
        <f t="shared" si="29"/>
        <v>0</v>
      </c>
      <c r="AS49" s="292">
        <f t="shared" si="30"/>
        <v>0</v>
      </c>
      <c r="AT49" s="292">
        <f t="shared" si="31"/>
        <v>0</v>
      </c>
      <c r="AU49" s="292">
        <f t="shared" si="32"/>
        <v>0</v>
      </c>
      <c r="AV49" s="292">
        <f t="shared" si="33"/>
        <v>0</v>
      </c>
      <c r="AW49" s="292">
        <f t="shared" si="34"/>
        <v>0</v>
      </c>
      <c r="AX49" s="292">
        <f t="shared" si="35"/>
        <v>0</v>
      </c>
      <c r="AY49" s="292">
        <f t="shared" si="36"/>
        <v>0</v>
      </c>
      <c r="AZ49" s="292">
        <f t="shared" si="37"/>
        <v>0</v>
      </c>
      <c r="BA49" s="292">
        <f t="shared" si="38"/>
        <v>0</v>
      </c>
    </row>
    <row r="50" spans="1:53" s="289" customFormat="1" ht="16.5" customHeight="1">
      <c r="A50" s="63" t="str">
        <f t="array" ref="A50">IF(C50&lt;&gt;0,SUM(($C$11:C50&lt;&gt;0)*1),"")</f>
        <v/>
      </c>
      <c r="B50" s="290"/>
      <c r="C50" s="290"/>
      <c r="D50" s="290"/>
      <c r="E50" s="396"/>
      <c r="F50" s="345"/>
      <c r="G50" s="347"/>
      <c r="H50" s="347"/>
      <c r="I50" s="63" t="str">
        <f t="shared" si="0"/>
        <v/>
      </c>
      <c r="J50" s="292">
        <f t="shared" si="1"/>
        <v>0</v>
      </c>
      <c r="K50" s="292">
        <f t="shared" si="2"/>
        <v>0</v>
      </c>
      <c r="L50" s="292">
        <f t="shared" si="3"/>
        <v>0</v>
      </c>
      <c r="M50" s="292">
        <f t="shared" si="4"/>
        <v>0</v>
      </c>
      <c r="N50" s="292">
        <f t="shared" si="39"/>
        <v>0</v>
      </c>
      <c r="O50" s="292">
        <f t="shared" si="40"/>
        <v>0</v>
      </c>
      <c r="P50" s="292">
        <f t="shared" si="5"/>
        <v>0</v>
      </c>
      <c r="Q50" s="292">
        <f t="shared" si="6"/>
        <v>0</v>
      </c>
      <c r="R50" s="292">
        <f t="shared" si="7"/>
        <v>0</v>
      </c>
      <c r="S50" s="292">
        <f t="shared" si="8"/>
        <v>0</v>
      </c>
      <c r="T50" s="292">
        <f t="shared" si="41"/>
        <v>0</v>
      </c>
      <c r="U50" s="292">
        <f t="shared" si="42"/>
        <v>0</v>
      </c>
      <c r="V50" s="292">
        <f t="shared" si="9"/>
        <v>0</v>
      </c>
      <c r="W50" s="292">
        <f t="shared" si="10"/>
        <v>0</v>
      </c>
      <c r="X50" s="292">
        <f t="shared" si="11"/>
        <v>0</v>
      </c>
      <c r="Y50" s="292">
        <f t="shared" si="12"/>
        <v>0</v>
      </c>
      <c r="Z50" s="292">
        <f t="shared" si="13"/>
        <v>0</v>
      </c>
      <c r="AA50" s="292">
        <f t="shared" si="14"/>
        <v>0</v>
      </c>
      <c r="AB50" s="292">
        <f t="shared" si="15"/>
        <v>0</v>
      </c>
      <c r="AC50" s="292">
        <f t="shared" si="16"/>
        <v>0</v>
      </c>
      <c r="AD50" s="292">
        <f t="shared" si="17"/>
        <v>0</v>
      </c>
      <c r="AE50" s="292">
        <f t="shared" si="18"/>
        <v>0</v>
      </c>
      <c r="AF50" s="292">
        <f t="shared" si="43"/>
        <v>0</v>
      </c>
      <c r="AG50" s="292">
        <f t="shared" si="44"/>
        <v>0</v>
      </c>
      <c r="AH50" s="292">
        <f t="shared" si="19"/>
        <v>0</v>
      </c>
      <c r="AI50" s="292">
        <f t="shared" si="20"/>
        <v>0</v>
      </c>
      <c r="AJ50" s="292">
        <f t="shared" si="21"/>
        <v>0</v>
      </c>
      <c r="AK50" s="292">
        <f t="shared" si="22"/>
        <v>0</v>
      </c>
      <c r="AL50" s="292">
        <f t="shared" si="23"/>
        <v>0</v>
      </c>
      <c r="AM50" s="292">
        <f t="shared" si="24"/>
        <v>0</v>
      </c>
      <c r="AN50" s="292">
        <f t="shared" si="25"/>
        <v>0</v>
      </c>
      <c r="AO50" s="292">
        <f t="shared" si="26"/>
        <v>0</v>
      </c>
      <c r="AP50" s="292">
        <f t="shared" si="27"/>
        <v>0</v>
      </c>
      <c r="AQ50" s="292">
        <f t="shared" si="28"/>
        <v>0</v>
      </c>
      <c r="AR50" s="292">
        <f t="shared" si="29"/>
        <v>0</v>
      </c>
      <c r="AS50" s="292">
        <f t="shared" si="30"/>
        <v>0</v>
      </c>
      <c r="AT50" s="292">
        <f t="shared" si="31"/>
        <v>0</v>
      </c>
      <c r="AU50" s="292">
        <f t="shared" si="32"/>
        <v>0</v>
      </c>
      <c r="AV50" s="292">
        <f t="shared" si="33"/>
        <v>0</v>
      </c>
      <c r="AW50" s="292">
        <f t="shared" si="34"/>
        <v>0</v>
      </c>
      <c r="AX50" s="292">
        <f t="shared" si="35"/>
        <v>0</v>
      </c>
      <c r="AY50" s="292">
        <f t="shared" si="36"/>
        <v>0</v>
      </c>
      <c r="AZ50" s="292">
        <f t="shared" si="37"/>
        <v>0</v>
      </c>
      <c r="BA50" s="292">
        <f t="shared" si="38"/>
        <v>0</v>
      </c>
    </row>
    <row r="51" spans="1:53" s="289" customFormat="1" ht="16.5" customHeight="1">
      <c r="A51" s="63" t="str">
        <f t="array" ref="A51">IF(C51&lt;&gt;0,SUM(($C$11:C51&lt;&gt;0)*1),"")</f>
        <v/>
      </c>
      <c r="B51" s="290"/>
      <c r="C51" s="290"/>
      <c r="D51" s="290"/>
      <c r="E51" s="396"/>
      <c r="F51" s="345"/>
      <c r="G51" s="347"/>
      <c r="H51" s="347"/>
      <c r="I51" s="63" t="str">
        <f t="shared" si="0"/>
        <v/>
      </c>
      <c r="J51" s="292">
        <f t="shared" si="1"/>
        <v>0</v>
      </c>
      <c r="K51" s="292">
        <f t="shared" si="2"/>
        <v>0</v>
      </c>
      <c r="L51" s="292">
        <f t="shared" si="3"/>
        <v>0</v>
      </c>
      <c r="M51" s="292">
        <f t="shared" si="4"/>
        <v>0</v>
      </c>
      <c r="N51" s="292">
        <f t="shared" si="39"/>
        <v>0</v>
      </c>
      <c r="O51" s="292">
        <f t="shared" si="40"/>
        <v>0</v>
      </c>
      <c r="P51" s="292">
        <f t="shared" si="5"/>
        <v>0</v>
      </c>
      <c r="Q51" s="292">
        <f t="shared" si="6"/>
        <v>0</v>
      </c>
      <c r="R51" s="292">
        <f t="shared" si="7"/>
        <v>0</v>
      </c>
      <c r="S51" s="292">
        <f t="shared" si="8"/>
        <v>0</v>
      </c>
      <c r="T51" s="292">
        <f t="shared" si="41"/>
        <v>0</v>
      </c>
      <c r="U51" s="292">
        <f t="shared" si="42"/>
        <v>0</v>
      </c>
      <c r="V51" s="292">
        <f t="shared" si="9"/>
        <v>0</v>
      </c>
      <c r="W51" s="292">
        <f t="shared" si="10"/>
        <v>0</v>
      </c>
      <c r="X51" s="292">
        <f t="shared" si="11"/>
        <v>0</v>
      </c>
      <c r="Y51" s="292">
        <f t="shared" si="12"/>
        <v>0</v>
      </c>
      <c r="Z51" s="292">
        <f t="shared" si="13"/>
        <v>0</v>
      </c>
      <c r="AA51" s="292">
        <f t="shared" si="14"/>
        <v>0</v>
      </c>
      <c r="AB51" s="292">
        <f t="shared" si="15"/>
        <v>0</v>
      </c>
      <c r="AC51" s="292">
        <f t="shared" si="16"/>
        <v>0</v>
      </c>
      <c r="AD51" s="292">
        <f t="shared" si="17"/>
        <v>0</v>
      </c>
      <c r="AE51" s="292">
        <f t="shared" si="18"/>
        <v>0</v>
      </c>
      <c r="AF51" s="292">
        <f t="shared" si="43"/>
        <v>0</v>
      </c>
      <c r="AG51" s="292">
        <f t="shared" si="44"/>
        <v>0</v>
      </c>
      <c r="AH51" s="292">
        <f t="shared" si="19"/>
        <v>0</v>
      </c>
      <c r="AI51" s="292">
        <f t="shared" si="20"/>
        <v>0</v>
      </c>
      <c r="AJ51" s="292">
        <f t="shared" si="21"/>
        <v>0</v>
      </c>
      <c r="AK51" s="292">
        <f t="shared" si="22"/>
        <v>0</v>
      </c>
      <c r="AL51" s="292">
        <f t="shared" si="23"/>
        <v>0</v>
      </c>
      <c r="AM51" s="292">
        <f t="shared" si="24"/>
        <v>0</v>
      </c>
      <c r="AN51" s="292">
        <f t="shared" si="25"/>
        <v>0</v>
      </c>
      <c r="AO51" s="292">
        <f t="shared" si="26"/>
        <v>0</v>
      </c>
      <c r="AP51" s="292">
        <f t="shared" si="27"/>
        <v>0</v>
      </c>
      <c r="AQ51" s="292">
        <f t="shared" si="28"/>
        <v>0</v>
      </c>
      <c r="AR51" s="292">
        <f t="shared" si="29"/>
        <v>0</v>
      </c>
      <c r="AS51" s="292">
        <f t="shared" si="30"/>
        <v>0</v>
      </c>
      <c r="AT51" s="292">
        <f t="shared" si="31"/>
        <v>0</v>
      </c>
      <c r="AU51" s="292">
        <f t="shared" si="32"/>
        <v>0</v>
      </c>
      <c r="AV51" s="292">
        <f t="shared" si="33"/>
        <v>0</v>
      </c>
      <c r="AW51" s="292">
        <f t="shared" si="34"/>
        <v>0</v>
      </c>
      <c r="AX51" s="292">
        <f t="shared" si="35"/>
        <v>0</v>
      </c>
      <c r="AY51" s="292">
        <f t="shared" si="36"/>
        <v>0</v>
      </c>
      <c r="AZ51" s="292">
        <f t="shared" si="37"/>
        <v>0</v>
      </c>
      <c r="BA51" s="292">
        <f t="shared" si="38"/>
        <v>0</v>
      </c>
    </row>
    <row r="52" spans="1:53" s="289" customFormat="1" ht="16.5" customHeight="1">
      <c r="A52" s="63" t="str">
        <f t="array" ref="A52">IF(C52&lt;&gt;0,SUM(($C$11:C52&lt;&gt;0)*1),"")</f>
        <v/>
      </c>
      <c r="B52" s="290"/>
      <c r="C52" s="290"/>
      <c r="D52" s="290"/>
      <c r="E52" s="396"/>
      <c r="F52" s="345"/>
      <c r="G52" s="347"/>
      <c r="H52" s="347"/>
      <c r="I52" s="63" t="str">
        <f t="shared" si="0"/>
        <v/>
      </c>
      <c r="J52" s="292">
        <f t="shared" si="1"/>
        <v>0</v>
      </c>
      <c r="K52" s="292">
        <f t="shared" si="2"/>
        <v>0</v>
      </c>
      <c r="L52" s="292">
        <f t="shared" si="3"/>
        <v>0</v>
      </c>
      <c r="M52" s="292">
        <f t="shared" si="4"/>
        <v>0</v>
      </c>
      <c r="N52" s="292">
        <f t="shared" si="39"/>
        <v>0</v>
      </c>
      <c r="O52" s="292">
        <f t="shared" si="40"/>
        <v>0</v>
      </c>
      <c r="P52" s="292">
        <f t="shared" si="5"/>
        <v>0</v>
      </c>
      <c r="Q52" s="292">
        <f t="shared" si="6"/>
        <v>0</v>
      </c>
      <c r="R52" s="292">
        <f t="shared" si="7"/>
        <v>0</v>
      </c>
      <c r="S52" s="292">
        <f t="shared" si="8"/>
        <v>0</v>
      </c>
      <c r="T52" s="292">
        <f t="shared" si="41"/>
        <v>0</v>
      </c>
      <c r="U52" s="292">
        <f t="shared" si="42"/>
        <v>0</v>
      </c>
      <c r="V52" s="292">
        <f t="shared" si="9"/>
        <v>0</v>
      </c>
      <c r="W52" s="292">
        <f t="shared" si="10"/>
        <v>0</v>
      </c>
      <c r="X52" s="292">
        <f t="shared" si="11"/>
        <v>0</v>
      </c>
      <c r="Y52" s="292">
        <f t="shared" si="12"/>
        <v>0</v>
      </c>
      <c r="Z52" s="292">
        <f t="shared" si="13"/>
        <v>0</v>
      </c>
      <c r="AA52" s="292">
        <f t="shared" si="14"/>
        <v>0</v>
      </c>
      <c r="AB52" s="292">
        <f t="shared" si="15"/>
        <v>0</v>
      </c>
      <c r="AC52" s="292">
        <f t="shared" si="16"/>
        <v>0</v>
      </c>
      <c r="AD52" s="292">
        <f t="shared" si="17"/>
        <v>0</v>
      </c>
      <c r="AE52" s="292">
        <f t="shared" si="18"/>
        <v>0</v>
      </c>
      <c r="AF52" s="292">
        <f t="shared" si="43"/>
        <v>0</v>
      </c>
      <c r="AG52" s="292">
        <f t="shared" si="44"/>
        <v>0</v>
      </c>
      <c r="AH52" s="292">
        <f t="shared" si="19"/>
        <v>0</v>
      </c>
      <c r="AI52" s="292">
        <f t="shared" si="20"/>
        <v>0</v>
      </c>
      <c r="AJ52" s="292">
        <f t="shared" si="21"/>
        <v>0</v>
      </c>
      <c r="AK52" s="292">
        <f t="shared" si="22"/>
        <v>0</v>
      </c>
      <c r="AL52" s="292">
        <f t="shared" si="23"/>
        <v>0</v>
      </c>
      <c r="AM52" s="292">
        <f t="shared" si="24"/>
        <v>0</v>
      </c>
      <c r="AN52" s="292">
        <f t="shared" si="25"/>
        <v>0</v>
      </c>
      <c r="AO52" s="292">
        <f t="shared" si="26"/>
        <v>0</v>
      </c>
      <c r="AP52" s="292">
        <f t="shared" si="27"/>
        <v>0</v>
      </c>
      <c r="AQ52" s="292">
        <f t="shared" si="28"/>
        <v>0</v>
      </c>
      <c r="AR52" s="292">
        <f t="shared" si="29"/>
        <v>0</v>
      </c>
      <c r="AS52" s="292">
        <f t="shared" si="30"/>
        <v>0</v>
      </c>
      <c r="AT52" s="292">
        <f t="shared" si="31"/>
        <v>0</v>
      </c>
      <c r="AU52" s="292">
        <f t="shared" si="32"/>
        <v>0</v>
      </c>
      <c r="AV52" s="292">
        <f t="shared" si="33"/>
        <v>0</v>
      </c>
      <c r="AW52" s="292">
        <f t="shared" si="34"/>
        <v>0</v>
      </c>
      <c r="AX52" s="292">
        <f t="shared" si="35"/>
        <v>0</v>
      </c>
      <c r="AY52" s="292">
        <f t="shared" si="36"/>
        <v>0</v>
      </c>
      <c r="AZ52" s="292">
        <f t="shared" si="37"/>
        <v>0</v>
      </c>
      <c r="BA52" s="292">
        <f t="shared" si="38"/>
        <v>0</v>
      </c>
    </row>
    <row r="53" spans="1:53" s="289" customFormat="1" ht="16.5" customHeight="1">
      <c r="A53" s="63" t="str">
        <f t="array" ref="A53">IF(C53&lt;&gt;0,SUM(($C$11:C53&lt;&gt;0)*1),"")</f>
        <v/>
      </c>
      <c r="B53" s="290"/>
      <c r="C53" s="290"/>
      <c r="D53" s="290"/>
      <c r="E53" s="396"/>
      <c r="F53" s="345"/>
      <c r="G53" s="347"/>
      <c r="H53" s="347"/>
      <c r="I53" s="63" t="str">
        <f t="shared" si="0"/>
        <v/>
      </c>
      <c r="J53" s="292">
        <f t="shared" si="1"/>
        <v>0</v>
      </c>
      <c r="K53" s="292">
        <f t="shared" si="2"/>
        <v>0</v>
      </c>
      <c r="L53" s="292">
        <f t="shared" si="3"/>
        <v>0</v>
      </c>
      <c r="M53" s="292">
        <f t="shared" si="4"/>
        <v>0</v>
      </c>
      <c r="N53" s="292">
        <f t="shared" si="39"/>
        <v>0</v>
      </c>
      <c r="O53" s="292">
        <f t="shared" si="40"/>
        <v>0</v>
      </c>
      <c r="P53" s="292">
        <f t="shared" si="5"/>
        <v>0</v>
      </c>
      <c r="Q53" s="292">
        <f t="shared" si="6"/>
        <v>0</v>
      </c>
      <c r="R53" s="292">
        <f t="shared" si="7"/>
        <v>0</v>
      </c>
      <c r="S53" s="292">
        <f t="shared" si="8"/>
        <v>0</v>
      </c>
      <c r="T53" s="292">
        <f t="shared" si="41"/>
        <v>0</v>
      </c>
      <c r="U53" s="292">
        <f t="shared" si="42"/>
        <v>0</v>
      </c>
      <c r="V53" s="292">
        <f t="shared" si="9"/>
        <v>0</v>
      </c>
      <c r="W53" s="292">
        <f t="shared" si="10"/>
        <v>0</v>
      </c>
      <c r="X53" s="292">
        <f t="shared" si="11"/>
        <v>0</v>
      </c>
      <c r="Y53" s="292">
        <f t="shared" si="12"/>
        <v>0</v>
      </c>
      <c r="Z53" s="292">
        <f t="shared" si="13"/>
        <v>0</v>
      </c>
      <c r="AA53" s="292">
        <f t="shared" si="14"/>
        <v>0</v>
      </c>
      <c r="AB53" s="292">
        <f t="shared" si="15"/>
        <v>0</v>
      </c>
      <c r="AC53" s="292">
        <f t="shared" si="16"/>
        <v>0</v>
      </c>
      <c r="AD53" s="292">
        <f t="shared" si="17"/>
        <v>0</v>
      </c>
      <c r="AE53" s="292">
        <f t="shared" si="18"/>
        <v>0</v>
      </c>
      <c r="AF53" s="292">
        <f t="shared" si="43"/>
        <v>0</v>
      </c>
      <c r="AG53" s="292">
        <f t="shared" si="44"/>
        <v>0</v>
      </c>
      <c r="AH53" s="292">
        <f t="shared" si="19"/>
        <v>0</v>
      </c>
      <c r="AI53" s="292">
        <f t="shared" si="20"/>
        <v>0</v>
      </c>
      <c r="AJ53" s="292">
        <f t="shared" si="21"/>
        <v>0</v>
      </c>
      <c r="AK53" s="292">
        <f t="shared" si="22"/>
        <v>0</v>
      </c>
      <c r="AL53" s="292">
        <f t="shared" si="23"/>
        <v>0</v>
      </c>
      <c r="AM53" s="292">
        <f t="shared" si="24"/>
        <v>0</v>
      </c>
      <c r="AN53" s="292">
        <f t="shared" si="25"/>
        <v>0</v>
      </c>
      <c r="AO53" s="292">
        <f t="shared" si="26"/>
        <v>0</v>
      </c>
      <c r="AP53" s="292">
        <f t="shared" si="27"/>
        <v>0</v>
      </c>
      <c r="AQ53" s="292">
        <f t="shared" si="28"/>
        <v>0</v>
      </c>
      <c r="AR53" s="292">
        <f t="shared" si="29"/>
        <v>0</v>
      </c>
      <c r="AS53" s="292">
        <f t="shared" si="30"/>
        <v>0</v>
      </c>
      <c r="AT53" s="292">
        <f t="shared" si="31"/>
        <v>0</v>
      </c>
      <c r="AU53" s="292">
        <f t="shared" si="32"/>
        <v>0</v>
      </c>
      <c r="AV53" s="292">
        <f t="shared" si="33"/>
        <v>0</v>
      </c>
      <c r="AW53" s="292">
        <f t="shared" si="34"/>
        <v>0</v>
      </c>
      <c r="AX53" s="292">
        <f t="shared" si="35"/>
        <v>0</v>
      </c>
      <c r="AY53" s="292">
        <f t="shared" si="36"/>
        <v>0</v>
      </c>
      <c r="AZ53" s="292">
        <f t="shared" si="37"/>
        <v>0</v>
      </c>
      <c r="BA53" s="292">
        <f t="shared" si="38"/>
        <v>0</v>
      </c>
    </row>
    <row r="54" spans="1:53" s="289" customFormat="1" ht="16.5" customHeight="1">
      <c r="A54" s="63" t="str">
        <f t="array" ref="A54">IF(C54&lt;&gt;0,SUM(($C$11:C54&lt;&gt;0)*1),"")</f>
        <v/>
      </c>
      <c r="B54" s="290"/>
      <c r="C54" s="290"/>
      <c r="D54" s="290"/>
      <c r="E54" s="396"/>
      <c r="F54" s="345"/>
      <c r="G54" s="347"/>
      <c r="H54" s="347"/>
      <c r="I54" s="63" t="str">
        <f t="shared" si="0"/>
        <v/>
      </c>
      <c r="J54" s="292">
        <f t="shared" si="1"/>
        <v>0</v>
      </c>
      <c r="K54" s="292">
        <f t="shared" si="2"/>
        <v>0</v>
      </c>
      <c r="L54" s="292">
        <f t="shared" si="3"/>
        <v>0</v>
      </c>
      <c r="M54" s="292">
        <f t="shared" si="4"/>
        <v>0</v>
      </c>
      <c r="N54" s="292">
        <f t="shared" si="39"/>
        <v>0</v>
      </c>
      <c r="O54" s="292">
        <f t="shared" si="40"/>
        <v>0</v>
      </c>
      <c r="P54" s="292">
        <f t="shared" si="5"/>
        <v>0</v>
      </c>
      <c r="Q54" s="292">
        <f t="shared" si="6"/>
        <v>0</v>
      </c>
      <c r="R54" s="292">
        <f t="shared" si="7"/>
        <v>0</v>
      </c>
      <c r="S54" s="292">
        <f t="shared" si="8"/>
        <v>0</v>
      </c>
      <c r="T54" s="292">
        <f t="shared" si="41"/>
        <v>0</v>
      </c>
      <c r="U54" s="292">
        <f t="shared" si="42"/>
        <v>0</v>
      </c>
      <c r="V54" s="292">
        <f t="shared" si="9"/>
        <v>0</v>
      </c>
      <c r="W54" s="292">
        <f t="shared" si="10"/>
        <v>0</v>
      </c>
      <c r="X54" s="292">
        <f t="shared" si="11"/>
        <v>0</v>
      </c>
      <c r="Y54" s="292">
        <f t="shared" si="12"/>
        <v>0</v>
      </c>
      <c r="Z54" s="292">
        <f t="shared" si="13"/>
        <v>0</v>
      </c>
      <c r="AA54" s="292">
        <f t="shared" si="14"/>
        <v>0</v>
      </c>
      <c r="AB54" s="292">
        <f t="shared" si="15"/>
        <v>0</v>
      </c>
      <c r="AC54" s="292">
        <f t="shared" si="16"/>
        <v>0</v>
      </c>
      <c r="AD54" s="292">
        <f t="shared" si="17"/>
        <v>0</v>
      </c>
      <c r="AE54" s="292">
        <f t="shared" si="18"/>
        <v>0</v>
      </c>
      <c r="AF54" s="292">
        <f t="shared" si="43"/>
        <v>0</v>
      </c>
      <c r="AG54" s="292">
        <f t="shared" si="44"/>
        <v>0</v>
      </c>
      <c r="AH54" s="292">
        <f t="shared" si="19"/>
        <v>0</v>
      </c>
      <c r="AI54" s="292">
        <f t="shared" si="20"/>
        <v>0</v>
      </c>
      <c r="AJ54" s="292">
        <f t="shared" si="21"/>
        <v>0</v>
      </c>
      <c r="AK54" s="292">
        <f t="shared" si="22"/>
        <v>0</v>
      </c>
      <c r="AL54" s="292">
        <f t="shared" si="23"/>
        <v>0</v>
      </c>
      <c r="AM54" s="292">
        <f t="shared" si="24"/>
        <v>0</v>
      </c>
      <c r="AN54" s="292">
        <f t="shared" si="25"/>
        <v>0</v>
      </c>
      <c r="AO54" s="292">
        <f t="shared" si="26"/>
        <v>0</v>
      </c>
      <c r="AP54" s="292">
        <f t="shared" si="27"/>
        <v>0</v>
      </c>
      <c r="AQ54" s="292">
        <f t="shared" si="28"/>
        <v>0</v>
      </c>
      <c r="AR54" s="292">
        <f t="shared" si="29"/>
        <v>0</v>
      </c>
      <c r="AS54" s="292">
        <f t="shared" si="30"/>
        <v>0</v>
      </c>
      <c r="AT54" s="292">
        <f t="shared" si="31"/>
        <v>0</v>
      </c>
      <c r="AU54" s="292">
        <f t="shared" si="32"/>
        <v>0</v>
      </c>
      <c r="AV54" s="292">
        <f t="shared" si="33"/>
        <v>0</v>
      </c>
      <c r="AW54" s="292">
        <f t="shared" si="34"/>
        <v>0</v>
      </c>
      <c r="AX54" s="292">
        <f t="shared" si="35"/>
        <v>0</v>
      </c>
      <c r="AY54" s="292">
        <f t="shared" si="36"/>
        <v>0</v>
      </c>
      <c r="AZ54" s="292">
        <f t="shared" si="37"/>
        <v>0</v>
      </c>
      <c r="BA54" s="292">
        <f t="shared" si="38"/>
        <v>0</v>
      </c>
    </row>
    <row r="55" spans="1:53" s="289" customFormat="1" ht="16.5" customHeight="1">
      <c r="A55" s="63" t="str">
        <f t="array" ref="A55">IF(C55&lt;&gt;0,SUM(($C$11:C55&lt;&gt;0)*1),"")</f>
        <v/>
      </c>
      <c r="B55" s="290"/>
      <c r="C55" s="290"/>
      <c r="D55" s="290"/>
      <c r="E55" s="396"/>
      <c r="F55" s="345"/>
      <c r="G55" s="347"/>
      <c r="H55" s="347"/>
      <c r="I55" s="63" t="str">
        <f t="shared" si="0"/>
        <v/>
      </c>
      <c r="J55" s="292">
        <f t="shared" si="1"/>
        <v>0</v>
      </c>
      <c r="K55" s="292">
        <f t="shared" si="2"/>
        <v>0</v>
      </c>
      <c r="L55" s="292">
        <f t="shared" si="3"/>
        <v>0</v>
      </c>
      <c r="M55" s="292">
        <f t="shared" si="4"/>
        <v>0</v>
      </c>
      <c r="N55" s="292">
        <f t="shared" si="39"/>
        <v>0</v>
      </c>
      <c r="O55" s="292">
        <f t="shared" si="40"/>
        <v>0</v>
      </c>
      <c r="P55" s="292">
        <f t="shared" si="5"/>
        <v>0</v>
      </c>
      <c r="Q55" s="292">
        <f t="shared" si="6"/>
        <v>0</v>
      </c>
      <c r="R55" s="292">
        <f t="shared" si="7"/>
        <v>0</v>
      </c>
      <c r="S55" s="292">
        <f t="shared" si="8"/>
        <v>0</v>
      </c>
      <c r="T55" s="292">
        <f t="shared" si="41"/>
        <v>0</v>
      </c>
      <c r="U55" s="292">
        <f t="shared" si="42"/>
        <v>0</v>
      </c>
      <c r="V55" s="292">
        <f t="shared" si="9"/>
        <v>0</v>
      </c>
      <c r="W55" s="292">
        <f t="shared" si="10"/>
        <v>0</v>
      </c>
      <c r="X55" s="292">
        <f t="shared" si="11"/>
        <v>0</v>
      </c>
      <c r="Y55" s="292">
        <f t="shared" si="12"/>
        <v>0</v>
      </c>
      <c r="Z55" s="292">
        <f t="shared" si="13"/>
        <v>0</v>
      </c>
      <c r="AA55" s="292">
        <f t="shared" si="14"/>
        <v>0</v>
      </c>
      <c r="AB55" s="292">
        <f t="shared" si="15"/>
        <v>0</v>
      </c>
      <c r="AC55" s="292">
        <f t="shared" si="16"/>
        <v>0</v>
      </c>
      <c r="AD55" s="292">
        <f t="shared" si="17"/>
        <v>0</v>
      </c>
      <c r="AE55" s="292">
        <f t="shared" si="18"/>
        <v>0</v>
      </c>
      <c r="AF55" s="292">
        <f t="shared" si="43"/>
        <v>0</v>
      </c>
      <c r="AG55" s="292">
        <f t="shared" si="44"/>
        <v>0</v>
      </c>
      <c r="AH55" s="292">
        <f t="shared" si="19"/>
        <v>0</v>
      </c>
      <c r="AI55" s="292">
        <f t="shared" si="20"/>
        <v>0</v>
      </c>
      <c r="AJ55" s="292">
        <f t="shared" si="21"/>
        <v>0</v>
      </c>
      <c r="AK55" s="292">
        <f t="shared" si="22"/>
        <v>0</v>
      </c>
      <c r="AL55" s="292">
        <f t="shared" si="23"/>
        <v>0</v>
      </c>
      <c r="AM55" s="292">
        <f t="shared" si="24"/>
        <v>0</v>
      </c>
      <c r="AN55" s="292">
        <f t="shared" si="25"/>
        <v>0</v>
      </c>
      <c r="AO55" s="292">
        <f t="shared" si="26"/>
        <v>0</v>
      </c>
      <c r="AP55" s="292">
        <f t="shared" si="27"/>
        <v>0</v>
      </c>
      <c r="AQ55" s="292">
        <f t="shared" si="28"/>
        <v>0</v>
      </c>
      <c r="AR55" s="292">
        <f t="shared" si="29"/>
        <v>0</v>
      </c>
      <c r="AS55" s="292">
        <f t="shared" si="30"/>
        <v>0</v>
      </c>
      <c r="AT55" s="292">
        <f t="shared" si="31"/>
        <v>0</v>
      </c>
      <c r="AU55" s="292">
        <f t="shared" si="32"/>
        <v>0</v>
      </c>
      <c r="AV55" s="292">
        <f t="shared" si="33"/>
        <v>0</v>
      </c>
      <c r="AW55" s="292">
        <f t="shared" si="34"/>
        <v>0</v>
      </c>
      <c r="AX55" s="292">
        <f t="shared" si="35"/>
        <v>0</v>
      </c>
      <c r="AY55" s="292">
        <f t="shared" si="36"/>
        <v>0</v>
      </c>
      <c r="AZ55" s="292">
        <f t="shared" si="37"/>
        <v>0</v>
      </c>
      <c r="BA55" s="292">
        <f t="shared" si="38"/>
        <v>0</v>
      </c>
    </row>
    <row r="56" spans="1:53" s="289" customFormat="1" ht="16.5" customHeight="1">
      <c r="A56" s="63" t="str">
        <f t="array" ref="A56">IF(C56&lt;&gt;0,SUM(($C$11:C56&lt;&gt;0)*1),"")</f>
        <v/>
      </c>
      <c r="B56" s="290"/>
      <c r="C56" s="290"/>
      <c r="D56" s="290"/>
      <c r="E56" s="396"/>
      <c r="F56" s="345"/>
      <c r="G56" s="347"/>
      <c r="H56" s="347"/>
      <c r="I56" s="63" t="str">
        <f t="shared" si="0"/>
        <v/>
      </c>
      <c r="J56" s="292">
        <f t="shared" si="1"/>
        <v>0</v>
      </c>
      <c r="K56" s="292">
        <f t="shared" si="2"/>
        <v>0</v>
      </c>
      <c r="L56" s="292">
        <f t="shared" si="3"/>
        <v>0</v>
      </c>
      <c r="M56" s="292">
        <f t="shared" si="4"/>
        <v>0</v>
      </c>
      <c r="N56" s="292">
        <f t="shared" si="39"/>
        <v>0</v>
      </c>
      <c r="O56" s="292">
        <f t="shared" si="40"/>
        <v>0</v>
      </c>
      <c r="P56" s="292">
        <f t="shared" si="5"/>
        <v>0</v>
      </c>
      <c r="Q56" s="292">
        <f t="shared" si="6"/>
        <v>0</v>
      </c>
      <c r="R56" s="292">
        <f t="shared" si="7"/>
        <v>0</v>
      </c>
      <c r="S56" s="292">
        <f t="shared" si="8"/>
        <v>0</v>
      </c>
      <c r="T56" s="292">
        <f t="shared" si="41"/>
        <v>0</v>
      </c>
      <c r="U56" s="292">
        <f t="shared" si="42"/>
        <v>0</v>
      </c>
      <c r="V56" s="292">
        <f t="shared" si="9"/>
        <v>0</v>
      </c>
      <c r="W56" s="292">
        <f t="shared" si="10"/>
        <v>0</v>
      </c>
      <c r="X56" s="292">
        <f t="shared" si="11"/>
        <v>0</v>
      </c>
      <c r="Y56" s="292">
        <f t="shared" si="12"/>
        <v>0</v>
      </c>
      <c r="Z56" s="292">
        <f t="shared" si="13"/>
        <v>0</v>
      </c>
      <c r="AA56" s="292">
        <f t="shared" si="14"/>
        <v>0</v>
      </c>
      <c r="AB56" s="292">
        <f t="shared" si="15"/>
        <v>0</v>
      </c>
      <c r="AC56" s="292">
        <f t="shared" si="16"/>
        <v>0</v>
      </c>
      <c r="AD56" s="292">
        <f t="shared" si="17"/>
        <v>0</v>
      </c>
      <c r="AE56" s="292">
        <f t="shared" si="18"/>
        <v>0</v>
      </c>
      <c r="AF56" s="292">
        <f t="shared" si="43"/>
        <v>0</v>
      </c>
      <c r="AG56" s="292">
        <f t="shared" si="44"/>
        <v>0</v>
      </c>
      <c r="AH56" s="292">
        <f t="shared" si="19"/>
        <v>0</v>
      </c>
      <c r="AI56" s="292">
        <f t="shared" si="20"/>
        <v>0</v>
      </c>
      <c r="AJ56" s="292">
        <f t="shared" si="21"/>
        <v>0</v>
      </c>
      <c r="AK56" s="292">
        <f t="shared" si="22"/>
        <v>0</v>
      </c>
      <c r="AL56" s="292">
        <f t="shared" si="23"/>
        <v>0</v>
      </c>
      <c r="AM56" s="292">
        <f t="shared" si="24"/>
        <v>0</v>
      </c>
      <c r="AN56" s="292">
        <f t="shared" si="25"/>
        <v>0</v>
      </c>
      <c r="AO56" s="292">
        <f t="shared" si="26"/>
        <v>0</v>
      </c>
      <c r="AP56" s="292">
        <f t="shared" si="27"/>
        <v>0</v>
      </c>
      <c r="AQ56" s="292">
        <f t="shared" si="28"/>
        <v>0</v>
      </c>
      <c r="AR56" s="292">
        <f t="shared" si="29"/>
        <v>0</v>
      </c>
      <c r="AS56" s="292">
        <f t="shared" si="30"/>
        <v>0</v>
      </c>
      <c r="AT56" s="292">
        <f t="shared" si="31"/>
        <v>0</v>
      </c>
      <c r="AU56" s="292">
        <f t="shared" si="32"/>
        <v>0</v>
      </c>
      <c r="AV56" s="292">
        <f t="shared" si="33"/>
        <v>0</v>
      </c>
      <c r="AW56" s="292">
        <f t="shared" si="34"/>
        <v>0</v>
      </c>
      <c r="AX56" s="292">
        <f t="shared" si="35"/>
        <v>0</v>
      </c>
      <c r="AY56" s="292">
        <f t="shared" si="36"/>
        <v>0</v>
      </c>
      <c r="AZ56" s="292">
        <f t="shared" si="37"/>
        <v>0</v>
      </c>
      <c r="BA56" s="292">
        <f t="shared" si="38"/>
        <v>0</v>
      </c>
    </row>
    <row r="57" spans="1:53" s="289" customFormat="1" ht="16.5" customHeight="1">
      <c r="A57" s="63" t="str">
        <f t="array" ref="A57">IF(C57&lt;&gt;0,SUM(($C$11:C57&lt;&gt;0)*1),"")</f>
        <v/>
      </c>
      <c r="B57" s="290"/>
      <c r="C57" s="290"/>
      <c r="D57" s="290"/>
      <c r="E57" s="396"/>
      <c r="F57" s="345"/>
      <c r="G57" s="347"/>
      <c r="H57" s="347"/>
      <c r="I57" s="63" t="str">
        <f t="shared" si="0"/>
        <v/>
      </c>
      <c r="J57" s="292">
        <f t="shared" si="1"/>
        <v>0</v>
      </c>
      <c r="K57" s="292">
        <f t="shared" si="2"/>
        <v>0</v>
      </c>
      <c r="L57" s="292">
        <f t="shared" si="3"/>
        <v>0</v>
      </c>
      <c r="M57" s="292">
        <f t="shared" si="4"/>
        <v>0</v>
      </c>
      <c r="N57" s="292">
        <f t="shared" si="39"/>
        <v>0</v>
      </c>
      <c r="O57" s="292">
        <f t="shared" si="40"/>
        <v>0</v>
      </c>
      <c r="P57" s="292">
        <f t="shared" si="5"/>
        <v>0</v>
      </c>
      <c r="Q57" s="292">
        <f t="shared" si="6"/>
        <v>0</v>
      </c>
      <c r="R57" s="292">
        <f t="shared" si="7"/>
        <v>0</v>
      </c>
      <c r="S57" s="292">
        <f t="shared" si="8"/>
        <v>0</v>
      </c>
      <c r="T57" s="292">
        <f t="shared" si="41"/>
        <v>0</v>
      </c>
      <c r="U57" s="292">
        <f t="shared" si="42"/>
        <v>0</v>
      </c>
      <c r="V57" s="292">
        <f t="shared" si="9"/>
        <v>0</v>
      </c>
      <c r="W57" s="292">
        <f t="shared" si="10"/>
        <v>0</v>
      </c>
      <c r="X57" s="292">
        <f t="shared" si="11"/>
        <v>0</v>
      </c>
      <c r="Y57" s="292">
        <f t="shared" si="12"/>
        <v>0</v>
      </c>
      <c r="Z57" s="292">
        <f t="shared" si="13"/>
        <v>0</v>
      </c>
      <c r="AA57" s="292">
        <f t="shared" si="14"/>
        <v>0</v>
      </c>
      <c r="AB57" s="292">
        <f t="shared" si="15"/>
        <v>0</v>
      </c>
      <c r="AC57" s="292">
        <f t="shared" si="16"/>
        <v>0</v>
      </c>
      <c r="AD57" s="292">
        <f t="shared" si="17"/>
        <v>0</v>
      </c>
      <c r="AE57" s="292">
        <f t="shared" si="18"/>
        <v>0</v>
      </c>
      <c r="AF57" s="292">
        <f t="shared" si="43"/>
        <v>0</v>
      </c>
      <c r="AG57" s="292">
        <f t="shared" si="44"/>
        <v>0</v>
      </c>
      <c r="AH57" s="292">
        <f t="shared" si="19"/>
        <v>0</v>
      </c>
      <c r="AI57" s="292">
        <f t="shared" si="20"/>
        <v>0</v>
      </c>
      <c r="AJ57" s="292">
        <f t="shared" si="21"/>
        <v>0</v>
      </c>
      <c r="AK57" s="292">
        <f t="shared" si="22"/>
        <v>0</v>
      </c>
      <c r="AL57" s="292">
        <f t="shared" si="23"/>
        <v>0</v>
      </c>
      <c r="AM57" s="292">
        <f t="shared" si="24"/>
        <v>0</v>
      </c>
      <c r="AN57" s="292">
        <f t="shared" si="25"/>
        <v>0</v>
      </c>
      <c r="AO57" s="292">
        <f t="shared" si="26"/>
        <v>0</v>
      </c>
      <c r="AP57" s="292">
        <f t="shared" si="27"/>
        <v>0</v>
      </c>
      <c r="AQ57" s="292">
        <f t="shared" si="28"/>
        <v>0</v>
      </c>
      <c r="AR57" s="292">
        <f t="shared" si="29"/>
        <v>0</v>
      </c>
      <c r="AS57" s="292">
        <f t="shared" si="30"/>
        <v>0</v>
      </c>
      <c r="AT57" s="292">
        <f t="shared" si="31"/>
        <v>0</v>
      </c>
      <c r="AU57" s="292">
        <f t="shared" si="32"/>
        <v>0</v>
      </c>
      <c r="AV57" s="292">
        <f t="shared" si="33"/>
        <v>0</v>
      </c>
      <c r="AW57" s="292">
        <f t="shared" si="34"/>
        <v>0</v>
      </c>
      <c r="AX57" s="292">
        <f t="shared" si="35"/>
        <v>0</v>
      </c>
      <c r="AY57" s="292">
        <f t="shared" si="36"/>
        <v>0</v>
      </c>
      <c r="AZ57" s="292">
        <f t="shared" si="37"/>
        <v>0</v>
      </c>
      <c r="BA57" s="292">
        <f t="shared" si="38"/>
        <v>0</v>
      </c>
    </row>
    <row r="58" spans="1:53" s="289" customFormat="1" ht="16.5" customHeight="1">
      <c r="A58" s="63" t="str">
        <f t="array" ref="A58">IF(C58&lt;&gt;0,SUM(($C$11:C58&lt;&gt;0)*1),"")</f>
        <v/>
      </c>
      <c r="B58" s="290"/>
      <c r="C58" s="290"/>
      <c r="D58" s="290"/>
      <c r="E58" s="396"/>
      <c r="F58" s="345"/>
      <c r="G58" s="347"/>
      <c r="H58" s="347"/>
      <c r="I58" s="63" t="str">
        <f t="shared" si="0"/>
        <v/>
      </c>
      <c r="J58" s="292">
        <f t="shared" si="1"/>
        <v>0</v>
      </c>
      <c r="K58" s="292">
        <f t="shared" si="2"/>
        <v>0</v>
      </c>
      <c r="L58" s="292">
        <f t="shared" si="3"/>
        <v>0</v>
      </c>
      <c r="M58" s="292">
        <f t="shared" si="4"/>
        <v>0</v>
      </c>
      <c r="N58" s="292">
        <f t="shared" si="39"/>
        <v>0</v>
      </c>
      <c r="O58" s="292">
        <f t="shared" si="40"/>
        <v>0</v>
      </c>
      <c r="P58" s="292">
        <f t="shared" si="5"/>
        <v>0</v>
      </c>
      <c r="Q58" s="292">
        <f t="shared" si="6"/>
        <v>0</v>
      </c>
      <c r="R58" s="292">
        <f t="shared" si="7"/>
        <v>0</v>
      </c>
      <c r="S58" s="292">
        <f t="shared" si="8"/>
        <v>0</v>
      </c>
      <c r="T58" s="292">
        <f t="shared" si="41"/>
        <v>0</v>
      </c>
      <c r="U58" s="292">
        <f t="shared" si="42"/>
        <v>0</v>
      </c>
      <c r="V58" s="292">
        <f t="shared" si="9"/>
        <v>0</v>
      </c>
      <c r="W58" s="292">
        <f t="shared" si="10"/>
        <v>0</v>
      </c>
      <c r="X58" s="292">
        <f t="shared" si="11"/>
        <v>0</v>
      </c>
      <c r="Y58" s="292">
        <f t="shared" si="12"/>
        <v>0</v>
      </c>
      <c r="Z58" s="292">
        <f t="shared" si="13"/>
        <v>0</v>
      </c>
      <c r="AA58" s="292">
        <f t="shared" si="14"/>
        <v>0</v>
      </c>
      <c r="AB58" s="292">
        <f t="shared" si="15"/>
        <v>0</v>
      </c>
      <c r="AC58" s="292">
        <f t="shared" si="16"/>
        <v>0</v>
      </c>
      <c r="AD58" s="292">
        <f t="shared" si="17"/>
        <v>0</v>
      </c>
      <c r="AE58" s="292">
        <f t="shared" si="18"/>
        <v>0</v>
      </c>
      <c r="AF58" s="292">
        <f t="shared" si="43"/>
        <v>0</v>
      </c>
      <c r="AG58" s="292">
        <f t="shared" si="44"/>
        <v>0</v>
      </c>
      <c r="AH58" s="292">
        <f t="shared" si="19"/>
        <v>0</v>
      </c>
      <c r="AI58" s="292">
        <f t="shared" si="20"/>
        <v>0</v>
      </c>
      <c r="AJ58" s="292">
        <f t="shared" si="21"/>
        <v>0</v>
      </c>
      <c r="AK58" s="292">
        <f t="shared" si="22"/>
        <v>0</v>
      </c>
      <c r="AL58" s="292">
        <f t="shared" si="23"/>
        <v>0</v>
      </c>
      <c r="AM58" s="292">
        <f t="shared" si="24"/>
        <v>0</v>
      </c>
      <c r="AN58" s="292">
        <f t="shared" si="25"/>
        <v>0</v>
      </c>
      <c r="AO58" s="292">
        <f t="shared" si="26"/>
        <v>0</v>
      </c>
      <c r="AP58" s="292">
        <f t="shared" si="27"/>
        <v>0</v>
      </c>
      <c r="AQ58" s="292">
        <f t="shared" si="28"/>
        <v>0</v>
      </c>
      <c r="AR58" s="292">
        <f t="shared" si="29"/>
        <v>0</v>
      </c>
      <c r="AS58" s="292">
        <f t="shared" si="30"/>
        <v>0</v>
      </c>
      <c r="AT58" s="292">
        <f t="shared" si="31"/>
        <v>0</v>
      </c>
      <c r="AU58" s="292">
        <f t="shared" si="32"/>
        <v>0</v>
      </c>
      <c r="AV58" s="292">
        <f t="shared" si="33"/>
        <v>0</v>
      </c>
      <c r="AW58" s="292">
        <f t="shared" si="34"/>
        <v>0</v>
      </c>
      <c r="AX58" s="292">
        <f t="shared" si="35"/>
        <v>0</v>
      </c>
      <c r="AY58" s="292">
        <f t="shared" si="36"/>
        <v>0</v>
      </c>
      <c r="AZ58" s="292">
        <f t="shared" si="37"/>
        <v>0</v>
      </c>
      <c r="BA58" s="292">
        <f t="shared" si="38"/>
        <v>0</v>
      </c>
    </row>
    <row r="59" spans="1:53" s="289" customFormat="1" ht="16.5" customHeight="1">
      <c r="A59" s="63" t="str">
        <f t="array" ref="A59">IF(C59&lt;&gt;0,SUM(($C$11:C59&lt;&gt;0)*1),"")</f>
        <v/>
      </c>
      <c r="B59" s="290"/>
      <c r="C59" s="290"/>
      <c r="D59" s="290"/>
      <c r="E59" s="396"/>
      <c r="F59" s="345"/>
      <c r="G59" s="347"/>
      <c r="H59" s="347"/>
      <c r="I59" s="63" t="str">
        <f t="shared" si="0"/>
        <v/>
      </c>
      <c r="J59" s="292">
        <f t="shared" si="1"/>
        <v>0</v>
      </c>
      <c r="K59" s="292">
        <f t="shared" si="2"/>
        <v>0</v>
      </c>
      <c r="L59" s="292">
        <f t="shared" si="3"/>
        <v>0</v>
      </c>
      <c r="M59" s="292">
        <f t="shared" si="4"/>
        <v>0</v>
      </c>
      <c r="N59" s="292">
        <f t="shared" si="39"/>
        <v>0</v>
      </c>
      <c r="O59" s="292">
        <f t="shared" si="40"/>
        <v>0</v>
      </c>
      <c r="P59" s="292">
        <f t="shared" si="5"/>
        <v>0</v>
      </c>
      <c r="Q59" s="292">
        <f t="shared" si="6"/>
        <v>0</v>
      </c>
      <c r="R59" s="292">
        <f t="shared" si="7"/>
        <v>0</v>
      </c>
      <c r="S59" s="292">
        <f t="shared" si="8"/>
        <v>0</v>
      </c>
      <c r="T59" s="292">
        <f t="shared" si="41"/>
        <v>0</v>
      </c>
      <c r="U59" s="292">
        <f t="shared" si="42"/>
        <v>0</v>
      </c>
      <c r="V59" s="292">
        <f t="shared" si="9"/>
        <v>0</v>
      </c>
      <c r="W59" s="292">
        <f t="shared" si="10"/>
        <v>0</v>
      </c>
      <c r="X59" s="292">
        <f t="shared" si="11"/>
        <v>0</v>
      </c>
      <c r="Y59" s="292">
        <f t="shared" si="12"/>
        <v>0</v>
      </c>
      <c r="Z59" s="292">
        <f t="shared" si="13"/>
        <v>0</v>
      </c>
      <c r="AA59" s="292">
        <f t="shared" si="14"/>
        <v>0</v>
      </c>
      <c r="AB59" s="292">
        <f t="shared" si="15"/>
        <v>0</v>
      </c>
      <c r="AC59" s="292">
        <f t="shared" si="16"/>
        <v>0</v>
      </c>
      <c r="AD59" s="292">
        <f t="shared" si="17"/>
        <v>0</v>
      </c>
      <c r="AE59" s="292">
        <f t="shared" si="18"/>
        <v>0</v>
      </c>
      <c r="AF59" s="292">
        <f t="shared" si="43"/>
        <v>0</v>
      </c>
      <c r="AG59" s="292">
        <f t="shared" si="44"/>
        <v>0</v>
      </c>
      <c r="AH59" s="292">
        <f t="shared" si="19"/>
        <v>0</v>
      </c>
      <c r="AI59" s="292">
        <f t="shared" si="20"/>
        <v>0</v>
      </c>
      <c r="AJ59" s="292">
        <f t="shared" si="21"/>
        <v>0</v>
      </c>
      <c r="AK59" s="292">
        <f t="shared" si="22"/>
        <v>0</v>
      </c>
      <c r="AL59" s="292">
        <f t="shared" si="23"/>
        <v>0</v>
      </c>
      <c r="AM59" s="292">
        <f t="shared" si="24"/>
        <v>0</v>
      </c>
      <c r="AN59" s="292">
        <f t="shared" si="25"/>
        <v>0</v>
      </c>
      <c r="AO59" s="292">
        <f t="shared" si="26"/>
        <v>0</v>
      </c>
      <c r="AP59" s="292">
        <f t="shared" si="27"/>
        <v>0</v>
      </c>
      <c r="AQ59" s="292">
        <f t="shared" si="28"/>
        <v>0</v>
      </c>
      <c r="AR59" s="292">
        <f t="shared" si="29"/>
        <v>0</v>
      </c>
      <c r="AS59" s="292">
        <f t="shared" si="30"/>
        <v>0</v>
      </c>
      <c r="AT59" s="292">
        <f t="shared" si="31"/>
        <v>0</v>
      </c>
      <c r="AU59" s="292">
        <f t="shared" si="32"/>
        <v>0</v>
      </c>
      <c r="AV59" s="292">
        <f t="shared" si="33"/>
        <v>0</v>
      </c>
      <c r="AW59" s="292">
        <f t="shared" si="34"/>
        <v>0</v>
      </c>
      <c r="AX59" s="292">
        <f t="shared" si="35"/>
        <v>0</v>
      </c>
      <c r="AY59" s="292">
        <f t="shared" si="36"/>
        <v>0</v>
      </c>
      <c r="AZ59" s="292">
        <f t="shared" si="37"/>
        <v>0</v>
      </c>
      <c r="BA59" s="292">
        <f t="shared" si="38"/>
        <v>0</v>
      </c>
    </row>
    <row r="60" spans="1:53" s="289" customFormat="1" ht="16.5" customHeight="1">
      <c r="A60" s="63" t="str">
        <f t="array" ref="A60">IF(C60&lt;&gt;0,SUM(($C$11:C60&lt;&gt;0)*1),"")</f>
        <v/>
      </c>
      <c r="B60" s="290"/>
      <c r="C60" s="290"/>
      <c r="D60" s="290"/>
      <c r="E60" s="396"/>
      <c r="F60" s="345"/>
      <c r="G60" s="347"/>
      <c r="H60" s="347"/>
      <c r="I60" s="63" t="str">
        <f t="shared" si="0"/>
        <v/>
      </c>
      <c r="J60" s="292">
        <f t="shared" si="1"/>
        <v>0</v>
      </c>
      <c r="K60" s="292">
        <f t="shared" si="2"/>
        <v>0</v>
      </c>
      <c r="L60" s="292">
        <f t="shared" si="3"/>
        <v>0</v>
      </c>
      <c r="M60" s="292">
        <f t="shared" si="4"/>
        <v>0</v>
      </c>
      <c r="N60" s="292">
        <f t="shared" si="39"/>
        <v>0</v>
      </c>
      <c r="O60" s="292">
        <f t="shared" si="40"/>
        <v>0</v>
      </c>
      <c r="P60" s="292">
        <f t="shared" si="5"/>
        <v>0</v>
      </c>
      <c r="Q60" s="292">
        <f t="shared" si="6"/>
        <v>0</v>
      </c>
      <c r="R60" s="292">
        <f t="shared" si="7"/>
        <v>0</v>
      </c>
      <c r="S60" s="292">
        <f t="shared" si="8"/>
        <v>0</v>
      </c>
      <c r="T60" s="292">
        <f t="shared" si="41"/>
        <v>0</v>
      </c>
      <c r="U60" s="292">
        <f t="shared" si="42"/>
        <v>0</v>
      </c>
      <c r="V60" s="292">
        <f t="shared" si="9"/>
        <v>0</v>
      </c>
      <c r="W60" s="292">
        <f t="shared" si="10"/>
        <v>0</v>
      </c>
      <c r="X60" s="292">
        <f t="shared" si="11"/>
        <v>0</v>
      </c>
      <c r="Y60" s="292">
        <f t="shared" si="12"/>
        <v>0</v>
      </c>
      <c r="Z60" s="292">
        <f t="shared" si="13"/>
        <v>0</v>
      </c>
      <c r="AA60" s="292">
        <f t="shared" si="14"/>
        <v>0</v>
      </c>
      <c r="AB60" s="292">
        <f t="shared" si="15"/>
        <v>0</v>
      </c>
      <c r="AC60" s="292">
        <f t="shared" si="16"/>
        <v>0</v>
      </c>
      <c r="AD60" s="292">
        <f t="shared" si="17"/>
        <v>0</v>
      </c>
      <c r="AE60" s="292">
        <f t="shared" si="18"/>
        <v>0</v>
      </c>
      <c r="AF60" s="292">
        <f t="shared" si="43"/>
        <v>0</v>
      </c>
      <c r="AG60" s="292">
        <f t="shared" si="44"/>
        <v>0</v>
      </c>
      <c r="AH60" s="292">
        <f t="shared" si="19"/>
        <v>0</v>
      </c>
      <c r="AI60" s="292">
        <f t="shared" si="20"/>
        <v>0</v>
      </c>
      <c r="AJ60" s="292">
        <f t="shared" si="21"/>
        <v>0</v>
      </c>
      <c r="AK60" s="292">
        <f t="shared" si="22"/>
        <v>0</v>
      </c>
      <c r="AL60" s="292">
        <f t="shared" si="23"/>
        <v>0</v>
      </c>
      <c r="AM60" s="292">
        <f t="shared" si="24"/>
        <v>0</v>
      </c>
      <c r="AN60" s="292">
        <f t="shared" si="25"/>
        <v>0</v>
      </c>
      <c r="AO60" s="292">
        <f t="shared" si="26"/>
        <v>0</v>
      </c>
      <c r="AP60" s="292">
        <f t="shared" si="27"/>
        <v>0</v>
      </c>
      <c r="AQ60" s="292">
        <f t="shared" si="28"/>
        <v>0</v>
      </c>
      <c r="AR60" s="292">
        <f t="shared" si="29"/>
        <v>0</v>
      </c>
      <c r="AS60" s="292">
        <f t="shared" si="30"/>
        <v>0</v>
      </c>
      <c r="AT60" s="292">
        <f t="shared" si="31"/>
        <v>0</v>
      </c>
      <c r="AU60" s="292">
        <f t="shared" si="32"/>
        <v>0</v>
      </c>
      <c r="AV60" s="292">
        <f t="shared" si="33"/>
        <v>0</v>
      </c>
      <c r="AW60" s="292">
        <f t="shared" si="34"/>
        <v>0</v>
      </c>
      <c r="AX60" s="292">
        <f t="shared" si="35"/>
        <v>0</v>
      </c>
      <c r="AY60" s="292">
        <f t="shared" si="36"/>
        <v>0</v>
      </c>
      <c r="AZ60" s="292">
        <f t="shared" si="37"/>
        <v>0</v>
      </c>
      <c r="BA60" s="292">
        <f t="shared" si="38"/>
        <v>0</v>
      </c>
    </row>
    <row r="61" spans="1:53" s="289" customFormat="1" ht="16.5" customHeight="1">
      <c r="A61" s="63" t="str">
        <f t="array" ref="A61">IF(C61&lt;&gt;0,SUM(($C$11:C61&lt;&gt;0)*1),"")</f>
        <v/>
      </c>
      <c r="B61" s="290"/>
      <c r="C61" s="290"/>
      <c r="D61" s="290"/>
      <c r="E61" s="396"/>
      <c r="F61" s="345"/>
      <c r="G61" s="347"/>
      <c r="H61" s="347"/>
      <c r="I61" s="63" t="str">
        <f t="shared" si="0"/>
        <v/>
      </c>
      <c r="J61" s="292">
        <f t="shared" si="1"/>
        <v>0</v>
      </c>
      <c r="K61" s="292">
        <f t="shared" si="2"/>
        <v>0</v>
      </c>
      <c r="L61" s="292">
        <f t="shared" si="3"/>
        <v>0</v>
      </c>
      <c r="M61" s="292">
        <f t="shared" si="4"/>
        <v>0</v>
      </c>
      <c r="N61" s="292">
        <f t="shared" si="39"/>
        <v>0</v>
      </c>
      <c r="O61" s="292">
        <f t="shared" si="40"/>
        <v>0</v>
      </c>
      <c r="P61" s="292">
        <f t="shared" si="5"/>
        <v>0</v>
      </c>
      <c r="Q61" s="292">
        <f t="shared" si="6"/>
        <v>0</v>
      </c>
      <c r="R61" s="292">
        <f t="shared" si="7"/>
        <v>0</v>
      </c>
      <c r="S61" s="292">
        <f t="shared" si="8"/>
        <v>0</v>
      </c>
      <c r="T61" s="292">
        <f t="shared" si="41"/>
        <v>0</v>
      </c>
      <c r="U61" s="292">
        <f t="shared" si="42"/>
        <v>0</v>
      </c>
      <c r="V61" s="292">
        <f t="shared" si="9"/>
        <v>0</v>
      </c>
      <c r="W61" s="292">
        <f t="shared" si="10"/>
        <v>0</v>
      </c>
      <c r="X61" s="292">
        <f t="shared" si="11"/>
        <v>0</v>
      </c>
      <c r="Y61" s="292">
        <f t="shared" si="12"/>
        <v>0</v>
      </c>
      <c r="Z61" s="292">
        <f t="shared" si="13"/>
        <v>0</v>
      </c>
      <c r="AA61" s="292">
        <f t="shared" si="14"/>
        <v>0</v>
      </c>
      <c r="AB61" s="292">
        <f t="shared" si="15"/>
        <v>0</v>
      </c>
      <c r="AC61" s="292">
        <f t="shared" si="16"/>
        <v>0</v>
      </c>
      <c r="AD61" s="292">
        <f t="shared" si="17"/>
        <v>0</v>
      </c>
      <c r="AE61" s="292">
        <f t="shared" si="18"/>
        <v>0</v>
      </c>
      <c r="AF61" s="292">
        <f t="shared" si="43"/>
        <v>0</v>
      </c>
      <c r="AG61" s="292">
        <f t="shared" si="44"/>
        <v>0</v>
      </c>
      <c r="AH61" s="292">
        <f t="shared" si="19"/>
        <v>0</v>
      </c>
      <c r="AI61" s="292">
        <f t="shared" si="20"/>
        <v>0</v>
      </c>
      <c r="AJ61" s="292">
        <f t="shared" si="21"/>
        <v>0</v>
      </c>
      <c r="AK61" s="292">
        <f t="shared" si="22"/>
        <v>0</v>
      </c>
      <c r="AL61" s="292">
        <f t="shared" si="23"/>
        <v>0</v>
      </c>
      <c r="AM61" s="292">
        <f t="shared" si="24"/>
        <v>0</v>
      </c>
      <c r="AN61" s="292">
        <f t="shared" si="25"/>
        <v>0</v>
      </c>
      <c r="AO61" s="292">
        <f t="shared" si="26"/>
        <v>0</v>
      </c>
      <c r="AP61" s="292">
        <f t="shared" si="27"/>
        <v>0</v>
      </c>
      <c r="AQ61" s="292">
        <f t="shared" si="28"/>
        <v>0</v>
      </c>
      <c r="AR61" s="292">
        <f t="shared" si="29"/>
        <v>0</v>
      </c>
      <c r="AS61" s="292">
        <f t="shared" si="30"/>
        <v>0</v>
      </c>
      <c r="AT61" s="292">
        <f t="shared" si="31"/>
        <v>0</v>
      </c>
      <c r="AU61" s="292">
        <f t="shared" si="32"/>
        <v>0</v>
      </c>
      <c r="AV61" s="292">
        <f t="shared" si="33"/>
        <v>0</v>
      </c>
      <c r="AW61" s="292">
        <f t="shared" si="34"/>
        <v>0</v>
      </c>
      <c r="AX61" s="292">
        <f t="shared" si="35"/>
        <v>0</v>
      </c>
      <c r="AY61" s="292">
        <f t="shared" si="36"/>
        <v>0</v>
      </c>
      <c r="AZ61" s="292">
        <f t="shared" si="37"/>
        <v>0</v>
      </c>
      <c r="BA61" s="292">
        <f t="shared" si="38"/>
        <v>0</v>
      </c>
    </row>
    <row r="62" spans="1:53" s="289" customFormat="1" ht="16.5" customHeight="1">
      <c r="A62" s="63" t="str">
        <f t="array" ref="A62">IF(C62&lt;&gt;0,SUM(($C$11:C62&lt;&gt;0)*1),"")</f>
        <v/>
      </c>
      <c r="B62" s="290"/>
      <c r="C62" s="290"/>
      <c r="D62" s="290"/>
      <c r="E62" s="396"/>
      <c r="F62" s="345"/>
      <c r="G62" s="347"/>
      <c r="H62" s="347"/>
      <c r="I62" s="63" t="str">
        <f t="shared" si="0"/>
        <v/>
      </c>
      <c r="J62" s="292">
        <f t="shared" si="1"/>
        <v>0</v>
      </c>
      <c r="K62" s="292">
        <f t="shared" si="2"/>
        <v>0</v>
      </c>
      <c r="L62" s="292">
        <f t="shared" si="3"/>
        <v>0</v>
      </c>
      <c r="M62" s="292">
        <f t="shared" si="4"/>
        <v>0</v>
      </c>
      <c r="N62" s="292">
        <f t="shared" si="39"/>
        <v>0</v>
      </c>
      <c r="O62" s="292">
        <f t="shared" si="40"/>
        <v>0</v>
      </c>
      <c r="P62" s="292">
        <f t="shared" si="5"/>
        <v>0</v>
      </c>
      <c r="Q62" s="292">
        <f t="shared" si="6"/>
        <v>0</v>
      </c>
      <c r="R62" s="292">
        <f t="shared" si="7"/>
        <v>0</v>
      </c>
      <c r="S62" s="292">
        <f t="shared" si="8"/>
        <v>0</v>
      </c>
      <c r="T62" s="292">
        <f t="shared" si="41"/>
        <v>0</v>
      </c>
      <c r="U62" s="292">
        <f t="shared" si="42"/>
        <v>0</v>
      </c>
      <c r="V62" s="292">
        <f t="shared" si="9"/>
        <v>0</v>
      </c>
      <c r="W62" s="292">
        <f t="shared" si="10"/>
        <v>0</v>
      </c>
      <c r="X62" s="292">
        <f t="shared" si="11"/>
        <v>0</v>
      </c>
      <c r="Y62" s="292">
        <f t="shared" si="12"/>
        <v>0</v>
      </c>
      <c r="Z62" s="292">
        <f t="shared" si="13"/>
        <v>0</v>
      </c>
      <c r="AA62" s="292">
        <f t="shared" si="14"/>
        <v>0</v>
      </c>
      <c r="AB62" s="292">
        <f t="shared" si="15"/>
        <v>0</v>
      </c>
      <c r="AC62" s="292">
        <f t="shared" si="16"/>
        <v>0</v>
      </c>
      <c r="AD62" s="292">
        <f t="shared" si="17"/>
        <v>0</v>
      </c>
      <c r="AE62" s="292">
        <f t="shared" si="18"/>
        <v>0</v>
      </c>
      <c r="AF62" s="292">
        <f t="shared" si="43"/>
        <v>0</v>
      </c>
      <c r="AG62" s="292">
        <f t="shared" si="44"/>
        <v>0</v>
      </c>
      <c r="AH62" s="292">
        <f t="shared" si="19"/>
        <v>0</v>
      </c>
      <c r="AI62" s="292">
        <f t="shared" si="20"/>
        <v>0</v>
      </c>
      <c r="AJ62" s="292">
        <f t="shared" si="21"/>
        <v>0</v>
      </c>
      <c r="AK62" s="292">
        <f t="shared" si="22"/>
        <v>0</v>
      </c>
      <c r="AL62" s="292">
        <f t="shared" si="23"/>
        <v>0</v>
      </c>
      <c r="AM62" s="292">
        <f t="shared" si="24"/>
        <v>0</v>
      </c>
      <c r="AN62" s="292">
        <f t="shared" si="25"/>
        <v>0</v>
      </c>
      <c r="AO62" s="292">
        <f t="shared" si="26"/>
        <v>0</v>
      </c>
      <c r="AP62" s="292">
        <f t="shared" si="27"/>
        <v>0</v>
      </c>
      <c r="AQ62" s="292">
        <f t="shared" si="28"/>
        <v>0</v>
      </c>
      <c r="AR62" s="292">
        <f t="shared" si="29"/>
        <v>0</v>
      </c>
      <c r="AS62" s="292">
        <f t="shared" si="30"/>
        <v>0</v>
      </c>
      <c r="AT62" s="292">
        <f t="shared" si="31"/>
        <v>0</v>
      </c>
      <c r="AU62" s="292">
        <f t="shared" si="32"/>
        <v>0</v>
      </c>
      <c r="AV62" s="292">
        <f t="shared" si="33"/>
        <v>0</v>
      </c>
      <c r="AW62" s="292">
        <f t="shared" si="34"/>
        <v>0</v>
      </c>
      <c r="AX62" s="292">
        <f t="shared" si="35"/>
        <v>0</v>
      </c>
      <c r="AY62" s="292">
        <f t="shared" si="36"/>
        <v>0</v>
      </c>
      <c r="AZ62" s="292">
        <f t="shared" si="37"/>
        <v>0</v>
      </c>
      <c r="BA62" s="292">
        <f t="shared" si="38"/>
        <v>0</v>
      </c>
    </row>
    <row r="63" spans="1:53" s="289" customFormat="1" ht="16.5" customHeight="1">
      <c r="A63" s="63" t="str">
        <f t="array" ref="A63">IF(C63&lt;&gt;0,SUM(($C$11:C63&lt;&gt;0)*1),"")</f>
        <v/>
      </c>
      <c r="B63" s="290"/>
      <c r="C63" s="290"/>
      <c r="D63" s="290"/>
      <c r="E63" s="396"/>
      <c r="F63" s="345"/>
      <c r="G63" s="347"/>
      <c r="H63" s="347"/>
      <c r="I63" s="63" t="str">
        <f t="shared" si="0"/>
        <v/>
      </c>
      <c r="J63" s="292">
        <f t="shared" si="1"/>
        <v>0</v>
      </c>
      <c r="K63" s="292">
        <f t="shared" si="2"/>
        <v>0</v>
      </c>
      <c r="L63" s="292">
        <f t="shared" si="3"/>
        <v>0</v>
      </c>
      <c r="M63" s="292">
        <f t="shared" si="4"/>
        <v>0</v>
      </c>
      <c r="N63" s="292">
        <f t="shared" si="39"/>
        <v>0</v>
      </c>
      <c r="O63" s="292">
        <f t="shared" si="40"/>
        <v>0</v>
      </c>
      <c r="P63" s="292">
        <f t="shared" si="5"/>
        <v>0</v>
      </c>
      <c r="Q63" s="292">
        <f t="shared" si="6"/>
        <v>0</v>
      </c>
      <c r="R63" s="292">
        <f t="shared" si="7"/>
        <v>0</v>
      </c>
      <c r="S63" s="292">
        <f t="shared" si="8"/>
        <v>0</v>
      </c>
      <c r="T63" s="292">
        <f t="shared" si="41"/>
        <v>0</v>
      </c>
      <c r="U63" s="292">
        <f t="shared" si="42"/>
        <v>0</v>
      </c>
      <c r="V63" s="292">
        <f t="shared" si="9"/>
        <v>0</v>
      </c>
      <c r="W63" s="292">
        <f t="shared" si="10"/>
        <v>0</v>
      </c>
      <c r="X63" s="292">
        <f t="shared" si="11"/>
        <v>0</v>
      </c>
      <c r="Y63" s="292">
        <f t="shared" si="12"/>
        <v>0</v>
      </c>
      <c r="Z63" s="292">
        <f t="shared" si="13"/>
        <v>0</v>
      </c>
      <c r="AA63" s="292">
        <f t="shared" si="14"/>
        <v>0</v>
      </c>
      <c r="AB63" s="292">
        <f t="shared" si="15"/>
        <v>0</v>
      </c>
      <c r="AC63" s="292">
        <f t="shared" si="16"/>
        <v>0</v>
      </c>
      <c r="AD63" s="292">
        <f t="shared" si="17"/>
        <v>0</v>
      </c>
      <c r="AE63" s="292">
        <f t="shared" si="18"/>
        <v>0</v>
      </c>
      <c r="AF63" s="292">
        <f t="shared" si="43"/>
        <v>0</v>
      </c>
      <c r="AG63" s="292">
        <f t="shared" si="44"/>
        <v>0</v>
      </c>
      <c r="AH63" s="292">
        <f t="shared" si="19"/>
        <v>0</v>
      </c>
      <c r="AI63" s="292">
        <f t="shared" si="20"/>
        <v>0</v>
      </c>
      <c r="AJ63" s="292">
        <f t="shared" si="21"/>
        <v>0</v>
      </c>
      <c r="AK63" s="292">
        <f t="shared" si="22"/>
        <v>0</v>
      </c>
      <c r="AL63" s="292">
        <f t="shared" si="23"/>
        <v>0</v>
      </c>
      <c r="AM63" s="292">
        <f t="shared" si="24"/>
        <v>0</v>
      </c>
      <c r="AN63" s="292">
        <f t="shared" si="25"/>
        <v>0</v>
      </c>
      <c r="AO63" s="292">
        <f t="shared" si="26"/>
        <v>0</v>
      </c>
      <c r="AP63" s="292">
        <f t="shared" si="27"/>
        <v>0</v>
      </c>
      <c r="AQ63" s="292">
        <f t="shared" si="28"/>
        <v>0</v>
      </c>
      <c r="AR63" s="292">
        <f t="shared" si="29"/>
        <v>0</v>
      </c>
      <c r="AS63" s="292">
        <f t="shared" si="30"/>
        <v>0</v>
      </c>
      <c r="AT63" s="292">
        <f t="shared" si="31"/>
        <v>0</v>
      </c>
      <c r="AU63" s="292">
        <f t="shared" si="32"/>
        <v>0</v>
      </c>
      <c r="AV63" s="292">
        <f t="shared" si="33"/>
        <v>0</v>
      </c>
      <c r="AW63" s="292">
        <f t="shared" si="34"/>
        <v>0</v>
      </c>
      <c r="AX63" s="292">
        <f t="shared" si="35"/>
        <v>0</v>
      </c>
      <c r="AY63" s="292">
        <f t="shared" si="36"/>
        <v>0</v>
      </c>
      <c r="AZ63" s="292">
        <f t="shared" si="37"/>
        <v>0</v>
      </c>
      <c r="BA63" s="292">
        <f t="shared" si="38"/>
        <v>0</v>
      </c>
    </row>
    <row r="64" spans="1:53" s="289" customFormat="1" ht="16.5" customHeight="1">
      <c r="A64" s="63" t="str">
        <f t="array" ref="A64">IF(C64&lt;&gt;0,SUM(($C$11:C64&lt;&gt;0)*1),"")</f>
        <v/>
      </c>
      <c r="B64" s="290"/>
      <c r="C64" s="290"/>
      <c r="D64" s="290"/>
      <c r="E64" s="396"/>
      <c r="F64" s="345"/>
      <c r="G64" s="347"/>
      <c r="H64" s="347"/>
      <c r="I64" s="63" t="str">
        <f t="shared" si="0"/>
        <v/>
      </c>
      <c r="J64" s="292">
        <f t="shared" si="1"/>
        <v>0</v>
      </c>
      <c r="K64" s="292">
        <f t="shared" si="2"/>
        <v>0</v>
      </c>
      <c r="L64" s="292">
        <f t="shared" si="3"/>
        <v>0</v>
      </c>
      <c r="M64" s="292">
        <f t="shared" si="4"/>
        <v>0</v>
      </c>
      <c r="N64" s="292">
        <f t="shared" si="39"/>
        <v>0</v>
      </c>
      <c r="O64" s="292">
        <f t="shared" si="40"/>
        <v>0</v>
      </c>
      <c r="P64" s="292">
        <f t="shared" si="5"/>
        <v>0</v>
      </c>
      <c r="Q64" s="292">
        <f t="shared" si="6"/>
        <v>0</v>
      </c>
      <c r="R64" s="292">
        <f t="shared" si="7"/>
        <v>0</v>
      </c>
      <c r="S64" s="292">
        <f t="shared" si="8"/>
        <v>0</v>
      </c>
      <c r="T64" s="292">
        <f t="shared" si="41"/>
        <v>0</v>
      </c>
      <c r="U64" s="292">
        <f t="shared" si="42"/>
        <v>0</v>
      </c>
      <c r="V64" s="292">
        <f t="shared" si="9"/>
        <v>0</v>
      </c>
      <c r="W64" s="292">
        <f t="shared" si="10"/>
        <v>0</v>
      </c>
      <c r="X64" s="292">
        <f t="shared" si="11"/>
        <v>0</v>
      </c>
      <c r="Y64" s="292">
        <f t="shared" si="12"/>
        <v>0</v>
      </c>
      <c r="Z64" s="292">
        <f t="shared" si="13"/>
        <v>0</v>
      </c>
      <c r="AA64" s="292">
        <f t="shared" si="14"/>
        <v>0</v>
      </c>
      <c r="AB64" s="292">
        <f t="shared" si="15"/>
        <v>0</v>
      </c>
      <c r="AC64" s="292">
        <f t="shared" si="16"/>
        <v>0</v>
      </c>
      <c r="AD64" s="292">
        <f t="shared" si="17"/>
        <v>0</v>
      </c>
      <c r="AE64" s="292">
        <f t="shared" si="18"/>
        <v>0</v>
      </c>
      <c r="AF64" s="292">
        <f t="shared" si="43"/>
        <v>0</v>
      </c>
      <c r="AG64" s="292">
        <f t="shared" si="44"/>
        <v>0</v>
      </c>
      <c r="AH64" s="292">
        <f t="shared" si="19"/>
        <v>0</v>
      </c>
      <c r="AI64" s="292">
        <f t="shared" si="20"/>
        <v>0</v>
      </c>
      <c r="AJ64" s="292">
        <f t="shared" si="21"/>
        <v>0</v>
      </c>
      <c r="AK64" s="292">
        <f t="shared" si="22"/>
        <v>0</v>
      </c>
      <c r="AL64" s="292">
        <f t="shared" si="23"/>
        <v>0</v>
      </c>
      <c r="AM64" s="292">
        <f t="shared" si="24"/>
        <v>0</v>
      </c>
      <c r="AN64" s="292">
        <f t="shared" si="25"/>
        <v>0</v>
      </c>
      <c r="AO64" s="292">
        <f t="shared" si="26"/>
        <v>0</v>
      </c>
      <c r="AP64" s="292">
        <f t="shared" si="27"/>
        <v>0</v>
      </c>
      <c r="AQ64" s="292">
        <f t="shared" si="28"/>
        <v>0</v>
      </c>
      <c r="AR64" s="292">
        <f t="shared" si="29"/>
        <v>0</v>
      </c>
      <c r="AS64" s="292">
        <f t="shared" si="30"/>
        <v>0</v>
      </c>
      <c r="AT64" s="292">
        <f t="shared" si="31"/>
        <v>0</v>
      </c>
      <c r="AU64" s="292">
        <f t="shared" si="32"/>
        <v>0</v>
      </c>
      <c r="AV64" s="292">
        <f t="shared" si="33"/>
        <v>0</v>
      </c>
      <c r="AW64" s="292">
        <f t="shared" si="34"/>
        <v>0</v>
      </c>
      <c r="AX64" s="292">
        <f t="shared" si="35"/>
        <v>0</v>
      </c>
      <c r="AY64" s="292">
        <f t="shared" si="36"/>
        <v>0</v>
      </c>
      <c r="AZ64" s="292">
        <f t="shared" si="37"/>
        <v>0</v>
      </c>
      <c r="BA64" s="292">
        <f t="shared" si="38"/>
        <v>0</v>
      </c>
    </row>
    <row r="65" spans="1:53" s="289" customFormat="1" ht="16.5" customHeight="1">
      <c r="A65" s="63" t="str">
        <f t="array" ref="A65">IF(C65&lt;&gt;0,SUM(($C$11:C65&lt;&gt;0)*1),"")</f>
        <v/>
      </c>
      <c r="B65" s="290"/>
      <c r="C65" s="290"/>
      <c r="D65" s="290"/>
      <c r="E65" s="396"/>
      <c r="F65" s="345"/>
      <c r="G65" s="347"/>
      <c r="H65" s="347"/>
      <c r="I65" s="63" t="str">
        <f t="shared" si="0"/>
        <v/>
      </c>
      <c r="J65" s="292">
        <f t="shared" si="1"/>
        <v>0</v>
      </c>
      <c r="K65" s="292">
        <f t="shared" si="2"/>
        <v>0</v>
      </c>
      <c r="L65" s="292">
        <f t="shared" si="3"/>
        <v>0</v>
      </c>
      <c r="M65" s="292">
        <f t="shared" si="4"/>
        <v>0</v>
      </c>
      <c r="N65" s="292">
        <f t="shared" si="39"/>
        <v>0</v>
      </c>
      <c r="O65" s="292">
        <f t="shared" si="40"/>
        <v>0</v>
      </c>
      <c r="P65" s="292">
        <f t="shared" si="5"/>
        <v>0</v>
      </c>
      <c r="Q65" s="292">
        <f t="shared" si="6"/>
        <v>0</v>
      </c>
      <c r="R65" s="292">
        <f t="shared" si="7"/>
        <v>0</v>
      </c>
      <c r="S65" s="292">
        <f t="shared" si="8"/>
        <v>0</v>
      </c>
      <c r="T65" s="292">
        <f t="shared" si="41"/>
        <v>0</v>
      </c>
      <c r="U65" s="292">
        <f t="shared" si="42"/>
        <v>0</v>
      </c>
      <c r="V65" s="292">
        <f t="shared" si="9"/>
        <v>0</v>
      </c>
      <c r="W65" s="292">
        <f t="shared" si="10"/>
        <v>0</v>
      </c>
      <c r="X65" s="292">
        <f t="shared" si="11"/>
        <v>0</v>
      </c>
      <c r="Y65" s="292">
        <f t="shared" si="12"/>
        <v>0</v>
      </c>
      <c r="Z65" s="292">
        <f t="shared" si="13"/>
        <v>0</v>
      </c>
      <c r="AA65" s="292">
        <f t="shared" si="14"/>
        <v>0</v>
      </c>
      <c r="AB65" s="292">
        <f t="shared" si="15"/>
        <v>0</v>
      </c>
      <c r="AC65" s="292">
        <f t="shared" si="16"/>
        <v>0</v>
      </c>
      <c r="AD65" s="292">
        <f t="shared" si="17"/>
        <v>0</v>
      </c>
      <c r="AE65" s="292">
        <f t="shared" si="18"/>
        <v>0</v>
      </c>
      <c r="AF65" s="292">
        <f t="shared" si="43"/>
        <v>0</v>
      </c>
      <c r="AG65" s="292">
        <f t="shared" si="44"/>
        <v>0</v>
      </c>
      <c r="AH65" s="292">
        <f t="shared" si="19"/>
        <v>0</v>
      </c>
      <c r="AI65" s="292">
        <f t="shared" si="20"/>
        <v>0</v>
      </c>
      <c r="AJ65" s="292">
        <f t="shared" si="21"/>
        <v>0</v>
      </c>
      <c r="AK65" s="292">
        <f t="shared" si="22"/>
        <v>0</v>
      </c>
      <c r="AL65" s="292">
        <f t="shared" si="23"/>
        <v>0</v>
      </c>
      <c r="AM65" s="292">
        <f t="shared" si="24"/>
        <v>0</v>
      </c>
      <c r="AN65" s="292">
        <f t="shared" si="25"/>
        <v>0</v>
      </c>
      <c r="AO65" s="292">
        <f t="shared" si="26"/>
        <v>0</v>
      </c>
      <c r="AP65" s="292">
        <f t="shared" si="27"/>
        <v>0</v>
      </c>
      <c r="AQ65" s="292">
        <f t="shared" si="28"/>
        <v>0</v>
      </c>
      <c r="AR65" s="292">
        <f t="shared" si="29"/>
        <v>0</v>
      </c>
      <c r="AS65" s="292">
        <f t="shared" si="30"/>
        <v>0</v>
      </c>
      <c r="AT65" s="292">
        <f t="shared" si="31"/>
        <v>0</v>
      </c>
      <c r="AU65" s="292">
        <f t="shared" si="32"/>
        <v>0</v>
      </c>
      <c r="AV65" s="292">
        <f t="shared" si="33"/>
        <v>0</v>
      </c>
      <c r="AW65" s="292">
        <f t="shared" si="34"/>
        <v>0</v>
      </c>
      <c r="AX65" s="292">
        <f t="shared" si="35"/>
        <v>0</v>
      </c>
      <c r="AY65" s="292">
        <f t="shared" si="36"/>
        <v>0</v>
      </c>
      <c r="AZ65" s="292">
        <f t="shared" si="37"/>
        <v>0</v>
      </c>
      <c r="BA65" s="292">
        <f t="shared" si="38"/>
        <v>0</v>
      </c>
    </row>
    <row r="66" spans="1:53" s="289" customFormat="1" ht="16.5" customHeight="1">
      <c r="A66" s="63" t="str">
        <f t="array" ref="A66">IF(C66&lt;&gt;0,SUM(($C$11:C66&lt;&gt;0)*1),"")</f>
        <v/>
      </c>
      <c r="B66" s="290"/>
      <c r="C66" s="290"/>
      <c r="D66" s="290"/>
      <c r="E66" s="396"/>
      <c r="F66" s="345"/>
      <c r="G66" s="347"/>
      <c r="H66" s="347"/>
      <c r="I66" s="63" t="str">
        <f t="shared" si="0"/>
        <v/>
      </c>
      <c r="J66" s="292">
        <f t="shared" si="1"/>
        <v>0</v>
      </c>
      <c r="K66" s="292">
        <f t="shared" si="2"/>
        <v>0</v>
      </c>
      <c r="L66" s="292">
        <f t="shared" si="3"/>
        <v>0</v>
      </c>
      <c r="M66" s="292">
        <f t="shared" si="4"/>
        <v>0</v>
      </c>
      <c r="N66" s="292">
        <f t="shared" si="39"/>
        <v>0</v>
      </c>
      <c r="O66" s="292">
        <f t="shared" si="40"/>
        <v>0</v>
      </c>
      <c r="P66" s="292">
        <f t="shared" si="5"/>
        <v>0</v>
      </c>
      <c r="Q66" s="292">
        <f t="shared" si="6"/>
        <v>0</v>
      </c>
      <c r="R66" s="292">
        <f t="shared" si="7"/>
        <v>0</v>
      </c>
      <c r="S66" s="292">
        <f t="shared" si="8"/>
        <v>0</v>
      </c>
      <c r="T66" s="292">
        <f t="shared" si="41"/>
        <v>0</v>
      </c>
      <c r="U66" s="292">
        <f t="shared" si="42"/>
        <v>0</v>
      </c>
      <c r="V66" s="292">
        <f t="shared" si="9"/>
        <v>0</v>
      </c>
      <c r="W66" s="292">
        <f t="shared" si="10"/>
        <v>0</v>
      </c>
      <c r="X66" s="292">
        <f t="shared" si="11"/>
        <v>0</v>
      </c>
      <c r="Y66" s="292">
        <f t="shared" si="12"/>
        <v>0</v>
      </c>
      <c r="Z66" s="292">
        <f t="shared" si="13"/>
        <v>0</v>
      </c>
      <c r="AA66" s="292">
        <f t="shared" si="14"/>
        <v>0</v>
      </c>
      <c r="AB66" s="292">
        <f t="shared" si="15"/>
        <v>0</v>
      </c>
      <c r="AC66" s="292">
        <f t="shared" si="16"/>
        <v>0</v>
      </c>
      <c r="AD66" s="292">
        <f t="shared" si="17"/>
        <v>0</v>
      </c>
      <c r="AE66" s="292">
        <f t="shared" si="18"/>
        <v>0</v>
      </c>
      <c r="AF66" s="292">
        <f t="shared" si="43"/>
        <v>0</v>
      </c>
      <c r="AG66" s="292">
        <f t="shared" si="44"/>
        <v>0</v>
      </c>
      <c r="AH66" s="292">
        <f t="shared" si="19"/>
        <v>0</v>
      </c>
      <c r="AI66" s="292">
        <f t="shared" si="20"/>
        <v>0</v>
      </c>
      <c r="AJ66" s="292">
        <f t="shared" si="21"/>
        <v>0</v>
      </c>
      <c r="AK66" s="292">
        <f t="shared" si="22"/>
        <v>0</v>
      </c>
      <c r="AL66" s="292">
        <f t="shared" si="23"/>
        <v>0</v>
      </c>
      <c r="AM66" s="292">
        <f t="shared" si="24"/>
        <v>0</v>
      </c>
      <c r="AN66" s="292">
        <f t="shared" si="25"/>
        <v>0</v>
      </c>
      <c r="AO66" s="292">
        <f t="shared" si="26"/>
        <v>0</v>
      </c>
      <c r="AP66" s="292">
        <f t="shared" si="27"/>
        <v>0</v>
      </c>
      <c r="AQ66" s="292">
        <f t="shared" si="28"/>
        <v>0</v>
      </c>
      <c r="AR66" s="292">
        <f t="shared" si="29"/>
        <v>0</v>
      </c>
      <c r="AS66" s="292">
        <f t="shared" si="30"/>
        <v>0</v>
      </c>
      <c r="AT66" s="292">
        <f t="shared" si="31"/>
        <v>0</v>
      </c>
      <c r="AU66" s="292">
        <f t="shared" si="32"/>
        <v>0</v>
      </c>
      <c r="AV66" s="292">
        <f t="shared" si="33"/>
        <v>0</v>
      </c>
      <c r="AW66" s="292">
        <f t="shared" si="34"/>
        <v>0</v>
      </c>
      <c r="AX66" s="292">
        <f t="shared" si="35"/>
        <v>0</v>
      </c>
      <c r="AY66" s="292">
        <f t="shared" si="36"/>
        <v>0</v>
      </c>
      <c r="AZ66" s="292">
        <f t="shared" si="37"/>
        <v>0</v>
      </c>
      <c r="BA66" s="292">
        <f t="shared" si="38"/>
        <v>0</v>
      </c>
    </row>
    <row r="67" spans="1:53" s="289" customFormat="1" ht="16.5" customHeight="1">
      <c r="A67" s="63" t="str">
        <f t="array" ref="A67">IF(C67&lt;&gt;0,SUM(($C$11:C67&lt;&gt;0)*1),"")</f>
        <v/>
      </c>
      <c r="B67" s="290"/>
      <c r="C67" s="290"/>
      <c r="D67" s="290"/>
      <c r="E67" s="396"/>
      <c r="F67" s="345"/>
      <c r="G67" s="347"/>
      <c r="H67" s="347"/>
      <c r="I67" s="63" t="str">
        <f t="shared" si="0"/>
        <v/>
      </c>
      <c r="J67" s="292">
        <f t="shared" si="1"/>
        <v>0</v>
      </c>
      <c r="K67" s="292">
        <f t="shared" si="2"/>
        <v>0</v>
      </c>
      <c r="L67" s="292">
        <f t="shared" si="3"/>
        <v>0</v>
      </c>
      <c r="M67" s="292">
        <f t="shared" si="4"/>
        <v>0</v>
      </c>
      <c r="N67" s="292">
        <f t="shared" si="39"/>
        <v>0</v>
      </c>
      <c r="O67" s="292">
        <f t="shared" si="40"/>
        <v>0</v>
      </c>
      <c r="P67" s="292">
        <f t="shared" si="5"/>
        <v>0</v>
      </c>
      <c r="Q67" s="292">
        <f t="shared" si="6"/>
        <v>0</v>
      </c>
      <c r="R67" s="292">
        <f t="shared" si="7"/>
        <v>0</v>
      </c>
      <c r="S67" s="292">
        <f t="shared" si="8"/>
        <v>0</v>
      </c>
      <c r="T67" s="292">
        <f t="shared" si="41"/>
        <v>0</v>
      </c>
      <c r="U67" s="292">
        <f t="shared" si="42"/>
        <v>0</v>
      </c>
      <c r="V67" s="292">
        <f t="shared" si="9"/>
        <v>0</v>
      </c>
      <c r="W67" s="292">
        <f t="shared" si="10"/>
        <v>0</v>
      </c>
      <c r="X67" s="292">
        <f t="shared" si="11"/>
        <v>0</v>
      </c>
      <c r="Y67" s="292">
        <f t="shared" si="12"/>
        <v>0</v>
      </c>
      <c r="Z67" s="292">
        <f t="shared" si="13"/>
        <v>0</v>
      </c>
      <c r="AA67" s="292">
        <f t="shared" si="14"/>
        <v>0</v>
      </c>
      <c r="AB67" s="292">
        <f t="shared" si="15"/>
        <v>0</v>
      </c>
      <c r="AC67" s="292">
        <f t="shared" si="16"/>
        <v>0</v>
      </c>
      <c r="AD67" s="292">
        <f t="shared" si="17"/>
        <v>0</v>
      </c>
      <c r="AE67" s="292">
        <f t="shared" si="18"/>
        <v>0</v>
      </c>
      <c r="AF67" s="292">
        <f t="shared" si="43"/>
        <v>0</v>
      </c>
      <c r="AG67" s="292">
        <f t="shared" si="44"/>
        <v>0</v>
      </c>
      <c r="AH67" s="292">
        <f t="shared" si="19"/>
        <v>0</v>
      </c>
      <c r="AI67" s="292">
        <f t="shared" si="20"/>
        <v>0</v>
      </c>
      <c r="AJ67" s="292">
        <f t="shared" si="21"/>
        <v>0</v>
      </c>
      <c r="AK67" s="292">
        <f t="shared" si="22"/>
        <v>0</v>
      </c>
      <c r="AL67" s="292">
        <f t="shared" si="23"/>
        <v>0</v>
      </c>
      <c r="AM67" s="292">
        <f t="shared" si="24"/>
        <v>0</v>
      </c>
      <c r="AN67" s="292">
        <f t="shared" si="25"/>
        <v>0</v>
      </c>
      <c r="AO67" s="292">
        <f t="shared" si="26"/>
        <v>0</v>
      </c>
      <c r="AP67" s="292">
        <f t="shared" si="27"/>
        <v>0</v>
      </c>
      <c r="AQ67" s="292">
        <f t="shared" si="28"/>
        <v>0</v>
      </c>
      <c r="AR67" s="292">
        <f t="shared" si="29"/>
        <v>0</v>
      </c>
      <c r="AS67" s="292">
        <f t="shared" si="30"/>
        <v>0</v>
      </c>
      <c r="AT67" s="292">
        <f t="shared" si="31"/>
        <v>0</v>
      </c>
      <c r="AU67" s="292">
        <f t="shared" si="32"/>
        <v>0</v>
      </c>
      <c r="AV67" s="292">
        <f t="shared" si="33"/>
        <v>0</v>
      </c>
      <c r="AW67" s="292">
        <f t="shared" si="34"/>
        <v>0</v>
      </c>
      <c r="AX67" s="292">
        <f t="shared" si="35"/>
        <v>0</v>
      </c>
      <c r="AY67" s="292">
        <f t="shared" si="36"/>
        <v>0</v>
      </c>
      <c r="AZ67" s="292">
        <f t="shared" si="37"/>
        <v>0</v>
      </c>
      <c r="BA67" s="292">
        <f t="shared" si="38"/>
        <v>0</v>
      </c>
    </row>
    <row r="68" spans="1:53" s="289" customFormat="1" ht="16.5" customHeight="1">
      <c r="A68" s="63" t="str">
        <f t="array" ref="A68">IF(C68&lt;&gt;0,SUM(($C$11:C68&lt;&gt;0)*1),"")</f>
        <v/>
      </c>
      <c r="B68" s="290"/>
      <c r="C68" s="290"/>
      <c r="D68" s="290"/>
      <c r="E68" s="396"/>
      <c r="F68" s="345"/>
      <c r="G68" s="347"/>
      <c r="H68" s="347"/>
      <c r="I68" s="63" t="str">
        <f t="shared" si="0"/>
        <v/>
      </c>
      <c r="J68" s="292">
        <f t="shared" si="1"/>
        <v>0</v>
      </c>
      <c r="K68" s="292">
        <f t="shared" si="2"/>
        <v>0</v>
      </c>
      <c r="L68" s="292">
        <f t="shared" si="3"/>
        <v>0</v>
      </c>
      <c r="M68" s="292">
        <f t="shared" si="4"/>
        <v>0</v>
      </c>
      <c r="N68" s="292">
        <f t="shared" si="39"/>
        <v>0</v>
      </c>
      <c r="O68" s="292">
        <f t="shared" si="40"/>
        <v>0</v>
      </c>
      <c r="P68" s="292">
        <f t="shared" si="5"/>
        <v>0</v>
      </c>
      <c r="Q68" s="292">
        <f t="shared" si="6"/>
        <v>0</v>
      </c>
      <c r="R68" s="292">
        <f t="shared" si="7"/>
        <v>0</v>
      </c>
      <c r="S68" s="292">
        <f t="shared" si="8"/>
        <v>0</v>
      </c>
      <c r="T68" s="292">
        <f t="shared" si="41"/>
        <v>0</v>
      </c>
      <c r="U68" s="292">
        <f t="shared" si="42"/>
        <v>0</v>
      </c>
      <c r="V68" s="292">
        <f t="shared" si="9"/>
        <v>0</v>
      </c>
      <c r="W68" s="292">
        <f t="shared" si="10"/>
        <v>0</v>
      </c>
      <c r="X68" s="292">
        <f t="shared" si="11"/>
        <v>0</v>
      </c>
      <c r="Y68" s="292">
        <f t="shared" si="12"/>
        <v>0</v>
      </c>
      <c r="Z68" s="292">
        <f t="shared" si="13"/>
        <v>0</v>
      </c>
      <c r="AA68" s="292">
        <f t="shared" si="14"/>
        <v>0</v>
      </c>
      <c r="AB68" s="292">
        <f t="shared" si="15"/>
        <v>0</v>
      </c>
      <c r="AC68" s="292">
        <f t="shared" si="16"/>
        <v>0</v>
      </c>
      <c r="AD68" s="292">
        <f t="shared" si="17"/>
        <v>0</v>
      </c>
      <c r="AE68" s="292">
        <f t="shared" si="18"/>
        <v>0</v>
      </c>
      <c r="AF68" s="292">
        <f t="shared" si="43"/>
        <v>0</v>
      </c>
      <c r="AG68" s="292">
        <f t="shared" si="44"/>
        <v>0</v>
      </c>
      <c r="AH68" s="292">
        <f t="shared" si="19"/>
        <v>0</v>
      </c>
      <c r="AI68" s="292">
        <f t="shared" si="20"/>
        <v>0</v>
      </c>
      <c r="AJ68" s="292">
        <f t="shared" si="21"/>
        <v>0</v>
      </c>
      <c r="AK68" s="292">
        <f t="shared" si="22"/>
        <v>0</v>
      </c>
      <c r="AL68" s="292">
        <f t="shared" si="23"/>
        <v>0</v>
      </c>
      <c r="AM68" s="292">
        <f t="shared" si="24"/>
        <v>0</v>
      </c>
      <c r="AN68" s="292">
        <f t="shared" si="25"/>
        <v>0</v>
      </c>
      <c r="AO68" s="292">
        <f t="shared" si="26"/>
        <v>0</v>
      </c>
      <c r="AP68" s="292">
        <f t="shared" si="27"/>
        <v>0</v>
      </c>
      <c r="AQ68" s="292">
        <f t="shared" si="28"/>
        <v>0</v>
      </c>
      <c r="AR68" s="292">
        <f t="shared" si="29"/>
        <v>0</v>
      </c>
      <c r="AS68" s="292">
        <f t="shared" si="30"/>
        <v>0</v>
      </c>
      <c r="AT68" s="292">
        <f t="shared" si="31"/>
        <v>0</v>
      </c>
      <c r="AU68" s="292">
        <f t="shared" si="32"/>
        <v>0</v>
      </c>
      <c r="AV68" s="292">
        <f t="shared" si="33"/>
        <v>0</v>
      </c>
      <c r="AW68" s="292">
        <f t="shared" si="34"/>
        <v>0</v>
      </c>
      <c r="AX68" s="292">
        <f t="shared" si="35"/>
        <v>0</v>
      </c>
      <c r="AY68" s="292">
        <f t="shared" si="36"/>
        <v>0</v>
      </c>
      <c r="AZ68" s="292">
        <f t="shared" si="37"/>
        <v>0</v>
      </c>
      <c r="BA68" s="292">
        <f t="shared" si="38"/>
        <v>0</v>
      </c>
    </row>
    <row r="69" spans="1:53" s="289" customFormat="1" ht="16.5" customHeight="1">
      <c r="A69" s="63" t="str">
        <f t="array" ref="A69">IF(C69&lt;&gt;0,SUM(($C$11:C69&lt;&gt;0)*1),"")</f>
        <v/>
      </c>
      <c r="B69" s="290"/>
      <c r="C69" s="290"/>
      <c r="D69" s="290"/>
      <c r="E69" s="396"/>
      <c r="F69" s="345"/>
      <c r="G69" s="347"/>
      <c r="H69" s="347"/>
      <c r="I69" s="63" t="str">
        <f t="shared" si="0"/>
        <v/>
      </c>
      <c r="J69" s="292">
        <f t="shared" si="1"/>
        <v>0</v>
      </c>
      <c r="K69" s="292">
        <f t="shared" si="2"/>
        <v>0</v>
      </c>
      <c r="L69" s="292">
        <f t="shared" si="3"/>
        <v>0</v>
      </c>
      <c r="M69" s="292">
        <f t="shared" si="4"/>
        <v>0</v>
      </c>
      <c r="N69" s="292">
        <f t="shared" si="39"/>
        <v>0</v>
      </c>
      <c r="O69" s="292">
        <f t="shared" si="40"/>
        <v>0</v>
      </c>
      <c r="P69" s="292">
        <f t="shared" si="5"/>
        <v>0</v>
      </c>
      <c r="Q69" s="292">
        <f t="shared" si="6"/>
        <v>0</v>
      </c>
      <c r="R69" s="292">
        <f t="shared" si="7"/>
        <v>0</v>
      </c>
      <c r="S69" s="292">
        <f t="shared" si="8"/>
        <v>0</v>
      </c>
      <c r="T69" s="292">
        <f t="shared" si="41"/>
        <v>0</v>
      </c>
      <c r="U69" s="292">
        <f t="shared" si="42"/>
        <v>0</v>
      </c>
      <c r="V69" s="292">
        <f t="shared" si="9"/>
        <v>0</v>
      </c>
      <c r="W69" s="292">
        <f t="shared" si="10"/>
        <v>0</v>
      </c>
      <c r="X69" s="292">
        <f t="shared" si="11"/>
        <v>0</v>
      </c>
      <c r="Y69" s="292">
        <f t="shared" si="12"/>
        <v>0</v>
      </c>
      <c r="Z69" s="292">
        <f t="shared" si="13"/>
        <v>0</v>
      </c>
      <c r="AA69" s="292">
        <f t="shared" si="14"/>
        <v>0</v>
      </c>
      <c r="AB69" s="292">
        <f t="shared" si="15"/>
        <v>0</v>
      </c>
      <c r="AC69" s="292">
        <f t="shared" si="16"/>
        <v>0</v>
      </c>
      <c r="AD69" s="292">
        <f t="shared" si="17"/>
        <v>0</v>
      </c>
      <c r="AE69" s="292">
        <f t="shared" si="18"/>
        <v>0</v>
      </c>
      <c r="AF69" s="292">
        <f t="shared" si="43"/>
        <v>0</v>
      </c>
      <c r="AG69" s="292">
        <f t="shared" si="44"/>
        <v>0</v>
      </c>
      <c r="AH69" s="292">
        <f t="shared" si="19"/>
        <v>0</v>
      </c>
      <c r="AI69" s="292">
        <f t="shared" si="20"/>
        <v>0</v>
      </c>
      <c r="AJ69" s="292">
        <f t="shared" si="21"/>
        <v>0</v>
      </c>
      <c r="AK69" s="292">
        <f t="shared" si="22"/>
        <v>0</v>
      </c>
      <c r="AL69" s="292">
        <f t="shared" si="23"/>
        <v>0</v>
      </c>
      <c r="AM69" s="292">
        <f t="shared" si="24"/>
        <v>0</v>
      </c>
      <c r="AN69" s="292">
        <f t="shared" si="25"/>
        <v>0</v>
      </c>
      <c r="AO69" s="292">
        <f t="shared" si="26"/>
        <v>0</v>
      </c>
      <c r="AP69" s="292">
        <f t="shared" si="27"/>
        <v>0</v>
      </c>
      <c r="AQ69" s="292">
        <f t="shared" si="28"/>
        <v>0</v>
      </c>
      <c r="AR69" s="292">
        <f t="shared" si="29"/>
        <v>0</v>
      </c>
      <c r="AS69" s="292">
        <f t="shared" si="30"/>
        <v>0</v>
      </c>
      <c r="AT69" s="292">
        <f t="shared" si="31"/>
        <v>0</v>
      </c>
      <c r="AU69" s="292">
        <f t="shared" si="32"/>
        <v>0</v>
      </c>
      <c r="AV69" s="292">
        <f t="shared" si="33"/>
        <v>0</v>
      </c>
      <c r="AW69" s="292">
        <f t="shared" si="34"/>
        <v>0</v>
      </c>
      <c r="AX69" s="292">
        <f t="shared" si="35"/>
        <v>0</v>
      </c>
      <c r="AY69" s="292">
        <f t="shared" si="36"/>
        <v>0</v>
      </c>
      <c r="AZ69" s="292">
        <f t="shared" si="37"/>
        <v>0</v>
      </c>
      <c r="BA69" s="292">
        <f t="shared" si="38"/>
        <v>0</v>
      </c>
    </row>
    <row r="70" spans="1:53" s="289" customFormat="1" ht="16.5" customHeight="1">
      <c r="A70" s="63" t="str">
        <f t="array" ref="A70">IF(C70&lt;&gt;0,SUM(($C$11:C70&lt;&gt;0)*1),"")</f>
        <v/>
      </c>
      <c r="B70" s="290"/>
      <c r="C70" s="290"/>
      <c r="D70" s="290"/>
      <c r="E70" s="396"/>
      <c r="F70" s="345"/>
      <c r="G70" s="347"/>
      <c r="H70" s="347"/>
      <c r="I70" s="63" t="str">
        <f t="shared" si="0"/>
        <v/>
      </c>
      <c r="J70" s="292">
        <f t="shared" si="1"/>
        <v>0</v>
      </c>
      <c r="K70" s="292">
        <f t="shared" si="2"/>
        <v>0</v>
      </c>
      <c r="L70" s="292">
        <f t="shared" si="3"/>
        <v>0</v>
      </c>
      <c r="M70" s="292">
        <f t="shared" si="4"/>
        <v>0</v>
      </c>
      <c r="N70" s="292">
        <f t="shared" si="39"/>
        <v>0</v>
      </c>
      <c r="O70" s="292">
        <f t="shared" si="40"/>
        <v>0</v>
      </c>
      <c r="P70" s="292">
        <f t="shared" si="5"/>
        <v>0</v>
      </c>
      <c r="Q70" s="292">
        <f t="shared" si="6"/>
        <v>0</v>
      </c>
      <c r="R70" s="292">
        <f t="shared" si="7"/>
        <v>0</v>
      </c>
      <c r="S70" s="292">
        <f t="shared" si="8"/>
        <v>0</v>
      </c>
      <c r="T70" s="292">
        <f t="shared" si="41"/>
        <v>0</v>
      </c>
      <c r="U70" s="292">
        <f t="shared" si="42"/>
        <v>0</v>
      </c>
      <c r="V70" s="292">
        <f t="shared" si="9"/>
        <v>0</v>
      </c>
      <c r="W70" s="292">
        <f t="shared" si="10"/>
        <v>0</v>
      </c>
      <c r="X70" s="292">
        <f t="shared" si="11"/>
        <v>0</v>
      </c>
      <c r="Y70" s="292">
        <f t="shared" si="12"/>
        <v>0</v>
      </c>
      <c r="Z70" s="292">
        <f t="shared" si="13"/>
        <v>0</v>
      </c>
      <c r="AA70" s="292">
        <f t="shared" si="14"/>
        <v>0</v>
      </c>
      <c r="AB70" s="292">
        <f t="shared" si="15"/>
        <v>0</v>
      </c>
      <c r="AC70" s="292">
        <f t="shared" si="16"/>
        <v>0</v>
      </c>
      <c r="AD70" s="292">
        <f t="shared" si="17"/>
        <v>0</v>
      </c>
      <c r="AE70" s="292">
        <f t="shared" si="18"/>
        <v>0</v>
      </c>
      <c r="AF70" s="292">
        <f t="shared" si="43"/>
        <v>0</v>
      </c>
      <c r="AG70" s="292">
        <f t="shared" si="44"/>
        <v>0</v>
      </c>
      <c r="AH70" s="292">
        <f t="shared" si="19"/>
        <v>0</v>
      </c>
      <c r="AI70" s="292">
        <f t="shared" si="20"/>
        <v>0</v>
      </c>
      <c r="AJ70" s="292">
        <f t="shared" si="21"/>
        <v>0</v>
      </c>
      <c r="AK70" s="292">
        <f t="shared" si="22"/>
        <v>0</v>
      </c>
      <c r="AL70" s="292">
        <f t="shared" si="23"/>
        <v>0</v>
      </c>
      <c r="AM70" s="292">
        <f t="shared" si="24"/>
        <v>0</v>
      </c>
      <c r="AN70" s="292">
        <f t="shared" si="25"/>
        <v>0</v>
      </c>
      <c r="AO70" s="292">
        <f t="shared" si="26"/>
        <v>0</v>
      </c>
      <c r="AP70" s="292">
        <f t="shared" si="27"/>
        <v>0</v>
      </c>
      <c r="AQ70" s="292">
        <f t="shared" si="28"/>
        <v>0</v>
      </c>
      <c r="AR70" s="292">
        <f t="shared" si="29"/>
        <v>0</v>
      </c>
      <c r="AS70" s="292">
        <f t="shared" si="30"/>
        <v>0</v>
      </c>
      <c r="AT70" s="292">
        <f t="shared" si="31"/>
        <v>0</v>
      </c>
      <c r="AU70" s="292">
        <f t="shared" si="32"/>
        <v>0</v>
      </c>
      <c r="AV70" s="292">
        <f t="shared" si="33"/>
        <v>0</v>
      </c>
      <c r="AW70" s="292">
        <f t="shared" si="34"/>
        <v>0</v>
      </c>
      <c r="AX70" s="292">
        <f t="shared" si="35"/>
        <v>0</v>
      </c>
      <c r="AY70" s="292">
        <f t="shared" si="36"/>
        <v>0</v>
      </c>
      <c r="AZ70" s="292">
        <f t="shared" si="37"/>
        <v>0</v>
      </c>
      <c r="BA70" s="292">
        <f t="shared" si="38"/>
        <v>0</v>
      </c>
    </row>
    <row r="71" spans="1:53" s="289" customFormat="1" ht="16.5" customHeight="1">
      <c r="A71" s="63" t="str">
        <f t="array" ref="A71">IF(C71&lt;&gt;0,SUM(($C$11:C71&lt;&gt;0)*1),"")</f>
        <v/>
      </c>
      <c r="B71" s="290"/>
      <c r="C71" s="290"/>
      <c r="D71" s="290"/>
      <c r="E71" s="396"/>
      <c r="F71" s="345"/>
      <c r="G71" s="347"/>
      <c r="H71" s="347"/>
      <c r="I71" s="63" t="str">
        <f t="shared" si="0"/>
        <v/>
      </c>
      <c r="J71" s="292">
        <f t="shared" si="1"/>
        <v>0</v>
      </c>
      <c r="K71" s="292">
        <f t="shared" si="2"/>
        <v>0</v>
      </c>
      <c r="L71" s="292">
        <f t="shared" si="3"/>
        <v>0</v>
      </c>
      <c r="M71" s="292">
        <f t="shared" si="4"/>
        <v>0</v>
      </c>
      <c r="N71" s="292">
        <f t="shared" si="39"/>
        <v>0</v>
      </c>
      <c r="O71" s="292">
        <f t="shared" si="40"/>
        <v>0</v>
      </c>
      <c r="P71" s="292">
        <f t="shared" si="5"/>
        <v>0</v>
      </c>
      <c r="Q71" s="292">
        <f t="shared" si="6"/>
        <v>0</v>
      </c>
      <c r="R71" s="292">
        <f t="shared" si="7"/>
        <v>0</v>
      </c>
      <c r="S71" s="292">
        <f t="shared" si="8"/>
        <v>0</v>
      </c>
      <c r="T71" s="292">
        <f t="shared" si="41"/>
        <v>0</v>
      </c>
      <c r="U71" s="292">
        <f t="shared" si="42"/>
        <v>0</v>
      </c>
      <c r="V71" s="292">
        <f t="shared" si="9"/>
        <v>0</v>
      </c>
      <c r="W71" s="292">
        <f t="shared" si="10"/>
        <v>0</v>
      </c>
      <c r="X71" s="292">
        <f t="shared" si="11"/>
        <v>0</v>
      </c>
      <c r="Y71" s="292">
        <f t="shared" si="12"/>
        <v>0</v>
      </c>
      <c r="Z71" s="292">
        <f t="shared" si="13"/>
        <v>0</v>
      </c>
      <c r="AA71" s="292">
        <f t="shared" si="14"/>
        <v>0</v>
      </c>
      <c r="AB71" s="292">
        <f t="shared" si="15"/>
        <v>0</v>
      </c>
      <c r="AC71" s="292">
        <f t="shared" si="16"/>
        <v>0</v>
      </c>
      <c r="AD71" s="292">
        <f t="shared" si="17"/>
        <v>0</v>
      </c>
      <c r="AE71" s="292">
        <f t="shared" si="18"/>
        <v>0</v>
      </c>
      <c r="AF71" s="292">
        <f t="shared" si="43"/>
        <v>0</v>
      </c>
      <c r="AG71" s="292">
        <f t="shared" si="44"/>
        <v>0</v>
      </c>
      <c r="AH71" s="292">
        <f t="shared" si="19"/>
        <v>0</v>
      </c>
      <c r="AI71" s="292">
        <f t="shared" si="20"/>
        <v>0</v>
      </c>
      <c r="AJ71" s="292">
        <f t="shared" si="21"/>
        <v>0</v>
      </c>
      <c r="AK71" s="292">
        <f t="shared" si="22"/>
        <v>0</v>
      </c>
      <c r="AL71" s="292">
        <f t="shared" si="23"/>
        <v>0</v>
      </c>
      <c r="AM71" s="292">
        <f t="shared" si="24"/>
        <v>0</v>
      </c>
      <c r="AN71" s="292">
        <f t="shared" si="25"/>
        <v>0</v>
      </c>
      <c r="AO71" s="292">
        <f t="shared" si="26"/>
        <v>0</v>
      </c>
      <c r="AP71" s="292">
        <f t="shared" si="27"/>
        <v>0</v>
      </c>
      <c r="AQ71" s="292">
        <f t="shared" si="28"/>
        <v>0</v>
      </c>
      <c r="AR71" s="292">
        <f t="shared" si="29"/>
        <v>0</v>
      </c>
      <c r="AS71" s="292">
        <f t="shared" si="30"/>
        <v>0</v>
      </c>
      <c r="AT71" s="292">
        <f t="shared" si="31"/>
        <v>0</v>
      </c>
      <c r="AU71" s="292">
        <f t="shared" si="32"/>
        <v>0</v>
      </c>
      <c r="AV71" s="292">
        <f t="shared" si="33"/>
        <v>0</v>
      </c>
      <c r="AW71" s="292">
        <f t="shared" si="34"/>
        <v>0</v>
      </c>
      <c r="AX71" s="292">
        <f t="shared" si="35"/>
        <v>0</v>
      </c>
      <c r="AY71" s="292">
        <f t="shared" si="36"/>
        <v>0</v>
      </c>
      <c r="AZ71" s="292">
        <f t="shared" si="37"/>
        <v>0</v>
      </c>
      <c r="BA71" s="292">
        <f t="shared" si="38"/>
        <v>0</v>
      </c>
    </row>
    <row r="72" spans="1:53" s="289" customFormat="1" ht="16.5" customHeight="1">
      <c r="A72" s="63" t="str">
        <f t="array" ref="A72">IF(C72&lt;&gt;0,SUM(($C$11:C72&lt;&gt;0)*1),"")</f>
        <v/>
      </c>
      <c r="B72" s="290"/>
      <c r="C72" s="290"/>
      <c r="D72" s="290"/>
      <c r="E72" s="396"/>
      <c r="F72" s="345"/>
      <c r="G72" s="347"/>
      <c r="H72" s="347"/>
      <c r="I72" s="63" t="str">
        <f t="shared" si="0"/>
        <v/>
      </c>
      <c r="J72" s="292">
        <f t="shared" si="1"/>
        <v>0</v>
      </c>
      <c r="K72" s="292">
        <f t="shared" si="2"/>
        <v>0</v>
      </c>
      <c r="L72" s="292">
        <f t="shared" si="3"/>
        <v>0</v>
      </c>
      <c r="M72" s="292">
        <f t="shared" si="4"/>
        <v>0</v>
      </c>
      <c r="N72" s="292">
        <f t="shared" si="39"/>
        <v>0</v>
      </c>
      <c r="O72" s="292">
        <f t="shared" si="40"/>
        <v>0</v>
      </c>
      <c r="P72" s="292">
        <f t="shared" si="5"/>
        <v>0</v>
      </c>
      <c r="Q72" s="292">
        <f t="shared" si="6"/>
        <v>0</v>
      </c>
      <c r="R72" s="292">
        <f t="shared" si="7"/>
        <v>0</v>
      </c>
      <c r="S72" s="292">
        <f t="shared" si="8"/>
        <v>0</v>
      </c>
      <c r="T72" s="292">
        <f t="shared" si="41"/>
        <v>0</v>
      </c>
      <c r="U72" s="292">
        <f t="shared" si="42"/>
        <v>0</v>
      </c>
      <c r="V72" s="292">
        <f t="shared" si="9"/>
        <v>0</v>
      </c>
      <c r="W72" s="292">
        <f t="shared" si="10"/>
        <v>0</v>
      </c>
      <c r="X72" s="292">
        <f t="shared" si="11"/>
        <v>0</v>
      </c>
      <c r="Y72" s="292">
        <f t="shared" si="12"/>
        <v>0</v>
      </c>
      <c r="Z72" s="292">
        <f t="shared" si="13"/>
        <v>0</v>
      </c>
      <c r="AA72" s="292">
        <f t="shared" si="14"/>
        <v>0</v>
      </c>
      <c r="AB72" s="292">
        <f t="shared" si="15"/>
        <v>0</v>
      </c>
      <c r="AC72" s="292">
        <f t="shared" si="16"/>
        <v>0</v>
      </c>
      <c r="AD72" s="292">
        <f t="shared" si="17"/>
        <v>0</v>
      </c>
      <c r="AE72" s="292">
        <f t="shared" si="18"/>
        <v>0</v>
      </c>
      <c r="AF72" s="292">
        <f t="shared" si="43"/>
        <v>0</v>
      </c>
      <c r="AG72" s="292">
        <f t="shared" si="44"/>
        <v>0</v>
      </c>
      <c r="AH72" s="292">
        <f t="shared" si="19"/>
        <v>0</v>
      </c>
      <c r="AI72" s="292">
        <f t="shared" si="20"/>
        <v>0</v>
      </c>
      <c r="AJ72" s="292">
        <f t="shared" si="21"/>
        <v>0</v>
      </c>
      <c r="AK72" s="292">
        <f t="shared" si="22"/>
        <v>0</v>
      </c>
      <c r="AL72" s="292">
        <f t="shared" si="23"/>
        <v>0</v>
      </c>
      <c r="AM72" s="292">
        <f t="shared" si="24"/>
        <v>0</v>
      </c>
      <c r="AN72" s="292">
        <f t="shared" si="25"/>
        <v>0</v>
      </c>
      <c r="AO72" s="292">
        <f t="shared" si="26"/>
        <v>0</v>
      </c>
      <c r="AP72" s="292">
        <f t="shared" si="27"/>
        <v>0</v>
      </c>
      <c r="AQ72" s="292">
        <f t="shared" si="28"/>
        <v>0</v>
      </c>
      <c r="AR72" s="292">
        <f t="shared" si="29"/>
        <v>0</v>
      </c>
      <c r="AS72" s="292">
        <f t="shared" si="30"/>
        <v>0</v>
      </c>
      <c r="AT72" s="292">
        <f t="shared" si="31"/>
        <v>0</v>
      </c>
      <c r="AU72" s="292">
        <f t="shared" si="32"/>
        <v>0</v>
      </c>
      <c r="AV72" s="292">
        <f t="shared" si="33"/>
        <v>0</v>
      </c>
      <c r="AW72" s="292">
        <f t="shared" si="34"/>
        <v>0</v>
      </c>
      <c r="AX72" s="292">
        <f t="shared" si="35"/>
        <v>0</v>
      </c>
      <c r="AY72" s="292">
        <f t="shared" si="36"/>
        <v>0</v>
      </c>
      <c r="AZ72" s="292">
        <f t="shared" si="37"/>
        <v>0</v>
      </c>
      <c r="BA72" s="292">
        <f t="shared" si="38"/>
        <v>0</v>
      </c>
    </row>
    <row r="73" spans="1:53" s="289" customFormat="1" ht="16.5" customHeight="1">
      <c r="A73" s="63" t="str">
        <f t="array" ref="A73">IF(C73&lt;&gt;0,SUM(($C$11:C73&lt;&gt;0)*1),"")</f>
        <v/>
      </c>
      <c r="B73" s="290"/>
      <c r="C73" s="290"/>
      <c r="D73" s="290"/>
      <c r="E73" s="396"/>
      <c r="F73" s="345"/>
      <c r="G73" s="347"/>
      <c r="H73" s="347"/>
      <c r="I73" s="63" t="str">
        <f t="shared" si="0"/>
        <v/>
      </c>
      <c r="J73" s="292">
        <f t="shared" si="1"/>
        <v>0</v>
      </c>
      <c r="K73" s="292">
        <f t="shared" si="2"/>
        <v>0</v>
      </c>
      <c r="L73" s="292">
        <f t="shared" si="3"/>
        <v>0</v>
      </c>
      <c r="M73" s="292">
        <f t="shared" si="4"/>
        <v>0</v>
      </c>
      <c r="N73" s="292">
        <f t="shared" si="39"/>
        <v>0</v>
      </c>
      <c r="O73" s="292">
        <f t="shared" si="40"/>
        <v>0</v>
      </c>
      <c r="P73" s="292">
        <f t="shared" si="5"/>
        <v>0</v>
      </c>
      <c r="Q73" s="292">
        <f t="shared" si="6"/>
        <v>0</v>
      </c>
      <c r="R73" s="292">
        <f t="shared" si="7"/>
        <v>0</v>
      </c>
      <c r="S73" s="292">
        <f t="shared" si="8"/>
        <v>0</v>
      </c>
      <c r="T73" s="292">
        <f t="shared" si="41"/>
        <v>0</v>
      </c>
      <c r="U73" s="292">
        <f t="shared" si="42"/>
        <v>0</v>
      </c>
      <c r="V73" s="292">
        <f t="shared" si="9"/>
        <v>0</v>
      </c>
      <c r="W73" s="292">
        <f t="shared" si="10"/>
        <v>0</v>
      </c>
      <c r="X73" s="292">
        <f t="shared" si="11"/>
        <v>0</v>
      </c>
      <c r="Y73" s="292">
        <f t="shared" si="12"/>
        <v>0</v>
      </c>
      <c r="Z73" s="292">
        <f t="shared" si="13"/>
        <v>0</v>
      </c>
      <c r="AA73" s="292">
        <f t="shared" si="14"/>
        <v>0</v>
      </c>
      <c r="AB73" s="292">
        <f t="shared" si="15"/>
        <v>0</v>
      </c>
      <c r="AC73" s="292">
        <f t="shared" si="16"/>
        <v>0</v>
      </c>
      <c r="AD73" s="292">
        <f t="shared" si="17"/>
        <v>0</v>
      </c>
      <c r="AE73" s="292">
        <f t="shared" si="18"/>
        <v>0</v>
      </c>
      <c r="AF73" s="292">
        <f t="shared" si="43"/>
        <v>0</v>
      </c>
      <c r="AG73" s="292">
        <f t="shared" si="44"/>
        <v>0</v>
      </c>
      <c r="AH73" s="292">
        <f t="shared" si="19"/>
        <v>0</v>
      </c>
      <c r="AI73" s="292">
        <f t="shared" si="20"/>
        <v>0</v>
      </c>
      <c r="AJ73" s="292">
        <f t="shared" si="21"/>
        <v>0</v>
      </c>
      <c r="AK73" s="292">
        <f t="shared" si="22"/>
        <v>0</v>
      </c>
      <c r="AL73" s="292">
        <f t="shared" si="23"/>
        <v>0</v>
      </c>
      <c r="AM73" s="292">
        <f t="shared" si="24"/>
        <v>0</v>
      </c>
      <c r="AN73" s="292">
        <f t="shared" si="25"/>
        <v>0</v>
      </c>
      <c r="AO73" s="292">
        <f t="shared" si="26"/>
        <v>0</v>
      </c>
      <c r="AP73" s="292">
        <f t="shared" si="27"/>
        <v>0</v>
      </c>
      <c r="AQ73" s="292">
        <f t="shared" si="28"/>
        <v>0</v>
      </c>
      <c r="AR73" s="292">
        <f t="shared" si="29"/>
        <v>0</v>
      </c>
      <c r="AS73" s="292">
        <f t="shared" si="30"/>
        <v>0</v>
      </c>
      <c r="AT73" s="292">
        <f t="shared" si="31"/>
        <v>0</v>
      </c>
      <c r="AU73" s="292">
        <f t="shared" si="32"/>
        <v>0</v>
      </c>
      <c r="AV73" s="292">
        <f t="shared" si="33"/>
        <v>0</v>
      </c>
      <c r="AW73" s="292">
        <f t="shared" si="34"/>
        <v>0</v>
      </c>
      <c r="AX73" s="292">
        <f t="shared" si="35"/>
        <v>0</v>
      </c>
      <c r="AY73" s="292">
        <f t="shared" si="36"/>
        <v>0</v>
      </c>
      <c r="AZ73" s="292">
        <f t="shared" si="37"/>
        <v>0</v>
      </c>
      <c r="BA73" s="292">
        <f t="shared" si="38"/>
        <v>0</v>
      </c>
    </row>
    <row r="74" spans="1:53" s="289" customFormat="1" ht="16.5" customHeight="1">
      <c r="A74" s="63" t="str">
        <f t="array" ref="A74">IF(C74&lt;&gt;0,SUM(($C$11:C74&lt;&gt;0)*1),"")</f>
        <v/>
      </c>
      <c r="B74" s="290"/>
      <c r="C74" s="290"/>
      <c r="D74" s="290"/>
      <c r="E74" s="396"/>
      <c r="F74" s="345"/>
      <c r="G74" s="347"/>
      <c r="H74" s="347"/>
      <c r="I74" s="63" t="str">
        <f t="shared" si="0"/>
        <v/>
      </c>
      <c r="J74" s="292">
        <f t="shared" si="1"/>
        <v>0</v>
      </c>
      <c r="K74" s="292">
        <f t="shared" si="2"/>
        <v>0</v>
      </c>
      <c r="L74" s="292">
        <f t="shared" si="3"/>
        <v>0</v>
      </c>
      <c r="M74" s="292">
        <f t="shared" si="4"/>
        <v>0</v>
      </c>
      <c r="N74" s="292">
        <f t="shared" si="39"/>
        <v>0</v>
      </c>
      <c r="O74" s="292">
        <f t="shared" si="40"/>
        <v>0</v>
      </c>
      <c r="P74" s="292">
        <f t="shared" si="5"/>
        <v>0</v>
      </c>
      <c r="Q74" s="292">
        <f t="shared" si="6"/>
        <v>0</v>
      </c>
      <c r="R74" s="292">
        <f t="shared" si="7"/>
        <v>0</v>
      </c>
      <c r="S74" s="292">
        <f t="shared" si="8"/>
        <v>0</v>
      </c>
      <c r="T74" s="292">
        <f t="shared" si="41"/>
        <v>0</v>
      </c>
      <c r="U74" s="292">
        <f t="shared" si="42"/>
        <v>0</v>
      </c>
      <c r="V74" s="292">
        <f t="shared" si="9"/>
        <v>0</v>
      </c>
      <c r="W74" s="292">
        <f t="shared" si="10"/>
        <v>0</v>
      </c>
      <c r="X74" s="292">
        <f t="shared" si="11"/>
        <v>0</v>
      </c>
      <c r="Y74" s="292">
        <f t="shared" si="12"/>
        <v>0</v>
      </c>
      <c r="Z74" s="292">
        <f t="shared" si="13"/>
        <v>0</v>
      </c>
      <c r="AA74" s="292">
        <f t="shared" si="14"/>
        <v>0</v>
      </c>
      <c r="AB74" s="292">
        <f t="shared" si="15"/>
        <v>0</v>
      </c>
      <c r="AC74" s="292">
        <f t="shared" si="16"/>
        <v>0</v>
      </c>
      <c r="AD74" s="292">
        <f t="shared" si="17"/>
        <v>0</v>
      </c>
      <c r="AE74" s="292">
        <f t="shared" si="18"/>
        <v>0</v>
      </c>
      <c r="AF74" s="292">
        <f t="shared" si="43"/>
        <v>0</v>
      </c>
      <c r="AG74" s="292">
        <f t="shared" si="44"/>
        <v>0</v>
      </c>
      <c r="AH74" s="292">
        <f t="shared" si="19"/>
        <v>0</v>
      </c>
      <c r="AI74" s="292">
        <f t="shared" si="20"/>
        <v>0</v>
      </c>
      <c r="AJ74" s="292">
        <f t="shared" si="21"/>
        <v>0</v>
      </c>
      <c r="AK74" s="292">
        <f t="shared" si="22"/>
        <v>0</v>
      </c>
      <c r="AL74" s="292">
        <f t="shared" si="23"/>
        <v>0</v>
      </c>
      <c r="AM74" s="292">
        <f t="shared" si="24"/>
        <v>0</v>
      </c>
      <c r="AN74" s="292">
        <f t="shared" si="25"/>
        <v>0</v>
      </c>
      <c r="AO74" s="292">
        <f t="shared" si="26"/>
        <v>0</v>
      </c>
      <c r="AP74" s="292">
        <f t="shared" si="27"/>
        <v>0</v>
      </c>
      <c r="AQ74" s="292">
        <f t="shared" si="28"/>
        <v>0</v>
      </c>
      <c r="AR74" s="292">
        <f t="shared" si="29"/>
        <v>0</v>
      </c>
      <c r="AS74" s="292">
        <f t="shared" si="30"/>
        <v>0</v>
      </c>
      <c r="AT74" s="292">
        <f t="shared" si="31"/>
        <v>0</v>
      </c>
      <c r="AU74" s="292">
        <f t="shared" si="32"/>
        <v>0</v>
      </c>
      <c r="AV74" s="292">
        <f t="shared" si="33"/>
        <v>0</v>
      </c>
      <c r="AW74" s="292">
        <f t="shared" si="34"/>
        <v>0</v>
      </c>
      <c r="AX74" s="292">
        <f t="shared" si="35"/>
        <v>0</v>
      </c>
      <c r="AY74" s="292">
        <f t="shared" si="36"/>
        <v>0</v>
      </c>
      <c r="AZ74" s="292">
        <f t="shared" si="37"/>
        <v>0</v>
      </c>
      <c r="BA74" s="292">
        <f t="shared" si="38"/>
        <v>0</v>
      </c>
    </row>
    <row r="75" spans="1:53" s="289" customFormat="1" ht="16.5" customHeight="1">
      <c r="A75" s="63" t="str">
        <f t="array" ref="A75">IF(C75&lt;&gt;0,SUM(($C$11:C75&lt;&gt;0)*1),"")</f>
        <v/>
      </c>
      <c r="B75" s="290"/>
      <c r="C75" s="290"/>
      <c r="D75" s="290"/>
      <c r="E75" s="396"/>
      <c r="F75" s="345"/>
      <c r="G75" s="347"/>
      <c r="H75" s="347"/>
      <c r="I75" s="63" t="str">
        <f t="shared" si="0"/>
        <v/>
      </c>
      <c r="J75" s="292">
        <f t="shared" ref="J75:J113" si="45">IF($G75="1111",$F75,0)</f>
        <v>0</v>
      </c>
      <c r="K75" s="292">
        <f t="shared" ref="K75:K113" si="46">IF($H75="1111",$F75,0)</f>
        <v>0</v>
      </c>
      <c r="L75" s="292">
        <f t="shared" ref="L75:L113" si="47">IF($G75="1121",$F75,0)</f>
        <v>0</v>
      </c>
      <c r="M75" s="292">
        <f t="shared" ref="M75:M113" si="48">IF($H75="1121",$F75,0)</f>
        <v>0</v>
      </c>
      <c r="N75" s="292">
        <f t="shared" si="39"/>
        <v>0</v>
      </c>
      <c r="O75" s="292">
        <f t="shared" si="40"/>
        <v>0</v>
      </c>
      <c r="P75" s="292">
        <f t="shared" ref="P75:P113" si="49">IF($G75="1331",$F75,0)</f>
        <v>0</v>
      </c>
      <c r="Q75" s="292">
        <f t="shared" ref="Q75:Q113" si="50">IF($H75="1331",$F75,0)</f>
        <v>0</v>
      </c>
      <c r="R75" s="292">
        <f t="shared" ref="R75:R113" si="51">IF($G75="1388",$F75,0)</f>
        <v>0</v>
      </c>
      <c r="S75" s="292">
        <f t="shared" ref="S75:S113" si="52">IF($H75="1388",$F75,0)</f>
        <v>0</v>
      </c>
      <c r="T75" s="292">
        <f t="shared" si="41"/>
        <v>0</v>
      </c>
      <c r="U75" s="292">
        <f t="shared" si="42"/>
        <v>0</v>
      </c>
      <c r="V75" s="292">
        <f t="shared" ref="V75:V113" si="53">IF($G75="331",$F75,0)</f>
        <v>0</v>
      </c>
      <c r="W75" s="292">
        <f t="shared" ref="W75:W113" si="54">IF($H75="331",$F75,0)</f>
        <v>0</v>
      </c>
      <c r="X75" s="292">
        <f t="shared" ref="X75:X113" si="55">IF($G75="3334",$F75,0)</f>
        <v>0</v>
      </c>
      <c r="Y75" s="292">
        <f t="shared" ref="Y75:Y113" si="56">IF($H75="3334",$F75,0)</f>
        <v>0</v>
      </c>
      <c r="Z75" s="292">
        <f t="shared" ref="Z75:Z113" si="57">IF($G75="33382",$F75,0)</f>
        <v>0</v>
      </c>
      <c r="AA75" s="292">
        <f t="shared" ref="AA75:AA113" si="58">IF($H75="33382",$F75,0)</f>
        <v>0</v>
      </c>
      <c r="AB75" s="292">
        <f t="shared" ref="AB75:AB113" si="59">IF($G75="3388",$F75,0)</f>
        <v>0</v>
      </c>
      <c r="AC75" s="292">
        <f t="shared" ref="AC75:AC113" si="60">IF($H75="3388",$F75,0)</f>
        <v>0</v>
      </c>
      <c r="AD75" s="292">
        <f t="shared" ref="AD75:AD113" si="61">IF($G75="3411",$F75,0)</f>
        <v>0</v>
      </c>
      <c r="AE75" s="292">
        <f t="shared" ref="AE75:AE113" si="62">IF($H75="3411",$F75,0)</f>
        <v>0</v>
      </c>
      <c r="AF75" s="292">
        <f t="shared" si="43"/>
        <v>0</v>
      </c>
      <c r="AG75" s="292">
        <f t="shared" si="44"/>
        <v>0</v>
      </c>
      <c r="AH75" s="292">
        <f t="shared" ref="AH75:AH113" si="63">IF($G75="4111",$F75,0)</f>
        <v>0</v>
      </c>
      <c r="AI75" s="292">
        <f t="shared" ref="AI75:AI113" si="64">IF($H75="4111",$F75,0)</f>
        <v>0</v>
      </c>
      <c r="AJ75" s="292">
        <f t="shared" ref="AJ75:AJ113" si="65">IF($G75="4211",$F75,0)</f>
        <v>0</v>
      </c>
      <c r="AK75" s="292">
        <f t="shared" ref="AK75:AK113" si="66">IF($H75="4211",$F75,0)</f>
        <v>0</v>
      </c>
      <c r="AL75" s="292">
        <f t="shared" ref="AL75:AL113" si="67">IF($G75="4212",$F75,0)</f>
        <v>0</v>
      </c>
      <c r="AM75" s="292">
        <f t="shared" ref="AM75:AM113" si="68">IF($H75="4212",$F75,0)</f>
        <v>0</v>
      </c>
      <c r="AN75" s="292">
        <f t="shared" ref="AN75:AN113" si="69">IF($G75="515",$F75,0)</f>
        <v>0</v>
      </c>
      <c r="AO75" s="292">
        <f t="shared" ref="AO75:AO113" si="70">IF($H75="515",$F75,0)</f>
        <v>0</v>
      </c>
      <c r="AP75" s="292">
        <f t="shared" ref="AP75:AP113" si="71">IF($G75="635",$F75,0)</f>
        <v>0</v>
      </c>
      <c r="AQ75" s="292">
        <f t="shared" ref="AQ75:AQ113" si="72">IF($H75="635",$F75,0)</f>
        <v>0</v>
      </c>
      <c r="AR75" s="292">
        <f t="shared" ref="AR75:AR113" si="73">IF($G75="642",$F75,0)</f>
        <v>0</v>
      </c>
      <c r="AS75" s="292">
        <f t="shared" ref="AS75:AS113" si="74">IF($H75="642",$F75,0)</f>
        <v>0</v>
      </c>
      <c r="AT75" s="292">
        <f t="shared" ref="AT75:AT113" si="75">IF($G75="711",$F75,0)</f>
        <v>0</v>
      </c>
      <c r="AU75" s="292">
        <f t="shared" ref="AU75:AU113" si="76">IF($H75="711",$F75,0)</f>
        <v>0</v>
      </c>
      <c r="AV75" s="292">
        <f t="shared" ref="AV75:AV113" si="77">IF($G75="811",$F75,0)</f>
        <v>0</v>
      </c>
      <c r="AW75" s="292">
        <f t="shared" ref="AW75:AW113" si="78">IF($H75="811",$F75,0)</f>
        <v>0</v>
      </c>
      <c r="AX75" s="292">
        <f t="shared" ref="AX75:AX113" si="79">IF($G75="821",$F75,0)</f>
        <v>0</v>
      </c>
      <c r="AY75" s="292">
        <f t="shared" ref="AY75:AY113" si="80">IF($H75="821",$F75,0)</f>
        <v>0</v>
      </c>
      <c r="AZ75" s="292">
        <f t="shared" ref="AZ75:AZ113" si="81">IF($G75="911",$F75,0)</f>
        <v>0</v>
      </c>
      <c r="BA75" s="292">
        <f t="shared" ref="BA75:BA113" si="82">IF($H75="911",$F75,0)</f>
        <v>0</v>
      </c>
    </row>
    <row r="76" spans="1:53" s="289" customFormat="1" ht="16.5" customHeight="1">
      <c r="A76" s="63" t="str">
        <f t="array" ref="A76">IF(C76&lt;&gt;0,SUM(($C$11:C76&lt;&gt;0)*1),"")</f>
        <v/>
      </c>
      <c r="B76" s="290"/>
      <c r="C76" s="290"/>
      <c r="D76" s="290"/>
      <c r="E76" s="396"/>
      <c r="F76" s="345"/>
      <c r="G76" s="347"/>
      <c r="H76" s="347"/>
      <c r="I76" s="63" t="str">
        <f t="shared" si="0"/>
        <v/>
      </c>
      <c r="J76" s="292">
        <f t="shared" si="45"/>
        <v>0</v>
      </c>
      <c r="K76" s="292">
        <f t="shared" si="46"/>
        <v>0</v>
      </c>
      <c r="L76" s="292">
        <f t="shared" si="47"/>
        <v>0</v>
      </c>
      <c r="M76" s="292">
        <f t="shared" si="48"/>
        <v>0</v>
      </c>
      <c r="N76" s="292">
        <f t="shared" ref="N76:N139" si="83">IF($G76="1122",$F76,0)</f>
        <v>0</v>
      </c>
      <c r="O76" s="292">
        <f t="shared" ref="O76:O139" si="84">IF($H76="1122",$F76,0)</f>
        <v>0</v>
      </c>
      <c r="P76" s="292">
        <f t="shared" si="49"/>
        <v>0</v>
      </c>
      <c r="Q76" s="292">
        <f t="shared" si="50"/>
        <v>0</v>
      </c>
      <c r="R76" s="292">
        <f t="shared" si="51"/>
        <v>0</v>
      </c>
      <c r="S76" s="292">
        <f t="shared" si="52"/>
        <v>0</v>
      </c>
      <c r="T76" s="292">
        <f t="shared" ref="T76:T139" si="85">IF($G76="2412",$F76,0)</f>
        <v>0</v>
      </c>
      <c r="U76" s="292">
        <f t="shared" ref="U76:U139" si="86">IF($H76="2412",$F76,0)</f>
        <v>0</v>
      </c>
      <c r="V76" s="292">
        <f t="shared" si="53"/>
        <v>0</v>
      </c>
      <c r="W76" s="292">
        <f t="shared" si="54"/>
        <v>0</v>
      </c>
      <c r="X76" s="292">
        <f t="shared" si="55"/>
        <v>0</v>
      </c>
      <c r="Y76" s="292">
        <f t="shared" si="56"/>
        <v>0</v>
      </c>
      <c r="Z76" s="292">
        <f t="shared" si="57"/>
        <v>0</v>
      </c>
      <c r="AA76" s="292">
        <f t="shared" si="58"/>
        <v>0</v>
      </c>
      <c r="AB76" s="292">
        <f t="shared" si="59"/>
        <v>0</v>
      </c>
      <c r="AC76" s="292">
        <f t="shared" si="60"/>
        <v>0</v>
      </c>
      <c r="AD76" s="292">
        <f t="shared" si="61"/>
        <v>0</v>
      </c>
      <c r="AE76" s="292">
        <f t="shared" si="62"/>
        <v>0</v>
      </c>
      <c r="AF76" s="292">
        <f t="shared" ref="AF76:AF139" si="87">IF($G76="3412",$F76,0)</f>
        <v>0</v>
      </c>
      <c r="AG76" s="292">
        <f t="shared" ref="AG76:AG139" si="88">IF($H76="3412",$F76,0)</f>
        <v>0</v>
      </c>
      <c r="AH76" s="292">
        <f t="shared" si="63"/>
        <v>0</v>
      </c>
      <c r="AI76" s="292">
        <f t="shared" si="64"/>
        <v>0</v>
      </c>
      <c r="AJ76" s="292">
        <f t="shared" si="65"/>
        <v>0</v>
      </c>
      <c r="AK76" s="292">
        <f t="shared" si="66"/>
        <v>0</v>
      </c>
      <c r="AL76" s="292">
        <f t="shared" si="67"/>
        <v>0</v>
      </c>
      <c r="AM76" s="292">
        <f t="shared" si="68"/>
        <v>0</v>
      </c>
      <c r="AN76" s="292">
        <f t="shared" si="69"/>
        <v>0</v>
      </c>
      <c r="AO76" s="292">
        <f t="shared" si="70"/>
        <v>0</v>
      </c>
      <c r="AP76" s="292">
        <f t="shared" si="71"/>
        <v>0</v>
      </c>
      <c r="AQ76" s="292">
        <f t="shared" si="72"/>
        <v>0</v>
      </c>
      <c r="AR76" s="292">
        <f t="shared" si="73"/>
        <v>0</v>
      </c>
      <c r="AS76" s="292">
        <f t="shared" si="74"/>
        <v>0</v>
      </c>
      <c r="AT76" s="292">
        <f t="shared" si="75"/>
        <v>0</v>
      </c>
      <c r="AU76" s="292">
        <f t="shared" si="76"/>
        <v>0</v>
      </c>
      <c r="AV76" s="292">
        <f t="shared" si="77"/>
        <v>0</v>
      </c>
      <c r="AW76" s="292">
        <f t="shared" si="78"/>
        <v>0</v>
      </c>
      <c r="AX76" s="292">
        <f t="shared" si="79"/>
        <v>0</v>
      </c>
      <c r="AY76" s="292">
        <f t="shared" si="80"/>
        <v>0</v>
      </c>
      <c r="AZ76" s="292">
        <f t="shared" si="81"/>
        <v>0</v>
      </c>
      <c r="BA76" s="292">
        <f t="shared" si="82"/>
        <v>0</v>
      </c>
    </row>
    <row r="77" spans="1:53" s="289" customFormat="1" ht="16.5" customHeight="1">
      <c r="A77" s="63" t="str">
        <f t="array" ref="A77">IF(C77&lt;&gt;0,SUM(($C$11:C77&lt;&gt;0)*1),"")</f>
        <v/>
      </c>
      <c r="B77" s="290"/>
      <c r="C77" s="290"/>
      <c r="D77" s="290"/>
      <c r="E77" s="396"/>
      <c r="F77" s="345"/>
      <c r="G77" s="347"/>
      <c r="H77" s="347"/>
      <c r="I77" s="63" t="str">
        <f t="shared" si="0"/>
        <v/>
      </c>
      <c r="J77" s="292">
        <f t="shared" si="45"/>
        <v>0</v>
      </c>
      <c r="K77" s="292">
        <f t="shared" si="46"/>
        <v>0</v>
      </c>
      <c r="L77" s="292">
        <f t="shared" si="47"/>
        <v>0</v>
      </c>
      <c r="M77" s="292">
        <f t="shared" si="48"/>
        <v>0</v>
      </c>
      <c r="N77" s="292">
        <f t="shared" si="83"/>
        <v>0</v>
      </c>
      <c r="O77" s="292">
        <f t="shared" si="84"/>
        <v>0</v>
      </c>
      <c r="P77" s="292">
        <f t="shared" si="49"/>
        <v>0</v>
      </c>
      <c r="Q77" s="292">
        <f t="shared" si="50"/>
        <v>0</v>
      </c>
      <c r="R77" s="292">
        <f t="shared" si="51"/>
        <v>0</v>
      </c>
      <c r="S77" s="292">
        <f t="shared" si="52"/>
        <v>0</v>
      </c>
      <c r="T77" s="292">
        <f t="shared" si="85"/>
        <v>0</v>
      </c>
      <c r="U77" s="292">
        <f t="shared" si="86"/>
        <v>0</v>
      </c>
      <c r="V77" s="292">
        <f t="shared" si="53"/>
        <v>0</v>
      </c>
      <c r="W77" s="292">
        <f t="shared" si="54"/>
        <v>0</v>
      </c>
      <c r="X77" s="292">
        <f t="shared" si="55"/>
        <v>0</v>
      </c>
      <c r="Y77" s="292">
        <f t="shared" si="56"/>
        <v>0</v>
      </c>
      <c r="Z77" s="292">
        <f t="shared" si="57"/>
        <v>0</v>
      </c>
      <c r="AA77" s="292">
        <f t="shared" si="58"/>
        <v>0</v>
      </c>
      <c r="AB77" s="292">
        <f t="shared" si="59"/>
        <v>0</v>
      </c>
      <c r="AC77" s="292">
        <f t="shared" si="60"/>
        <v>0</v>
      </c>
      <c r="AD77" s="292">
        <f t="shared" si="61"/>
        <v>0</v>
      </c>
      <c r="AE77" s="292">
        <f t="shared" si="62"/>
        <v>0</v>
      </c>
      <c r="AF77" s="292">
        <f t="shared" si="87"/>
        <v>0</v>
      </c>
      <c r="AG77" s="292">
        <f t="shared" si="88"/>
        <v>0</v>
      </c>
      <c r="AH77" s="292">
        <f t="shared" si="63"/>
        <v>0</v>
      </c>
      <c r="AI77" s="292">
        <f t="shared" si="64"/>
        <v>0</v>
      </c>
      <c r="AJ77" s="292">
        <f t="shared" si="65"/>
        <v>0</v>
      </c>
      <c r="AK77" s="292">
        <f t="shared" si="66"/>
        <v>0</v>
      </c>
      <c r="AL77" s="292">
        <f t="shared" si="67"/>
        <v>0</v>
      </c>
      <c r="AM77" s="292">
        <f t="shared" si="68"/>
        <v>0</v>
      </c>
      <c r="AN77" s="292">
        <f t="shared" si="69"/>
        <v>0</v>
      </c>
      <c r="AO77" s="292">
        <f t="shared" si="70"/>
        <v>0</v>
      </c>
      <c r="AP77" s="292">
        <f t="shared" si="71"/>
        <v>0</v>
      </c>
      <c r="AQ77" s="292">
        <f t="shared" si="72"/>
        <v>0</v>
      </c>
      <c r="AR77" s="292">
        <f t="shared" si="73"/>
        <v>0</v>
      </c>
      <c r="AS77" s="292">
        <f t="shared" si="74"/>
        <v>0</v>
      </c>
      <c r="AT77" s="292">
        <f t="shared" si="75"/>
        <v>0</v>
      </c>
      <c r="AU77" s="292">
        <f t="shared" si="76"/>
        <v>0</v>
      </c>
      <c r="AV77" s="292">
        <f t="shared" si="77"/>
        <v>0</v>
      </c>
      <c r="AW77" s="292">
        <f t="shared" si="78"/>
        <v>0</v>
      </c>
      <c r="AX77" s="292">
        <f t="shared" si="79"/>
        <v>0</v>
      </c>
      <c r="AY77" s="292">
        <f t="shared" si="80"/>
        <v>0</v>
      </c>
      <c r="AZ77" s="292">
        <f t="shared" si="81"/>
        <v>0</v>
      </c>
      <c r="BA77" s="292">
        <f t="shared" si="82"/>
        <v>0</v>
      </c>
    </row>
    <row r="78" spans="1:53" s="289" customFormat="1" ht="16.5" customHeight="1">
      <c r="A78" s="63" t="str">
        <f t="array" ref="A78">IF(C78&lt;&gt;0,SUM(($C$11:C78&lt;&gt;0)*1),"")</f>
        <v/>
      </c>
      <c r="B78" s="290"/>
      <c r="C78" s="290"/>
      <c r="D78" s="290"/>
      <c r="E78" s="396"/>
      <c r="F78" s="345"/>
      <c r="G78" s="347"/>
      <c r="H78" s="347"/>
      <c r="I78" s="63" t="str">
        <f t="shared" si="0"/>
        <v/>
      </c>
      <c r="J78" s="292">
        <f t="shared" si="45"/>
        <v>0</v>
      </c>
      <c r="K78" s="292">
        <f t="shared" si="46"/>
        <v>0</v>
      </c>
      <c r="L78" s="292">
        <f t="shared" si="47"/>
        <v>0</v>
      </c>
      <c r="M78" s="292">
        <f t="shared" si="48"/>
        <v>0</v>
      </c>
      <c r="N78" s="292">
        <f t="shared" si="83"/>
        <v>0</v>
      </c>
      <c r="O78" s="292">
        <f t="shared" si="84"/>
        <v>0</v>
      </c>
      <c r="P78" s="292">
        <f t="shared" si="49"/>
        <v>0</v>
      </c>
      <c r="Q78" s="292">
        <f t="shared" si="50"/>
        <v>0</v>
      </c>
      <c r="R78" s="292">
        <f t="shared" si="51"/>
        <v>0</v>
      </c>
      <c r="S78" s="292">
        <f t="shared" si="52"/>
        <v>0</v>
      </c>
      <c r="T78" s="292">
        <f t="shared" si="85"/>
        <v>0</v>
      </c>
      <c r="U78" s="292">
        <f t="shared" si="86"/>
        <v>0</v>
      </c>
      <c r="V78" s="292">
        <f t="shared" si="53"/>
        <v>0</v>
      </c>
      <c r="W78" s="292">
        <f t="shared" si="54"/>
        <v>0</v>
      </c>
      <c r="X78" s="292">
        <f t="shared" si="55"/>
        <v>0</v>
      </c>
      <c r="Y78" s="292">
        <f t="shared" si="56"/>
        <v>0</v>
      </c>
      <c r="Z78" s="292">
        <f t="shared" si="57"/>
        <v>0</v>
      </c>
      <c r="AA78" s="292">
        <f t="shared" si="58"/>
        <v>0</v>
      </c>
      <c r="AB78" s="292">
        <f t="shared" si="59"/>
        <v>0</v>
      </c>
      <c r="AC78" s="292">
        <f t="shared" si="60"/>
        <v>0</v>
      </c>
      <c r="AD78" s="292">
        <f t="shared" si="61"/>
        <v>0</v>
      </c>
      <c r="AE78" s="292">
        <f t="shared" si="62"/>
        <v>0</v>
      </c>
      <c r="AF78" s="292">
        <f t="shared" si="87"/>
        <v>0</v>
      </c>
      <c r="AG78" s="292">
        <f t="shared" si="88"/>
        <v>0</v>
      </c>
      <c r="AH78" s="292">
        <f t="shared" si="63"/>
        <v>0</v>
      </c>
      <c r="AI78" s="292">
        <f t="shared" si="64"/>
        <v>0</v>
      </c>
      <c r="AJ78" s="292">
        <f t="shared" si="65"/>
        <v>0</v>
      </c>
      <c r="AK78" s="292">
        <f t="shared" si="66"/>
        <v>0</v>
      </c>
      <c r="AL78" s="292">
        <f t="shared" si="67"/>
        <v>0</v>
      </c>
      <c r="AM78" s="292">
        <f t="shared" si="68"/>
        <v>0</v>
      </c>
      <c r="AN78" s="292">
        <f t="shared" si="69"/>
        <v>0</v>
      </c>
      <c r="AO78" s="292">
        <f t="shared" si="70"/>
        <v>0</v>
      </c>
      <c r="AP78" s="292">
        <f t="shared" si="71"/>
        <v>0</v>
      </c>
      <c r="AQ78" s="292">
        <f t="shared" si="72"/>
        <v>0</v>
      </c>
      <c r="AR78" s="292">
        <f t="shared" si="73"/>
        <v>0</v>
      </c>
      <c r="AS78" s="292">
        <f t="shared" si="74"/>
        <v>0</v>
      </c>
      <c r="AT78" s="292">
        <f t="shared" si="75"/>
        <v>0</v>
      </c>
      <c r="AU78" s="292">
        <f t="shared" si="76"/>
        <v>0</v>
      </c>
      <c r="AV78" s="292">
        <f t="shared" si="77"/>
        <v>0</v>
      </c>
      <c r="AW78" s="292">
        <f t="shared" si="78"/>
        <v>0</v>
      </c>
      <c r="AX78" s="292">
        <f t="shared" si="79"/>
        <v>0</v>
      </c>
      <c r="AY78" s="292">
        <f t="shared" si="80"/>
        <v>0</v>
      </c>
      <c r="AZ78" s="292">
        <f t="shared" si="81"/>
        <v>0</v>
      </c>
      <c r="BA78" s="292">
        <f t="shared" si="82"/>
        <v>0</v>
      </c>
    </row>
    <row r="79" spans="1:53" s="289" customFormat="1" ht="16.5" customHeight="1">
      <c r="A79" s="63" t="str">
        <f t="array" ref="A79">IF(C79&lt;&gt;0,SUM(($C$11:C79&lt;&gt;0)*1),"")</f>
        <v/>
      </c>
      <c r="B79" s="290"/>
      <c r="C79" s="290"/>
      <c r="D79" s="290"/>
      <c r="E79" s="396"/>
      <c r="F79" s="345"/>
      <c r="G79" s="347"/>
      <c r="H79" s="347"/>
      <c r="I79" s="63" t="str">
        <f t="shared" si="0"/>
        <v/>
      </c>
      <c r="J79" s="292">
        <f t="shared" si="45"/>
        <v>0</v>
      </c>
      <c r="K79" s="292">
        <f t="shared" si="46"/>
        <v>0</v>
      </c>
      <c r="L79" s="292">
        <f t="shared" si="47"/>
        <v>0</v>
      </c>
      <c r="M79" s="292">
        <f t="shared" si="48"/>
        <v>0</v>
      </c>
      <c r="N79" s="292">
        <f t="shared" si="83"/>
        <v>0</v>
      </c>
      <c r="O79" s="292">
        <f t="shared" si="84"/>
        <v>0</v>
      </c>
      <c r="P79" s="292">
        <f t="shared" si="49"/>
        <v>0</v>
      </c>
      <c r="Q79" s="292">
        <f t="shared" si="50"/>
        <v>0</v>
      </c>
      <c r="R79" s="292">
        <f t="shared" si="51"/>
        <v>0</v>
      </c>
      <c r="S79" s="292">
        <f t="shared" si="52"/>
        <v>0</v>
      </c>
      <c r="T79" s="292">
        <f t="shared" si="85"/>
        <v>0</v>
      </c>
      <c r="U79" s="292">
        <f t="shared" si="86"/>
        <v>0</v>
      </c>
      <c r="V79" s="292">
        <f t="shared" si="53"/>
        <v>0</v>
      </c>
      <c r="W79" s="292">
        <f t="shared" si="54"/>
        <v>0</v>
      </c>
      <c r="X79" s="292">
        <f t="shared" si="55"/>
        <v>0</v>
      </c>
      <c r="Y79" s="292">
        <f t="shared" si="56"/>
        <v>0</v>
      </c>
      <c r="Z79" s="292">
        <f t="shared" si="57"/>
        <v>0</v>
      </c>
      <c r="AA79" s="292">
        <f t="shared" si="58"/>
        <v>0</v>
      </c>
      <c r="AB79" s="292">
        <f t="shared" si="59"/>
        <v>0</v>
      </c>
      <c r="AC79" s="292">
        <f t="shared" si="60"/>
        <v>0</v>
      </c>
      <c r="AD79" s="292">
        <f t="shared" si="61"/>
        <v>0</v>
      </c>
      <c r="AE79" s="292">
        <f t="shared" si="62"/>
        <v>0</v>
      </c>
      <c r="AF79" s="292">
        <f t="shared" si="87"/>
        <v>0</v>
      </c>
      <c r="AG79" s="292">
        <f t="shared" si="88"/>
        <v>0</v>
      </c>
      <c r="AH79" s="292">
        <f t="shared" si="63"/>
        <v>0</v>
      </c>
      <c r="AI79" s="292">
        <f t="shared" si="64"/>
        <v>0</v>
      </c>
      <c r="AJ79" s="292">
        <f t="shared" si="65"/>
        <v>0</v>
      </c>
      <c r="AK79" s="292">
        <f t="shared" si="66"/>
        <v>0</v>
      </c>
      <c r="AL79" s="292">
        <f t="shared" si="67"/>
        <v>0</v>
      </c>
      <c r="AM79" s="292">
        <f t="shared" si="68"/>
        <v>0</v>
      </c>
      <c r="AN79" s="292">
        <f t="shared" si="69"/>
        <v>0</v>
      </c>
      <c r="AO79" s="292">
        <f t="shared" si="70"/>
        <v>0</v>
      </c>
      <c r="AP79" s="292">
        <f t="shared" si="71"/>
        <v>0</v>
      </c>
      <c r="AQ79" s="292">
        <f t="shared" si="72"/>
        <v>0</v>
      </c>
      <c r="AR79" s="292">
        <f t="shared" si="73"/>
        <v>0</v>
      </c>
      <c r="AS79" s="292">
        <f t="shared" si="74"/>
        <v>0</v>
      </c>
      <c r="AT79" s="292">
        <f t="shared" si="75"/>
        <v>0</v>
      </c>
      <c r="AU79" s="292">
        <f t="shared" si="76"/>
        <v>0</v>
      </c>
      <c r="AV79" s="292">
        <f t="shared" si="77"/>
        <v>0</v>
      </c>
      <c r="AW79" s="292">
        <f t="shared" si="78"/>
        <v>0</v>
      </c>
      <c r="AX79" s="292">
        <f t="shared" si="79"/>
        <v>0</v>
      </c>
      <c r="AY79" s="292">
        <f t="shared" si="80"/>
        <v>0</v>
      </c>
      <c r="AZ79" s="292">
        <f t="shared" si="81"/>
        <v>0</v>
      </c>
      <c r="BA79" s="292">
        <f t="shared" si="82"/>
        <v>0</v>
      </c>
    </row>
    <row r="80" spans="1:53" s="289" customFormat="1" ht="16.5" customHeight="1">
      <c r="A80" s="63" t="str">
        <f t="array" ref="A80">IF(C80&lt;&gt;0,SUM(($C$11:C80&lt;&gt;0)*1),"")</f>
        <v/>
      </c>
      <c r="B80" s="290"/>
      <c r="C80" s="290"/>
      <c r="D80" s="290"/>
      <c r="E80" s="396"/>
      <c r="F80" s="345"/>
      <c r="G80" s="347"/>
      <c r="H80" s="347"/>
      <c r="I80" s="63" t="str">
        <f t="shared" si="0"/>
        <v/>
      </c>
      <c r="J80" s="292">
        <f t="shared" si="45"/>
        <v>0</v>
      </c>
      <c r="K80" s="292">
        <f t="shared" si="46"/>
        <v>0</v>
      </c>
      <c r="L80" s="292">
        <f t="shared" si="47"/>
        <v>0</v>
      </c>
      <c r="M80" s="292">
        <f t="shared" si="48"/>
        <v>0</v>
      </c>
      <c r="N80" s="292">
        <f t="shared" si="83"/>
        <v>0</v>
      </c>
      <c r="O80" s="292">
        <f t="shared" si="84"/>
        <v>0</v>
      </c>
      <c r="P80" s="292">
        <f t="shared" si="49"/>
        <v>0</v>
      </c>
      <c r="Q80" s="292">
        <f t="shared" si="50"/>
        <v>0</v>
      </c>
      <c r="R80" s="292">
        <f t="shared" si="51"/>
        <v>0</v>
      </c>
      <c r="S80" s="292">
        <f t="shared" si="52"/>
        <v>0</v>
      </c>
      <c r="T80" s="292">
        <f t="shared" si="85"/>
        <v>0</v>
      </c>
      <c r="U80" s="292">
        <f t="shared" si="86"/>
        <v>0</v>
      </c>
      <c r="V80" s="292">
        <f t="shared" si="53"/>
        <v>0</v>
      </c>
      <c r="W80" s="292">
        <f t="shared" si="54"/>
        <v>0</v>
      </c>
      <c r="X80" s="292">
        <f t="shared" si="55"/>
        <v>0</v>
      </c>
      <c r="Y80" s="292">
        <f t="shared" si="56"/>
        <v>0</v>
      </c>
      <c r="Z80" s="292">
        <f t="shared" si="57"/>
        <v>0</v>
      </c>
      <c r="AA80" s="292">
        <f t="shared" si="58"/>
        <v>0</v>
      </c>
      <c r="AB80" s="292">
        <f t="shared" si="59"/>
        <v>0</v>
      </c>
      <c r="AC80" s="292">
        <f t="shared" si="60"/>
        <v>0</v>
      </c>
      <c r="AD80" s="292">
        <f t="shared" si="61"/>
        <v>0</v>
      </c>
      <c r="AE80" s="292">
        <f t="shared" si="62"/>
        <v>0</v>
      </c>
      <c r="AF80" s="292">
        <f t="shared" si="87"/>
        <v>0</v>
      </c>
      <c r="AG80" s="292">
        <f t="shared" si="88"/>
        <v>0</v>
      </c>
      <c r="AH80" s="292">
        <f t="shared" si="63"/>
        <v>0</v>
      </c>
      <c r="AI80" s="292">
        <f t="shared" si="64"/>
        <v>0</v>
      </c>
      <c r="AJ80" s="292">
        <f t="shared" si="65"/>
        <v>0</v>
      </c>
      <c r="AK80" s="292">
        <f t="shared" si="66"/>
        <v>0</v>
      </c>
      <c r="AL80" s="292">
        <f t="shared" si="67"/>
        <v>0</v>
      </c>
      <c r="AM80" s="292">
        <f t="shared" si="68"/>
        <v>0</v>
      </c>
      <c r="AN80" s="292">
        <f t="shared" si="69"/>
        <v>0</v>
      </c>
      <c r="AO80" s="292">
        <f t="shared" si="70"/>
        <v>0</v>
      </c>
      <c r="AP80" s="292">
        <f t="shared" si="71"/>
        <v>0</v>
      </c>
      <c r="AQ80" s="292">
        <f t="shared" si="72"/>
        <v>0</v>
      </c>
      <c r="AR80" s="292">
        <f t="shared" si="73"/>
        <v>0</v>
      </c>
      <c r="AS80" s="292">
        <f t="shared" si="74"/>
        <v>0</v>
      </c>
      <c r="AT80" s="292">
        <f t="shared" si="75"/>
        <v>0</v>
      </c>
      <c r="AU80" s="292">
        <f t="shared" si="76"/>
        <v>0</v>
      </c>
      <c r="AV80" s="292">
        <f t="shared" si="77"/>
        <v>0</v>
      </c>
      <c r="AW80" s="292">
        <f t="shared" si="78"/>
        <v>0</v>
      </c>
      <c r="AX80" s="292">
        <f t="shared" si="79"/>
        <v>0</v>
      </c>
      <c r="AY80" s="292">
        <f t="shared" si="80"/>
        <v>0</v>
      </c>
      <c r="AZ80" s="292">
        <f t="shared" si="81"/>
        <v>0</v>
      </c>
      <c r="BA80" s="292">
        <f t="shared" si="82"/>
        <v>0</v>
      </c>
    </row>
    <row r="81" spans="1:53" s="289" customFormat="1" ht="16.5" customHeight="1">
      <c r="A81" s="63" t="str">
        <f t="array" ref="A81">IF(C81&lt;&gt;0,SUM(($C$11:C81&lt;&gt;0)*1),"")</f>
        <v/>
      </c>
      <c r="B81" s="290"/>
      <c r="C81" s="290"/>
      <c r="D81" s="290"/>
      <c r="E81" s="396"/>
      <c r="F81" s="345"/>
      <c r="G81" s="347"/>
      <c r="H81" s="347"/>
      <c r="I81" s="63" t="str">
        <f t="shared" si="0"/>
        <v/>
      </c>
      <c r="J81" s="292">
        <f t="shared" si="45"/>
        <v>0</v>
      </c>
      <c r="K81" s="292">
        <f t="shared" si="46"/>
        <v>0</v>
      </c>
      <c r="L81" s="292">
        <f t="shared" si="47"/>
        <v>0</v>
      </c>
      <c r="M81" s="292">
        <f t="shared" si="48"/>
        <v>0</v>
      </c>
      <c r="N81" s="292">
        <f t="shared" si="83"/>
        <v>0</v>
      </c>
      <c r="O81" s="292">
        <f t="shared" si="84"/>
        <v>0</v>
      </c>
      <c r="P81" s="292">
        <f t="shared" si="49"/>
        <v>0</v>
      </c>
      <c r="Q81" s="292">
        <f t="shared" si="50"/>
        <v>0</v>
      </c>
      <c r="R81" s="292">
        <f t="shared" si="51"/>
        <v>0</v>
      </c>
      <c r="S81" s="292">
        <f t="shared" si="52"/>
        <v>0</v>
      </c>
      <c r="T81" s="292">
        <f t="shared" si="85"/>
        <v>0</v>
      </c>
      <c r="U81" s="292">
        <f t="shared" si="86"/>
        <v>0</v>
      </c>
      <c r="V81" s="292">
        <f t="shared" si="53"/>
        <v>0</v>
      </c>
      <c r="W81" s="292">
        <f t="shared" si="54"/>
        <v>0</v>
      </c>
      <c r="X81" s="292">
        <f t="shared" si="55"/>
        <v>0</v>
      </c>
      <c r="Y81" s="292">
        <f t="shared" si="56"/>
        <v>0</v>
      </c>
      <c r="Z81" s="292">
        <f t="shared" si="57"/>
        <v>0</v>
      </c>
      <c r="AA81" s="292">
        <f t="shared" si="58"/>
        <v>0</v>
      </c>
      <c r="AB81" s="292">
        <f t="shared" si="59"/>
        <v>0</v>
      </c>
      <c r="AC81" s="292">
        <f t="shared" si="60"/>
        <v>0</v>
      </c>
      <c r="AD81" s="292">
        <f t="shared" si="61"/>
        <v>0</v>
      </c>
      <c r="AE81" s="292">
        <f t="shared" si="62"/>
        <v>0</v>
      </c>
      <c r="AF81" s="292">
        <f t="shared" si="87"/>
        <v>0</v>
      </c>
      <c r="AG81" s="292">
        <f t="shared" si="88"/>
        <v>0</v>
      </c>
      <c r="AH81" s="292">
        <f t="shared" si="63"/>
        <v>0</v>
      </c>
      <c r="AI81" s="292">
        <f t="shared" si="64"/>
        <v>0</v>
      </c>
      <c r="AJ81" s="292">
        <f t="shared" si="65"/>
        <v>0</v>
      </c>
      <c r="AK81" s="292">
        <f t="shared" si="66"/>
        <v>0</v>
      </c>
      <c r="AL81" s="292">
        <f t="shared" si="67"/>
        <v>0</v>
      </c>
      <c r="AM81" s="292">
        <f t="shared" si="68"/>
        <v>0</v>
      </c>
      <c r="AN81" s="292">
        <f t="shared" si="69"/>
        <v>0</v>
      </c>
      <c r="AO81" s="292">
        <f t="shared" si="70"/>
        <v>0</v>
      </c>
      <c r="AP81" s="292">
        <f t="shared" si="71"/>
        <v>0</v>
      </c>
      <c r="AQ81" s="292">
        <f t="shared" si="72"/>
        <v>0</v>
      </c>
      <c r="AR81" s="292">
        <f t="shared" si="73"/>
        <v>0</v>
      </c>
      <c r="AS81" s="292">
        <f t="shared" si="74"/>
        <v>0</v>
      </c>
      <c r="AT81" s="292">
        <f t="shared" si="75"/>
        <v>0</v>
      </c>
      <c r="AU81" s="292">
        <f t="shared" si="76"/>
        <v>0</v>
      </c>
      <c r="AV81" s="292">
        <f t="shared" si="77"/>
        <v>0</v>
      </c>
      <c r="AW81" s="292">
        <f t="shared" si="78"/>
        <v>0</v>
      </c>
      <c r="AX81" s="292">
        <f t="shared" si="79"/>
        <v>0</v>
      </c>
      <c r="AY81" s="292">
        <f t="shared" si="80"/>
        <v>0</v>
      </c>
      <c r="AZ81" s="292">
        <f t="shared" si="81"/>
        <v>0</v>
      </c>
      <c r="BA81" s="292">
        <f t="shared" si="82"/>
        <v>0</v>
      </c>
    </row>
    <row r="82" spans="1:53" s="289" customFormat="1" ht="16.5" customHeight="1">
      <c r="A82" s="63" t="str">
        <f t="array" ref="A82">IF(C82&lt;&gt;0,SUM(($C$11:C82&lt;&gt;0)*1),"")</f>
        <v/>
      </c>
      <c r="B82" s="290"/>
      <c r="C82" s="290"/>
      <c r="D82" s="290"/>
      <c r="E82" s="396"/>
      <c r="F82" s="345"/>
      <c r="G82" s="347"/>
      <c r="H82" s="347"/>
      <c r="I82" s="63" t="str">
        <f t="shared" si="0"/>
        <v/>
      </c>
      <c r="J82" s="292">
        <f t="shared" si="45"/>
        <v>0</v>
      </c>
      <c r="K82" s="292">
        <f t="shared" si="46"/>
        <v>0</v>
      </c>
      <c r="L82" s="292">
        <f t="shared" si="47"/>
        <v>0</v>
      </c>
      <c r="M82" s="292">
        <f t="shared" si="48"/>
        <v>0</v>
      </c>
      <c r="N82" s="292">
        <f t="shared" si="83"/>
        <v>0</v>
      </c>
      <c r="O82" s="292">
        <f t="shared" si="84"/>
        <v>0</v>
      </c>
      <c r="P82" s="292">
        <f t="shared" si="49"/>
        <v>0</v>
      </c>
      <c r="Q82" s="292">
        <f t="shared" si="50"/>
        <v>0</v>
      </c>
      <c r="R82" s="292">
        <f t="shared" si="51"/>
        <v>0</v>
      </c>
      <c r="S82" s="292">
        <f t="shared" si="52"/>
        <v>0</v>
      </c>
      <c r="T82" s="292">
        <f t="shared" si="85"/>
        <v>0</v>
      </c>
      <c r="U82" s="292">
        <f t="shared" si="86"/>
        <v>0</v>
      </c>
      <c r="V82" s="292">
        <f t="shared" si="53"/>
        <v>0</v>
      </c>
      <c r="W82" s="292">
        <f t="shared" si="54"/>
        <v>0</v>
      </c>
      <c r="X82" s="292">
        <f t="shared" si="55"/>
        <v>0</v>
      </c>
      <c r="Y82" s="292">
        <f t="shared" si="56"/>
        <v>0</v>
      </c>
      <c r="Z82" s="292">
        <f t="shared" si="57"/>
        <v>0</v>
      </c>
      <c r="AA82" s="292">
        <f t="shared" si="58"/>
        <v>0</v>
      </c>
      <c r="AB82" s="292">
        <f t="shared" si="59"/>
        <v>0</v>
      </c>
      <c r="AC82" s="292">
        <f t="shared" si="60"/>
        <v>0</v>
      </c>
      <c r="AD82" s="292">
        <f t="shared" si="61"/>
        <v>0</v>
      </c>
      <c r="AE82" s="292">
        <f t="shared" si="62"/>
        <v>0</v>
      </c>
      <c r="AF82" s="292">
        <f t="shared" si="87"/>
        <v>0</v>
      </c>
      <c r="AG82" s="292">
        <f t="shared" si="88"/>
        <v>0</v>
      </c>
      <c r="AH82" s="292">
        <f t="shared" si="63"/>
        <v>0</v>
      </c>
      <c r="AI82" s="292">
        <f t="shared" si="64"/>
        <v>0</v>
      </c>
      <c r="AJ82" s="292">
        <f t="shared" si="65"/>
        <v>0</v>
      </c>
      <c r="AK82" s="292">
        <f t="shared" si="66"/>
        <v>0</v>
      </c>
      <c r="AL82" s="292">
        <f t="shared" si="67"/>
        <v>0</v>
      </c>
      <c r="AM82" s="292">
        <f t="shared" si="68"/>
        <v>0</v>
      </c>
      <c r="AN82" s="292">
        <f t="shared" si="69"/>
        <v>0</v>
      </c>
      <c r="AO82" s="292">
        <f t="shared" si="70"/>
        <v>0</v>
      </c>
      <c r="AP82" s="292">
        <f t="shared" si="71"/>
        <v>0</v>
      </c>
      <c r="AQ82" s="292">
        <f t="shared" si="72"/>
        <v>0</v>
      </c>
      <c r="AR82" s="292">
        <f t="shared" si="73"/>
        <v>0</v>
      </c>
      <c r="AS82" s="292">
        <f t="shared" si="74"/>
        <v>0</v>
      </c>
      <c r="AT82" s="292">
        <f t="shared" si="75"/>
        <v>0</v>
      </c>
      <c r="AU82" s="292">
        <f t="shared" si="76"/>
        <v>0</v>
      </c>
      <c r="AV82" s="292">
        <f t="shared" si="77"/>
        <v>0</v>
      </c>
      <c r="AW82" s="292">
        <f t="shared" si="78"/>
        <v>0</v>
      </c>
      <c r="AX82" s="292">
        <f t="shared" si="79"/>
        <v>0</v>
      </c>
      <c r="AY82" s="292">
        <f t="shared" si="80"/>
        <v>0</v>
      </c>
      <c r="AZ82" s="292">
        <f t="shared" si="81"/>
        <v>0</v>
      </c>
      <c r="BA82" s="292">
        <f t="shared" si="82"/>
        <v>0</v>
      </c>
    </row>
    <row r="83" spans="1:53" s="289" customFormat="1" ht="16.5" customHeight="1">
      <c r="A83" s="63" t="str">
        <f t="array" ref="A83">IF(C83&lt;&gt;0,SUM(($C$11:C83&lt;&gt;0)*1),"")</f>
        <v/>
      </c>
      <c r="B83" s="290"/>
      <c r="C83" s="290"/>
      <c r="D83" s="290"/>
      <c r="E83" s="396"/>
      <c r="F83" s="345"/>
      <c r="G83" s="347"/>
      <c r="H83" s="347"/>
      <c r="I83" s="63" t="str">
        <f t="shared" si="0"/>
        <v/>
      </c>
      <c r="J83" s="292">
        <f t="shared" si="45"/>
        <v>0</v>
      </c>
      <c r="K83" s="292">
        <f t="shared" si="46"/>
        <v>0</v>
      </c>
      <c r="L83" s="292">
        <f t="shared" si="47"/>
        <v>0</v>
      </c>
      <c r="M83" s="292">
        <f t="shared" si="48"/>
        <v>0</v>
      </c>
      <c r="N83" s="292">
        <f t="shared" si="83"/>
        <v>0</v>
      </c>
      <c r="O83" s="292">
        <f t="shared" si="84"/>
        <v>0</v>
      </c>
      <c r="P83" s="292">
        <f t="shared" si="49"/>
        <v>0</v>
      </c>
      <c r="Q83" s="292">
        <f t="shared" si="50"/>
        <v>0</v>
      </c>
      <c r="R83" s="292">
        <f t="shared" si="51"/>
        <v>0</v>
      </c>
      <c r="S83" s="292">
        <f t="shared" si="52"/>
        <v>0</v>
      </c>
      <c r="T83" s="292">
        <f t="shared" si="85"/>
        <v>0</v>
      </c>
      <c r="U83" s="292">
        <f t="shared" si="86"/>
        <v>0</v>
      </c>
      <c r="V83" s="292">
        <f t="shared" si="53"/>
        <v>0</v>
      </c>
      <c r="W83" s="292">
        <f t="shared" si="54"/>
        <v>0</v>
      </c>
      <c r="X83" s="292">
        <f t="shared" si="55"/>
        <v>0</v>
      </c>
      <c r="Y83" s="292">
        <f t="shared" si="56"/>
        <v>0</v>
      </c>
      <c r="Z83" s="292">
        <f t="shared" si="57"/>
        <v>0</v>
      </c>
      <c r="AA83" s="292">
        <f t="shared" si="58"/>
        <v>0</v>
      </c>
      <c r="AB83" s="292">
        <f t="shared" si="59"/>
        <v>0</v>
      </c>
      <c r="AC83" s="292">
        <f t="shared" si="60"/>
        <v>0</v>
      </c>
      <c r="AD83" s="292">
        <f t="shared" si="61"/>
        <v>0</v>
      </c>
      <c r="AE83" s="292">
        <f t="shared" si="62"/>
        <v>0</v>
      </c>
      <c r="AF83" s="292">
        <f t="shared" si="87"/>
        <v>0</v>
      </c>
      <c r="AG83" s="292">
        <f t="shared" si="88"/>
        <v>0</v>
      </c>
      <c r="AH83" s="292">
        <f t="shared" si="63"/>
        <v>0</v>
      </c>
      <c r="AI83" s="292">
        <f t="shared" si="64"/>
        <v>0</v>
      </c>
      <c r="AJ83" s="292">
        <f t="shared" si="65"/>
        <v>0</v>
      </c>
      <c r="AK83" s="292">
        <f t="shared" si="66"/>
        <v>0</v>
      </c>
      <c r="AL83" s="292">
        <f t="shared" si="67"/>
        <v>0</v>
      </c>
      <c r="AM83" s="292">
        <f t="shared" si="68"/>
        <v>0</v>
      </c>
      <c r="AN83" s="292">
        <f t="shared" si="69"/>
        <v>0</v>
      </c>
      <c r="AO83" s="292">
        <f t="shared" si="70"/>
        <v>0</v>
      </c>
      <c r="AP83" s="292">
        <f t="shared" si="71"/>
        <v>0</v>
      </c>
      <c r="AQ83" s="292">
        <f t="shared" si="72"/>
        <v>0</v>
      </c>
      <c r="AR83" s="292">
        <f t="shared" si="73"/>
        <v>0</v>
      </c>
      <c r="AS83" s="292">
        <f t="shared" si="74"/>
        <v>0</v>
      </c>
      <c r="AT83" s="292">
        <f t="shared" si="75"/>
        <v>0</v>
      </c>
      <c r="AU83" s="292">
        <f t="shared" si="76"/>
        <v>0</v>
      </c>
      <c r="AV83" s="292">
        <f t="shared" si="77"/>
        <v>0</v>
      </c>
      <c r="AW83" s="292">
        <f t="shared" si="78"/>
        <v>0</v>
      </c>
      <c r="AX83" s="292">
        <f t="shared" si="79"/>
        <v>0</v>
      </c>
      <c r="AY83" s="292">
        <f t="shared" si="80"/>
        <v>0</v>
      </c>
      <c r="AZ83" s="292">
        <f t="shared" si="81"/>
        <v>0</v>
      </c>
      <c r="BA83" s="292">
        <f t="shared" si="82"/>
        <v>0</v>
      </c>
    </row>
    <row r="84" spans="1:53" s="289" customFormat="1" ht="16.5" customHeight="1">
      <c r="A84" s="63" t="str">
        <f t="array" ref="A84">IF(C84&lt;&gt;0,SUM(($C$11:C84&lt;&gt;0)*1),"")</f>
        <v/>
      </c>
      <c r="B84" s="290"/>
      <c r="C84" s="290"/>
      <c r="D84" s="290"/>
      <c r="E84" s="396"/>
      <c r="F84" s="345"/>
      <c r="G84" s="347"/>
      <c r="H84" s="347"/>
      <c r="I84" s="63" t="str">
        <f t="shared" si="0"/>
        <v/>
      </c>
      <c r="J84" s="292">
        <f t="shared" si="45"/>
        <v>0</v>
      </c>
      <c r="K84" s="292">
        <f t="shared" si="46"/>
        <v>0</v>
      </c>
      <c r="L84" s="292">
        <f t="shared" si="47"/>
        <v>0</v>
      </c>
      <c r="M84" s="292">
        <f t="shared" si="48"/>
        <v>0</v>
      </c>
      <c r="N84" s="292">
        <f t="shared" si="83"/>
        <v>0</v>
      </c>
      <c r="O84" s="292">
        <f t="shared" si="84"/>
        <v>0</v>
      </c>
      <c r="P84" s="292">
        <f t="shared" si="49"/>
        <v>0</v>
      </c>
      <c r="Q84" s="292">
        <f t="shared" si="50"/>
        <v>0</v>
      </c>
      <c r="R84" s="292">
        <f t="shared" si="51"/>
        <v>0</v>
      </c>
      <c r="S84" s="292">
        <f t="shared" si="52"/>
        <v>0</v>
      </c>
      <c r="T84" s="292">
        <f t="shared" si="85"/>
        <v>0</v>
      </c>
      <c r="U84" s="292">
        <f t="shared" si="86"/>
        <v>0</v>
      </c>
      <c r="V84" s="292">
        <f t="shared" si="53"/>
        <v>0</v>
      </c>
      <c r="W84" s="292">
        <f t="shared" si="54"/>
        <v>0</v>
      </c>
      <c r="X84" s="292">
        <f t="shared" si="55"/>
        <v>0</v>
      </c>
      <c r="Y84" s="292">
        <f t="shared" si="56"/>
        <v>0</v>
      </c>
      <c r="Z84" s="292">
        <f t="shared" si="57"/>
        <v>0</v>
      </c>
      <c r="AA84" s="292">
        <f t="shared" si="58"/>
        <v>0</v>
      </c>
      <c r="AB84" s="292">
        <f t="shared" si="59"/>
        <v>0</v>
      </c>
      <c r="AC84" s="292">
        <f t="shared" si="60"/>
        <v>0</v>
      </c>
      <c r="AD84" s="292">
        <f t="shared" si="61"/>
        <v>0</v>
      </c>
      <c r="AE84" s="292">
        <f t="shared" si="62"/>
        <v>0</v>
      </c>
      <c r="AF84" s="292">
        <f t="shared" si="87"/>
        <v>0</v>
      </c>
      <c r="AG84" s="292">
        <f t="shared" si="88"/>
        <v>0</v>
      </c>
      <c r="AH84" s="292">
        <f t="shared" si="63"/>
        <v>0</v>
      </c>
      <c r="AI84" s="292">
        <f t="shared" si="64"/>
        <v>0</v>
      </c>
      <c r="AJ84" s="292">
        <f t="shared" si="65"/>
        <v>0</v>
      </c>
      <c r="AK84" s="292">
        <f t="shared" si="66"/>
        <v>0</v>
      </c>
      <c r="AL84" s="292">
        <f t="shared" si="67"/>
        <v>0</v>
      </c>
      <c r="AM84" s="292">
        <f t="shared" si="68"/>
        <v>0</v>
      </c>
      <c r="AN84" s="292">
        <f t="shared" si="69"/>
        <v>0</v>
      </c>
      <c r="AO84" s="292">
        <f t="shared" si="70"/>
        <v>0</v>
      </c>
      <c r="AP84" s="292">
        <f t="shared" si="71"/>
        <v>0</v>
      </c>
      <c r="AQ84" s="292">
        <f t="shared" si="72"/>
        <v>0</v>
      </c>
      <c r="AR84" s="292">
        <f t="shared" si="73"/>
        <v>0</v>
      </c>
      <c r="AS84" s="292">
        <f t="shared" si="74"/>
        <v>0</v>
      </c>
      <c r="AT84" s="292">
        <f t="shared" si="75"/>
        <v>0</v>
      </c>
      <c r="AU84" s="292">
        <f t="shared" si="76"/>
        <v>0</v>
      </c>
      <c r="AV84" s="292">
        <f t="shared" si="77"/>
        <v>0</v>
      </c>
      <c r="AW84" s="292">
        <f t="shared" si="78"/>
        <v>0</v>
      </c>
      <c r="AX84" s="292">
        <f t="shared" si="79"/>
        <v>0</v>
      </c>
      <c r="AY84" s="292">
        <f t="shared" si="80"/>
        <v>0</v>
      </c>
      <c r="AZ84" s="292">
        <f t="shared" si="81"/>
        <v>0</v>
      </c>
      <c r="BA84" s="292">
        <f t="shared" si="82"/>
        <v>0</v>
      </c>
    </row>
    <row r="85" spans="1:53" s="289" customFormat="1" ht="16.5" customHeight="1">
      <c r="A85" s="63" t="str">
        <f t="array" ref="A85">IF(C85&lt;&gt;0,SUM(($C$11:C85&lt;&gt;0)*1),"")</f>
        <v/>
      </c>
      <c r="B85" s="290"/>
      <c r="C85" s="290"/>
      <c r="D85" s="290"/>
      <c r="E85" s="396"/>
      <c r="F85" s="345"/>
      <c r="G85" s="347"/>
      <c r="H85" s="347"/>
      <c r="I85" s="63" t="str">
        <f t="shared" si="0"/>
        <v/>
      </c>
      <c r="J85" s="292">
        <f t="shared" si="45"/>
        <v>0</v>
      </c>
      <c r="K85" s="292">
        <f t="shared" si="46"/>
        <v>0</v>
      </c>
      <c r="L85" s="292">
        <f t="shared" si="47"/>
        <v>0</v>
      </c>
      <c r="M85" s="292">
        <f t="shared" si="48"/>
        <v>0</v>
      </c>
      <c r="N85" s="292">
        <f t="shared" si="83"/>
        <v>0</v>
      </c>
      <c r="O85" s="292">
        <f t="shared" si="84"/>
        <v>0</v>
      </c>
      <c r="P85" s="292">
        <f t="shared" si="49"/>
        <v>0</v>
      </c>
      <c r="Q85" s="292">
        <f t="shared" si="50"/>
        <v>0</v>
      </c>
      <c r="R85" s="292">
        <f t="shared" si="51"/>
        <v>0</v>
      </c>
      <c r="S85" s="292">
        <f t="shared" si="52"/>
        <v>0</v>
      </c>
      <c r="T85" s="292">
        <f t="shared" si="85"/>
        <v>0</v>
      </c>
      <c r="U85" s="292">
        <f t="shared" si="86"/>
        <v>0</v>
      </c>
      <c r="V85" s="292">
        <f t="shared" si="53"/>
        <v>0</v>
      </c>
      <c r="W85" s="292">
        <f t="shared" si="54"/>
        <v>0</v>
      </c>
      <c r="X85" s="292">
        <f t="shared" si="55"/>
        <v>0</v>
      </c>
      <c r="Y85" s="292">
        <f t="shared" si="56"/>
        <v>0</v>
      </c>
      <c r="Z85" s="292">
        <f t="shared" si="57"/>
        <v>0</v>
      </c>
      <c r="AA85" s="292">
        <f t="shared" si="58"/>
        <v>0</v>
      </c>
      <c r="AB85" s="292">
        <f t="shared" si="59"/>
        <v>0</v>
      </c>
      <c r="AC85" s="292">
        <f t="shared" si="60"/>
        <v>0</v>
      </c>
      <c r="AD85" s="292">
        <f t="shared" si="61"/>
        <v>0</v>
      </c>
      <c r="AE85" s="292">
        <f t="shared" si="62"/>
        <v>0</v>
      </c>
      <c r="AF85" s="292">
        <f t="shared" si="87"/>
        <v>0</v>
      </c>
      <c r="AG85" s="292">
        <f t="shared" si="88"/>
        <v>0</v>
      </c>
      <c r="AH85" s="292">
        <f t="shared" si="63"/>
        <v>0</v>
      </c>
      <c r="AI85" s="292">
        <f t="shared" si="64"/>
        <v>0</v>
      </c>
      <c r="AJ85" s="292">
        <f t="shared" si="65"/>
        <v>0</v>
      </c>
      <c r="AK85" s="292">
        <f t="shared" si="66"/>
        <v>0</v>
      </c>
      <c r="AL85" s="292">
        <f t="shared" si="67"/>
        <v>0</v>
      </c>
      <c r="AM85" s="292">
        <f t="shared" si="68"/>
        <v>0</v>
      </c>
      <c r="AN85" s="292">
        <f t="shared" si="69"/>
        <v>0</v>
      </c>
      <c r="AO85" s="292">
        <f t="shared" si="70"/>
        <v>0</v>
      </c>
      <c r="AP85" s="292">
        <f t="shared" si="71"/>
        <v>0</v>
      </c>
      <c r="AQ85" s="292">
        <f t="shared" si="72"/>
        <v>0</v>
      </c>
      <c r="AR85" s="292">
        <f t="shared" si="73"/>
        <v>0</v>
      </c>
      <c r="AS85" s="292">
        <f t="shared" si="74"/>
        <v>0</v>
      </c>
      <c r="AT85" s="292">
        <f t="shared" si="75"/>
        <v>0</v>
      </c>
      <c r="AU85" s="292">
        <f t="shared" si="76"/>
        <v>0</v>
      </c>
      <c r="AV85" s="292">
        <f t="shared" si="77"/>
        <v>0</v>
      </c>
      <c r="AW85" s="292">
        <f t="shared" si="78"/>
        <v>0</v>
      </c>
      <c r="AX85" s="292">
        <f t="shared" si="79"/>
        <v>0</v>
      </c>
      <c r="AY85" s="292">
        <f t="shared" si="80"/>
        <v>0</v>
      </c>
      <c r="AZ85" s="292">
        <f t="shared" si="81"/>
        <v>0</v>
      </c>
      <c r="BA85" s="292">
        <f t="shared" si="82"/>
        <v>0</v>
      </c>
    </row>
    <row r="86" spans="1:53" s="289" customFormat="1" ht="16.5" customHeight="1">
      <c r="A86" s="63" t="str">
        <f t="array" ref="A86">IF(C86&lt;&gt;0,SUM(($C$11:C86&lt;&gt;0)*1),"")</f>
        <v/>
      </c>
      <c r="B86" s="290"/>
      <c r="C86" s="290"/>
      <c r="D86" s="290"/>
      <c r="E86" s="396"/>
      <c r="F86" s="345"/>
      <c r="G86" s="347"/>
      <c r="H86" s="347"/>
      <c r="I86" s="63" t="str">
        <f t="shared" si="0"/>
        <v/>
      </c>
      <c r="J86" s="292">
        <f t="shared" si="45"/>
        <v>0</v>
      </c>
      <c r="K86" s="292">
        <f t="shared" si="46"/>
        <v>0</v>
      </c>
      <c r="L86" s="292">
        <f t="shared" si="47"/>
        <v>0</v>
      </c>
      <c r="M86" s="292">
        <f t="shared" si="48"/>
        <v>0</v>
      </c>
      <c r="N86" s="292">
        <f t="shared" si="83"/>
        <v>0</v>
      </c>
      <c r="O86" s="292">
        <f t="shared" si="84"/>
        <v>0</v>
      </c>
      <c r="P86" s="292">
        <f t="shared" si="49"/>
        <v>0</v>
      </c>
      <c r="Q86" s="292">
        <f t="shared" si="50"/>
        <v>0</v>
      </c>
      <c r="R86" s="292">
        <f t="shared" si="51"/>
        <v>0</v>
      </c>
      <c r="S86" s="292">
        <f t="shared" si="52"/>
        <v>0</v>
      </c>
      <c r="T86" s="292">
        <f t="shared" si="85"/>
        <v>0</v>
      </c>
      <c r="U86" s="292">
        <f t="shared" si="86"/>
        <v>0</v>
      </c>
      <c r="V86" s="292">
        <f t="shared" si="53"/>
        <v>0</v>
      </c>
      <c r="W86" s="292">
        <f t="shared" si="54"/>
        <v>0</v>
      </c>
      <c r="X86" s="292">
        <f t="shared" si="55"/>
        <v>0</v>
      </c>
      <c r="Y86" s="292">
        <f t="shared" si="56"/>
        <v>0</v>
      </c>
      <c r="Z86" s="292">
        <f t="shared" si="57"/>
        <v>0</v>
      </c>
      <c r="AA86" s="292">
        <f t="shared" si="58"/>
        <v>0</v>
      </c>
      <c r="AB86" s="292">
        <f t="shared" si="59"/>
        <v>0</v>
      </c>
      <c r="AC86" s="292">
        <f t="shared" si="60"/>
        <v>0</v>
      </c>
      <c r="AD86" s="292">
        <f t="shared" si="61"/>
        <v>0</v>
      </c>
      <c r="AE86" s="292">
        <f t="shared" si="62"/>
        <v>0</v>
      </c>
      <c r="AF86" s="292">
        <f t="shared" si="87"/>
        <v>0</v>
      </c>
      <c r="AG86" s="292">
        <f t="shared" si="88"/>
        <v>0</v>
      </c>
      <c r="AH86" s="292">
        <f t="shared" si="63"/>
        <v>0</v>
      </c>
      <c r="AI86" s="292">
        <f t="shared" si="64"/>
        <v>0</v>
      </c>
      <c r="AJ86" s="292">
        <f t="shared" si="65"/>
        <v>0</v>
      </c>
      <c r="AK86" s="292">
        <f t="shared" si="66"/>
        <v>0</v>
      </c>
      <c r="AL86" s="292">
        <f t="shared" si="67"/>
        <v>0</v>
      </c>
      <c r="AM86" s="292">
        <f t="shared" si="68"/>
        <v>0</v>
      </c>
      <c r="AN86" s="292">
        <f t="shared" si="69"/>
        <v>0</v>
      </c>
      <c r="AO86" s="292">
        <f t="shared" si="70"/>
        <v>0</v>
      </c>
      <c r="AP86" s="292">
        <f t="shared" si="71"/>
        <v>0</v>
      </c>
      <c r="AQ86" s="292">
        <f t="shared" si="72"/>
        <v>0</v>
      </c>
      <c r="AR86" s="292">
        <f t="shared" si="73"/>
        <v>0</v>
      </c>
      <c r="AS86" s="292">
        <f t="shared" si="74"/>
        <v>0</v>
      </c>
      <c r="AT86" s="292">
        <f t="shared" si="75"/>
        <v>0</v>
      </c>
      <c r="AU86" s="292">
        <f t="shared" si="76"/>
        <v>0</v>
      </c>
      <c r="AV86" s="292">
        <f t="shared" si="77"/>
        <v>0</v>
      </c>
      <c r="AW86" s="292">
        <f t="shared" si="78"/>
        <v>0</v>
      </c>
      <c r="AX86" s="292">
        <f t="shared" si="79"/>
        <v>0</v>
      </c>
      <c r="AY86" s="292">
        <f t="shared" si="80"/>
        <v>0</v>
      </c>
      <c r="AZ86" s="292">
        <f t="shared" si="81"/>
        <v>0</v>
      </c>
      <c r="BA86" s="292">
        <f t="shared" si="82"/>
        <v>0</v>
      </c>
    </row>
    <row r="87" spans="1:53" s="289" customFormat="1" ht="16.5" customHeight="1">
      <c r="A87" s="63" t="str">
        <f t="array" ref="A87">IF(C87&lt;&gt;0,SUM(($C$11:C87&lt;&gt;0)*1),"")</f>
        <v/>
      </c>
      <c r="B87" s="290"/>
      <c r="C87" s="290"/>
      <c r="D87" s="290"/>
      <c r="E87" s="396"/>
      <c r="F87" s="345"/>
      <c r="G87" s="347"/>
      <c r="H87" s="347"/>
      <c r="I87" s="63" t="str">
        <f t="shared" si="0"/>
        <v/>
      </c>
      <c r="J87" s="292">
        <f t="shared" si="45"/>
        <v>0</v>
      </c>
      <c r="K87" s="292">
        <f t="shared" si="46"/>
        <v>0</v>
      </c>
      <c r="L87" s="292">
        <f t="shared" si="47"/>
        <v>0</v>
      </c>
      <c r="M87" s="292">
        <f t="shared" si="48"/>
        <v>0</v>
      </c>
      <c r="N87" s="292">
        <f t="shared" si="83"/>
        <v>0</v>
      </c>
      <c r="O87" s="292">
        <f t="shared" si="84"/>
        <v>0</v>
      </c>
      <c r="P87" s="292">
        <f t="shared" si="49"/>
        <v>0</v>
      </c>
      <c r="Q87" s="292">
        <f t="shared" si="50"/>
        <v>0</v>
      </c>
      <c r="R87" s="292">
        <f t="shared" si="51"/>
        <v>0</v>
      </c>
      <c r="S87" s="292">
        <f t="shared" si="52"/>
        <v>0</v>
      </c>
      <c r="T87" s="292">
        <f t="shared" si="85"/>
        <v>0</v>
      </c>
      <c r="U87" s="292">
        <f t="shared" si="86"/>
        <v>0</v>
      </c>
      <c r="V87" s="292">
        <f t="shared" si="53"/>
        <v>0</v>
      </c>
      <c r="W87" s="292">
        <f t="shared" si="54"/>
        <v>0</v>
      </c>
      <c r="X87" s="292">
        <f t="shared" si="55"/>
        <v>0</v>
      </c>
      <c r="Y87" s="292">
        <f t="shared" si="56"/>
        <v>0</v>
      </c>
      <c r="Z87" s="292">
        <f t="shared" si="57"/>
        <v>0</v>
      </c>
      <c r="AA87" s="292">
        <f t="shared" si="58"/>
        <v>0</v>
      </c>
      <c r="AB87" s="292">
        <f t="shared" si="59"/>
        <v>0</v>
      </c>
      <c r="AC87" s="292">
        <f t="shared" si="60"/>
        <v>0</v>
      </c>
      <c r="AD87" s="292">
        <f t="shared" si="61"/>
        <v>0</v>
      </c>
      <c r="AE87" s="292">
        <f t="shared" si="62"/>
        <v>0</v>
      </c>
      <c r="AF87" s="292">
        <f t="shared" si="87"/>
        <v>0</v>
      </c>
      <c r="AG87" s="292">
        <f t="shared" si="88"/>
        <v>0</v>
      </c>
      <c r="AH87" s="292">
        <f t="shared" si="63"/>
        <v>0</v>
      </c>
      <c r="AI87" s="292">
        <f t="shared" si="64"/>
        <v>0</v>
      </c>
      <c r="AJ87" s="292">
        <f t="shared" si="65"/>
        <v>0</v>
      </c>
      <c r="AK87" s="292">
        <f t="shared" si="66"/>
        <v>0</v>
      </c>
      <c r="AL87" s="292">
        <f t="shared" si="67"/>
        <v>0</v>
      </c>
      <c r="AM87" s="292">
        <f t="shared" si="68"/>
        <v>0</v>
      </c>
      <c r="AN87" s="292">
        <f t="shared" si="69"/>
        <v>0</v>
      </c>
      <c r="AO87" s="292">
        <f t="shared" si="70"/>
        <v>0</v>
      </c>
      <c r="AP87" s="292">
        <f t="shared" si="71"/>
        <v>0</v>
      </c>
      <c r="AQ87" s="292">
        <f t="shared" si="72"/>
        <v>0</v>
      </c>
      <c r="AR87" s="292">
        <f t="shared" si="73"/>
        <v>0</v>
      </c>
      <c r="AS87" s="292">
        <f t="shared" si="74"/>
        <v>0</v>
      </c>
      <c r="AT87" s="292">
        <f t="shared" si="75"/>
        <v>0</v>
      </c>
      <c r="AU87" s="292">
        <f t="shared" si="76"/>
        <v>0</v>
      </c>
      <c r="AV87" s="292">
        <f t="shared" si="77"/>
        <v>0</v>
      </c>
      <c r="AW87" s="292">
        <f t="shared" si="78"/>
        <v>0</v>
      </c>
      <c r="AX87" s="292">
        <f t="shared" si="79"/>
        <v>0</v>
      </c>
      <c r="AY87" s="292">
        <f t="shared" si="80"/>
        <v>0</v>
      </c>
      <c r="AZ87" s="292">
        <f t="shared" si="81"/>
        <v>0</v>
      </c>
      <c r="BA87" s="292">
        <f t="shared" si="82"/>
        <v>0</v>
      </c>
    </row>
    <row r="88" spans="1:53" s="289" customFormat="1" ht="16.5" customHeight="1">
      <c r="A88" s="63" t="str">
        <f t="array" ref="A88">IF(C88&lt;&gt;0,SUM(($C$11:C88&lt;&gt;0)*1),"")</f>
        <v/>
      </c>
      <c r="B88" s="290"/>
      <c r="C88" s="290"/>
      <c r="D88" s="290"/>
      <c r="E88" s="396"/>
      <c r="F88" s="345"/>
      <c r="G88" s="347"/>
      <c r="H88" s="347"/>
      <c r="I88" s="63" t="str">
        <f t="shared" si="0"/>
        <v/>
      </c>
      <c r="J88" s="292">
        <f t="shared" si="45"/>
        <v>0</v>
      </c>
      <c r="K88" s="292">
        <f t="shared" si="46"/>
        <v>0</v>
      </c>
      <c r="L88" s="292">
        <f t="shared" si="47"/>
        <v>0</v>
      </c>
      <c r="M88" s="292">
        <f t="shared" si="48"/>
        <v>0</v>
      </c>
      <c r="N88" s="292">
        <f t="shared" si="83"/>
        <v>0</v>
      </c>
      <c r="O88" s="292">
        <f t="shared" si="84"/>
        <v>0</v>
      </c>
      <c r="P88" s="292">
        <f t="shared" si="49"/>
        <v>0</v>
      </c>
      <c r="Q88" s="292">
        <f t="shared" si="50"/>
        <v>0</v>
      </c>
      <c r="R88" s="292">
        <f t="shared" si="51"/>
        <v>0</v>
      </c>
      <c r="S88" s="292">
        <f t="shared" si="52"/>
        <v>0</v>
      </c>
      <c r="T88" s="292">
        <f t="shared" si="85"/>
        <v>0</v>
      </c>
      <c r="U88" s="292">
        <f t="shared" si="86"/>
        <v>0</v>
      </c>
      <c r="V88" s="292">
        <f t="shared" si="53"/>
        <v>0</v>
      </c>
      <c r="W88" s="292">
        <f t="shared" si="54"/>
        <v>0</v>
      </c>
      <c r="X88" s="292">
        <f t="shared" si="55"/>
        <v>0</v>
      </c>
      <c r="Y88" s="292">
        <f t="shared" si="56"/>
        <v>0</v>
      </c>
      <c r="Z88" s="292">
        <f t="shared" si="57"/>
        <v>0</v>
      </c>
      <c r="AA88" s="292">
        <f t="shared" si="58"/>
        <v>0</v>
      </c>
      <c r="AB88" s="292">
        <f t="shared" si="59"/>
        <v>0</v>
      </c>
      <c r="AC88" s="292">
        <f t="shared" si="60"/>
        <v>0</v>
      </c>
      <c r="AD88" s="292">
        <f t="shared" si="61"/>
        <v>0</v>
      </c>
      <c r="AE88" s="292">
        <f t="shared" si="62"/>
        <v>0</v>
      </c>
      <c r="AF88" s="292">
        <f t="shared" si="87"/>
        <v>0</v>
      </c>
      <c r="AG88" s="292">
        <f t="shared" si="88"/>
        <v>0</v>
      </c>
      <c r="AH88" s="292">
        <f t="shared" si="63"/>
        <v>0</v>
      </c>
      <c r="AI88" s="292">
        <f t="shared" si="64"/>
        <v>0</v>
      </c>
      <c r="AJ88" s="292">
        <f t="shared" si="65"/>
        <v>0</v>
      </c>
      <c r="AK88" s="292">
        <f t="shared" si="66"/>
        <v>0</v>
      </c>
      <c r="AL88" s="292">
        <f t="shared" si="67"/>
        <v>0</v>
      </c>
      <c r="AM88" s="292">
        <f t="shared" si="68"/>
        <v>0</v>
      </c>
      <c r="AN88" s="292">
        <f t="shared" si="69"/>
        <v>0</v>
      </c>
      <c r="AO88" s="292">
        <f t="shared" si="70"/>
        <v>0</v>
      </c>
      <c r="AP88" s="292">
        <f t="shared" si="71"/>
        <v>0</v>
      </c>
      <c r="AQ88" s="292">
        <f t="shared" si="72"/>
        <v>0</v>
      </c>
      <c r="AR88" s="292">
        <f t="shared" si="73"/>
        <v>0</v>
      </c>
      <c r="AS88" s="292">
        <f t="shared" si="74"/>
        <v>0</v>
      </c>
      <c r="AT88" s="292">
        <f t="shared" si="75"/>
        <v>0</v>
      </c>
      <c r="AU88" s="292">
        <f t="shared" si="76"/>
        <v>0</v>
      </c>
      <c r="AV88" s="292">
        <f t="shared" si="77"/>
        <v>0</v>
      </c>
      <c r="AW88" s="292">
        <f t="shared" si="78"/>
        <v>0</v>
      </c>
      <c r="AX88" s="292">
        <f t="shared" si="79"/>
        <v>0</v>
      </c>
      <c r="AY88" s="292">
        <f t="shared" si="80"/>
        <v>0</v>
      </c>
      <c r="AZ88" s="292">
        <f t="shared" si="81"/>
        <v>0</v>
      </c>
      <c r="BA88" s="292">
        <f t="shared" si="82"/>
        <v>0</v>
      </c>
    </row>
    <row r="89" spans="1:53" s="289" customFormat="1" ht="16.5" customHeight="1">
      <c r="A89" s="63" t="str">
        <f t="array" ref="A89">IF(C89&lt;&gt;0,SUM(($C$11:C89&lt;&gt;0)*1),"")</f>
        <v/>
      </c>
      <c r="B89" s="290"/>
      <c r="C89" s="290"/>
      <c r="D89" s="290"/>
      <c r="E89" s="396"/>
      <c r="F89" s="345"/>
      <c r="G89" s="347"/>
      <c r="H89" s="347"/>
      <c r="I89" s="63" t="str">
        <f t="shared" si="0"/>
        <v/>
      </c>
      <c r="J89" s="292">
        <f t="shared" si="45"/>
        <v>0</v>
      </c>
      <c r="K89" s="292">
        <f t="shared" si="46"/>
        <v>0</v>
      </c>
      <c r="L89" s="292">
        <f t="shared" si="47"/>
        <v>0</v>
      </c>
      <c r="M89" s="292">
        <f t="shared" si="48"/>
        <v>0</v>
      </c>
      <c r="N89" s="292">
        <f t="shared" si="83"/>
        <v>0</v>
      </c>
      <c r="O89" s="292">
        <f t="shared" si="84"/>
        <v>0</v>
      </c>
      <c r="P89" s="292">
        <f t="shared" si="49"/>
        <v>0</v>
      </c>
      <c r="Q89" s="292">
        <f t="shared" si="50"/>
        <v>0</v>
      </c>
      <c r="R89" s="292">
        <f t="shared" si="51"/>
        <v>0</v>
      </c>
      <c r="S89" s="292">
        <f t="shared" si="52"/>
        <v>0</v>
      </c>
      <c r="T89" s="292">
        <f t="shared" si="85"/>
        <v>0</v>
      </c>
      <c r="U89" s="292">
        <f t="shared" si="86"/>
        <v>0</v>
      </c>
      <c r="V89" s="292">
        <f t="shared" si="53"/>
        <v>0</v>
      </c>
      <c r="W89" s="292">
        <f t="shared" si="54"/>
        <v>0</v>
      </c>
      <c r="X89" s="292">
        <f t="shared" si="55"/>
        <v>0</v>
      </c>
      <c r="Y89" s="292">
        <f t="shared" si="56"/>
        <v>0</v>
      </c>
      <c r="Z89" s="292">
        <f t="shared" si="57"/>
        <v>0</v>
      </c>
      <c r="AA89" s="292">
        <f t="shared" si="58"/>
        <v>0</v>
      </c>
      <c r="AB89" s="292">
        <f t="shared" si="59"/>
        <v>0</v>
      </c>
      <c r="AC89" s="292">
        <f t="shared" si="60"/>
        <v>0</v>
      </c>
      <c r="AD89" s="292">
        <f t="shared" si="61"/>
        <v>0</v>
      </c>
      <c r="AE89" s="292">
        <f t="shared" si="62"/>
        <v>0</v>
      </c>
      <c r="AF89" s="292">
        <f t="shared" si="87"/>
        <v>0</v>
      </c>
      <c r="AG89" s="292">
        <f t="shared" si="88"/>
        <v>0</v>
      </c>
      <c r="AH89" s="292">
        <f t="shared" si="63"/>
        <v>0</v>
      </c>
      <c r="AI89" s="292">
        <f t="shared" si="64"/>
        <v>0</v>
      </c>
      <c r="AJ89" s="292">
        <f t="shared" si="65"/>
        <v>0</v>
      </c>
      <c r="AK89" s="292">
        <f t="shared" si="66"/>
        <v>0</v>
      </c>
      <c r="AL89" s="292">
        <f t="shared" si="67"/>
        <v>0</v>
      </c>
      <c r="AM89" s="292">
        <f t="shared" si="68"/>
        <v>0</v>
      </c>
      <c r="AN89" s="292">
        <f t="shared" si="69"/>
        <v>0</v>
      </c>
      <c r="AO89" s="292">
        <f t="shared" si="70"/>
        <v>0</v>
      </c>
      <c r="AP89" s="292">
        <f t="shared" si="71"/>
        <v>0</v>
      </c>
      <c r="AQ89" s="292">
        <f t="shared" si="72"/>
        <v>0</v>
      </c>
      <c r="AR89" s="292">
        <f t="shared" si="73"/>
        <v>0</v>
      </c>
      <c r="AS89" s="292">
        <f t="shared" si="74"/>
        <v>0</v>
      </c>
      <c r="AT89" s="292">
        <f t="shared" si="75"/>
        <v>0</v>
      </c>
      <c r="AU89" s="292">
        <f t="shared" si="76"/>
        <v>0</v>
      </c>
      <c r="AV89" s="292">
        <f t="shared" si="77"/>
        <v>0</v>
      </c>
      <c r="AW89" s="292">
        <f t="shared" si="78"/>
        <v>0</v>
      </c>
      <c r="AX89" s="292">
        <f t="shared" si="79"/>
        <v>0</v>
      </c>
      <c r="AY89" s="292">
        <f t="shared" si="80"/>
        <v>0</v>
      </c>
      <c r="AZ89" s="292">
        <f t="shared" si="81"/>
        <v>0</v>
      </c>
      <c r="BA89" s="292">
        <f t="shared" si="82"/>
        <v>0</v>
      </c>
    </row>
    <row r="90" spans="1:53" s="289" customFormat="1" ht="16.5" customHeight="1">
      <c r="A90" s="63" t="str">
        <f t="array" ref="A90">IF(C90&lt;&gt;0,SUM(($C$11:C90&lt;&gt;0)*1),"")</f>
        <v/>
      </c>
      <c r="B90" s="290"/>
      <c r="C90" s="290"/>
      <c r="D90" s="290"/>
      <c r="E90" s="396"/>
      <c r="F90" s="345"/>
      <c r="G90" s="347"/>
      <c r="H90" s="347"/>
      <c r="I90" s="63" t="str">
        <f>A90</f>
        <v/>
      </c>
      <c r="J90" s="292">
        <f t="shared" si="45"/>
        <v>0</v>
      </c>
      <c r="K90" s="292">
        <f t="shared" si="46"/>
        <v>0</v>
      </c>
      <c r="L90" s="292">
        <f t="shared" si="47"/>
        <v>0</v>
      </c>
      <c r="M90" s="292">
        <f t="shared" si="48"/>
        <v>0</v>
      </c>
      <c r="N90" s="292">
        <f t="shared" si="83"/>
        <v>0</v>
      </c>
      <c r="O90" s="292">
        <f t="shared" si="84"/>
        <v>0</v>
      </c>
      <c r="P90" s="292">
        <f t="shared" si="49"/>
        <v>0</v>
      </c>
      <c r="Q90" s="292">
        <f t="shared" si="50"/>
        <v>0</v>
      </c>
      <c r="R90" s="292">
        <f t="shared" si="51"/>
        <v>0</v>
      </c>
      <c r="S90" s="292">
        <f t="shared" si="52"/>
        <v>0</v>
      </c>
      <c r="T90" s="292">
        <f t="shared" si="85"/>
        <v>0</v>
      </c>
      <c r="U90" s="292">
        <f t="shared" si="86"/>
        <v>0</v>
      </c>
      <c r="V90" s="292">
        <f t="shared" si="53"/>
        <v>0</v>
      </c>
      <c r="W90" s="292">
        <f t="shared" si="54"/>
        <v>0</v>
      </c>
      <c r="X90" s="292">
        <f t="shared" si="55"/>
        <v>0</v>
      </c>
      <c r="Y90" s="292">
        <f t="shared" si="56"/>
        <v>0</v>
      </c>
      <c r="Z90" s="292">
        <f t="shared" si="57"/>
        <v>0</v>
      </c>
      <c r="AA90" s="292">
        <f t="shared" si="58"/>
        <v>0</v>
      </c>
      <c r="AB90" s="292">
        <f t="shared" si="59"/>
        <v>0</v>
      </c>
      <c r="AC90" s="292">
        <f t="shared" si="60"/>
        <v>0</v>
      </c>
      <c r="AD90" s="292">
        <f t="shared" si="61"/>
        <v>0</v>
      </c>
      <c r="AE90" s="292">
        <f t="shared" si="62"/>
        <v>0</v>
      </c>
      <c r="AF90" s="292">
        <f t="shared" si="87"/>
        <v>0</v>
      </c>
      <c r="AG90" s="292">
        <f t="shared" si="88"/>
        <v>0</v>
      </c>
      <c r="AH90" s="292">
        <f t="shared" si="63"/>
        <v>0</v>
      </c>
      <c r="AI90" s="292">
        <f t="shared" si="64"/>
        <v>0</v>
      </c>
      <c r="AJ90" s="292">
        <f t="shared" si="65"/>
        <v>0</v>
      </c>
      <c r="AK90" s="292">
        <f t="shared" si="66"/>
        <v>0</v>
      </c>
      <c r="AL90" s="292">
        <f t="shared" si="67"/>
        <v>0</v>
      </c>
      <c r="AM90" s="292">
        <f t="shared" si="68"/>
        <v>0</v>
      </c>
      <c r="AN90" s="292">
        <f t="shared" si="69"/>
        <v>0</v>
      </c>
      <c r="AO90" s="292">
        <f t="shared" si="70"/>
        <v>0</v>
      </c>
      <c r="AP90" s="292">
        <f t="shared" si="71"/>
        <v>0</v>
      </c>
      <c r="AQ90" s="292">
        <f t="shared" si="72"/>
        <v>0</v>
      </c>
      <c r="AR90" s="292">
        <f t="shared" si="73"/>
        <v>0</v>
      </c>
      <c r="AS90" s="292">
        <f t="shared" si="74"/>
        <v>0</v>
      </c>
      <c r="AT90" s="292">
        <f t="shared" si="75"/>
        <v>0</v>
      </c>
      <c r="AU90" s="292">
        <f t="shared" si="76"/>
        <v>0</v>
      </c>
      <c r="AV90" s="292">
        <f t="shared" si="77"/>
        <v>0</v>
      </c>
      <c r="AW90" s="292">
        <f t="shared" si="78"/>
        <v>0</v>
      </c>
      <c r="AX90" s="292">
        <f t="shared" si="79"/>
        <v>0</v>
      </c>
      <c r="AY90" s="292">
        <f t="shared" si="80"/>
        <v>0</v>
      </c>
      <c r="AZ90" s="292">
        <f t="shared" si="81"/>
        <v>0</v>
      </c>
      <c r="BA90" s="292">
        <f t="shared" si="82"/>
        <v>0</v>
      </c>
    </row>
    <row r="91" spans="1:53" s="289" customFormat="1" ht="16.5" customHeight="1">
      <c r="A91" s="63" t="str">
        <f t="array" ref="A91">IF(C91&lt;&gt;0,SUM(($C$11:C91&lt;&gt;0)*1),"")</f>
        <v/>
      </c>
      <c r="B91" s="290"/>
      <c r="C91" s="290"/>
      <c r="D91" s="290"/>
      <c r="E91" s="396"/>
      <c r="F91" s="345"/>
      <c r="G91" s="347"/>
      <c r="H91" s="347"/>
      <c r="I91" s="63" t="str">
        <f>A91</f>
        <v/>
      </c>
      <c r="J91" s="292">
        <f t="shared" si="45"/>
        <v>0</v>
      </c>
      <c r="K91" s="292">
        <f t="shared" si="46"/>
        <v>0</v>
      </c>
      <c r="L91" s="292">
        <f t="shared" si="47"/>
        <v>0</v>
      </c>
      <c r="M91" s="292">
        <f t="shared" si="48"/>
        <v>0</v>
      </c>
      <c r="N91" s="292">
        <f t="shared" si="83"/>
        <v>0</v>
      </c>
      <c r="O91" s="292">
        <f t="shared" si="84"/>
        <v>0</v>
      </c>
      <c r="P91" s="292">
        <f t="shared" si="49"/>
        <v>0</v>
      </c>
      <c r="Q91" s="292">
        <f t="shared" si="50"/>
        <v>0</v>
      </c>
      <c r="R91" s="292">
        <f t="shared" si="51"/>
        <v>0</v>
      </c>
      <c r="S91" s="292">
        <f t="shared" si="52"/>
        <v>0</v>
      </c>
      <c r="T91" s="292">
        <f t="shared" si="85"/>
        <v>0</v>
      </c>
      <c r="U91" s="292">
        <f t="shared" si="86"/>
        <v>0</v>
      </c>
      <c r="V91" s="292">
        <f t="shared" si="53"/>
        <v>0</v>
      </c>
      <c r="W91" s="292">
        <f t="shared" si="54"/>
        <v>0</v>
      </c>
      <c r="X91" s="292">
        <f t="shared" si="55"/>
        <v>0</v>
      </c>
      <c r="Y91" s="292">
        <f t="shared" si="56"/>
        <v>0</v>
      </c>
      <c r="Z91" s="292">
        <f t="shared" si="57"/>
        <v>0</v>
      </c>
      <c r="AA91" s="292">
        <f t="shared" si="58"/>
        <v>0</v>
      </c>
      <c r="AB91" s="292">
        <f t="shared" si="59"/>
        <v>0</v>
      </c>
      <c r="AC91" s="292">
        <f t="shared" si="60"/>
        <v>0</v>
      </c>
      <c r="AD91" s="292">
        <f t="shared" si="61"/>
        <v>0</v>
      </c>
      <c r="AE91" s="292">
        <f t="shared" si="62"/>
        <v>0</v>
      </c>
      <c r="AF91" s="292">
        <f t="shared" si="87"/>
        <v>0</v>
      </c>
      <c r="AG91" s="292">
        <f t="shared" si="88"/>
        <v>0</v>
      </c>
      <c r="AH91" s="292">
        <f t="shared" si="63"/>
        <v>0</v>
      </c>
      <c r="AI91" s="292">
        <f t="shared" si="64"/>
        <v>0</v>
      </c>
      <c r="AJ91" s="292">
        <f t="shared" si="65"/>
        <v>0</v>
      </c>
      <c r="AK91" s="292">
        <f t="shared" si="66"/>
        <v>0</v>
      </c>
      <c r="AL91" s="292">
        <f t="shared" si="67"/>
        <v>0</v>
      </c>
      <c r="AM91" s="292">
        <f t="shared" si="68"/>
        <v>0</v>
      </c>
      <c r="AN91" s="292">
        <f t="shared" si="69"/>
        <v>0</v>
      </c>
      <c r="AO91" s="292">
        <f t="shared" si="70"/>
        <v>0</v>
      </c>
      <c r="AP91" s="292">
        <f t="shared" si="71"/>
        <v>0</v>
      </c>
      <c r="AQ91" s="292">
        <f t="shared" si="72"/>
        <v>0</v>
      </c>
      <c r="AR91" s="292">
        <f t="shared" si="73"/>
        <v>0</v>
      </c>
      <c r="AS91" s="292">
        <f t="shared" si="74"/>
        <v>0</v>
      </c>
      <c r="AT91" s="292">
        <f t="shared" si="75"/>
        <v>0</v>
      </c>
      <c r="AU91" s="292">
        <f t="shared" si="76"/>
        <v>0</v>
      </c>
      <c r="AV91" s="292">
        <f t="shared" si="77"/>
        <v>0</v>
      </c>
      <c r="AW91" s="292">
        <f t="shared" si="78"/>
        <v>0</v>
      </c>
      <c r="AX91" s="292">
        <f t="shared" si="79"/>
        <v>0</v>
      </c>
      <c r="AY91" s="292">
        <f t="shared" si="80"/>
        <v>0</v>
      </c>
      <c r="AZ91" s="292">
        <f t="shared" si="81"/>
        <v>0</v>
      </c>
      <c r="BA91" s="292">
        <f t="shared" si="82"/>
        <v>0</v>
      </c>
    </row>
    <row r="92" spans="1:53" s="289" customFormat="1" ht="16.5" customHeight="1">
      <c r="A92" s="63" t="str">
        <f t="array" ref="A92">IF(C92&lt;&gt;0,SUM(($C$11:C92&lt;&gt;0)*1),"")</f>
        <v/>
      </c>
      <c r="B92" s="290"/>
      <c r="C92" s="290"/>
      <c r="D92" s="290"/>
      <c r="E92" s="396"/>
      <c r="F92" s="345"/>
      <c r="G92" s="347"/>
      <c r="H92" s="347"/>
      <c r="I92" s="63" t="str">
        <f>A92</f>
        <v/>
      </c>
      <c r="J92" s="292">
        <f t="shared" si="45"/>
        <v>0</v>
      </c>
      <c r="K92" s="292">
        <f t="shared" si="46"/>
        <v>0</v>
      </c>
      <c r="L92" s="292">
        <f t="shared" si="47"/>
        <v>0</v>
      </c>
      <c r="M92" s="292">
        <f t="shared" si="48"/>
        <v>0</v>
      </c>
      <c r="N92" s="292">
        <f t="shared" si="83"/>
        <v>0</v>
      </c>
      <c r="O92" s="292">
        <f t="shared" si="84"/>
        <v>0</v>
      </c>
      <c r="P92" s="292">
        <f t="shared" si="49"/>
        <v>0</v>
      </c>
      <c r="Q92" s="292">
        <f t="shared" si="50"/>
        <v>0</v>
      </c>
      <c r="R92" s="292">
        <f t="shared" si="51"/>
        <v>0</v>
      </c>
      <c r="S92" s="292">
        <f t="shared" si="52"/>
        <v>0</v>
      </c>
      <c r="T92" s="292">
        <f t="shared" si="85"/>
        <v>0</v>
      </c>
      <c r="U92" s="292">
        <f t="shared" si="86"/>
        <v>0</v>
      </c>
      <c r="V92" s="292">
        <f t="shared" si="53"/>
        <v>0</v>
      </c>
      <c r="W92" s="292">
        <f t="shared" si="54"/>
        <v>0</v>
      </c>
      <c r="X92" s="292">
        <f t="shared" si="55"/>
        <v>0</v>
      </c>
      <c r="Y92" s="292">
        <f t="shared" si="56"/>
        <v>0</v>
      </c>
      <c r="Z92" s="292">
        <f t="shared" si="57"/>
        <v>0</v>
      </c>
      <c r="AA92" s="292">
        <f t="shared" si="58"/>
        <v>0</v>
      </c>
      <c r="AB92" s="292">
        <f t="shared" si="59"/>
        <v>0</v>
      </c>
      <c r="AC92" s="292">
        <f t="shared" si="60"/>
        <v>0</v>
      </c>
      <c r="AD92" s="292">
        <f t="shared" si="61"/>
        <v>0</v>
      </c>
      <c r="AE92" s="292">
        <f t="shared" si="62"/>
        <v>0</v>
      </c>
      <c r="AF92" s="292">
        <f t="shared" si="87"/>
        <v>0</v>
      </c>
      <c r="AG92" s="292">
        <f t="shared" si="88"/>
        <v>0</v>
      </c>
      <c r="AH92" s="292">
        <f t="shared" si="63"/>
        <v>0</v>
      </c>
      <c r="AI92" s="292">
        <f t="shared" si="64"/>
        <v>0</v>
      </c>
      <c r="AJ92" s="292">
        <f t="shared" si="65"/>
        <v>0</v>
      </c>
      <c r="AK92" s="292">
        <f t="shared" si="66"/>
        <v>0</v>
      </c>
      <c r="AL92" s="292">
        <f t="shared" si="67"/>
        <v>0</v>
      </c>
      <c r="AM92" s="292">
        <f t="shared" si="68"/>
        <v>0</v>
      </c>
      <c r="AN92" s="292">
        <f t="shared" si="69"/>
        <v>0</v>
      </c>
      <c r="AO92" s="292">
        <f t="shared" si="70"/>
        <v>0</v>
      </c>
      <c r="AP92" s="292">
        <f t="shared" si="71"/>
        <v>0</v>
      </c>
      <c r="AQ92" s="292">
        <f t="shared" si="72"/>
        <v>0</v>
      </c>
      <c r="AR92" s="292">
        <f t="shared" si="73"/>
        <v>0</v>
      </c>
      <c r="AS92" s="292">
        <f t="shared" si="74"/>
        <v>0</v>
      </c>
      <c r="AT92" s="292">
        <f t="shared" si="75"/>
        <v>0</v>
      </c>
      <c r="AU92" s="292">
        <f t="shared" si="76"/>
        <v>0</v>
      </c>
      <c r="AV92" s="292">
        <f t="shared" si="77"/>
        <v>0</v>
      </c>
      <c r="AW92" s="292">
        <f t="shared" si="78"/>
        <v>0</v>
      </c>
      <c r="AX92" s="292">
        <f t="shared" si="79"/>
        <v>0</v>
      </c>
      <c r="AY92" s="292">
        <f t="shared" si="80"/>
        <v>0</v>
      </c>
      <c r="AZ92" s="292">
        <f t="shared" si="81"/>
        <v>0</v>
      </c>
      <c r="BA92" s="292">
        <f t="shared" si="82"/>
        <v>0</v>
      </c>
    </row>
    <row r="93" spans="1:53" s="289" customFormat="1" ht="16.5" customHeight="1">
      <c r="A93" s="63" t="str">
        <f t="array" ref="A93">IF(C93&lt;&gt;0,SUM(($C$11:C93&lt;&gt;0)*1),"")</f>
        <v/>
      </c>
      <c r="B93" s="290"/>
      <c r="C93" s="290"/>
      <c r="D93" s="290"/>
      <c r="E93" s="396"/>
      <c r="F93" s="345"/>
      <c r="G93" s="347"/>
      <c r="H93" s="347"/>
      <c r="I93" s="63" t="str">
        <f>A93</f>
        <v/>
      </c>
      <c r="J93" s="292">
        <f t="shared" si="45"/>
        <v>0</v>
      </c>
      <c r="K93" s="292">
        <f t="shared" si="46"/>
        <v>0</v>
      </c>
      <c r="L93" s="292">
        <f t="shared" si="47"/>
        <v>0</v>
      </c>
      <c r="M93" s="292">
        <f t="shared" si="48"/>
        <v>0</v>
      </c>
      <c r="N93" s="292">
        <f t="shared" si="83"/>
        <v>0</v>
      </c>
      <c r="O93" s="292">
        <f t="shared" si="84"/>
        <v>0</v>
      </c>
      <c r="P93" s="292">
        <f t="shared" si="49"/>
        <v>0</v>
      </c>
      <c r="Q93" s="292">
        <f t="shared" si="50"/>
        <v>0</v>
      </c>
      <c r="R93" s="292">
        <f t="shared" si="51"/>
        <v>0</v>
      </c>
      <c r="S93" s="292">
        <f t="shared" si="52"/>
        <v>0</v>
      </c>
      <c r="T93" s="292">
        <f t="shared" si="85"/>
        <v>0</v>
      </c>
      <c r="U93" s="292">
        <f t="shared" si="86"/>
        <v>0</v>
      </c>
      <c r="V93" s="292">
        <f t="shared" si="53"/>
        <v>0</v>
      </c>
      <c r="W93" s="292">
        <f t="shared" si="54"/>
        <v>0</v>
      </c>
      <c r="X93" s="292">
        <f t="shared" si="55"/>
        <v>0</v>
      </c>
      <c r="Y93" s="292">
        <f t="shared" si="56"/>
        <v>0</v>
      </c>
      <c r="Z93" s="292">
        <f t="shared" si="57"/>
        <v>0</v>
      </c>
      <c r="AA93" s="292">
        <f t="shared" si="58"/>
        <v>0</v>
      </c>
      <c r="AB93" s="292">
        <f t="shared" si="59"/>
        <v>0</v>
      </c>
      <c r="AC93" s="292">
        <f t="shared" si="60"/>
        <v>0</v>
      </c>
      <c r="AD93" s="292">
        <f t="shared" si="61"/>
        <v>0</v>
      </c>
      <c r="AE93" s="292">
        <f t="shared" si="62"/>
        <v>0</v>
      </c>
      <c r="AF93" s="292">
        <f t="shared" si="87"/>
        <v>0</v>
      </c>
      <c r="AG93" s="292">
        <f t="shared" si="88"/>
        <v>0</v>
      </c>
      <c r="AH93" s="292">
        <f t="shared" si="63"/>
        <v>0</v>
      </c>
      <c r="AI93" s="292">
        <f t="shared" si="64"/>
        <v>0</v>
      </c>
      <c r="AJ93" s="292">
        <f t="shared" si="65"/>
        <v>0</v>
      </c>
      <c r="AK93" s="292">
        <f t="shared" si="66"/>
        <v>0</v>
      </c>
      <c r="AL93" s="292">
        <f t="shared" si="67"/>
        <v>0</v>
      </c>
      <c r="AM93" s="292">
        <f t="shared" si="68"/>
        <v>0</v>
      </c>
      <c r="AN93" s="292">
        <f t="shared" si="69"/>
        <v>0</v>
      </c>
      <c r="AO93" s="292">
        <f t="shared" si="70"/>
        <v>0</v>
      </c>
      <c r="AP93" s="292">
        <f t="shared" si="71"/>
        <v>0</v>
      </c>
      <c r="AQ93" s="292">
        <f t="shared" si="72"/>
        <v>0</v>
      </c>
      <c r="AR93" s="292">
        <f t="shared" si="73"/>
        <v>0</v>
      </c>
      <c r="AS93" s="292">
        <f t="shared" si="74"/>
        <v>0</v>
      </c>
      <c r="AT93" s="292">
        <f t="shared" si="75"/>
        <v>0</v>
      </c>
      <c r="AU93" s="292">
        <f t="shared" si="76"/>
        <v>0</v>
      </c>
      <c r="AV93" s="292">
        <f t="shared" si="77"/>
        <v>0</v>
      </c>
      <c r="AW93" s="292">
        <f t="shared" si="78"/>
        <v>0</v>
      </c>
      <c r="AX93" s="292">
        <f t="shared" si="79"/>
        <v>0</v>
      </c>
      <c r="AY93" s="292">
        <f t="shared" si="80"/>
        <v>0</v>
      </c>
      <c r="AZ93" s="292">
        <f t="shared" si="81"/>
        <v>0</v>
      </c>
      <c r="BA93" s="292">
        <f t="shared" si="82"/>
        <v>0</v>
      </c>
    </row>
    <row r="94" spans="1:53" s="289" customFormat="1" ht="16.5" customHeight="1">
      <c r="A94" s="63" t="str">
        <f t="array" ref="A94">IF(C94&lt;&gt;0,SUM(($C$11:C94&lt;&gt;0)*1),"")</f>
        <v/>
      </c>
      <c r="B94" s="290"/>
      <c r="C94" s="290"/>
      <c r="D94" s="290"/>
      <c r="E94" s="396"/>
      <c r="F94" s="345"/>
      <c r="G94" s="347"/>
      <c r="H94" s="347"/>
      <c r="I94" s="63" t="str">
        <f t="shared" ref="I94:I113" si="89">A94</f>
        <v/>
      </c>
      <c r="J94" s="292">
        <f t="shared" si="45"/>
        <v>0</v>
      </c>
      <c r="K94" s="292">
        <f t="shared" si="46"/>
        <v>0</v>
      </c>
      <c r="L94" s="292">
        <f t="shared" si="47"/>
        <v>0</v>
      </c>
      <c r="M94" s="292">
        <f t="shared" si="48"/>
        <v>0</v>
      </c>
      <c r="N94" s="292">
        <f t="shared" si="83"/>
        <v>0</v>
      </c>
      <c r="O94" s="292">
        <f t="shared" si="84"/>
        <v>0</v>
      </c>
      <c r="P94" s="292">
        <f t="shared" si="49"/>
        <v>0</v>
      </c>
      <c r="Q94" s="292">
        <f t="shared" si="50"/>
        <v>0</v>
      </c>
      <c r="R94" s="292">
        <f t="shared" si="51"/>
        <v>0</v>
      </c>
      <c r="S94" s="292">
        <f t="shared" si="52"/>
        <v>0</v>
      </c>
      <c r="T94" s="292">
        <f t="shared" si="85"/>
        <v>0</v>
      </c>
      <c r="U94" s="292">
        <f t="shared" si="86"/>
        <v>0</v>
      </c>
      <c r="V94" s="292">
        <f t="shared" si="53"/>
        <v>0</v>
      </c>
      <c r="W94" s="292">
        <f t="shared" si="54"/>
        <v>0</v>
      </c>
      <c r="X94" s="292">
        <f t="shared" si="55"/>
        <v>0</v>
      </c>
      <c r="Y94" s="292">
        <f t="shared" si="56"/>
        <v>0</v>
      </c>
      <c r="Z94" s="292">
        <f t="shared" si="57"/>
        <v>0</v>
      </c>
      <c r="AA94" s="292">
        <f t="shared" si="58"/>
        <v>0</v>
      </c>
      <c r="AB94" s="292">
        <f t="shared" si="59"/>
        <v>0</v>
      </c>
      <c r="AC94" s="292">
        <f t="shared" si="60"/>
        <v>0</v>
      </c>
      <c r="AD94" s="292">
        <f t="shared" si="61"/>
        <v>0</v>
      </c>
      <c r="AE94" s="292">
        <f t="shared" si="62"/>
        <v>0</v>
      </c>
      <c r="AF94" s="292">
        <f t="shared" si="87"/>
        <v>0</v>
      </c>
      <c r="AG94" s="292">
        <f t="shared" si="88"/>
        <v>0</v>
      </c>
      <c r="AH94" s="292">
        <f t="shared" si="63"/>
        <v>0</v>
      </c>
      <c r="AI94" s="292">
        <f t="shared" si="64"/>
        <v>0</v>
      </c>
      <c r="AJ94" s="292">
        <f t="shared" si="65"/>
        <v>0</v>
      </c>
      <c r="AK94" s="292">
        <f t="shared" si="66"/>
        <v>0</v>
      </c>
      <c r="AL94" s="292">
        <f t="shared" si="67"/>
        <v>0</v>
      </c>
      <c r="AM94" s="292">
        <f t="shared" si="68"/>
        <v>0</v>
      </c>
      <c r="AN94" s="292">
        <f t="shared" si="69"/>
        <v>0</v>
      </c>
      <c r="AO94" s="292">
        <f t="shared" si="70"/>
        <v>0</v>
      </c>
      <c r="AP94" s="292">
        <f t="shared" si="71"/>
        <v>0</v>
      </c>
      <c r="AQ94" s="292">
        <f t="shared" si="72"/>
        <v>0</v>
      </c>
      <c r="AR94" s="292">
        <f t="shared" si="73"/>
        <v>0</v>
      </c>
      <c r="AS94" s="292">
        <f t="shared" si="74"/>
        <v>0</v>
      </c>
      <c r="AT94" s="292">
        <f t="shared" si="75"/>
        <v>0</v>
      </c>
      <c r="AU94" s="292">
        <f t="shared" si="76"/>
        <v>0</v>
      </c>
      <c r="AV94" s="292">
        <f t="shared" si="77"/>
        <v>0</v>
      </c>
      <c r="AW94" s="292">
        <f t="shared" si="78"/>
        <v>0</v>
      </c>
      <c r="AX94" s="292">
        <f t="shared" si="79"/>
        <v>0</v>
      </c>
      <c r="AY94" s="292">
        <f t="shared" si="80"/>
        <v>0</v>
      </c>
      <c r="AZ94" s="292">
        <f t="shared" si="81"/>
        <v>0</v>
      </c>
      <c r="BA94" s="292">
        <f t="shared" si="82"/>
        <v>0</v>
      </c>
    </row>
    <row r="95" spans="1:53" s="289" customFormat="1" ht="16.5" customHeight="1">
      <c r="A95" s="63" t="str">
        <f t="array" ref="A95">IF(C95&lt;&gt;0,SUM(($C$11:C95&lt;&gt;0)*1),"")</f>
        <v/>
      </c>
      <c r="B95" s="290"/>
      <c r="C95" s="290"/>
      <c r="D95" s="290"/>
      <c r="E95" s="396"/>
      <c r="F95" s="345"/>
      <c r="G95" s="347"/>
      <c r="H95" s="347"/>
      <c r="I95" s="63" t="str">
        <f t="shared" si="89"/>
        <v/>
      </c>
      <c r="J95" s="292">
        <f t="shared" si="45"/>
        <v>0</v>
      </c>
      <c r="K95" s="292">
        <f t="shared" si="46"/>
        <v>0</v>
      </c>
      <c r="L95" s="292">
        <f t="shared" si="47"/>
        <v>0</v>
      </c>
      <c r="M95" s="292">
        <f t="shared" si="48"/>
        <v>0</v>
      </c>
      <c r="N95" s="292">
        <f t="shared" si="83"/>
        <v>0</v>
      </c>
      <c r="O95" s="292">
        <f t="shared" si="84"/>
        <v>0</v>
      </c>
      <c r="P95" s="292">
        <f t="shared" si="49"/>
        <v>0</v>
      </c>
      <c r="Q95" s="292">
        <f t="shared" si="50"/>
        <v>0</v>
      </c>
      <c r="R95" s="292">
        <f t="shared" si="51"/>
        <v>0</v>
      </c>
      <c r="S95" s="292">
        <f t="shared" si="52"/>
        <v>0</v>
      </c>
      <c r="T95" s="292">
        <f t="shared" si="85"/>
        <v>0</v>
      </c>
      <c r="U95" s="292">
        <f t="shared" si="86"/>
        <v>0</v>
      </c>
      <c r="V95" s="292">
        <f t="shared" si="53"/>
        <v>0</v>
      </c>
      <c r="W95" s="292">
        <f t="shared" si="54"/>
        <v>0</v>
      </c>
      <c r="X95" s="292">
        <f t="shared" si="55"/>
        <v>0</v>
      </c>
      <c r="Y95" s="292">
        <f t="shared" si="56"/>
        <v>0</v>
      </c>
      <c r="Z95" s="292">
        <f t="shared" si="57"/>
        <v>0</v>
      </c>
      <c r="AA95" s="292">
        <f t="shared" si="58"/>
        <v>0</v>
      </c>
      <c r="AB95" s="292">
        <f t="shared" si="59"/>
        <v>0</v>
      </c>
      <c r="AC95" s="292">
        <f t="shared" si="60"/>
        <v>0</v>
      </c>
      <c r="AD95" s="292">
        <f t="shared" si="61"/>
        <v>0</v>
      </c>
      <c r="AE95" s="292">
        <f t="shared" si="62"/>
        <v>0</v>
      </c>
      <c r="AF95" s="292">
        <f t="shared" si="87"/>
        <v>0</v>
      </c>
      <c r="AG95" s="292">
        <f t="shared" si="88"/>
        <v>0</v>
      </c>
      <c r="AH95" s="292">
        <f t="shared" si="63"/>
        <v>0</v>
      </c>
      <c r="AI95" s="292">
        <f t="shared" si="64"/>
        <v>0</v>
      </c>
      <c r="AJ95" s="292">
        <f t="shared" si="65"/>
        <v>0</v>
      </c>
      <c r="AK95" s="292">
        <f t="shared" si="66"/>
        <v>0</v>
      </c>
      <c r="AL95" s="292">
        <f t="shared" si="67"/>
        <v>0</v>
      </c>
      <c r="AM95" s="292">
        <f t="shared" si="68"/>
        <v>0</v>
      </c>
      <c r="AN95" s="292">
        <f t="shared" si="69"/>
        <v>0</v>
      </c>
      <c r="AO95" s="292">
        <f t="shared" si="70"/>
        <v>0</v>
      </c>
      <c r="AP95" s="292">
        <f t="shared" si="71"/>
        <v>0</v>
      </c>
      <c r="AQ95" s="292">
        <f t="shared" si="72"/>
        <v>0</v>
      </c>
      <c r="AR95" s="292">
        <f t="shared" si="73"/>
        <v>0</v>
      </c>
      <c r="AS95" s="292">
        <f t="shared" si="74"/>
        <v>0</v>
      </c>
      <c r="AT95" s="292">
        <f t="shared" si="75"/>
        <v>0</v>
      </c>
      <c r="AU95" s="292">
        <f t="shared" si="76"/>
        <v>0</v>
      </c>
      <c r="AV95" s="292">
        <f t="shared" si="77"/>
        <v>0</v>
      </c>
      <c r="AW95" s="292">
        <f t="shared" si="78"/>
        <v>0</v>
      </c>
      <c r="AX95" s="292">
        <f t="shared" si="79"/>
        <v>0</v>
      </c>
      <c r="AY95" s="292">
        <f t="shared" si="80"/>
        <v>0</v>
      </c>
      <c r="AZ95" s="292">
        <f t="shared" si="81"/>
        <v>0</v>
      </c>
      <c r="BA95" s="292">
        <f t="shared" si="82"/>
        <v>0</v>
      </c>
    </row>
    <row r="96" spans="1:53" s="289" customFormat="1" ht="16.5" customHeight="1">
      <c r="A96" s="63" t="str">
        <f t="array" ref="A96">IF(C96&lt;&gt;0,SUM(($C$11:C96&lt;&gt;0)*1),"")</f>
        <v/>
      </c>
      <c r="B96" s="290"/>
      <c r="C96" s="290"/>
      <c r="D96" s="290"/>
      <c r="E96" s="396"/>
      <c r="F96" s="345"/>
      <c r="G96" s="347"/>
      <c r="H96" s="347"/>
      <c r="I96" s="63" t="str">
        <f t="shared" si="89"/>
        <v/>
      </c>
      <c r="J96" s="292">
        <f t="shared" si="45"/>
        <v>0</v>
      </c>
      <c r="K96" s="292">
        <f t="shared" si="46"/>
        <v>0</v>
      </c>
      <c r="L96" s="292">
        <f t="shared" si="47"/>
        <v>0</v>
      </c>
      <c r="M96" s="292">
        <f t="shared" si="48"/>
        <v>0</v>
      </c>
      <c r="N96" s="292">
        <f t="shared" si="83"/>
        <v>0</v>
      </c>
      <c r="O96" s="292">
        <f t="shared" si="84"/>
        <v>0</v>
      </c>
      <c r="P96" s="292">
        <f t="shared" si="49"/>
        <v>0</v>
      </c>
      <c r="Q96" s="292">
        <f t="shared" si="50"/>
        <v>0</v>
      </c>
      <c r="R96" s="292">
        <f t="shared" si="51"/>
        <v>0</v>
      </c>
      <c r="S96" s="292">
        <f t="shared" si="52"/>
        <v>0</v>
      </c>
      <c r="T96" s="292">
        <f t="shared" si="85"/>
        <v>0</v>
      </c>
      <c r="U96" s="292">
        <f t="shared" si="86"/>
        <v>0</v>
      </c>
      <c r="V96" s="292">
        <f t="shared" si="53"/>
        <v>0</v>
      </c>
      <c r="W96" s="292">
        <f t="shared" si="54"/>
        <v>0</v>
      </c>
      <c r="X96" s="292">
        <f t="shared" si="55"/>
        <v>0</v>
      </c>
      <c r="Y96" s="292">
        <f t="shared" si="56"/>
        <v>0</v>
      </c>
      <c r="Z96" s="292">
        <f t="shared" si="57"/>
        <v>0</v>
      </c>
      <c r="AA96" s="292">
        <f t="shared" si="58"/>
        <v>0</v>
      </c>
      <c r="AB96" s="292">
        <f t="shared" si="59"/>
        <v>0</v>
      </c>
      <c r="AC96" s="292">
        <f t="shared" si="60"/>
        <v>0</v>
      </c>
      <c r="AD96" s="292">
        <f t="shared" si="61"/>
        <v>0</v>
      </c>
      <c r="AE96" s="292">
        <f t="shared" si="62"/>
        <v>0</v>
      </c>
      <c r="AF96" s="292">
        <f t="shared" si="87"/>
        <v>0</v>
      </c>
      <c r="AG96" s="292">
        <f t="shared" si="88"/>
        <v>0</v>
      </c>
      <c r="AH96" s="292">
        <f t="shared" si="63"/>
        <v>0</v>
      </c>
      <c r="AI96" s="292">
        <f t="shared" si="64"/>
        <v>0</v>
      </c>
      <c r="AJ96" s="292">
        <f t="shared" si="65"/>
        <v>0</v>
      </c>
      <c r="AK96" s="292">
        <f t="shared" si="66"/>
        <v>0</v>
      </c>
      <c r="AL96" s="292">
        <f t="shared" si="67"/>
        <v>0</v>
      </c>
      <c r="AM96" s="292">
        <f t="shared" si="68"/>
        <v>0</v>
      </c>
      <c r="AN96" s="292">
        <f t="shared" si="69"/>
        <v>0</v>
      </c>
      <c r="AO96" s="292">
        <f t="shared" si="70"/>
        <v>0</v>
      </c>
      <c r="AP96" s="292">
        <f t="shared" si="71"/>
        <v>0</v>
      </c>
      <c r="AQ96" s="292">
        <f t="shared" si="72"/>
        <v>0</v>
      </c>
      <c r="AR96" s="292">
        <f t="shared" si="73"/>
        <v>0</v>
      </c>
      <c r="AS96" s="292">
        <f t="shared" si="74"/>
        <v>0</v>
      </c>
      <c r="AT96" s="292">
        <f t="shared" si="75"/>
        <v>0</v>
      </c>
      <c r="AU96" s="292">
        <f t="shared" si="76"/>
        <v>0</v>
      </c>
      <c r="AV96" s="292">
        <f t="shared" si="77"/>
        <v>0</v>
      </c>
      <c r="AW96" s="292">
        <f t="shared" si="78"/>
        <v>0</v>
      </c>
      <c r="AX96" s="292">
        <f t="shared" si="79"/>
        <v>0</v>
      </c>
      <c r="AY96" s="292">
        <f t="shared" si="80"/>
        <v>0</v>
      </c>
      <c r="AZ96" s="292">
        <f t="shared" si="81"/>
        <v>0</v>
      </c>
      <c r="BA96" s="292">
        <f t="shared" si="82"/>
        <v>0</v>
      </c>
    </row>
    <row r="97" spans="1:53" s="289" customFormat="1" ht="16.5" customHeight="1">
      <c r="A97" s="63" t="str">
        <f t="array" ref="A97">IF(C97&lt;&gt;0,SUM(($C$11:C97&lt;&gt;0)*1),"")</f>
        <v/>
      </c>
      <c r="B97" s="290"/>
      <c r="C97" s="290"/>
      <c r="D97" s="290"/>
      <c r="E97" s="396"/>
      <c r="F97" s="345"/>
      <c r="G97" s="347"/>
      <c r="H97" s="347"/>
      <c r="I97" s="63" t="str">
        <f t="shared" si="89"/>
        <v/>
      </c>
      <c r="J97" s="292">
        <f t="shared" si="45"/>
        <v>0</v>
      </c>
      <c r="K97" s="292">
        <f t="shared" si="46"/>
        <v>0</v>
      </c>
      <c r="L97" s="292">
        <f t="shared" si="47"/>
        <v>0</v>
      </c>
      <c r="M97" s="292">
        <f t="shared" si="48"/>
        <v>0</v>
      </c>
      <c r="N97" s="292">
        <f t="shared" si="83"/>
        <v>0</v>
      </c>
      <c r="O97" s="292">
        <f t="shared" si="84"/>
        <v>0</v>
      </c>
      <c r="P97" s="292">
        <f t="shared" si="49"/>
        <v>0</v>
      </c>
      <c r="Q97" s="292">
        <f t="shared" si="50"/>
        <v>0</v>
      </c>
      <c r="R97" s="292">
        <f t="shared" si="51"/>
        <v>0</v>
      </c>
      <c r="S97" s="292">
        <f t="shared" si="52"/>
        <v>0</v>
      </c>
      <c r="T97" s="292">
        <f t="shared" si="85"/>
        <v>0</v>
      </c>
      <c r="U97" s="292">
        <f t="shared" si="86"/>
        <v>0</v>
      </c>
      <c r="V97" s="292">
        <f t="shared" si="53"/>
        <v>0</v>
      </c>
      <c r="W97" s="292">
        <f t="shared" si="54"/>
        <v>0</v>
      </c>
      <c r="X97" s="292">
        <f t="shared" si="55"/>
        <v>0</v>
      </c>
      <c r="Y97" s="292">
        <f t="shared" si="56"/>
        <v>0</v>
      </c>
      <c r="Z97" s="292">
        <f t="shared" si="57"/>
        <v>0</v>
      </c>
      <c r="AA97" s="292">
        <f t="shared" si="58"/>
        <v>0</v>
      </c>
      <c r="AB97" s="292">
        <f t="shared" si="59"/>
        <v>0</v>
      </c>
      <c r="AC97" s="292">
        <f t="shared" si="60"/>
        <v>0</v>
      </c>
      <c r="AD97" s="292">
        <f t="shared" si="61"/>
        <v>0</v>
      </c>
      <c r="AE97" s="292">
        <f t="shared" si="62"/>
        <v>0</v>
      </c>
      <c r="AF97" s="292">
        <f t="shared" si="87"/>
        <v>0</v>
      </c>
      <c r="AG97" s="292">
        <f t="shared" si="88"/>
        <v>0</v>
      </c>
      <c r="AH97" s="292">
        <f t="shared" si="63"/>
        <v>0</v>
      </c>
      <c r="AI97" s="292">
        <f t="shared" si="64"/>
        <v>0</v>
      </c>
      <c r="AJ97" s="292">
        <f t="shared" si="65"/>
        <v>0</v>
      </c>
      <c r="AK97" s="292">
        <f t="shared" si="66"/>
        <v>0</v>
      </c>
      <c r="AL97" s="292">
        <f t="shared" si="67"/>
        <v>0</v>
      </c>
      <c r="AM97" s="292">
        <f t="shared" si="68"/>
        <v>0</v>
      </c>
      <c r="AN97" s="292">
        <f t="shared" si="69"/>
        <v>0</v>
      </c>
      <c r="AO97" s="292">
        <f t="shared" si="70"/>
        <v>0</v>
      </c>
      <c r="AP97" s="292">
        <f t="shared" si="71"/>
        <v>0</v>
      </c>
      <c r="AQ97" s="292">
        <f t="shared" si="72"/>
        <v>0</v>
      </c>
      <c r="AR97" s="292">
        <f t="shared" si="73"/>
        <v>0</v>
      </c>
      <c r="AS97" s="292">
        <f t="shared" si="74"/>
        <v>0</v>
      </c>
      <c r="AT97" s="292">
        <f t="shared" si="75"/>
        <v>0</v>
      </c>
      <c r="AU97" s="292">
        <f t="shared" si="76"/>
        <v>0</v>
      </c>
      <c r="AV97" s="292">
        <f t="shared" si="77"/>
        <v>0</v>
      </c>
      <c r="AW97" s="292">
        <f t="shared" si="78"/>
        <v>0</v>
      </c>
      <c r="AX97" s="292">
        <f t="shared" si="79"/>
        <v>0</v>
      </c>
      <c r="AY97" s="292">
        <f t="shared" si="80"/>
        <v>0</v>
      </c>
      <c r="AZ97" s="292">
        <f t="shared" si="81"/>
        <v>0</v>
      </c>
      <c r="BA97" s="292">
        <f t="shared" si="82"/>
        <v>0</v>
      </c>
    </row>
    <row r="98" spans="1:53" s="289" customFormat="1" ht="16.5" customHeight="1">
      <c r="A98" s="63" t="str">
        <f t="array" ref="A98">IF(C98&lt;&gt;0,SUM(($C$11:C98&lt;&gt;0)*1),"")</f>
        <v/>
      </c>
      <c r="B98" s="290"/>
      <c r="C98" s="290"/>
      <c r="D98" s="290"/>
      <c r="E98" s="396"/>
      <c r="F98" s="345"/>
      <c r="G98" s="347"/>
      <c r="H98" s="347"/>
      <c r="I98" s="63" t="str">
        <f t="shared" si="89"/>
        <v/>
      </c>
      <c r="J98" s="292">
        <f t="shared" si="45"/>
        <v>0</v>
      </c>
      <c r="K98" s="292">
        <f t="shared" si="46"/>
        <v>0</v>
      </c>
      <c r="L98" s="292">
        <f t="shared" si="47"/>
        <v>0</v>
      </c>
      <c r="M98" s="292">
        <f t="shared" si="48"/>
        <v>0</v>
      </c>
      <c r="N98" s="292">
        <f t="shared" si="83"/>
        <v>0</v>
      </c>
      <c r="O98" s="292">
        <f t="shared" si="84"/>
        <v>0</v>
      </c>
      <c r="P98" s="292">
        <f t="shared" si="49"/>
        <v>0</v>
      </c>
      <c r="Q98" s="292">
        <f t="shared" si="50"/>
        <v>0</v>
      </c>
      <c r="R98" s="292">
        <f t="shared" si="51"/>
        <v>0</v>
      </c>
      <c r="S98" s="292">
        <f t="shared" si="52"/>
        <v>0</v>
      </c>
      <c r="T98" s="292">
        <f t="shared" si="85"/>
        <v>0</v>
      </c>
      <c r="U98" s="292">
        <f t="shared" si="86"/>
        <v>0</v>
      </c>
      <c r="V98" s="292">
        <f t="shared" si="53"/>
        <v>0</v>
      </c>
      <c r="W98" s="292">
        <f t="shared" si="54"/>
        <v>0</v>
      </c>
      <c r="X98" s="292">
        <f t="shared" si="55"/>
        <v>0</v>
      </c>
      <c r="Y98" s="292">
        <f t="shared" si="56"/>
        <v>0</v>
      </c>
      <c r="Z98" s="292">
        <f t="shared" si="57"/>
        <v>0</v>
      </c>
      <c r="AA98" s="292">
        <f t="shared" si="58"/>
        <v>0</v>
      </c>
      <c r="AB98" s="292">
        <f t="shared" si="59"/>
        <v>0</v>
      </c>
      <c r="AC98" s="292">
        <f t="shared" si="60"/>
        <v>0</v>
      </c>
      <c r="AD98" s="292">
        <f t="shared" si="61"/>
        <v>0</v>
      </c>
      <c r="AE98" s="292">
        <f t="shared" si="62"/>
        <v>0</v>
      </c>
      <c r="AF98" s="292">
        <f t="shared" si="87"/>
        <v>0</v>
      </c>
      <c r="AG98" s="292">
        <f t="shared" si="88"/>
        <v>0</v>
      </c>
      <c r="AH98" s="292">
        <f t="shared" si="63"/>
        <v>0</v>
      </c>
      <c r="AI98" s="292">
        <f t="shared" si="64"/>
        <v>0</v>
      </c>
      <c r="AJ98" s="292">
        <f t="shared" si="65"/>
        <v>0</v>
      </c>
      <c r="AK98" s="292">
        <f t="shared" si="66"/>
        <v>0</v>
      </c>
      <c r="AL98" s="292">
        <f t="shared" si="67"/>
        <v>0</v>
      </c>
      <c r="AM98" s="292">
        <f t="shared" si="68"/>
        <v>0</v>
      </c>
      <c r="AN98" s="292">
        <f t="shared" si="69"/>
        <v>0</v>
      </c>
      <c r="AO98" s="292">
        <f t="shared" si="70"/>
        <v>0</v>
      </c>
      <c r="AP98" s="292">
        <f t="shared" si="71"/>
        <v>0</v>
      </c>
      <c r="AQ98" s="292">
        <f t="shared" si="72"/>
        <v>0</v>
      </c>
      <c r="AR98" s="292">
        <f t="shared" si="73"/>
        <v>0</v>
      </c>
      <c r="AS98" s="292">
        <f t="shared" si="74"/>
        <v>0</v>
      </c>
      <c r="AT98" s="292">
        <f t="shared" si="75"/>
        <v>0</v>
      </c>
      <c r="AU98" s="292">
        <f t="shared" si="76"/>
        <v>0</v>
      </c>
      <c r="AV98" s="292">
        <f t="shared" si="77"/>
        <v>0</v>
      </c>
      <c r="AW98" s="292">
        <f t="shared" si="78"/>
        <v>0</v>
      </c>
      <c r="AX98" s="292">
        <f t="shared" si="79"/>
        <v>0</v>
      </c>
      <c r="AY98" s="292">
        <f t="shared" si="80"/>
        <v>0</v>
      </c>
      <c r="AZ98" s="292">
        <f t="shared" si="81"/>
        <v>0</v>
      </c>
      <c r="BA98" s="292">
        <f t="shared" si="82"/>
        <v>0</v>
      </c>
    </row>
    <row r="99" spans="1:53" s="289" customFormat="1" ht="16.5" customHeight="1">
      <c r="A99" s="63" t="str">
        <f t="array" ref="A99">IF(C99&lt;&gt;0,SUM(($C$11:C99&lt;&gt;0)*1),"")</f>
        <v/>
      </c>
      <c r="B99" s="290"/>
      <c r="C99" s="290"/>
      <c r="D99" s="290"/>
      <c r="E99" s="396"/>
      <c r="F99" s="345"/>
      <c r="G99" s="347"/>
      <c r="H99" s="347"/>
      <c r="I99" s="63" t="str">
        <f t="shared" si="89"/>
        <v/>
      </c>
      <c r="J99" s="292">
        <f t="shared" si="45"/>
        <v>0</v>
      </c>
      <c r="K99" s="292">
        <f t="shared" si="46"/>
        <v>0</v>
      </c>
      <c r="L99" s="292">
        <f t="shared" si="47"/>
        <v>0</v>
      </c>
      <c r="M99" s="292">
        <f t="shared" si="48"/>
        <v>0</v>
      </c>
      <c r="N99" s="292">
        <f t="shared" si="83"/>
        <v>0</v>
      </c>
      <c r="O99" s="292">
        <f t="shared" si="84"/>
        <v>0</v>
      </c>
      <c r="P99" s="292">
        <f t="shared" si="49"/>
        <v>0</v>
      </c>
      <c r="Q99" s="292">
        <f t="shared" si="50"/>
        <v>0</v>
      </c>
      <c r="R99" s="292">
        <f t="shared" si="51"/>
        <v>0</v>
      </c>
      <c r="S99" s="292">
        <f t="shared" si="52"/>
        <v>0</v>
      </c>
      <c r="T99" s="292">
        <f t="shared" si="85"/>
        <v>0</v>
      </c>
      <c r="U99" s="292">
        <f t="shared" si="86"/>
        <v>0</v>
      </c>
      <c r="V99" s="292">
        <f t="shared" si="53"/>
        <v>0</v>
      </c>
      <c r="W99" s="292">
        <f t="shared" si="54"/>
        <v>0</v>
      </c>
      <c r="X99" s="292">
        <f t="shared" si="55"/>
        <v>0</v>
      </c>
      <c r="Y99" s="292">
        <f t="shared" si="56"/>
        <v>0</v>
      </c>
      <c r="Z99" s="292">
        <f t="shared" si="57"/>
        <v>0</v>
      </c>
      <c r="AA99" s="292">
        <f t="shared" si="58"/>
        <v>0</v>
      </c>
      <c r="AB99" s="292">
        <f t="shared" si="59"/>
        <v>0</v>
      </c>
      <c r="AC99" s="292">
        <f t="shared" si="60"/>
        <v>0</v>
      </c>
      <c r="AD99" s="292">
        <f t="shared" si="61"/>
        <v>0</v>
      </c>
      <c r="AE99" s="292">
        <f t="shared" si="62"/>
        <v>0</v>
      </c>
      <c r="AF99" s="292">
        <f t="shared" si="87"/>
        <v>0</v>
      </c>
      <c r="AG99" s="292">
        <f t="shared" si="88"/>
        <v>0</v>
      </c>
      <c r="AH99" s="292">
        <f t="shared" si="63"/>
        <v>0</v>
      </c>
      <c r="AI99" s="292">
        <f t="shared" si="64"/>
        <v>0</v>
      </c>
      <c r="AJ99" s="292">
        <f t="shared" si="65"/>
        <v>0</v>
      </c>
      <c r="AK99" s="292">
        <f t="shared" si="66"/>
        <v>0</v>
      </c>
      <c r="AL99" s="292">
        <f t="shared" si="67"/>
        <v>0</v>
      </c>
      <c r="AM99" s="292">
        <f t="shared" si="68"/>
        <v>0</v>
      </c>
      <c r="AN99" s="292">
        <f t="shared" si="69"/>
        <v>0</v>
      </c>
      <c r="AO99" s="292">
        <f t="shared" si="70"/>
        <v>0</v>
      </c>
      <c r="AP99" s="292">
        <f t="shared" si="71"/>
        <v>0</v>
      </c>
      <c r="AQ99" s="292">
        <f t="shared" si="72"/>
        <v>0</v>
      </c>
      <c r="AR99" s="292">
        <f t="shared" si="73"/>
        <v>0</v>
      </c>
      <c r="AS99" s="292">
        <f t="shared" si="74"/>
        <v>0</v>
      </c>
      <c r="AT99" s="292">
        <f t="shared" si="75"/>
        <v>0</v>
      </c>
      <c r="AU99" s="292">
        <f t="shared" si="76"/>
        <v>0</v>
      </c>
      <c r="AV99" s="292">
        <f t="shared" si="77"/>
        <v>0</v>
      </c>
      <c r="AW99" s="292">
        <f t="shared" si="78"/>
        <v>0</v>
      </c>
      <c r="AX99" s="292">
        <f t="shared" si="79"/>
        <v>0</v>
      </c>
      <c r="AY99" s="292">
        <f t="shared" si="80"/>
        <v>0</v>
      </c>
      <c r="AZ99" s="292">
        <f t="shared" si="81"/>
        <v>0</v>
      </c>
      <c r="BA99" s="292">
        <f t="shared" si="82"/>
        <v>0</v>
      </c>
    </row>
    <row r="100" spans="1:53" s="289" customFormat="1" ht="16.5" customHeight="1">
      <c r="A100" s="63" t="str">
        <f t="array" ref="A100">IF(C100&lt;&gt;0,SUM(($C$11:C100&lt;&gt;0)*1),"")</f>
        <v/>
      </c>
      <c r="B100" s="290"/>
      <c r="C100" s="290"/>
      <c r="D100" s="290"/>
      <c r="E100" s="396"/>
      <c r="F100" s="345"/>
      <c r="G100" s="347"/>
      <c r="H100" s="347"/>
      <c r="I100" s="63" t="str">
        <f t="shared" si="89"/>
        <v/>
      </c>
      <c r="J100" s="292">
        <f t="shared" si="45"/>
        <v>0</v>
      </c>
      <c r="K100" s="292">
        <f t="shared" si="46"/>
        <v>0</v>
      </c>
      <c r="L100" s="292">
        <f t="shared" si="47"/>
        <v>0</v>
      </c>
      <c r="M100" s="292">
        <f t="shared" si="48"/>
        <v>0</v>
      </c>
      <c r="N100" s="292">
        <f t="shared" si="83"/>
        <v>0</v>
      </c>
      <c r="O100" s="292">
        <f t="shared" si="84"/>
        <v>0</v>
      </c>
      <c r="P100" s="292">
        <f t="shared" si="49"/>
        <v>0</v>
      </c>
      <c r="Q100" s="292">
        <f t="shared" si="50"/>
        <v>0</v>
      </c>
      <c r="R100" s="292">
        <f t="shared" si="51"/>
        <v>0</v>
      </c>
      <c r="S100" s="292">
        <f t="shared" si="52"/>
        <v>0</v>
      </c>
      <c r="T100" s="292">
        <f t="shared" si="85"/>
        <v>0</v>
      </c>
      <c r="U100" s="292">
        <f t="shared" si="86"/>
        <v>0</v>
      </c>
      <c r="V100" s="292">
        <f t="shared" si="53"/>
        <v>0</v>
      </c>
      <c r="W100" s="292">
        <f t="shared" si="54"/>
        <v>0</v>
      </c>
      <c r="X100" s="292">
        <f t="shared" si="55"/>
        <v>0</v>
      </c>
      <c r="Y100" s="292">
        <f t="shared" si="56"/>
        <v>0</v>
      </c>
      <c r="Z100" s="292">
        <f t="shared" si="57"/>
        <v>0</v>
      </c>
      <c r="AA100" s="292">
        <f t="shared" si="58"/>
        <v>0</v>
      </c>
      <c r="AB100" s="292">
        <f t="shared" si="59"/>
        <v>0</v>
      </c>
      <c r="AC100" s="292">
        <f t="shared" si="60"/>
        <v>0</v>
      </c>
      <c r="AD100" s="292">
        <f t="shared" si="61"/>
        <v>0</v>
      </c>
      <c r="AE100" s="292">
        <f t="shared" si="62"/>
        <v>0</v>
      </c>
      <c r="AF100" s="292">
        <f t="shared" si="87"/>
        <v>0</v>
      </c>
      <c r="AG100" s="292">
        <f t="shared" si="88"/>
        <v>0</v>
      </c>
      <c r="AH100" s="292">
        <f t="shared" si="63"/>
        <v>0</v>
      </c>
      <c r="AI100" s="292">
        <f t="shared" si="64"/>
        <v>0</v>
      </c>
      <c r="AJ100" s="292">
        <f t="shared" si="65"/>
        <v>0</v>
      </c>
      <c r="AK100" s="292">
        <f t="shared" si="66"/>
        <v>0</v>
      </c>
      <c r="AL100" s="292">
        <f t="shared" si="67"/>
        <v>0</v>
      </c>
      <c r="AM100" s="292">
        <f t="shared" si="68"/>
        <v>0</v>
      </c>
      <c r="AN100" s="292">
        <f t="shared" si="69"/>
        <v>0</v>
      </c>
      <c r="AO100" s="292">
        <f t="shared" si="70"/>
        <v>0</v>
      </c>
      <c r="AP100" s="292">
        <f t="shared" si="71"/>
        <v>0</v>
      </c>
      <c r="AQ100" s="292">
        <f t="shared" si="72"/>
        <v>0</v>
      </c>
      <c r="AR100" s="292">
        <f t="shared" si="73"/>
        <v>0</v>
      </c>
      <c r="AS100" s="292">
        <f t="shared" si="74"/>
        <v>0</v>
      </c>
      <c r="AT100" s="292">
        <f t="shared" si="75"/>
        <v>0</v>
      </c>
      <c r="AU100" s="292">
        <f t="shared" si="76"/>
        <v>0</v>
      </c>
      <c r="AV100" s="292">
        <f t="shared" si="77"/>
        <v>0</v>
      </c>
      <c r="AW100" s="292">
        <f t="shared" si="78"/>
        <v>0</v>
      </c>
      <c r="AX100" s="292">
        <f t="shared" si="79"/>
        <v>0</v>
      </c>
      <c r="AY100" s="292">
        <f t="shared" si="80"/>
        <v>0</v>
      </c>
      <c r="AZ100" s="292">
        <f t="shared" si="81"/>
        <v>0</v>
      </c>
      <c r="BA100" s="292">
        <f t="shared" si="82"/>
        <v>0</v>
      </c>
    </row>
    <row r="101" spans="1:53" s="289" customFormat="1" ht="16.5" customHeight="1">
      <c r="A101" s="63" t="str">
        <f t="array" ref="A101">IF(C101&lt;&gt;0,SUM(($C$11:C101&lt;&gt;0)*1),"")</f>
        <v/>
      </c>
      <c r="B101" s="290"/>
      <c r="C101" s="290"/>
      <c r="D101" s="290"/>
      <c r="E101" s="396"/>
      <c r="F101" s="345"/>
      <c r="G101" s="347"/>
      <c r="H101" s="347"/>
      <c r="I101" s="63" t="str">
        <f t="shared" si="89"/>
        <v/>
      </c>
      <c r="J101" s="292">
        <f t="shared" si="45"/>
        <v>0</v>
      </c>
      <c r="K101" s="292">
        <f t="shared" si="46"/>
        <v>0</v>
      </c>
      <c r="L101" s="292">
        <f t="shared" si="47"/>
        <v>0</v>
      </c>
      <c r="M101" s="292">
        <f t="shared" si="48"/>
        <v>0</v>
      </c>
      <c r="N101" s="292">
        <f t="shared" si="83"/>
        <v>0</v>
      </c>
      <c r="O101" s="292">
        <f t="shared" si="84"/>
        <v>0</v>
      </c>
      <c r="P101" s="292">
        <f t="shared" si="49"/>
        <v>0</v>
      </c>
      <c r="Q101" s="292">
        <f t="shared" si="50"/>
        <v>0</v>
      </c>
      <c r="R101" s="292">
        <f t="shared" si="51"/>
        <v>0</v>
      </c>
      <c r="S101" s="292">
        <f t="shared" si="52"/>
        <v>0</v>
      </c>
      <c r="T101" s="292">
        <f t="shared" si="85"/>
        <v>0</v>
      </c>
      <c r="U101" s="292">
        <f t="shared" si="86"/>
        <v>0</v>
      </c>
      <c r="V101" s="292">
        <f t="shared" si="53"/>
        <v>0</v>
      </c>
      <c r="W101" s="292">
        <f t="shared" si="54"/>
        <v>0</v>
      </c>
      <c r="X101" s="292">
        <f t="shared" si="55"/>
        <v>0</v>
      </c>
      <c r="Y101" s="292">
        <f t="shared" si="56"/>
        <v>0</v>
      </c>
      <c r="Z101" s="292">
        <f t="shared" si="57"/>
        <v>0</v>
      </c>
      <c r="AA101" s="292">
        <f t="shared" si="58"/>
        <v>0</v>
      </c>
      <c r="AB101" s="292">
        <f t="shared" si="59"/>
        <v>0</v>
      </c>
      <c r="AC101" s="292">
        <f t="shared" si="60"/>
        <v>0</v>
      </c>
      <c r="AD101" s="292">
        <f t="shared" si="61"/>
        <v>0</v>
      </c>
      <c r="AE101" s="292">
        <f t="shared" si="62"/>
        <v>0</v>
      </c>
      <c r="AF101" s="292">
        <f t="shared" si="87"/>
        <v>0</v>
      </c>
      <c r="AG101" s="292">
        <f t="shared" si="88"/>
        <v>0</v>
      </c>
      <c r="AH101" s="292">
        <f t="shared" si="63"/>
        <v>0</v>
      </c>
      <c r="AI101" s="292">
        <f t="shared" si="64"/>
        <v>0</v>
      </c>
      <c r="AJ101" s="292">
        <f t="shared" si="65"/>
        <v>0</v>
      </c>
      <c r="AK101" s="292">
        <f t="shared" si="66"/>
        <v>0</v>
      </c>
      <c r="AL101" s="292">
        <f t="shared" si="67"/>
        <v>0</v>
      </c>
      <c r="AM101" s="292">
        <f t="shared" si="68"/>
        <v>0</v>
      </c>
      <c r="AN101" s="292">
        <f t="shared" si="69"/>
        <v>0</v>
      </c>
      <c r="AO101" s="292">
        <f t="shared" si="70"/>
        <v>0</v>
      </c>
      <c r="AP101" s="292">
        <f t="shared" si="71"/>
        <v>0</v>
      </c>
      <c r="AQ101" s="292">
        <f t="shared" si="72"/>
        <v>0</v>
      </c>
      <c r="AR101" s="292">
        <f t="shared" si="73"/>
        <v>0</v>
      </c>
      <c r="AS101" s="292">
        <f t="shared" si="74"/>
        <v>0</v>
      </c>
      <c r="AT101" s="292">
        <f t="shared" si="75"/>
        <v>0</v>
      </c>
      <c r="AU101" s="292">
        <f t="shared" si="76"/>
        <v>0</v>
      </c>
      <c r="AV101" s="292">
        <f t="shared" si="77"/>
        <v>0</v>
      </c>
      <c r="AW101" s="292">
        <f t="shared" si="78"/>
        <v>0</v>
      </c>
      <c r="AX101" s="292">
        <f t="shared" si="79"/>
        <v>0</v>
      </c>
      <c r="AY101" s="292">
        <f t="shared" si="80"/>
        <v>0</v>
      </c>
      <c r="AZ101" s="292">
        <f t="shared" si="81"/>
        <v>0</v>
      </c>
      <c r="BA101" s="292">
        <f t="shared" si="82"/>
        <v>0</v>
      </c>
    </row>
    <row r="102" spans="1:53" s="289" customFormat="1" ht="16.5" customHeight="1">
      <c r="A102" s="63" t="str">
        <f t="array" ref="A102">IF(C102&lt;&gt;0,SUM(($C$11:C102&lt;&gt;0)*1),"")</f>
        <v/>
      </c>
      <c r="B102" s="290"/>
      <c r="C102" s="290"/>
      <c r="D102" s="290"/>
      <c r="E102" s="396"/>
      <c r="F102" s="345"/>
      <c r="G102" s="347"/>
      <c r="H102" s="347"/>
      <c r="I102" s="63" t="str">
        <f t="shared" si="89"/>
        <v/>
      </c>
      <c r="J102" s="292">
        <f t="shared" si="45"/>
        <v>0</v>
      </c>
      <c r="K102" s="292">
        <f t="shared" si="46"/>
        <v>0</v>
      </c>
      <c r="L102" s="292">
        <f t="shared" si="47"/>
        <v>0</v>
      </c>
      <c r="M102" s="292">
        <f t="shared" si="48"/>
        <v>0</v>
      </c>
      <c r="N102" s="292">
        <f t="shared" si="83"/>
        <v>0</v>
      </c>
      <c r="O102" s="292">
        <f t="shared" si="84"/>
        <v>0</v>
      </c>
      <c r="P102" s="292">
        <f t="shared" si="49"/>
        <v>0</v>
      </c>
      <c r="Q102" s="292">
        <f t="shared" si="50"/>
        <v>0</v>
      </c>
      <c r="R102" s="292">
        <f t="shared" si="51"/>
        <v>0</v>
      </c>
      <c r="S102" s="292">
        <f t="shared" si="52"/>
        <v>0</v>
      </c>
      <c r="T102" s="292">
        <f t="shared" si="85"/>
        <v>0</v>
      </c>
      <c r="U102" s="292">
        <f t="shared" si="86"/>
        <v>0</v>
      </c>
      <c r="V102" s="292">
        <f t="shared" si="53"/>
        <v>0</v>
      </c>
      <c r="W102" s="292">
        <f t="shared" si="54"/>
        <v>0</v>
      </c>
      <c r="X102" s="292">
        <f t="shared" si="55"/>
        <v>0</v>
      </c>
      <c r="Y102" s="292">
        <f t="shared" si="56"/>
        <v>0</v>
      </c>
      <c r="Z102" s="292">
        <f t="shared" si="57"/>
        <v>0</v>
      </c>
      <c r="AA102" s="292">
        <f t="shared" si="58"/>
        <v>0</v>
      </c>
      <c r="AB102" s="292">
        <f t="shared" si="59"/>
        <v>0</v>
      </c>
      <c r="AC102" s="292">
        <f t="shared" si="60"/>
        <v>0</v>
      </c>
      <c r="AD102" s="292">
        <f t="shared" si="61"/>
        <v>0</v>
      </c>
      <c r="AE102" s="292">
        <f t="shared" si="62"/>
        <v>0</v>
      </c>
      <c r="AF102" s="292">
        <f t="shared" si="87"/>
        <v>0</v>
      </c>
      <c r="AG102" s="292">
        <f t="shared" si="88"/>
        <v>0</v>
      </c>
      <c r="AH102" s="292">
        <f t="shared" si="63"/>
        <v>0</v>
      </c>
      <c r="AI102" s="292">
        <f t="shared" si="64"/>
        <v>0</v>
      </c>
      <c r="AJ102" s="292">
        <f t="shared" si="65"/>
        <v>0</v>
      </c>
      <c r="AK102" s="292">
        <f t="shared" si="66"/>
        <v>0</v>
      </c>
      <c r="AL102" s="292">
        <f t="shared" si="67"/>
        <v>0</v>
      </c>
      <c r="AM102" s="292">
        <f t="shared" si="68"/>
        <v>0</v>
      </c>
      <c r="AN102" s="292">
        <f t="shared" si="69"/>
        <v>0</v>
      </c>
      <c r="AO102" s="292">
        <f t="shared" si="70"/>
        <v>0</v>
      </c>
      <c r="AP102" s="292">
        <f t="shared" si="71"/>
        <v>0</v>
      </c>
      <c r="AQ102" s="292">
        <f t="shared" si="72"/>
        <v>0</v>
      </c>
      <c r="AR102" s="292">
        <f t="shared" si="73"/>
        <v>0</v>
      </c>
      <c r="AS102" s="292">
        <f t="shared" si="74"/>
        <v>0</v>
      </c>
      <c r="AT102" s="292">
        <f t="shared" si="75"/>
        <v>0</v>
      </c>
      <c r="AU102" s="292">
        <f t="shared" si="76"/>
        <v>0</v>
      </c>
      <c r="AV102" s="292">
        <f t="shared" si="77"/>
        <v>0</v>
      </c>
      <c r="AW102" s="292">
        <f t="shared" si="78"/>
        <v>0</v>
      </c>
      <c r="AX102" s="292">
        <f t="shared" si="79"/>
        <v>0</v>
      </c>
      <c r="AY102" s="292">
        <f t="shared" si="80"/>
        <v>0</v>
      </c>
      <c r="AZ102" s="292">
        <f t="shared" si="81"/>
        <v>0</v>
      </c>
      <c r="BA102" s="292">
        <f t="shared" si="82"/>
        <v>0</v>
      </c>
    </row>
    <row r="103" spans="1:53" s="289" customFormat="1" ht="16.5" customHeight="1">
      <c r="A103" s="63" t="str">
        <f t="array" ref="A103">IF(C103&lt;&gt;0,SUM(($C$11:C103&lt;&gt;0)*1),"")</f>
        <v/>
      </c>
      <c r="B103" s="290"/>
      <c r="C103" s="290"/>
      <c r="D103" s="290"/>
      <c r="E103" s="396"/>
      <c r="F103" s="345"/>
      <c r="G103" s="347"/>
      <c r="H103" s="347"/>
      <c r="I103" s="63" t="str">
        <f t="shared" si="89"/>
        <v/>
      </c>
      <c r="J103" s="292">
        <f t="shared" si="45"/>
        <v>0</v>
      </c>
      <c r="K103" s="292">
        <f t="shared" si="46"/>
        <v>0</v>
      </c>
      <c r="L103" s="292">
        <f t="shared" si="47"/>
        <v>0</v>
      </c>
      <c r="M103" s="292">
        <f t="shared" si="48"/>
        <v>0</v>
      </c>
      <c r="N103" s="292">
        <f t="shared" si="83"/>
        <v>0</v>
      </c>
      <c r="O103" s="292">
        <f t="shared" si="84"/>
        <v>0</v>
      </c>
      <c r="P103" s="292">
        <f t="shared" si="49"/>
        <v>0</v>
      </c>
      <c r="Q103" s="292">
        <f t="shared" si="50"/>
        <v>0</v>
      </c>
      <c r="R103" s="292">
        <f t="shared" si="51"/>
        <v>0</v>
      </c>
      <c r="S103" s="292">
        <f t="shared" si="52"/>
        <v>0</v>
      </c>
      <c r="T103" s="292">
        <f t="shared" si="85"/>
        <v>0</v>
      </c>
      <c r="U103" s="292">
        <f t="shared" si="86"/>
        <v>0</v>
      </c>
      <c r="V103" s="292">
        <f t="shared" si="53"/>
        <v>0</v>
      </c>
      <c r="W103" s="292">
        <f t="shared" si="54"/>
        <v>0</v>
      </c>
      <c r="X103" s="292">
        <f t="shared" si="55"/>
        <v>0</v>
      </c>
      <c r="Y103" s="292">
        <f t="shared" si="56"/>
        <v>0</v>
      </c>
      <c r="Z103" s="292">
        <f t="shared" si="57"/>
        <v>0</v>
      </c>
      <c r="AA103" s="292">
        <f t="shared" si="58"/>
        <v>0</v>
      </c>
      <c r="AB103" s="292">
        <f t="shared" si="59"/>
        <v>0</v>
      </c>
      <c r="AC103" s="292">
        <f t="shared" si="60"/>
        <v>0</v>
      </c>
      <c r="AD103" s="292">
        <f t="shared" si="61"/>
        <v>0</v>
      </c>
      <c r="AE103" s="292">
        <f t="shared" si="62"/>
        <v>0</v>
      </c>
      <c r="AF103" s="292">
        <f t="shared" si="87"/>
        <v>0</v>
      </c>
      <c r="AG103" s="292">
        <f t="shared" si="88"/>
        <v>0</v>
      </c>
      <c r="AH103" s="292">
        <f t="shared" si="63"/>
        <v>0</v>
      </c>
      <c r="AI103" s="292">
        <f t="shared" si="64"/>
        <v>0</v>
      </c>
      <c r="AJ103" s="292">
        <f t="shared" si="65"/>
        <v>0</v>
      </c>
      <c r="AK103" s="292">
        <f t="shared" si="66"/>
        <v>0</v>
      </c>
      <c r="AL103" s="292">
        <f t="shared" si="67"/>
        <v>0</v>
      </c>
      <c r="AM103" s="292">
        <f t="shared" si="68"/>
        <v>0</v>
      </c>
      <c r="AN103" s="292">
        <f t="shared" si="69"/>
        <v>0</v>
      </c>
      <c r="AO103" s="292">
        <f t="shared" si="70"/>
        <v>0</v>
      </c>
      <c r="AP103" s="292">
        <f t="shared" si="71"/>
        <v>0</v>
      </c>
      <c r="AQ103" s="292">
        <f t="shared" si="72"/>
        <v>0</v>
      </c>
      <c r="AR103" s="292">
        <f t="shared" si="73"/>
        <v>0</v>
      </c>
      <c r="AS103" s="292">
        <f t="shared" si="74"/>
        <v>0</v>
      </c>
      <c r="AT103" s="292">
        <f t="shared" si="75"/>
        <v>0</v>
      </c>
      <c r="AU103" s="292">
        <f t="shared" si="76"/>
        <v>0</v>
      </c>
      <c r="AV103" s="292">
        <f t="shared" si="77"/>
        <v>0</v>
      </c>
      <c r="AW103" s="292">
        <f t="shared" si="78"/>
        <v>0</v>
      </c>
      <c r="AX103" s="292">
        <f t="shared" si="79"/>
        <v>0</v>
      </c>
      <c r="AY103" s="292">
        <f t="shared" si="80"/>
        <v>0</v>
      </c>
      <c r="AZ103" s="292">
        <f t="shared" si="81"/>
        <v>0</v>
      </c>
      <c r="BA103" s="292">
        <f t="shared" si="82"/>
        <v>0</v>
      </c>
    </row>
    <row r="104" spans="1:53" s="289" customFormat="1" ht="16.5" customHeight="1">
      <c r="A104" s="63" t="str">
        <f t="array" ref="A104">IF(C104&lt;&gt;0,SUM(($C$11:C104&lt;&gt;0)*1),"")</f>
        <v/>
      </c>
      <c r="B104" s="290"/>
      <c r="C104" s="290"/>
      <c r="D104" s="290"/>
      <c r="E104" s="396"/>
      <c r="F104" s="345"/>
      <c r="G104" s="347"/>
      <c r="H104" s="347"/>
      <c r="I104" s="63" t="str">
        <f t="shared" si="89"/>
        <v/>
      </c>
      <c r="J104" s="292">
        <f t="shared" si="45"/>
        <v>0</v>
      </c>
      <c r="K104" s="292">
        <f t="shared" si="46"/>
        <v>0</v>
      </c>
      <c r="L104" s="292">
        <f t="shared" si="47"/>
        <v>0</v>
      </c>
      <c r="M104" s="292">
        <f t="shared" si="48"/>
        <v>0</v>
      </c>
      <c r="N104" s="292">
        <f t="shared" si="83"/>
        <v>0</v>
      </c>
      <c r="O104" s="292">
        <f t="shared" si="84"/>
        <v>0</v>
      </c>
      <c r="P104" s="292">
        <f t="shared" si="49"/>
        <v>0</v>
      </c>
      <c r="Q104" s="292">
        <f t="shared" si="50"/>
        <v>0</v>
      </c>
      <c r="R104" s="292">
        <f t="shared" si="51"/>
        <v>0</v>
      </c>
      <c r="S104" s="292">
        <f t="shared" si="52"/>
        <v>0</v>
      </c>
      <c r="T104" s="292">
        <f t="shared" si="85"/>
        <v>0</v>
      </c>
      <c r="U104" s="292">
        <f t="shared" si="86"/>
        <v>0</v>
      </c>
      <c r="V104" s="292">
        <f t="shared" si="53"/>
        <v>0</v>
      </c>
      <c r="W104" s="292">
        <f t="shared" si="54"/>
        <v>0</v>
      </c>
      <c r="X104" s="292">
        <f t="shared" si="55"/>
        <v>0</v>
      </c>
      <c r="Y104" s="292">
        <f t="shared" si="56"/>
        <v>0</v>
      </c>
      <c r="Z104" s="292">
        <f t="shared" si="57"/>
        <v>0</v>
      </c>
      <c r="AA104" s="292">
        <f t="shared" si="58"/>
        <v>0</v>
      </c>
      <c r="AB104" s="292">
        <f t="shared" si="59"/>
        <v>0</v>
      </c>
      <c r="AC104" s="292">
        <f t="shared" si="60"/>
        <v>0</v>
      </c>
      <c r="AD104" s="292">
        <f t="shared" si="61"/>
        <v>0</v>
      </c>
      <c r="AE104" s="292">
        <f t="shared" si="62"/>
        <v>0</v>
      </c>
      <c r="AF104" s="292">
        <f t="shared" si="87"/>
        <v>0</v>
      </c>
      <c r="AG104" s="292">
        <f t="shared" si="88"/>
        <v>0</v>
      </c>
      <c r="AH104" s="292">
        <f t="shared" si="63"/>
        <v>0</v>
      </c>
      <c r="AI104" s="292">
        <f t="shared" si="64"/>
        <v>0</v>
      </c>
      <c r="AJ104" s="292">
        <f t="shared" si="65"/>
        <v>0</v>
      </c>
      <c r="AK104" s="292">
        <f t="shared" si="66"/>
        <v>0</v>
      </c>
      <c r="AL104" s="292">
        <f t="shared" si="67"/>
        <v>0</v>
      </c>
      <c r="AM104" s="292">
        <f t="shared" si="68"/>
        <v>0</v>
      </c>
      <c r="AN104" s="292">
        <f t="shared" si="69"/>
        <v>0</v>
      </c>
      <c r="AO104" s="292">
        <f t="shared" si="70"/>
        <v>0</v>
      </c>
      <c r="AP104" s="292">
        <f t="shared" si="71"/>
        <v>0</v>
      </c>
      <c r="AQ104" s="292">
        <f t="shared" si="72"/>
        <v>0</v>
      </c>
      <c r="AR104" s="292">
        <f t="shared" si="73"/>
        <v>0</v>
      </c>
      <c r="AS104" s="292">
        <f t="shared" si="74"/>
        <v>0</v>
      </c>
      <c r="AT104" s="292">
        <f t="shared" si="75"/>
        <v>0</v>
      </c>
      <c r="AU104" s="292">
        <f t="shared" si="76"/>
        <v>0</v>
      </c>
      <c r="AV104" s="292">
        <f t="shared" si="77"/>
        <v>0</v>
      </c>
      <c r="AW104" s="292">
        <f t="shared" si="78"/>
        <v>0</v>
      </c>
      <c r="AX104" s="292">
        <f t="shared" si="79"/>
        <v>0</v>
      </c>
      <c r="AY104" s="292">
        <f t="shared" si="80"/>
        <v>0</v>
      </c>
      <c r="AZ104" s="292">
        <f t="shared" si="81"/>
        <v>0</v>
      </c>
      <c r="BA104" s="292">
        <f t="shared" si="82"/>
        <v>0</v>
      </c>
    </row>
    <row r="105" spans="1:53" s="289" customFormat="1" ht="16.5" customHeight="1">
      <c r="A105" s="63" t="str">
        <f t="array" ref="A105">IF(C105&lt;&gt;0,SUM(($C$11:C105&lt;&gt;0)*1),"")</f>
        <v/>
      </c>
      <c r="B105" s="290"/>
      <c r="C105" s="290"/>
      <c r="D105" s="290"/>
      <c r="E105" s="396"/>
      <c r="F105" s="345"/>
      <c r="G105" s="347"/>
      <c r="H105" s="347"/>
      <c r="I105" s="63" t="str">
        <f t="shared" si="89"/>
        <v/>
      </c>
      <c r="J105" s="292">
        <f t="shared" si="45"/>
        <v>0</v>
      </c>
      <c r="K105" s="292">
        <f t="shared" si="46"/>
        <v>0</v>
      </c>
      <c r="L105" s="292">
        <f t="shared" si="47"/>
        <v>0</v>
      </c>
      <c r="M105" s="292">
        <f t="shared" si="48"/>
        <v>0</v>
      </c>
      <c r="N105" s="292">
        <f t="shared" si="83"/>
        <v>0</v>
      </c>
      <c r="O105" s="292">
        <f t="shared" si="84"/>
        <v>0</v>
      </c>
      <c r="P105" s="292">
        <f t="shared" si="49"/>
        <v>0</v>
      </c>
      <c r="Q105" s="292">
        <f t="shared" si="50"/>
        <v>0</v>
      </c>
      <c r="R105" s="292">
        <f t="shared" si="51"/>
        <v>0</v>
      </c>
      <c r="S105" s="292">
        <f t="shared" si="52"/>
        <v>0</v>
      </c>
      <c r="T105" s="292">
        <f t="shared" si="85"/>
        <v>0</v>
      </c>
      <c r="U105" s="292">
        <f t="shared" si="86"/>
        <v>0</v>
      </c>
      <c r="V105" s="292">
        <f t="shared" si="53"/>
        <v>0</v>
      </c>
      <c r="W105" s="292">
        <f t="shared" si="54"/>
        <v>0</v>
      </c>
      <c r="X105" s="292">
        <f t="shared" si="55"/>
        <v>0</v>
      </c>
      <c r="Y105" s="292">
        <f t="shared" si="56"/>
        <v>0</v>
      </c>
      <c r="Z105" s="292">
        <f t="shared" si="57"/>
        <v>0</v>
      </c>
      <c r="AA105" s="292">
        <f t="shared" si="58"/>
        <v>0</v>
      </c>
      <c r="AB105" s="292">
        <f t="shared" si="59"/>
        <v>0</v>
      </c>
      <c r="AC105" s="292">
        <f t="shared" si="60"/>
        <v>0</v>
      </c>
      <c r="AD105" s="292">
        <f t="shared" si="61"/>
        <v>0</v>
      </c>
      <c r="AE105" s="292">
        <f t="shared" si="62"/>
        <v>0</v>
      </c>
      <c r="AF105" s="292">
        <f t="shared" si="87"/>
        <v>0</v>
      </c>
      <c r="AG105" s="292">
        <f t="shared" si="88"/>
        <v>0</v>
      </c>
      <c r="AH105" s="292">
        <f t="shared" si="63"/>
        <v>0</v>
      </c>
      <c r="AI105" s="292">
        <f t="shared" si="64"/>
        <v>0</v>
      </c>
      <c r="AJ105" s="292">
        <f t="shared" si="65"/>
        <v>0</v>
      </c>
      <c r="AK105" s="292">
        <f t="shared" si="66"/>
        <v>0</v>
      </c>
      <c r="AL105" s="292">
        <f t="shared" si="67"/>
        <v>0</v>
      </c>
      <c r="AM105" s="292">
        <f t="shared" si="68"/>
        <v>0</v>
      </c>
      <c r="AN105" s="292">
        <f t="shared" si="69"/>
        <v>0</v>
      </c>
      <c r="AO105" s="292">
        <f t="shared" si="70"/>
        <v>0</v>
      </c>
      <c r="AP105" s="292">
        <f t="shared" si="71"/>
        <v>0</v>
      </c>
      <c r="AQ105" s="292">
        <f t="shared" si="72"/>
        <v>0</v>
      </c>
      <c r="AR105" s="292">
        <f t="shared" si="73"/>
        <v>0</v>
      </c>
      <c r="AS105" s="292">
        <f t="shared" si="74"/>
        <v>0</v>
      </c>
      <c r="AT105" s="292">
        <f t="shared" si="75"/>
        <v>0</v>
      </c>
      <c r="AU105" s="292">
        <f t="shared" si="76"/>
        <v>0</v>
      </c>
      <c r="AV105" s="292">
        <f t="shared" si="77"/>
        <v>0</v>
      </c>
      <c r="AW105" s="292">
        <f t="shared" si="78"/>
        <v>0</v>
      </c>
      <c r="AX105" s="292">
        <f t="shared" si="79"/>
        <v>0</v>
      </c>
      <c r="AY105" s="292">
        <f t="shared" si="80"/>
        <v>0</v>
      </c>
      <c r="AZ105" s="292">
        <f t="shared" si="81"/>
        <v>0</v>
      </c>
      <c r="BA105" s="292">
        <f t="shared" si="82"/>
        <v>0</v>
      </c>
    </row>
    <row r="106" spans="1:53" s="289" customFormat="1" ht="16.5" customHeight="1">
      <c r="A106" s="63" t="str">
        <f t="array" ref="A106">IF(C106&lt;&gt;0,SUM(($C$11:C106&lt;&gt;0)*1),"")</f>
        <v/>
      </c>
      <c r="B106" s="290"/>
      <c r="C106" s="290"/>
      <c r="D106" s="290"/>
      <c r="E106" s="396"/>
      <c r="F106" s="345"/>
      <c r="G106" s="347"/>
      <c r="H106" s="347"/>
      <c r="I106" s="63" t="str">
        <f t="shared" si="89"/>
        <v/>
      </c>
      <c r="J106" s="292">
        <f t="shared" si="45"/>
        <v>0</v>
      </c>
      <c r="K106" s="292">
        <f t="shared" si="46"/>
        <v>0</v>
      </c>
      <c r="L106" s="292">
        <f t="shared" si="47"/>
        <v>0</v>
      </c>
      <c r="M106" s="292">
        <f t="shared" si="48"/>
        <v>0</v>
      </c>
      <c r="N106" s="292">
        <f t="shared" si="83"/>
        <v>0</v>
      </c>
      <c r="O106" s="292">
        <f t="shared" si="84"/>
        <v>0</v>
      </c>
      <c r="P106" s="292">
        <f t="shared" si="49"/>
        <v>0</v>
      </c>
      <c r="Q106" s="292">
        <f t="shared" si="50"/>
        <v>0</v>
      </c>
      <c r="R106" s="292">
        <f t="shared" si="51"/>
        <v>0</v>
      </c>
      <c r="S106" s="292">
        <f t="shared" si="52"/>
        <v>0</v>
      </c>
      <c r="T106" s="292">
        <f t="shared" si="85"/>
        <v>0</v>
      </c>
      <c r="U106" s="292">
        <f t="shared" si="86"/>
        <v>0</v>
      </c>
      <c r="V106" s="292">
        <f t="shared" si="53"/>
        <v>0</v>
      </c>
      <c r="W106" s="292">
        <f t="shared" si="54"/>
        <v>0</v>
      </c>
      <c r="X106" s="292">
        <f t="shared" si="55"/>
        <v>0</v>
      </c>
      <c r="Y106" s="292">
        <f t="shared" si="56"/>
        <v>0</v>
      </c>
      <c r="Z106" s="292">
        <f t="shared" si="57"/>
        <v>0</v>
      </c>
      <c r="AA106" s="292">
        <f t="shared" si="58"/>
        <v>0</v>
      </c>
      <c r="AB106" s="292">
        <f t="shared" si="59"/>
        <v>0</v>
      </c>
      <c r="AC106" s="292">
        <f t="shared" si="60"/>
        <v>0</v>
      </c>
      <c r="AD106" s="292">
        <f t="shared" si="61"/>
        <v>0</v>
      </c>
      <c r="AE106" s="292">
        <f t="shared" si="62"/>
        <v>0</v>
      </c>
      <c r="AF106" s="292">
        <f t="shared" si="87"/>
        <v>0</v>
      </c>
      <c r="AG106" s="292">
        <f t="shared" si="88"/>
        <v>0</v>
      </c>
      <c r="AH106" s="292">
        <f t="shared" si="63"/>
        <v>0</v>
      </c>
      <c r="AI106" s="292">
        <f t="shared" si="64"/>
        <v>0</v>
      </c>
      <c r="AJ106" s="292">
        <f t="shared" si="65"/>
        <v>0</v>
      </c>
      <c r="AK106" s="292">
        <f t="shared" si="66"/>
        <v>0</v>
      </c>
      <c r="AL106" s="292">
        <f t="shared" si="67"/>
        <v>0</v>
      </c>
      <c r="AM106" s="292">
        <f t="shared" si="68"/>
        <v>0</v>
      </c>
      <c r="AN106" s="292">
        <f t="shared" si="69"/>
        <v>0</v>
      </c>
      <c r="AO106" s="292">
        <f t="shared" si="70"/>
        <v>0</v>
      </c>
      <c r="AP106" s="292">
        <f t="shared" si="71"/>
        <v>0</v>
      </c>
      <c r="AQ106" s="292">
        <f t="shared" si="72"/>
        <v>0</v>
      </c>
      <c r="AR106" s="292">
        <f t="shared" si="73"/>
        <v>0</v>
      </c>
      <c r="AS106" s="292">
        <f t="shared" si="74"/>
        <v>0</v>
      </c>
      <c r="AT106" s="292">
        <f t="shared" si="75"/>
        <v>0</v>
      </c>
      <c r="AU106" s="292">
        <f t="shared" si="76"/>
        <v>0</v>
      </c>
      <c r="AV106" s="292">
        <f t="shared" si="77"/>
        <v>0</v>
      </c>
      <c r="AW106" s="292">
        <f t="shared" si="78"/>
        <v>0</v>
      </c>
      <c r="AX106" s="292">
        <f t="shared" si="79"/>
        <v>0</v>
      </c>
      <c r="AY106" s="292">
        <f t="shared" si="80"/>
        <v>0</v>
      </c>
      <c r="AZ106" s="292">
        <f t="shared" si="81"/>
        <v>0</v>
      </c>
      <c r="BA106" s="292">
        <f t="shared" si="82"/>
        <v>0</v>
      </c>
    </row>
    <row r="107" spans="1:53" s="289" customFormat="1" ht="16.5" customHeight="1">
      <c r="A107" s="63" t="str">
        <f t="array" ref="A107">IF(C107&lt;&gt;0,SUM(($C$11:C107&lt;&gt;0)*1),"")</f>
        <v/>
      </c>
      <c r="B107" s="290"/>
      <c r="C107" s="290"/>
      <c r="D107" s="290"/>
      <c r="E107" s="396"/>
      <c r="F107" s="345"/>
      <c r="G107" s="347"/>
      <c r="H107" s="347"/>
      <c r="I107" s="63" t="str">
        <f t="shared" si="89"/>
        <v/>
      </c>
      <c r="J107" s="292">
        <f t="shared" si="45"/>
        <v>0</v>
      </c>
      <c r="K107" s="292">
        <f t="shared" si="46"/>
        <v>0</v>
      </c>
      <c r="L107" s="292">
        <f t="shared" si="47"/>
        <v>0</v>
      </c>
      <c r="M107" s="292">
        <f t="shared" si="48"/>
        <v>0</v>
      </c>
      <c r="N107" s="292">
        <f t="shared" si="83"/>
        <v>0</v>
      </c>
      <c r="O107" s="292">
        <f t="shared" si="84"/>
        <v>0</v>
      </c>
      <c r="P107" s="292">
        <f t="shared" si="49"/>
        <v>0</v>
      </c>
      <c r="Q107" s="292">
        <f t="shared" si="50"/>
        <v>0</v>
      </c>
      <c r="R107" s="292">
        <f t="shared" si="51"/>
        <v>0</v>
      </c>
      <c r="S107" s="292">
        <f t="shared" si="52"/>
        <v>0</v>
      </c>
      <c r="T107" s="292">
        <f t="shared" si="85"/>
        <v>0</v>
      </c>
      <c r="U107" s="292">
        <f t="shared" si="86"/>
        <v>0</v>
      </c>
      <c r="V107" s="292">
        <f t="shared" si="53"/>
        <v>0</v>
      </c>
      <c r="W107" s="292">
        <f t="shared" si="54"/>
        <v>0</v>
      </c>
      <c r="X107" s="292">
        <f t="shared" si="55"/>
        <v>0</v>
      </c>
      <c r="Y107" s="292">
        <f t="shared" si="56"/>
        <v>0</v>
      </c>
      <c r="Z107" s="292">
        <f t="shared" si="57"/>
        <v>0</v>
      </c>
      <c r="AA107" s="292">
        <f t="shared" si="58"/>
        <v>0</v>
      </c>
      <c r="AB107" s="292">
        <f t="shared" si="59"/>
        <v>0</v>
      </c>
      <c r="AC107" s="292">
        <f t="shared" si="60"/>
        <v>0</v>
      </c>
      <c r="AD107" s="292">
        <f t="shared" si="61"/>
        <v>0</v>
      </c>
      <c r="AE107" s="292">
        <f t="shared" si="62"/>
        <v>0</v>
      </c>
      <c r="AF107" s="292">
        <f t="shared" si="87"/>
        <v>0</v>
      </c>
      <c r="AG107" s="292">
        <f t="shared" si="88"/>
        <v>0</v>
      </c>
      <c r="AH107" s="292">
        <f t="shared" si="63"/>
        <v>0</v>
      </c>
      <c r="AI107" s="292">
        <f t="shared" si="64"/>
        <v>0</v>
      </c>
      <c r="AJ107" s="292">
        <f t="shared" si="65"/>
        <v>0</v>
      </c>
      <c r="AK107" s="292">
        <f t="shared" si="66"/>
        <v>0</v>
      </c>
      <c r="AL107" s="292">
        <f t="shared" si="67"/>
        <v>0</v>
      </c>
      <c r="AM107" s="292">
        <f t="shared" si="68"/>
        <v>0</v>
      </c>
      <c r="AN107" s="292">
        <f t="shared" si="69"/>
        <v>0</v>
      </c>
      <c r="AO107" s="292">
        <f t="shared" si="70"/>
        <v>0</v>
      </c>
      <c r="AP107" s="292">
        <f t="shared" si="71"/>
        <v>0</v>
      </c>
      <c r="AQ107" s="292">
        <f t="shared" si="72"/>
        <v>0</v>
      </c>
      <c r="AR107" s="292">
        <f t="shared" si="73"/>
        <v>0</v>
      </c>
      <c r="AS107" s="292">
        <f t="shared" si="74"/>
        <v>0</v>
      </c>
      <c r="AT107" s="292">
        <f t="shared" si="75"/>
        <v>0</v>
      </c>
      <c r="AU107" s="292">
        <f t="shared" si="76"/>
        <v>0</v>
      </c>
      <c r="AV107" s="292">
        <f t="shared" si="77"/>
        <v>0</v>
      </c>
      <c r="AW107" s="292">
        <f t="shared" si="78"/>
        <v>0</v>
      </c>
      <c r="AX107" s="292">
        <f t="shared" si="79"/>
        <v>0</v>
      </c>
      <c r="AY107" s="292">
        <f t="shared" si="80"/>
        <v>0</v>
      </c>
      <c r="AZ107" s="292">
        <f t="shared" si="81"/>
        <v>0</v>
      </c>
      <c r="BA107" s="292">
        <f t="shared" si="82"/>
        <v>0</v>
      </c>
    </row>
    <row r="108" spans="1:53" s="289" customFormat="1" ht="16.5" customHeight="1">
      <c r="A108" s="63" t="str">
        <f t="array" ref="A108">IF(C108&lt;&gt;0,SUM(($C$11:C108&lt;&gt;0)*1),"")</f>
        <v/>
      </c>
      <c r="B108" s="290"/>
      <c r="C108" s="290"/>
      <c r="D108" s="290"/>
      <c r="E108" s="396"/>
      <c r="F108" s="345"/>
      <c r="G108" s="347"/>
      <c r="H108" s="347"/>
      <c r="I108" s="63" t="str">
        <f t="shared" si="89"/>
        <v/>
      </c>
      <c r="J108" s="292">
        <f t="shared" si="45"/>
        <v>0</v>
      </c>
      <c r="K108" s="292">
        <f t="shared" si="46"/>
        <v>0</v>
      </c>
      <c r="L108" s="292">
        <f t="shared" si="47"/>
        <v>0</v>
      </c>
      <c r="M108" s="292">
        <f t="shared" si="48"/>
        <v>0</v>
      </c>
      <c r="N108" s="292">
        <f t="shared" si="83"/>
        <v>0</v>
      </c>
      <c r="O108" s="292">
        <f t="shared" si="84"/>
        <v>0</v>
      </c>
      <c r="P108" s="292">
        <f t="shared" si="49"/>
        <v>0</v>
      </c>
      <c r="Q108" s="292">
        <f t="shared" si="50"/>
        <v>0</v>
      </c>
      <c r="R108" s="292">
        <f t="shared" si="51"/>
        <v>0</v>
      </c>
      <c r="S108" s="292">
        <f t="shared" si="52"/>
        <v>0</v>
      </c>
      <c r="T108" s="292">
        <f t="shared" si="85"/>
        <v>0</v>
      </c>
      <c r="U108" s="292">
        <f t="shared" si="86"/>
        <v>0</v>
      </c>
      <c r="V108" s="292">
        <f t="shared" si="53"/>
        <v>0</v>
      </c>
      <c r="W108" s="292">
        <f t="shared" si="54"/>
        <v>0</v>
      </c>
      <c r="X108" s="292">
        <f t="shared" si="55"/>
        <v>0</v>
      </c>
      <c r="Y108" s="292">
        <f t="shared" si="56"/>
        <v>0</v>
      </c>
      <c r="Z108" s="292">
        <f t="shared" si="57"/>
        <v>0</v>
      </c>
      <c r="AA108" s="292">
        <f t="shared" si="58"/>
        <v>0</v>
      </c>
      <c r="AB108" s="292">
        <f t="shared" si="59"/>
        <v>0</v>
      </c>
      <c r="AC108" s="292">
        <f t="shared" si="60"/>
        <v>0</v>
      </c>
      <c r="AD108" s="292">
        <f t="shared" si="61"/>
        <v>0</v>
      </c>
      <c r="AE108" s="292">
        <f t="shared" si="62"/>
        <v>0</v>
      </c>
      <c r="AF108" s="292">
        <f t="shared" si="87"/>
        <v>0</v>
      </c>
      <c r="AG108" s="292">
        <f t="shared" si="88"/>
        <v>0</v>
      </c>
      <c r="AH108" s="292">
        <f t="shared" si="63"/>
        <v>0</v>
      </c>
      <c r="AI108" s="292">
        <f t="shared" si="64"/>
        <v>0</v>
      </c>
      <c r="AJ108" s="292">
        <f t="shared" si="65"/>
        <v>0</v>
      </c>
      <c r="AK108" s="292">
        <f t="shared" si="66"/>
        <v>0</v>
      </c>
      <c r="AL108" s="292">
        <f t="shared" si="67"/>
        <v>0</v>
      </c>
      <c r="AM108" s="292">
        <f t="shared" si="68"/>
        <v>0</v>
      </c>
      <c r="AN108" s="292">
        <f t="shared" si="69"/>
        <v>0</v>
      </c>
      <c r="AO108" s="292">
        <f t="shared" si="70"/>
        <v>0</v>
      </c>
      <c r="AP108" s="292">
        <f t="shared" si="71"/>
        <v>0</v>
      </c>
      <c r="AQ108" s="292">
        <f t="shared" si="72"/>
        <v>0</v>
      </c>
      <c r="AR108" s="292">
        <f t="shared" si="73"/>
        <v>0</v>
      </c>
      <c r="AS108" s="292">
        <f t="shared" si="74"/>
        <v>0</v>
      </c>
      <c r="AT108" s="292">
        <f t="shared" si="75"/>
        <v>0</v>
      </c>
      <c r="AU108" s="292">
        <f t="shared" si="76"/>
        <v>0</v>
      </c>
      <c r="AV108" s="292">
        <f t="shared" si="77"/>
        <v>0</v>
      </c>
      <c r="AW108" s="292">
        <f t="shared" si="78"/>
        <v>0</v>
      </c>
      <c r="AX108" s="292">
        <f t="shared" si="79"/>
        <v>0</v>
      </c>
      <c r="AY108" s="292">
        <f t="shared" si="80"/>
        <v>0</v>
      </c>
      <c r="AZ108" s="292">
        <f t="shared" si="81"/>
        <v>0</v>
      </c>
      <c r="BA108" s="292">
        <f t="shared" si="82"/>
        <v>0</v>
      </c>
    </row>
    <row r="109" spans="1:53" s="289" customFormat="1" ht="16.5" customHeight="1">
      <c r="A109" s="63" t="str">
        <f t="array" ref="A109">IF(C109&lt;&gt;0,SUM(($C$11:C109&lt;&gt;0)*1),"")</f>
        <v/>
      </c>
      <c r="B109" s="290"/>
      <c r="C109" s="290"/>
      <c r="D109" s="290"/>
      <c r="E109" s="396"/>
      <c r="F109" s="345"/>
      <c r="G109" s="347"/>
      <c r="H109" s="347"/>
      <c r="I109" s="63" t="str">
        <f t="shared" si="89"/>
        <v/>
      </c>
      <c r="J109" s="292">
        <f t="shared" si="45"/>
        <v>0</v>
      </c>
      <c r="K109" s="292">
        <f t="shared" si="46"/>
        <v>0</v>
      </c>
      <c r="L109" s="292">
        <f t="shared" si="47"/>
        <v>0</v>
      </c>
      <c r="M109" s="292">
        <f t="shared" si="48"/>
        <v>0</v>
      </c>
      <c r="N109" s="292">
        <f t="shared" si="83"/>
        <v>0</v>
      </c>
      <c r="O109" s="292">
        <f t="shared" si="84"/>
        <v>0</v>
      </c>
      <c r="P109" s="292">
        <f t="shared" si="49"/>
        <v>0</v>
      </c>
      <c r="Q109" s="292">
        <f t="shared" si="50"/>
        <v>0</v>
      </c>
      <c r="R109" s="292">
        <f t="shared" si="51"/>
        <v>0</v>
      </c>
      <c r="S109" s="292">
        <f t="shared" si="52"/>
        <v>0</v>
      </c>
      <c r="T109" s="292">
        <f t="shared" si="85"/>
        <v>0</v>
      </c>
      <c r="U109" s="292">
        <f t="shared" si="86"/>
        <v>0</v>
      </c>
      <c r="V109" s="292">
        <f t="shared" si="53"/>
        <v>0</v>
      </c>
      <c r="W109" s="292">
        <f t="shared" si="54"/>
        <v>0</v>
      </c>
      <c r="X109" s="292">
        <f t="shared" si="55"/>
        <v>0</v>
      </c>
      <c r="Y109" s="292">
        <f t="shared" si="56"/>
        <v>0</v>
      </c>
      <c r="Z109" s="292">
        <f t="shared" si="57"/>
        <v>0</v>
      </c>
      <c r="AA109" s="292">
        <f t="shared" si="58"/>
        <v>0</v>
      </c>
      <c r="AB109" s="292">
        <f t="shared" si="59"/>
        <v>0</v>
      </c>
      <c r="AC109" s="292">
        <f t="shared" si="60"/>
        <v>0</v>
      </c>
      <c r="AD109" s="292">
        <f t="shared" si="61"/>
        <v>0</v>
      </c>
      <c r="AE109" s="292">
        <f t="shared" si="62"/>
        <v>0</v>
      </c>
      <c r="AF109" s="292">
        <f t="shared" si="87"/>
        <v>0</v>
      </c>
      <c r="AG109" s="292">
        <f t="shared" si="88"/>
        <v>0</v>
      </c>
      <c r="AH109" s="292">
        <f t="shared" si="63"/>
        <v>0</v>
      </c>
      <c r="AI109" s="292">
        <f t="shared" si="64"/>
        <v>0</v>
      </c>
      <c r="AJ109" s="292">
        <f t="shared" si="65"/>
        <v>0</v>
      </c>
      <c r="AK109" s="292">
        <f t="shared" si="66"/>
        <v>0</v>
      </c>
      <c r="AL109" s="292">
        <f t="shared" si="67"/>
        <v>0</v>
      </c>
      <c r="AM109" s="292">
        <f t="shared" si="68"/>
        <v>0</v>
      </c>
      <c r="AN109" s="292">
        <f t="shared" si="69"/>
        <v>0</v>
      </c>
      <c r="AO109" s="292">
        <f t="shared" si="70"/>
        <v>0</v>
      </c>
      <c r="AP109" s="292">
        <f t="shared" si="71"/>
        <v>0</v>
      </c>
      <c r="AQ109" s="292">
        <f t="shared" si="72"/>
        <v>0</v>
      </c>
      <c r="AR109" s="292">
        <f t="shared" si="73"/>
        <v>0</v>
      </c>
      <c r="AS109" s="292">
        <f t="shared" si="74"/>
        <v>0</v>
      </c>
      <c r="AT109" s="292">
        <f t="shared" si="75"/>
        <v>0</v>
      </c>
      <c r="AU109" s="292">
        <f t="shared" si="76"/>
        <v>0</v>
      </c>
      <c r="AV109" s="292">
        <f t="shared" si="77"/>
        <v>0</v>
      </c>
      <c r="AW109" s="292">
        <f t="shared" si="78"/>
        <v>0</v>
      </c>
      <c r="AX109" s="292">
        <f t="shared" si="79"/>
        <v>0</v>
      </c>
      <c r="AY109" s="292">
        <f t="shared" si="80"/>
        <v>0</v>
      </c>
      <c r="AZ109" s="292">
        <f t="shared" si="81"/>
        <v>0</v>
      </c>
      <c r="BA109" s="292">
        <f t="shared" si="82"/>
        <v>0</v>
      </c>
    </row>
    <row r="110" spans="1:53" s="289" customFormat="1" ht="16.5" customHeight="1">
      <c r="A110" s="63" t="str">
        <f t="array" ref="A110">IF(C110&lt;&gt;0,SUM(($C$11:C110&lt;&gt;0)*1),"")</f>
        <v/>
      </c>
      <c r="B110" s="290"/>
      <c r="C110" s="290"/>
      <c r="D110" s="290"/>
      <c r="E110" s="396"/>
      <c r="F110" s="345"/>
      <c r="G110" s="347"/>
      <c r="H110" s="347"/>
      <c r="I110" s="63" t="str">
        <f t="shared" si="89"/>
        <v/>
      </c>
      <c r="J110" s="292">
        <f t="shared" si="45"/>
        <v>0</v>
      </c>
      <c r="K110" s="292">
        <f t="shared" si="46"/>
        <v>0</v>
      </c>
      <c r="L110" s="292">
        <f t="shared" si="47"/>
        <v>0</v>
      </c>
      <c r="M110" s="292">
        <f t="shared" si="48"/>
        <v>0</v>
      </c>
      <c r="N110" s="292">
        <f t="shared" si="83"/>
        <v>0</v>
      </c>
      <c r="O110" s="292">
        <f t="shared" si="84"/>
        <v>0</v>
      </c>
      <c r="P110" s="292">
        <f t="shared" si="49"/>
        <v>0</v>
      </c>
      <c r="Q110" s="292">
        <f t="shared" si="50"/>
        <v>0</v>
      </c>
      <c r="R110" s="292">
        <f t="shared" si="51"/>
        <v>0</v>
      </c>
      <c r="S110" s="292">
        <f t="shared" si="52"/>
        <v>0</v>
      </c>
      <c r="T110" s="292">
        <f t="shared" si="85"/>
        <v>0</v>
      </c>
      <c r="U110" s="292">
        <f t="shared" si="86"/>
        <v>0</v>
      </c>
      <c r="V110" s="292">
        <f t="shared" si="53"/>
        <v>0</v>
      </c>
      <c r="W110" s="292">
        <f t="shared" si="54"/>
        <v>0</v>
      </c>
      <c r="X110" s="292">
        <f t="shared" si="55"/>
        <v>0</v>
      </c>
      <c r="Y110" s="292">
        <f t="shared" si="56"/>
        <v>0</v>
      </c>
      <c r="Z110" s="292">
        <f t="shared" si="57"/>
        <v>0</v>
      </c>
      <c r="AA110" s="292">
        <f t="shared" si="58"/>
        <v>0</v>
      </c>
      <c r="AB110" s="292">
        <f t="shared" si="59"/>
        <v>0</v>
      </c>
      <c r="AC110" s="292">
        <f t="shared" si="60"/>
        <v>0</v>
      </c>
      <c r="AD110" s="292">
        <f t="shared" si="61"/>
        <v>0</v>
      </c>
      <c r="AE110" s="292">
        <f t="shared" si="62"/>
        <v>0</v>
      </c>
      <c r="AF110" s="292">
        <f t="shared" si="87"/>
        <v>0</v>
      </c>
      <c r="AG110" s="292">
        <f t="shared" si="88"/>
        <v>0</v>
      </c>
      <c r="AH110" s="292">
        <f t="shared" si="63"/>
        <v>0</v>
      </c>
      <c r="AI110" s="292">
        <f t="shared" si="64"/>
        <v>0</v>
      </c>
      <c r="AJ110" s="292">
        <f t="shared" si="65"/>
        <v>0</v>
      </c>
      <c r="AK110" s="292">
        <f t="shared" si="66"/>
        <v>0</v>
      </c>
      <c r="AL110" s="292">
        <f t="shared" si="67"/>
        <v>0</v>
      </c>
      <c r="AM110" s="292">
        <f t="shared" si="68"/>
        <v>0</v>
      </c>
      <c r="AN110" s="292">
        <f t="shared" si="69"/>
        <v>0</v>
      </c>
      <c r="AO110" s="292">
        <f t="shared" si="70"/>
        <v>0</v>
      </c>
      <c r="AP110" s="292">
        <f t="shared" si="71"/>
        <v>0</v>
      </c>
      <c r="AQ110" s="292">
        <f t="shared" si="72"/>
        <v>0</v>
      </c>
      <c r="AR110" s="292">
        <f t="shared" si="73"/>
        <v>0</v>
      </c>
      <c r="AS110" s="292">
        <f t="shared" si="74"/>
        <v>0</v>
      </c>
      <c r="AT110" s="292">
        <f t="shared" si="75"/>
        <v>0</v>
      </c>
      <c r="AU110" s="292">
        <f t="shared" si="76"/>
        <v>0</v>
      </c>
      <c r="AV110" s="292">
        <f t="shared" si="77"/>
        <v>0</v>
      </c>
      <c r="AW110" s="292">
        <f t="shared" si="78"/>
        <v>0</v>
      </c>
      <c r="AX110" s="292">
        <f t="shared" si="79"/>
        <v>0</v>
      </c>
      <c r="AY110" s="292">
        <f t="shared" si="80"/>
        <v>0</v>
      </c>
      <c r="AZ110" s="292">
        <f t="shared" si="81"/>
        <v>0</v>
      </c>
      <c r="BA110" s="292">
        <f t="shared" si="82"/>
        <v>0</v>
      </c>
    </row>
    <row r="111" spans="1:53" s="289" customFormat="1" ht="16.5" customHeight="1">
      <c r="A111" s="63" t="str">
        <f t="array" ref="A111">IF(C111&lt;&gt;0,SUM(($C$11:C111&lt;&gt;0)*1),"")</f>
        <v/>
      </c>
      <c r="B111" s="290"/>
      <c r="C111" s="290"/>
      <c r="D111" s="290"/>
      <c r="E111" s="396"/>
      <c r="F111" s="345"/>
      <c r="G111" s="347"/>
      <c r="H111" s="347"/>
      <c r="I111" s="63" t="str">
        <f t="shared" si="89"/>
        <v/>
      </c>
      <c r="J111" s="292">
        <f t="shared" si="45"/>
        <v>0</v>
      </c>
      <c r="K111" s="292">
        <f t="shared" si="46"/>
        <v>0</v>
      </c>
      <c r="L111" s="292">
        <f t="shared" si="47"/>
        <v>0</v>
      </c>
      <c r="M111" s="292">
        <f t="shared" si="48"/>
        <v>0</v>
      </c>
      <c r="N111" s="292">
        <f t="shared" si="83"/>
        <v>0</v>
      </c>
      <c r="O111" s="292">
        <f t="shared" si="84"/>
        <v>0</v>
      </c>
      <c r="P111" s="292">
        <f t="shared" si="49"/>
        <v>0</v>
      </c>
      <c r="Q111" s="292">
        <f t="shared" si="50"/>
        <v>0</v>
      </c>
      <c r="R111" s="292">
        <f t="shared" si="51"/>
        <v>0</v>
      </c>
      <c r="S111" s="292">
        <f t="shared" si="52"/>
        <v>0</v>
      </c>
      <c r="T111" s="292">
        <f t="shared" si="85"/>
        <v>0</v>
      </c>
      <c r="U111" s="292">
        <f t="shared" si="86"/>
        <v>0</v>
      </c>
      <c r="V111" s="292">
        <f t="shared" si="53"/>
        <v>0</v>
      </c>
      <c r="W111" s="292">
        <f t="shared" si="54"/>
        <v>0</v>
      </c>
      <c r="X111" s="292">
        <f t="shared" si="55"/>
        <v>0</v>
      </c>
      <c r="Y111" s="292">
        <f t="shared" si="56"/>
        <v>0</v>
      </c>
      <c r="Z111" s="292">
        <f t="shared" si="57"/>
        <v>0</v>
      </c>
      <c r="AA111" s="292">
        <f t="shared" si="58"/>
        <v>0</v>
      </c>
      <c r="AB111" s="292">
        <f t="shared" si="59"/>
        <v>0</v>
      </c>
      <c r="AC111" s="292">
        <f t="shared" si="60"/>
        <v>0</v>
      </c>
      <c r="AD111" s="292">
        <f t="shared" si="61"/>
        <v>0</v>
      </c>
      <c r="AE111" s="292">
        <f t="shared" si="62"/>
        <v>0</v>
      </c>
      <c r="AF111" s="292">
        <f t="shared" si="87"/>
        <v>0</v>
      </c>
      <c r="AG111" s="292">
        <f t="shared" si="88"/>
        <v>0</v>
      </c>
      <c r="AH111" s="292">
        <f t="shared" si="63"/>
        <v>0</v>
      </c>
      <c r="AI111" s="292">
        <f t="shared" si="64"/>
        <v>0</v>
      </c>
      <c r="AJ111" s="292">
        <f t="shared" si="65"/>
        <v>0</v>
      </c>
      <c r="AK111" s="292">
        <f t="shared" si="66"/>
        <v>0</v>
      </c>
      <c r="AL111" s="292">
        <f t="shared" si="67"/>
        <v>0</v>
      </c>
      <c r="AM111" s="292">
        <f t="shared" si="68"/>
        <v>0</v>
      </c>
      <c r="AN111" s="292">
        <f t="shared" si="69"/>
        <v>0</v>
      </c>
      <c r="AO111" s="292">
        <f t="shared" si="70"/>
        <v>0</v>
      </c>
      <c r="AP111" s="292">
        <f t="shared" si="71"/>
        <v>0</v>
      </c>
      <c r="AQ111" s="292">
        <f t="shared" si="72"/>
        <v>0</v>
      </c>
      <c r="AR111" s="292">
        <f t="shared" si="73"/>
        <v>0</v>
      </c>
      <c r="AS111" s="292">
        <f t="shared" si="74"/>
        <v>0</v>
      </c>
      <c r="AT111" s="292">
        <f t="shared" si="75"/>
        <v>0</v>
      </c>
      <c r="AU111" s="292">
        <f t="shared" si="76"/>
        <v>0</v>
      </c>
      <c r="AV111" s="292">
        <f t="shared" si="77"/>
        <v>0</v>
      </c>
      <c r="AW111" s="292">
        <f t="shared" si="78"/>
        <v>0</v>
      </c>
      <c r="AX111" s="292">
        <f t="shared" si="79"/>
        <v>0</v>
      </c>
      <c r="AY111" s="292">
        <f t="shared" si="80"/>
        <v>0</v>
      </c>
      <c r="AZ111" s="292">
        <f t="shared" si="81"/>
        <v>0</v>
      </c>
      <c r="BA111" s="292">
        <f t="shared" si="82"/>
        <v>0</v>
      </c>
    </row>
    <row r="112" spans="1:53" s="289" customFormat="1" ht="16.5" customHeight="1">
      <c r="A112" s="63" t="str">
        <f t="array" ref="A112">IF(C112&lt;&gt;0,SUM(($C$11:C112&lt;&gt;0)*1),"")</f>
        <v/>
      </c>
      <c r="B112" s="290"/>
      <c r="C112" s="290"/>
      <c r="D112" s="290"/>
      <c r="E112" s="396"/>
      <c r="F112" s="345"/>
      <c r="G112" s="347"/>
      <c r="H112" s="347"/>
      <c r="I112" s="63" t="str">
        <f t="shared" si="89"/>
        <v/>
      </c>
      <c r="J112" s="292">
        <f t="shared" si="45"/>
        <v>0</v>
      </c>
      <c r="K112" s="292">
        <f t="shared" si="46"/>
        <v>0</v>
      </c>
      <c r="L112" s="292">
        <f t="shared" si="47"/>
        <v>0</v>
      </c>
      <c r="M112" s="292">
        <f t="shared" si="48"/>
        <v>0</v>
      </c>
      <c r="N112" s="292">
        <f t="shared" si="83"/>
        <v>0</v>
      </c>
      <c r="O112" s="292">
        <f t="shared" si="84"/>
        <v>0</v>
      </c>
      <c r="P112" s="292">
        <f t="shared" si="49"/>
        <v>0</v>
      </c>
      <c r="Q112" s="292">
        <f t="shared" si="50"/>
        <v>0</v>
      </c>
      <c r="R112" s="292">
        <f t="shared" si="51"/>
        <v>0</v>
      </c>
      <c r="S112" s="292">
        <f t="shared" si="52"/>
        <v>0</v>
      </c>
      <c r="T112" s="292">
        <f t="shared" si="85"/>
        <v>0</v>
      </c>
      <c r="U112" s="292">
        <f t="shared" si="86"/>
        <v>0</v>
      </c>
      <c r="V112" s="292">
        <f t="shared" si="53"/>
        <v>0</v>
      </c>
      <c r="W112" s="292">
        <f t="shared" si="54"/>
        <v>0</v>
      </c>
      <c r="X112" s="292">
        <f t="shared" si="55"/>
        <v>0</v>
      </c>
      <c r="Y112" s="292">
        <f t="shared" si="56"/>
        <v>0</v>
      </c>
      <c r="Z112" s="292">
        <f t="shared" si="57"/>
        <v>0</v>
      </c>
      <c r="AA112" s="292">
        <f t="shared" si="58"/>
        <v>0</v>
      </c>
      <c r="AB112" s="292">
        <f t="shared" si="59"/>
        <v>0</v>
      </c>
      <c r="AC112" s="292">
        <f t="shared" si="60"/>
        <v>0</v>
      </c>
      <c r="AD112" s="292">
        <f t="shared" si="61"/>
        <v>0</v>
      </c>
      <c r="AE112" s="292">
        <f t="shared" si="62"/>
        <v>0</v>
      </c>
      <c r="AF112" s="292">
        <f t="shared" si="87"/>
        <v>0</v>
      </c>
      <c r="AG112" s="292">
        <f t="shared" si="88"/>
        <v>0</v>
      </c>
      <c r="AH112" s="292">
        <f t="shared" si="63"/>
        <v>0</v>
      </c>
      <c r="AI112" s="292">
        <f t="shared" si="64"/>
        <v>0</v>
      </c>
      <c r="AJ112" s="292">
        <f t="shared" si="65"/>
        <v>0</v>
      </c>
      <c r="AK112" s="292">
        <f t="shared" si="66"/>
        <v>0</v>
      </c>
      <c r="AL112" s="292">
        <f t="shared" si="67"/>
        <v>0</v>
      </c>
      <c r="AM112" s="292">
        <f t="shared" si="68"/>
        <v>0</v>
      </c>
      <c r="AN112" s="292">
        <f t="shared" si="69"/>
        <v>0</v>
      </c>
      <c r="AO112" s="292">
        <f t="shared" si="70"/>
        <v>0</v>
      </c>
      <c r="AP112" s="292">
        <f t="shared" si="71"/>
        <v>0</v>
      </c>
      <c r="AQ112" s="292">
        <f t="shared" si="72"/>
        <v>0</v>
      </c>
      <c r="AR112" s="292">
        <f t="shared" si="73"/>
        <v>0</v>
      </c>
      <c r="AS112" s="292">
        <f t="shared" si="74"/>
        <v>0</v>
      </c>
      <c r="AT112" s="292">
        <f t="shared" si="75"/>
        <v>0</v>
      </c>
      <c r="AU112" s="292">
        <f t="shared" si="76"/>
        <v>0</v>
      </c>
      <c r="AV112" s="292">
        <f t="shared" si="77"/>
        <v>0</v>
      </c>
      <c r="AW112" s="292">
        <f t="shared" si="78"/>
        <v>0</v>
      </c>
      <c r="AX112" s="292">
        <f t="shared" si="79"/>
        <v>0</v>
      </c>
      <c r="AY112" s="292">
        <f t="shared" si="80"/>
        <v>0</v>
      </c>
      <c r="AZ112" s="292">
        <f t="shared" si="81"/>
        <v>0</v>
      </c>
      <c r="BA112" s="292">
        <f t="shared" si="82"/>
        <v>0</v>
      </c>
    </row>
    <row r="113" spans="1:53" s="289" customFormat="1" ht="16.5" customHeight="1">
      <c r="A113" s="63" t="str">
        <f t="array" ref="A113">IF(C113&lt;&gt;0,SUM(($C$11:C113&lt;&gt;0)*1),"")</f>
        <v/>
      </c>
      <c r="B113" s="290"/>
      <c r="C113" s="290"/>
      <c r="D113" s="290"/>
      <c r="E113" s="396"/>
      <c r="F113" s="345"/>
      <c r="G113" s="347"/>
      <c r="H113" s="347"/>
      <c r="I113" s="63" t="str">
        <f t="shared" si="89"/>
        <v/>
      </c>
      <c r="J113" s="292">
        <f t="shared" si="45"/>
        <v>0</v>
      </c>
      <c r="K113" s="292">
        <f t="shared" si="46"/>
        <v>0</v>
      </c>
      <c r="L113" s="292">
        <f t="shared" si="47"/>
        <v>0</v>
      </c>
      <c r="M113" s="292">
        <f t="shared" si="48"/>
        <v>0</v>
      </c>
      <c r="N113" s="292">
        <f t="shared" si="83"/>
        <v>0</v>
      </c>
      <c r="O113" s="292">
        <f t="shared" si="84"/>
        <v>0</v>
      </c>
      <c r="P113" s="292">
        <f t="shared" si="49"/>
        <v>0</v>
      </c>
      <c r="Q113" s="292">
        <f t="shared" si="50"/>
        <v>0</v>
      </c>
      <c r="R113" s="292">
        <f t="shared" si="51"/>
        <v>0</v>
      </c>
      <c r="S113" s="292">
        <f t="shared" si="52"/>
        <v>0</v>
      </c>
      <c r="T113" s="292">
        <f t="shared" si="85"/>
        <v>0</v>
      </c>
      <c r="U113" s="292">
        <f t="shared" si="86"/>
        <v>0</v>
      </c>
      <c r="V113" s="292">
        <f t="shared" si="53"/>
        <v>0</v>
      </c>
      <c r="W113" s="292">
        <f t="shared" si="54"/>
        <v>0</v>
      </c>
      <c r="X113" s="292">
        <f t="shared" si="55"/>
        <v>0</v>
      </c>
      <c r="Y113" s="292">
        <f t="shared" si="56"/>
        <v>0</v>
      </c>
      <c r="Z113" s="292">
        <f t="shared" si="57"/>
        <v>0</v>
      </c>
      <c r="AA113" s="292">
        <f t="shared" si="58"/>
        <v>0</v>
      </c>
      <c r="AB113" s="292">
        <f t="shared" si="59"/>
        <v>0</v>
      </c>
      <c r="AC113" s="292">
        <f t="shared" si="60"/>
        <v>0</v>
      </c>
      <c r="AD113" s="292">
        <f t="shared" si="61"/>
        <v>0</v>
      </c>
      <c r="AE113" s="292">
        <f t="shared" si="62"/>
        <v>0</v>
      </c>
      <c r="AF113" s="292">
        <f t="shared" si="87"/>
        <v>0</v>
      </c>
      <c r="AG113" s="292">
        <f t="shared" si="88"/>
        <v>0</v>
      </c>
      <c r="AH113" s="292">
        <f t="shared" si="63"/>
        <v>0</v>
      </c>
      <c r="AI113" s="292">
        <f t="shared" si="64"/>
        <v>0</v>
      </c>
      <c r="AJ113" s="292">
        <f t="shared" si="65"/>
        <v>0</v>
      </c>
      <c r="AK113" s="292">
        <f t="shared" si="66"/>
        <v>0</v>
      </c>
      <c r="AL113" s="292">
        <f t="shared" si="67"/>
        <v>0</v>
      </c>
      <c r="AM113" s="292">
        <f t="shared" si="68"/>
        <v>0</v>
      </c>
      <c r="AN113" s="292">
        <f t="shared" si="69"/>
        <v>0</v>
      </c>
      <c r="AO113" s="292">
        <f t="shared" si="70"/>
        <v>0</v>
      </c>
      <c r="AP113" s="292">
        <f t="shared" si="71"/>
        <v>0</v>
      </c>
      <c r="AQ113" s="292">
        <f t="shared" si="72"/>
        <v>0</v>
      </c>
      <c r="AR113" s="292">
        <f t="shared" si="73"/>
        <v>0</v>
      </c>
      <c r="AS113" s="292">
        <f t="shared" si="74"/>
        <v>0</v>
      </c>
      <c r="AT113" s="292">
        <f t="shared" si="75"/>
        <v>0</v>
      </c>
      <c r="AU113" s="292">
        <f t="shared" si="76"/>
        <v>0</v>
      </c>
      <c r="AV113" s="292">
        <f t="shared" si="77"/>
        <v>0</v>
      </c>
      <c r="AW113" s="292">
        <f t="shared" si="78"/>
        <v>0</v>
      </c>
      <c r="AX113" s="292">
        <f t="shared" si="79"/>
        <v>0</v>
      </c>
      <c r="AY113" s="292">
        <f t="shared" si="80"/>
        <v>0</v>
      </c>
      <c r="AZ113" s="292">
        <f t="shared" si="81"/>
        <v>0</v>
      </c>
      <c r="BA113" s="292">
        <f t="shared" si="82"/>
        <v>0</v>
      </c>
    </row>
    <row r="114" spans="1:53" s="289" customFormat="1" ht="16.5" customHeight="1">
      <c r="A114" s="63" t="str">
        <f t="array" ref="A114">IF(C114&lt;&gt;0,SUM(($C$11:C114&lt;&gt;0)*1),"")</f>
        <v/>
      </c>
      <c r="B114" s="290"/>
      <c r="C114" s="290"/>
      <c r="D114" s="290"/>
      <c r="E114" s="396"/>
      <c r="F114" s="345"/>
      <c r="G114" s="347"/>
      <c r="H114" s="347"/>
      <c r="I114" s="63" t="str">
        <f>A114</f>
        <v/>
      </c>
      <c r="J114" s="292">
        <f>IF($G114="1111",$F114,0)</f>
        <v>0</v>
      </c>
      <c r="K114" s="292">
        <f>IF($H114="1111",$F114,0)</f>
        <v>0</v>
      </c>
      <c r="L114" s="292">
        <f>IF($G114="1121",$F114,0)</f>
        <v>0</v>
      </c>
      <c r="M114" s="292">
        <f>IF($H114="1121",$F114,0)</f>
        <v>0</v>
      </c>
      <c r="N114" s="292">
        <f t="shared" si="83"/>
        <v>0</v>
      </c>
      <c r="O114" s="292">
        <f t="shared" si="84"/>
        <v>0</v>
      </c>
      <c r="P114" s="292">
        <f>IF($G114="1331",$F114,0)</f>
        <v>0</v>
      </c>
      <c r="Q114" s="292">
        <f>IF($H114="1331",$F114,0)</f>
        <v>0</v>
      </c>
      <c r="R114" s="292">
        <f>IF($G114="1388",$F114,0)</f>
        <v>0</v>
      </c>
      <c r="S114" s="292">
        <f>IF($H114="1388",$F114,0)</f>
        <v>0</v>
      </c>
      <c r="T114" s="292">
        <f t="shared" si="85"/>
        <v>0</v>
      </c>
      <c r="U114" s="292">
        <f t="shared" si="86"/>
        <v>0</v>
      </c>
      <c r="V114" s="292">
        <f>IF($G114="331",$F114,0)</f>
        <v>0</v>
      </c>
      <c r="W114" s="292">
        <f>IF($H114="331",$F114,0)</f>
        <v>0</v>
      </c>
      <c r="X114" s="292">
        <f>IF($G114="3334",$F114,0)</f>
        <v>0</v>
      </c>
      <c r="Y114" s="292">
        <f>IF($H114="3334",$F114,0)</f>
        <v>0</v>
      </c>
      <c r="Z114" s="292">
        <f>IF($G114="33382",$F114,0)</f>
        <v>0</v>
      </c>
      <c r="AA114" s="292">
        <f>IF($H114="33382",$F114,0)</f>
        <v>0</v>
      </c>
      <c r="AB114" s="292">
        <f>IF($G114="3388",$F114,0)</f>
        <v>0</v>
      </c>
      <c r="AC114" s="292">
        <f>IF($H114="3388",$F114,0)</f>
        <v>0</v>
      </c>
      <c r="AD114" s="292">
        <f>IF($G114="3411",$F114,0)</f>
        <v>0</v>
      </c>
      <c r="AE114" s="292">
        <f>IF($H114="3411",$F114,0)</f>
        <v>0</v>
      </c>
      <c r="AF114" s="292">
        <f t="shared" si="87"/>
        <v>0</v>
      </c>
      <c r="AG114" s="292">
        <f t="shared" si="88"/>
        <v>0</v>
      </c>
      <c r="AH114" s="292">
        <f>IF($G114="4111",$F114,0)</f>
        <v>0</v>
      </c>
      <c r="AI114" s="292">
        <f>IF($H114="4111",$F114,0)</f>
        <v>0</v>
      </c>
      <c r="AJ114" s="292">
        <f>IF($G114="4211",$F114,0)</f>
        <v>0</v>
      </c>
      <c r="AK114" s="292">
        <f>IF($H114="4211",$F114,0)</f>
        <v>0</v>
      </c>
      <c r="AL114" s="292">
        <f>IF($G114="4212",$F114,0)</f>
        <v>0</v>
      </c>
      <c r="AM114" s="292">
        <f>IF($H114="4212",$F114,0)</f>
        <v>0</v>
      </c>
      <c r="AN114" s="292">
        <f>IF($G114="515",$F114,0)</f>
        <v>0</v>
      </c>
      <c r="AO114" s="292">
        <f>IF($H114="515",$F114,0)</f>
        <v>0</v>
      </c>
      <c r="AP114" s="292">
        <f>IF($G114="635",$F114,0)</f>
        <v>0</v>
      </c>
      <c r="AQ114" s="292">
        <f>IF($H114="635",$F114,0)</f>
        <v>0</v>
      </c>
      <c r="AR114" s="292">
        <f>IF($G114="642",$F114,0)</f>
        <v>0</v>
      </c>
      <c r="AS114" s="292">
        <f>IF($H114="642",$F114,0)</f>
        <v>0</v>
      </c>
      <c r="AT114" s="292">
        <f>IF($G114="711",$F114,0)</f>
        <v>0</v>
      </c>
      <c r="AU114" s="292">
        <f>IF($H114="711",$F114,0)</f>
        <v>0</v>
      </c>
      <c r="AV114" s="292">
        <f>IF($G114="811",$F114,0)</f>
        <v>0</v>
      </c>
      <c r="AW114" s="292">
        <f>IF($H114="811",$F114,0)</f>
        <v>0</v>
      </c>
      <c r="AX114" s="292">
        <f>IF($G114="821",$F114,0)</f>
        <v>0</v>
      </c>
      <c r="AY114" s="292">
        <f>IF($H114="821",$F114,0)</f>
        <v>0</v>
      </c>
      <c r="AZ114" s="292">
        <f>IF($G114="911",$F114,0)</f>
        <v>0</v>
      </c>
      <c r="BA114" s="292">
        <f>IF($H114="911",$F114,0)</f>
        <v>0</v>
      </c>
    </row>
    <row r="115" spans="1:53" s="289" customFormat="1" ht="16.5" customHeight="1">
      <c r="A115" s="63" t="str">
        <f t="array" ref="A115">IF(C115&lt;&gt;0,SUM(($C$11:C115&lt;&gt;0)*1),"")</f>
        <v/>
      </c>
      <c r="B115" s="290"/>
      <c r="C115" s="290"/>
      <c r="D115" s="290"/>
      <c r="E115" s="396"/>
      <c r="F115" s="345"/>
      <c r="G115" s="347"/>
      <c r="H115" s="347"/>
      <c r="I115" s="63" t="str">
        <f>A115</f>
        <v/>
      </c>
      <c r="J115" s="292">
        <f>IF($G115="1111",$F115,0)</f>
        <v>0</v>
      </c>
      <c r="K115" s="292">
        <f>IF($H115="1111",$F115,0)</f>
        <v>0</v>
      </c>
      <c r="L115" s="292">
        <f>IF($G115="1121",$F115,0)</f>
        <v>0</v>
      </c>
      <c r="M115" s="292">
        <f>IF($H115="1121",$F115,0)</f>
        <v>0</v>
      </c>
      <c r="N115" s="292">
        <f t="shared" si="83"/>
        <v>0</v>
      </c>
      <c r="O115" s="292">
        <f t="shared" si="84"/>
        <v>0</v>
      </c>
      <c r="P115" s="292">
        <f>IF($G115="1331",$F115,0)</f>
        <v>0</v>
      </c>
      <c r="Q115" s="292">
        <f>IF($H115="1331",$F115,0)</f>
        <v>0</v>
      </c>
      <c r="R115" s="292">
        <f>IF($G115="1388",$F115,0)</f>
        <v>0</v>
      </c>
      <c r="S115" s="292">
        <f>IF($H115="1388",$F115,0)</f>
        <v>0</v>
      </c>
      <c r="T115" s="292">
        <f t="shared" si="85"/>
        <v>0</v>
      </c>
      <c r="U115" s="292">
        <f t="shared" si="86"/>
        <v>0</v>
      </c>
      <c r="V115" s="292">
        <f>IF($G115="331",$F115,0)</f>
        <v>0</v>
      </c>
      <c r="W115" s="292">
        <f>IF($H115="331",$F115,0)</f>
        <v>0</v>
      </c>
      <c r="X115" s="292">
        <f>IF($G115="3334",$F115,0)</f>
        <v>0</v>
      </c>
      <c r="Y115" s="292">
        <f>IF($H115="3334",$F115,0)</f>
        <v>0</v>
      </c>
      <c r="Z115" s="292">
        <f>IF($G115="33382",$F115,0)</f>
        <v>0</v>
      </c>
      <c r="AA115" s="292">
        <f>IF($H115="33382",$F115,0)</f>
        <v>0</v>
      </c>
      <c r="AB115" s="292">
        <f>IF($G115="3388",$F115,0)</f>
        <v>0</v>
      </c>
      <c r="AC115" s="292">
        <f>IF($H115="3388",$F115,0)</f>
        <v>0</v>
      </c>
      <c r="AD115" s="292">
        <f>IF($G115="3411",$F115,0)</f>
        <v>0</v>
      </c>
      <c r="AE115" s="292">
        <f>IF($H115="3411",$F115,0)</f>
        <v>0</v>
      </c>
      <c r="AF115" s="292">
        <f t="shared" si="87"/>
        <v>0</v>
      </c>
      <c r="AG115" s="292">
        <f t="shared" si="88"/>
        <v>0</v>
      </c>
      <c r="AH115" s="292">
        <f>IF($G115="4111",$F115,0)</f>
        <v>0</v>
      </c>
      <c r="AI115" s="292">
        <f>IF($H115="4111",$F115,0)</f>
        <v>0</v>
      </c>
      <c r="AJ115" s="292">
        <f>IF($G115="4211",$F115,0)</f>
        <v>0</v>
      </c>
      <c r="AK115" s="292">
        <f>IF($H115="4211",$F115,0)</f>
        <v>0</v>
      </c>
      <c r="AL115" s="292">
        <f>IF($G115="4212",$F115,0)</f>
        <v>0</v>
      </c>
      <c r="AM115" s="292">
        <f>IF($H115="4212",$F115,0)</f>
        <v>0</v>
      </c>
      <c r="AN115" s="292">
        <f>IF($G115="515",$F115,0)</f>
        <v>0</v>
      </c>
      <c r="AO115" s="292">
        <f>IF($H115="515",$F115,0)</f>
        <v>0</v>
      </c>
      <c r="AP115" s="292">
        <f>IF($G115="635",$F115,0)</f>
        <v>0</v>
      </c>
      <c r="AQ115" s="292">
        <f>IF($H115="635",$F115,0)</f>
        <v>0</v>
      </c>
      <c r="AR115" s="292">
        <f>IF($G115="642",$F115,0)</f>
        <v>0</v>
      </c>
      <c r="AS115" s="292">
        <f>IF($H115="642",$F115,0)</f>
        <v>0</v>
      </c>
      <c r="AT115" s="292">
        <f>IF($G115="711",$F115,0)</f>
        <v>0</v>
      </c>
      <c r="AU115" s="292">
        <f>IF($H115="711",$F115,0)</f>
        <v>0</v>
      </c>
      <c r="AV115" s="292">
        <f>IF($G115="811",$F115,0)</f>
        <v>0</v>
      </c>
      <c r="AW115" s="292">
        <f>IF($H115="811",$F115,0)</f>
        <v>0</v>
      </c>
      <c r="AX115" s="292">
        <f>IF($G115="821",$F115,0)</f>
        <v>0</v>
      </c>
      <c r="AY115" s="292">
        <f>IF($H115="821",$F115,0)</f>
        <v>0</v>
      </c>
      <c r="AZ115" s="292">
        <f>IF($G115="911",$F115,0)</f>
        <v>0</v>
      </c>
      <c r="BA115" s="292">
        <f>IF($H115="911",$F115,0)</f>
        <v>0</v>
      </c>
    </row>
    <row r="116" spans="1:53" s="289" customFormat="1" ht="16.5" customHeight="1">
      <c r="A116" s="63" t="str">
        <f t="array" ref="A116">IF(C116&lt;&gt;0,SUM(($C$11:C116&lt;&gt;0)*1),"")</f>
        <v/>
      </c>
      <c r="B116" s="290"/>
      <c r="C116" s="290"/>
      <c r="D116" s="290"/>
      <c r="E116" s="396"/>
      <c r="F116" s="345"/>
      <c r="G116" s="347"/>
      <c r="H116" s="347"/>
      <c r="I116" s="63" t="str">
        <f>A116</f>
        <v/>
      </c>
      <c r="J116" s="292">
        <f>IF($G116="1111",$F116,0)</f>
        <v>0</v>
      </c>
      <c r="K116" s="292">
        <f>IF($H116="1111",$F116,0)</f>
        <v>0</v>
      </c>
      <c r="L116" s="292">
        <f>IF($G116="1121",$F116,0)</f>
        <v>0</v>
      </c>
      <c r="M116" s="292">
        <f>IF($H116="1121",$F116,0)</f>
        <v>0</v>
      </c>
      <c r="N116" s="292">
        <f t="shared" si="83"/>
        <v>0</v>
      </c>
      <c r="O116" s="292">
        <f t="shared" si="84"/>
        <v>0</v>
      </c>
      <c r="P116" s="292">
        <f>IF($G116="1331",$F116,0)</f>
        <v>0</v>
      </c>
      <c r="Q116" s="292">
        <f>IF($H116="1331",$F116,0)</f>
        <v>0</v>
      </c>
      <c r="R116" s="292">
        <f>IF($G116="1388",$F116,0)</f>
        <v>0</v>
      </c>
      <c r="S116" s="292">
        <f>IF($H116="1388",$F116,0)</f>
        <v>0</v>
      </c>
      <c r="T116" s="292">
        <f t="shared" si="85"/>
        <v>0</v>
      </c>
      <c r="U116" s="292">
        <f t="shared" si="86"/>
        <v>0</v>
      </c>
      <c r="V116" s="292">
        <f>IF($G116="331",$F116,0)</f>
        <v>0</v>
      </c>
      <c r="W116" s="292">
        <f>IF($H116="331",$F116,0)</f>
        <v>0</v>
      </c>
      <c r="X116" s="292">
        <f>IF($G116="3334",$F116,0)</f>
        <v>0</v>
      </c>
      <c r="Y116" s="292">
        <f>IF($H116="3334",$F116,0)</f>
        <v>0</v>
      </c>
      <c r="Z116" s="292">
        <f>IF($G116="33382",$F116,0)</f>
        <v>0</v>
      </c>
      <c r="AA116" s="292">
        <f>IF($H116="33382",$F116,0)</f>
        <v>0</v>
      </c>
      <c r="AB116" s="292">
        <f>IF($G116="3388",$F116,0)</f>
        <v>0</v>
      </c>
      <c r="AC116" s="292">
        <f>IF($H116="3388",$F116,0)</f>
        <v>0</v>
      </c>
      <c r="AD116" s="292">
        <f>IF($G116="3411",$F116,0)</f>
        <v>0</v>
      </c>
      <c r="AE116" s="292">
        <f>IF($H116="3411",$F116,0)</f>
        <v>0</v>
      </c>
      <c r="AF116" s="292">
        <f t="shared" si="87"/>
        <v>0</v>
      </c>
      <c r="AG116" s="292">
        <f t="shared" si="88"/>
        <v>0</v>
      </c>
      <c r="AH116" s="292">
        <f>IF($G116="4111",$F116,0)</f>
        <v>0</v>
      </c>
      <c r="AI116" s="292">
        <f>IF($H116="4111",$F116,0)</f>
        <v>0</v>
      </c>
      <c r="AJ116" s="292">
        <f>IF($G116="4211",$F116,0)</f>
        <v>0</v>
      </c>
      <c r="AK116" s="292">
        <f>IF($H116="4211",$F116,0)</f>
        <v>0</v>
      </c>
      <c r="AL116" s="292">
        <f>IF($G116="4212",$F116,0)</f>
        <v>0</v>
      </c>
      <c r="AM116" s="292">
        <f>IF($H116="4212",$F116,0)</f>
        <v>0</v>
      </c>
      <c r="AN116" s="292">
        <f>IF($G116="515",$F116,0)</f>
        <v>0</v>
      </c>
      <c r="AO116" s="292">
        <f>IF($H116="515",$F116,0)</f>
        <v>0</v>
      </c>
      <c r="AP116" s="292">
        <f>IF($G116="635",$F116,0)</f>
        <v>0</v>
      </c>
      <c r="AQ116" s="292">
        <f>IF($H116="635",$F116,0)</f>
        <v>0</v>
      </c>
      <c r="AR116" s="292">
        <f>IF($G116="642",$F116,0)</f>
        <v>0</v>
      </c>
      <c r="AS116" s="292">
        <f>IF($H116="642",$F116,0)</f>
        <v>0</v>
      </c>
      <c r="AT116" s="292">
        <f>IF($G116="711",$F116,0)</f>
        <v>0</v>
      </c>
      <c r="AU116" s="292">
        <f>IF($H116="711",$F116,0)</f>
        <v>0</v>
      </c>
      <c r="AV116" s="292">
        <f>IF($G116="811",$F116,0)</f>
        <v>0</v>
      </c>
      <c r="AW116" s="292">
        <f>IF($H116="811",$F116,0)</f>
        <v>0</v>
      </c>
      <c r="AX116" s="292">
        <f>IF($G116="821",$F116,0)</f>
        <v>0</v>
      </c>
      <c r="AY116" s="292">
        <f>IF($H116="821",$F116,0)</f>
        <v>0</v>
      </c>
      <c r="AZ116" s="292">
        <f>IF($G116="911",$F116,0)</f>
        <v>0</v>
      </c>
      <c r="BA116" s="292">
        <f>IF($H116="911",$F116,0)</f>
        <v>0</v>
      </c>
    </row>
    <row r="117" spans="1:53" s="289" customFormat="1" ht="16.5" customHeight="1">
      <c r="A117" s="63" t="str">
        <f t="array" ref="A117">IF(C117&lt;&gt;0,SUM(($C$11:C117&lt;&gt;0)*1),"")</f>
        <v/>
      </c>
      <c r="B117" s="290"/>
      <c r="C117" s="290"/>
      <c r="D117" s="290"/>
      <c r="E117" s="396"/>
      <c r="F117" s="345"/>
      <c r="G117" s="347"/>
      <c r="H117" s="347"/>
      <c r="I117" s="63" t="str">
        <f>A117</f>
        <v/>
      </c>
      <c r="J117" s="292">
        <f>IF($G117="1111",$F117,0)</f>
        <v>0</v>
      </c>
      <c r="K117" s="292">
        <f>IF($H117="1111",$F117,0)</f>
        <v>0</v>
      </c>
      <c r="L117" s="292">
        <f>IF($G117="1121",$F117,0)</f>
        <v>0</v>
      </c>
      <c r="M117" s="292">
        <f>IF($H117="1121",$F117,0)</f>
        <v>0</v>
      </c>
      <c r="N117" s="292">
        <f t="shared" si="83"/>
        <v>0</v>
      </c>
      <c r="O117" s="292">
        <f t="shared" si="84"/>
        <v>0</v>
      </c>
      <c r="P117" s="292">
        <f>IF($G117="1331",$F117,0)</f>
        <v>0</v>
      </c>
      <c r="Q117" s="292">
        <f>IF($H117="1331",$F117,0)</f>
        <v>0</v>
      </c>
      <c r="R117" s="292">
        <f>IF($G117="1388",$F117,0)</f>
        <v>0</v>
      </c>
      <c r="S117" s="292">
        <f>IF($H117="1388",$F117,0)</f>
        <v>0</v>
      </c>
      <c r="T117" s="292">
        <f t="shared" si="85"/>
        <v>0</v>
      </c>
      <c r="U117" s="292">
        <f t="shared" si="86"/>
        <v>0</v>
      </c>
      <c r="V117" s="292">
        <f>IF($G117="331",$F117,0)</f>
        <v>0</v>
      </c>
      <c r="W117" s="292">
        <f>IF($H117="331",$F117,0)</f>
        <v>0</v>
      </c>
      <c r="X117" s="292">
        <f>IF($G117="3334",$F117,0)</f>
        <v>0</v>
      </c>
      <c r="Y117" s="292">
        <f>IF($H117="3334",$F117,0)</f>
        <v>0</v>
      </c>
      <c r="Z117" s="292">
        <f>IF($G117="33382",$F117,0)</f>
        <v>0</v>
      </c>
      <c r="AA117" s="292">
        <f>IF($H117="33382",$F117,0)</f>
        <v>0</v>
      </c>
      <c r="AB117" s="292">
        <f>IF($G117="3388",$F117,0)</f>
        <v>0</v>
      </c>
      <c r="AC117" s="292">
        <f>IF($H117="3388",$F117,0)</f>
        <v>0</v>
      </c>
      <c r="AD117" s="292">
        <f>IF($G117="3411",$F117,0)</f>
        <v>0</v>
      </c>
      <c r="AE117" s="292">
        <f>IF($H117="3411",$F117,0)</f>
        <v>0</v>
      </c>
      <c r="AF117" s="292">
        <f t="shared" si="87"/>
        <v>0</v>
      </c>
      <c r="AG117" s="292">
        <f t="shared" si="88"/>
        <v>0</v>
      </c>
      <c r="AH117" s="292">
        <f>IF($G117="4111",$F117,0)</f>
        <v>0</v>
      </c>
      <c r="AI117" s="292">
        <f>IF($H117="4111",$F117,0)</f>
        <v>0</v>
      </c>
      <c r="AJ117" s="292">
        <f>IF($G117="4211",$F117,0)</f>
        <v>0</v>
      </c>
      <c r="AK117" s="292">
        <f>IF($H117="4211",$F117,0)</f>
        <v>0</v>
      </c>
      <c r="AL117" s="292">
        <f>IF($G117="4212",$F117,0)</f>
        <v>0</v>
      </c>
      <c r="AM117" s="292">
        <f>IF($H117="4212",$F117,0)</f>
        <v>0</v>
      </c>
      <c r="AN117" s="292">
        <f>IF($G117="515",$F117,0)</f>
        <v>0</v>
      </c>
      <c r="AO117" s="292">
        <f>IF($H117="515",$F117,0)</f>
        <v>0</v>
      </c>
      <c r="AP117" s="292">
        <f>IF($G117="635",$F117,0)</f>
        <v>0</v>
      </c>
      <c r="AQ117" s="292">
        <f>IF($H117="635",$F117,0)</f>
        <v>0</v>
      </c>
      <c r="AR117" s="292">
        <f>IF($G117="642",$F117,0)</f>
        <v>0</v>
      </c>
      <c r="AS117" s="292">
        <f>IF($H117="642",$F117,0)</f>
        <v>0</v>
      </c>
      <c r="AT117" s="292">
        <f>IF($G117="711",$F117,0)</f>
        <v>0</v>
      </c>
      <c r="AU117" s="292">
        <f>IF($H117="711",$F117,0)</f>
        <v>0</v>
      </c>
      <c r="AV117" s="292">
        <f>IF($G117="811",$F117,0)</f>
        <v>0</v>
      </c>
      <c r="AW117" s="292">
        <f>IF($H117="811",$F117,0)</f>
        <v>0</v>
      </c>
      <c r="AX117" s="292">
        <f>IF($G117="821",$F117,0)</f>
        <v>0</v>
      </c>
      <c r="AY117" s="292">
        <f>IF($H117="821",$F117,0)</f>
        <v>0</v>
      </c>
      <c r="AZ117" s="292">
        <f>IF($G117="911",$F117,0)</f>
        <v>0</v>
      </c>
      <c r="BA117" s="292">
        <f>IF($H117="911",$F117,0)</f>
        <v>0</v>
      </c>
    </row>
    <row r="118" spans="1:53" s="289" customFormat="1" ht="16.5" customHeight="1">
      <c r="A118" s="63" t="str">
        <f t="array" ref="A118">IF(C118&lt;&gt;0,SUM(($C$11:C118&lt;&gt;0)*1),"")</f>
        <v/>
      </c>
      <c r="B118" s="290"/>
      <c r="C118" s="290"/>
      <c r="D118" s="290"/>
      <c r="E118" s="396"/>
      <c r="F118" s="345"/>
      <c r="G118" s="347"/>
      <c r="H118" s="347"/>
      <c r="I118" s="63" t="str">
        <f t="shared" ref="I118:I130" si="90">A118</f>
        <v/>
      </c>
      <c r="J118" s="292">
        <f t="shared" ref="J118:J130" si="91">IF($G118="1111",$F118,0)</f>
        <v>0</v>
      </c>
      <c r="K118" s="292">
        <f t="shared" ref="K118:K130" si="92">IF($H118="1111",$F118,0)</f>
        <v>0</v>
      </c>
      <c r="L118" s="292">
        <f t="shared" ref="L118:L130" si="93">IF($G118="1121",$F118,0)</f>
        <v>0</v>
      </c>
      <c r="M118" s="292">
        <f t="shared" ref="M118:M130" si="94">IF($H118="1121",$F118,0)</f>
        <v>0</v>
      </c>
      <c r="N118" s="292">
        <f t="shared" si="83"/>
        <v>0</v>
      </c>
      <c r="O118" s="292">
        <f t="shared" si="84"/>
        <v>0</v>
      </c>
      <c r="P118" s="292">
        <f t="shared" ref="P118:P130" si="95">IF($G118="1331",$F118,0)</f>
        <v>0</v>
      </c>
      <c r="Q118" s="292">
        <f t="shared" ref="Q118:Q130" si="96">IF($H118="1331",$F118,0)</f>
        <v>0</v>
      </c>
      <c r="R118" s="292">
        <f t="shared" ref="R118:R130" si="97">IF($G118="1388",$F118,0)</f>
        <v>0</v>
      </c>
      <c r="S118" s="292">
        <f t="shared" ref="S118:S130" si="98">IF($H118="1388",$F118,0)</f>
        <v>0</v>
      </c>
      <c r="T118" s="292">
        <f t="shared" si="85"/>
        <v>0</v>
      </c>
      <c r="U118" s="292">
        <f t="shared" si="86"/>
        <v>0</v>
      </c>
      <c r="V118" s="292">
        <f t="shared" ref="V118:V130" si="99">IF($G118="331",$F118,0)</f>
        <v>0</v>
      </c>
      <c r="W118" s="292">
        <f t="shared" ref="W118:W130" si="100">IF($H118="331",$F118,0)</f>
        <v>0</v>
      </c>
      <c r="X118" s="292">
        <f t="shared" ref="X118:X130" si="101">IF($G118="3334",$F118,0)</f>
        <v>0</v>
      </c>
      <c r="Y118" s="292">
        <f t="shared" ref="Y118:Y130" si="102">IF($H118="3334",$F118,0)</f>
        <v>0</v>
      </c>
      <c r="Z118" s="292">
        <f t="shared" ref="Z118:Z130" si="103">IF($G118="33382",$F118,0)</f>
        <v>0</v>
      </c>
      <c r="AA118" s="292">
        <f t="shared" ref="AA118:AA130" si="104">IF($H118="33382",$F118,0)</f>
        <v>0</v>
      </c>
      <c r="AB118" s="292">
        <f t="shared" ref="AB118:AB130" si="105">IF($G118="3388",$F118,0)</f>
        <v>0</v>
      </c>
      <c r="AC118" s="292">
        <f t="shared" ref="AC118:AC130" si="106">IF($H118="3388",$F118,0)</f>
        <v>0</v>
      </c>
      <c r="AD118" s="292">
        <f t="shared" ref="AD118:AD130" si="107">IF($G118="3411",$F118,0)</f>
        <v>0</v>
      </c>
      <c r="AE118" s="292">
        <f t="shared" ref="AE118:AE130" si="108">IF($H118="3411",$F118,0)</f>
        <v>0</v>
      </c>
      <c r="AF118" s="292">
        <f t="shared" si="87"/>
        <v>0</v>
      </c>
      <c r="AG118" s="292">
        <f t="shared" si="88"/>
        <v>0</v>
      </c>
      <c r="AH118" s="292">
        <f t="shared" ref="AH118:AH130" si="109">IF($G118="4111",$F118,0)</f>
        <v>0</v>
      </c>
      <c r="AI118" s="292">
        <f t="shared" ref="AI118:AI130" si="110">IF($H118="4111",$F118,0)</f>
        <v>0</v>
      </c>
      <c r="AJ118" s="292">
        <f t="shared" ref="AJ118:AJ130" si="111">IF($G118="4211",$F118,0)</f>
        <v>0</v>
      </c>
      <c r="AK118" s="292">
        <f t="shared" ref="AK118:AK130" si="112">IF($H118="4211",$F118,0)</f>
        <v>0</v>
      </c>
      <c r="AL118" s="292">
        <f t="shared" ref="AL118:AL130" si="113">IF($G118="4212",$F118,0)</f>
        <v>0</v>
      </c>
      <c r="AM118" s="292">
        <f t="shared" ref="AM118:AM130" si="114">IF($H118="4212",$F118,0)</f>
        <v>0</v>
      </c>
      <c r="AN118" s="292">
        <f t="shared" ref="AN118:AN130" si="115">IF($G118="515",$F118,0)</f>
        <v>0</v>
      </c>
      <c r="AO118" s="292">
        <f t="shared" ref="AO118:AO130" si="116">IF($H118="515",$F118,0)</f>
        <v>0</v>
      </c>
      <c r="AP118" s="292">
        <f t="shared" ref="AP118:AP130" si="117">IF($G118="635",$F118,0)</f>
        <v>0</v>
      </c>
      <c r="AQ118" s="292">
        <f t="shared" ref="AQ118:AQ130" si="118">IF($H118="635",$F118,0)</f>
        <v>0</v>
      </c>
      <c r="AR118" s="292">
        <f t="shared" ref="AR118:AR130" si="119">IF($G118="642",$F118,0)</f>
        <v>0</v>
      </c>
      <c r="AS118" s="292">
        <f t="shared" ref="AS118:AS130" si="120">IF($H118="642",$F118,0)</f>
        <v>0</v>
      </c>
      <c r="AT118" s="292">
        <f t="shared" ref="AT118:AT130" si="121">IF($G118="711",$F118,0)</f>
        <v>0</v>
      </c>
      <c r="AU118" s="292">
        <f t="shared" ref="AU118:AU130" si="122">IF($H118="711",$F118,0)</f>
        <v>0</v>
      </c>
      <c r="AV118" s="292">
        <f t="shared" ref="AV118:AV130" si="123">IF($G118="811",$F118,0)</f>
        <v>0</v>
      </c>
      <c r="AW118" s="292">
        <f t="shared" ref="AW118:AW130" si="124">IF($H118="811",$F118,0)</f>
        <v>0</v>
      </c>
      <c r="AX118" s="292">
        <f t="shared" ref="AX118:AX130" si="125">IF($G118="821",$F118,0)</f>
        <v>0</v>
      </c>
      <c r="AY118" s="292">
        <f t="shared" ref="AY118:AY130" si="126">IF($H118="821",$F118,0)</f>
        <v>0</v>
      </c>
      <c r="AZ118" s="292">
        <f t="shared" ref="AZ118:AZ130" si="127">IF($G118="911",$F118,0)</f>
        <v>0</v>
      </c>
      <c r="BA118" s="292">
        <f t="shared" ref="BA118:BA130" si="128">IF($H118="911",$F118,0)</f>
        <v>0</v>
      </c>
    </row>
    <row r="119" spans="1:53" s="289" customFormat="1" ht="16.5" customHeight="1">
      <c r="A119" s="63" t="str">
        <f t="array" ref="A119">IF(C119&lt;&gt;0,SUM(($C$11:C119&lt;&gt;0)*1),"")</f>
        <v/>
      </c>
      <c r="B119" s="290"/>
      <c r="C119" s="290"/>
      <c r="D119" s="290"/>
      <c r="E119" s="396"/>
      <c r="F119" s="345"/>
      <c r="G119" s="347"/>
      <c r="H119" s="347"/>
      <c r="I119" s="63" t="str">
        <f t="shared" si="90"/>
        <v/>
      </c>
      <c r="J119" s="292">
        <f t="shared" si="91"/>
        <v>0</v>
      </c>
      <c r="K119" s="292">
        <f t="shared" si="92"/>
        <v>0</v>
      </c>
      <c r="L119" s="292">
        <f t="shared" si="93"/>
        <v>0</v>
      </c>
      <c r="M119" s="292">
        <f t="shared" si="94"/>
        <v>0</v>
      </c>
      <c r="N119" s="292">
        <f t="shared" si="83"/>
        <v>0</v>
      </c>
      <c r="O119" s="292">
        <f t="shared" si="84"/>
        <v>0</v>
      </c>
      <c r="P119" s="292">
        <f t="shared" si="95"/>
        <v>0</v>
      </c>
      <c r="Q119" s="292">
        <f t="shared" si="96"/>
        <v>0</v>
      </c>
      <c r="R119" s="292">
        <f t="shared" si="97"/>
        <v>0</v>
      </c>
      <c r="S119" s="292">
        <f t="shared" si="98"/>
        <v>0</v>
      </c>
      <c r="T119" s="292">
        <f t="shared" si="85"/>
        <v>0</v>
      </c>
      <c r="U119" s="292">
        <f t="shared" si="86"/>
        <v>0</v>
      </c>
      <c r="V119" s="292">
        <f t="shared" si="99"/>
        <v>0</v>
      </c>
      <c r="W119" s="292">
        <f t="shared" si="100"/>
        <v>0</v>
      </c>
      <c r="X119" s="292">
        <f t="shared" si="101"/>
        <v>0</v>
      </c>
      <c r="Y119" s="292">
        <f t="shared" si="102"/>
        <v>0</v>
      </c>
      <c r="Z119" s="292">
        <f t="shared" si="103"/>
        <v>0</v>
      </c>
      <c r="AA119" s="292">
        <f t="shared" si="104"/>
        <v>0</v>
      </c>
      <c r="AB119" s="292">
        <f t="shared" si="105"/>
        <v>0</v>
      </c>
      <c r="AC119" s="292">
        <f t="shared" si="106"/>
        <v>0</v>
      </c>
      <c r="AD119" s="292">
        <f t="shared" si="107"/>
        <v>0</v>
      </c>
      <c r="AE119" s="292">
        <f t="shared" si="108"/>
        <v>0</v>
      </c>
      <c r="AF119" s="292">
        <f t="shared" si="87"/>
        <v>0</v>
      </c>
      <c r="AG119" s="292">
        <f t="shared" si="88"/>
        <v>0</v>
      </c>
      <c r="AH119" s="292">
        <f t="shared" si="109"/>
        <v>0</v>
      </c>
      <c r="AI119" s="292">
        <f t="shared" si="110"/>
        <v>0</v>
      </c>
      <c r="AJ119" s="292">
        <f t="shared" si="111"/>
        <v>0</v>
      </c>
      <c r="AK119" s="292">
        <f t="shared" si="112"/>
        <v>0</v>
      </c>
      <c r="AL119" s="292">
        <f t="shared" si="113"/>
        <v>0</v>
      </c>
      <c r="AM119" s="292">
        <f t="shared" si="114"/>
        <v>0</v>
      </c>
      <c r="AN119" s="292">
        <f t="shared" si="115"/>
        <v>0</v>
      </c>
      <c r="AO119" s="292">
        <f t="shared" si="116"/>
        <v>0</v>
      </c>
      <c r="AP119" s="292">
        <f t="shared" si="117"/>
        <v>0</v>
      </c>
      <c r="AQ119" s="292">
        <f t="shared" si="118"/>
        <v>0</v>
      </c>
      <c r="AR119" s="292">
        <f t="shared" si="119"/>
        <v>0</v>
      </c>
      <c r="AS119" s="292">
        <f t="shared" si="120"/>
        <v>0</v>
      </c>
      <c r="AT119" s="292">
        <f t="shared" si="121"/>
        <v>0</v>
      </c>
      <c r="AU119" s="292">
        <f t="shared" si="122"/>
        <v>0</v>
      </c>
      <c r="AV119" s="292">
        <f t="shared" si="123"/>
        <v>0</v>
      </c>
      <c r="AW119" s="292">
        <f t="shared" si="124"/>
        <v>0</v>
      </c>
      <c r="AX119" s="292">
        <f t="shared" si="125"/>
        <v>0</v>
      </c>
      <c r="AY119" s="292">
        <f t="shared" si="126"/>
        <v>0</v>
      </c>
      <c r="AZ119" s="292">
        <f t="shared" si="127"/>
        <v>0</v>
      </c>
      <c r="BA119" s="292">
        <f t="shared" si="128"/>
        <v>0</v>
      </c>
    </row>
    <row r="120" spans="1:53" s="289" customFormat="1" ht="16.5" customHeight="1">
      <c r="A120" s="63" t="str">
        <f t="array" ref="A120">IF(C120&lt;&gt;0,SUM(($C$11:C120&lt;&gt;0)*1),"")</f>
        <v/>
      </c>
      <c r="B120" s="290"/>
      <c r="C120" s="290"/>
      <c r="D120" s="290"/>
      <c r="E120" s="396"/>
      <c r="F120" s="345"/>
      <c r="G120" s="347"/>
      <c r="H120" s="347"/>
      <c r="I120" s="63" t="str">
        <f t="shared" si="90"/>
        <v/>
      </c>
      <c r="J120" s="292">
        <f t="shared" si="91"/>
        <v>0</v>
      </c>
      <c r="K120" s="292">
        <f t="shared" si="92"/>
        <v>0</v>
      </c>
      <c r="L120" s="292">
        <f t="shared" si="93"/>
        <v>0</v>
      </c>
      <c r="M120" s="292">
        <f t="shared" si="94"/>
        <v>0</v>
      </c>
      <c r="N120" s="292">
        <f t="shared" si="83"/>
        <v>0</v>
      </c>
      <c r="O120" s="292">
        <f t="shared" si="84"/>
        <v>0</v>
      </c>
      <c r="P120" s="292">
        <f t="shared" si="95"/>
        <v>0</v>
      </c>
      <c r="Q120" s="292">
        <f t="shared" si="96"/>
        <v>0</v>
      </c>
      <c r="R120" s="292">
        <f t="shared" si="97"/>
        <v>0</v>
      </c>
      <c r="S120" s="292">
        <f t="shared" si="98"/>
        <v>0</v>
      </c>
      <c r="T120" s="292">
        <f t="shared" si="85"/>
        <v>0</v>
      </c>
      <c r="U120" s="292">
        <f t="shared" si="86"/>
        <v>0</v>
      </c>
      <c r="V120" s="292">
        <f t="shared" si="99"/>
        <v>0</v>
      </c>
      <c r="W120" s="292">
        <f t="shared" si="100"/>
        <v>0</v>
      </c>
      <c r="X120" s="292">
        <f t="shared" si="101"/>
        <v>0</v>
      </c>
      <c r="Y120" s="292">
        <f t="shared" si="102"/>
        <v>0</v>
      </c>
      <c r="Z120" s="292">
        <f t="shared" si="103"/>
        <v>0</v>
      </c>
      <c r="AA120" s="292">
        <f t="shared" si="104"/>
        <v>0</v>
      </c>
      <c r="AB120" s="292">
        <f t="shared" si="105"/>
        <v>0</v>
      </c>
      <c r="AC120" s="292">
        <f t="shared" si="106"/>
        <v>0</v>
      </c>
      <c r="AD120" s="292">
        <f t="shared" si="107"/>
        <v>0</v>
      </c>
      <c r="AE120" s="292">
        <f t="shared" si="108"/>
        <v>0</v>
      </c>
      <c r="AF120" s="292">
        <f t="shared" si="87"/>
        <v>0</v>
      </c>
      <c r="AG120" s="292">
        <f t="shared" si="88"/>
        <v>0</v>
      </c>
      <c r="AH120" s="292">
        <f t="shared" si="109"/>
        <v>0</v>
      </c>
      <c r="AI120" s="292">
        <f t="shared" si="110"/>
        <v>0</v>
      </c>
      <c r="AJ120" s="292">
        <f t="shared" si="111"/>
        <v>0</v>
      </c>
      <c r="AK120" s="292">
        <f t="shared" si="112"/>
        <v>0</v>
      </c>
      <c r="AL120" s="292">
        <f t="shared" si="113"/>
        <v>0</v>
      </c>
      <c r="AM120" s="292">
        <f t="shared" si="114"/>
        <v>0</v>
      </c>
      <c r="AN120" s="292">
        <f t="shared" si="115"/>
        <v>0</v>
      </c>
      <c r="AO120" s="292">
        <f t="shared" si="116"/>
        <v>0</v>
      </c>
      <c r="AP120" s="292">
        <f t="shared" si="117"/>
        <v>0</v>
      </c>
      <c r="AQ120" s="292">
        <f t="shared" si="118"/>
        <v>0</v>
      </c>
      <c r="AR120" s="292">
        <f t="shared" si="119"/>
        <v>0</v>
      </c>
      <c r="AS120" s="292">
        <f t="shared" si="120"/>
        <v>0</v>
      </c>
      <c r="AT120" s="292">
        <f t="shared" si="121"/>
        <v>0</v>
      </c>
      <c r="AU120" s="292">
        <f t="shared" si="122"/>
        <v>0</v>
      </c>
      <c r="AV120" s="292">
        <f t="shared" si="123"/>
        <v>0</v>
      </c>
      <c r="AW120" s="292">
        <f t="shared" si="124"/>
        <v>0</v>
      </c>
      <c r="AX120" s="292">
        <f t="shared" si="125"/>
        <v>0</v>
      </c>
      <c r="AY120" s="292">
        <f t="shared" si="126"/>
        <v>0</v>
      </c>
      <c r="AZ120" s="292">
        <f t="shared" si="127"/>
        <v>0</v>
      </c>
      <c r="BA120" s="292">
        <f t="shared" si="128"/>
        <v>0</v>
      </c>
    </row>
    <row r="121" spans="1:53" s="289" customFormat="1" ht="16.5" customHeight="1">
      <c r="A121" s="63" t="str">
        <f t="array" ref="A121">IF(C121&lt;&gt;0,SUM(($C$11:C121&lt;&gt;0)*1),"")</f>
        <v/>
      </c>
      <c r="B121" s="290"/>
      <c r="C121" s="290"/>
      <c r="D121" s="290"/>
      <c r="E121" s="396"/>
      <c r="F121" s="345"/>
      <c r="G121" s="347"/>
      <c r="H121" s="347"/>
      <c r="I121" s="63" t="str">
        <f t="shared" si="90"/>
        <v/>
      </c>
      <c r="J121" s="292">
        <f t="shared" si="91"/>
        <v>0</v>
      </c>
      <c r="K121" s="292">
        <f t="shared" si="92"/>
        <v>0</v>
      </c>
      <c r="L121" s="292">
        <f t="shared" si="93"/>
        <v>0</v>
      </c>
      <c r="M121" s="292">
        <f t="shared" si="94"/>
        <v>0</v>
      </c>
      <c r="N121" s="292">
        <f t="shared" si="83"/>
        <v>0</v>
      </c>
      <c r="O121" s="292">
        <f t="shared" si="84"/>
        <v>0</v>
      </c>
      <c r="P121" s="292">
        <f t="shared" si="95"/>
        <v>0</v>
      </c>
      <c r="Q121" s="292">
        <f t="shared" si="96"/>
        <v>0</v>
      </c>
      <c r="R121" s="292">
        <f t="shared" si="97"/>
        <v>0</v>
      </c>
      <c r="S121" s="292">
        <f t="shared" si="98"/>
        <v>0</v>
      </c>
      <c r="T121" s="292">
        <f t="shared" si="85"/>
        <v>0</v>
      </c>
      <c r="U121" s="292">
        <f t="shared" si="86"/>
        <v>0</v>
      </c>
      <c r="V121" s="292">
        <f t="shared" si="99"/>
        <v>0</v>
      </c>
      <c r="W121" s="292">
        <f t="shared" si="100"/>
        <v>0</v>
      </c>
      <c r="X121" s="292">
        <f t="shared" si="101"/>
        <v>0</v>
      </c>
      <c r="Y121" s="292">
        <f t="shared" si="102"/>
        <v>0</v>
      </c>
      <c r="Z121" s="292">
        <f t="shared" si="103"/>
        <v>0</v>
      </c>
      <c r="AA121" s="292">
        <f t="shared" si="104"/>
        <v>0</v>
      </c>
      <c r="AB121" s="292">
        <f t="shared" si="105"/>
        <v>0</v>
      </c>
      <c r="AC121" s="292">
        <f t="shared" si="106"/>
        <v>0</v>
      </c>
      <c r="AD121" s="292">
        <f t="shared" si="107"/>
        <v>0</v>
      </c>
      <c r="AE121" s="292">
        <f t="shared" si="108"/>
        <v>0</v>
      </c>
      <c r="AF121" s="292">
        <f t="shared" si="87"/>
        <v>0</v>
      </c>
      <c r="AG121" s="292">
        <f t="shared" si="88"/>
        <v>0</v>
      </c>
      <c r="AH121" s="292">
        <f t="shared" si="109"/>
        <v>0</v>
      </c>
      <c r="AI121" s="292">
        <f t="shared" si="110"/>
        <v>0</v>
      </c>
      <c r="AJ121" s="292">
        <f t="shared" si="111"/>
        <v>0</v>
      </c>
      <c r="AK121" s="292">
        <f t="shared" si="112"/>
        <v>0</v>
      </c>
      <c r="AL121" s="292">
        <f t="shared" si="113"/>
        <v>0</v>
      </c>
      <c r="AM121" s="292">
        <f t="shared" si="114"/>
        <v>0</v>
      </c>
      <c r="AN121" s="292">
        <f t="shared" si="115"/>
        <v>0</v>
      </c>
      <c r="AO121" s="292">
        <f t="shared" si="116"/>
        <v>0</v>
      </c>
      <c r="AP121" s="292">
        <f t="shared" si="117"/>
        <v>0</v>
      </c>
      <c r="AQ121" s="292">
        <f t="shared" si="118"/>
        <v>0</v>
      </c>
      <c r="AR121" s="292">
        <f t="shared" si="119"/>
        <v>0</v>
      </c>
      <c r="AS121" s="292">
        <f t="shared" si="120"/>
        <v>0</v>
      </c>
      <c r="AT121" s="292">
        <f t="shared" si="121"/>
        <v>0</v>
      </c>
      <c r="AU121" s="292">
        <f t="shared" si="122"/>
        <v>0</v>
      </c>
      <c r="AV121" s="292">
        <f t="shared" si="123"/>
        <v>0</v>
      </c>
      <c r="AW121" s="292">
        <f t="shared" si="124"/>
        <v>0</v>
      </c>
      <c r="AX121" s="292">
        <f t="shared" si="125"/>
        <v>0</v>
      </c>
      <c r="AY121" s="292">
        <f t="shared" si="126"/>
        <v>0</v>
      </c>
      <c r="AZ121" s="292">
        <f t="shared" si="127"/>
        <v>0</v>
      </c>
      <c r="BA121" s="292">
        <f t="shared" si="128"/>
        <v>0</v>
      </c>
    </row>
    <row r="122" spans="1:53" s="289" customFormat="1" ht="16.5" customHeight="1">
      <c r="A122" s="63" t="str">
        <f t="array" ref="A122">IF(C122&lt;&gt;0,SUM(($C$11:C122&lt;&gt;0)*1),"")</f>
        <v/>
      </c>
      <c r="B122" s="290"/>
      <c r="C122" s="290"/>
      <c r="D122" s="290"/>
      <c r="E122" s="396"/>
      <c r="F122" s="345"/>
      <c r="G122" s="347"/>
      <c r="H122" s="347"/>
      <c r="I122" s="63" t="str">
        <f t="shared" si="90"/>
        <v/>
      </c>
      <c r="J122" s="292">
        <f t="shared" si="91"/>
        <v>0</v>
      </c>
      <c r="K122" s="292">
        <f t="shared" si="92"/>
        <v>0</v>
      </c>
      <c r="L122" s="292">
        <f t="shared" si="93"/>
        <v>0</v>
      </c>
      <c r="M122" s="292">
        <f t="shared" si="94"/>
        <v>0</v>
      </c>
      <c r="N122" s="292">
        <f t="shared" si="83"/>
        <v>0</v>
      </c>
      <c r="O122" s="292">
        <f t="shared" si="84"/>
        <v>0</v>
      </c>
      <c r="P122" s="292">
        <f t="shared" si="95"/>
        <v>0</v>
      </c>
      <c r="Q122" s="292">
        <f t="shared" si="96"/>
        <v>0</v>
      </c>
      <c r="R122" s="292">
        <f t="shared" si="97"/>
        <v>0</v>
      </c>
      <c r="S122" s="292">
        <f t="shared" si="98"/>
        <v>0</v>
      </c>
      <c r="T122" s="292">
        <f t="shared" si="85"/>
        <v>0</v>
      </c>
      <c r="U122" s="292">
        <f t="shared" si="86"/>
        <v>0</v>
      </c>
      <c r="V122" s="292">
        <f t="shared" si="99"/>
        <v>0</v>
      </c>
      <c r="W122" s="292">
        <f t="shared" si="100"/>
        <v>0</v>
      </c>
      <c r="X122" s="292">
        <f t="shared" si="101"/>
        <v>0</v>
      </c>
      <c r="Y122" s="292">
        <f t="shared" si="102"/>
        <v>0</v>
      </c>
      <c r="Z122" s="292">
        <f t="shared" si="103"/>
        <v>0</v>
      </c>
      <c r="AA122" s="292">
        <f t="shared" si="104"/>
        <v>0</v>
      </c>
      <c r="AB122" s="292">
        <f t="shared" si="105"/>
        <v>0</v>
      </c>
      <c r="AC122" s="292">
        <f t="shared" si="106"/>
        <v>0</v>
      </c>
      <c r="AD122" s="292">
        <f t="shared" si="107"/>
        <v>0</v>
      </c>
      <c r="AE122" s="292">
        <f t="shared" si="108"/>
        <v>0</v>
      </c>
      <c r="AF122" s="292">
        <f t="shared" si="87"/>
        <v>0</v>
      </c>
      <c r="AG122" s="292">
        <f t="shared" si="88"/>
        <v>0</v>
      </c>
      <c r="AH122" s="292">
        <f t="shared" si="109"/>
        <v>0</v>
      </c>
      <c r="AI122" s="292">
        <f t="shared" si="110"/>
        <v>0</v>
      </c>
      <c r="AJ122" s="292">
        <f t="shared" si="111"/>
        <v>0</v>
      </c>
      <c r="AK122" s="292">
        <f t="shared" si="112"/>
        <v>0</v>
      </c>
      <c r="AL122" s="292">
        <f t="shared" si="113"/>
        <v>0</v>
      </c>
      <c r="AM122" s="292">
        <f t="shared" si="114"/>
        <v>0</v>
      </c>
      <c r="AN122" s="292">
        <f t="shared" si="115"/>
        <v>0</v>
      </c>
      <c r="AO122" s="292">
        <f t="shared" si="116"/>
        <v>0</v>
      </c>
      <c r="AP122" s="292">
        <f t="shared" si="117"/>
        <v>0</v>
      </c>
      <c r="AQ122" s="292">
        <f t="shared" si="118"/>
        <v>0</v>
      </c>
      <c r="AR122" s="292">
        <f t="shared" si="119"/>
        <v>0</v>
      </c>
      <c r="AS122" s="292">
        <f t="shared" si="120"/>
        <v>0</v>
      </c>
      <c r="AT122" s="292">
        <f t="shared" si="121"/>
        <v>0</v>
      </c>
      <c r="AU122" s="292">
        <f t="shared" si="122"/>
        <v>0</v>
      </c>
      <c r="AV122" s="292">
        <f t="shared" si="123"/>
        <v>0</v>
      </c>
      <c r="AW122" s="292">
        <f t="shared" si="124"/>
        <v>0</v>
      </c>
      <c r="AX122" s="292">
        <f t="shared" si="125"/>
        <v>0</v>
      </c>
      <c r="AY122" s="292">
        <f t="shared" si="126"/>
        <v>0</v>
      </c>
      <c r="AZ122" s="292">
        <f t="shared" si="127"/>
        <v>0</v>
      </c>
      <c r="BA122" s="292">
        <f t="shared" si="128"/>
        <v>0</v>
      </c>
    </row>
    <row r="123" spans="1:53" s="289" customFormat="1" ht="16.5" customHeight="1">
      <c r="A123" s="63" t="str">
        <f t="array" ref="A123">IF(C123&lt;&gt;0,SUM(($C$11:C123&lt;&gt;0)*1),"")</f>
        <v/>
      </c>
      <c r="B123" s="290"/>
      <c r="C123" s="290"/>
      <c r="D123" s="290"/>
      <c r="E123" s="396"/>
      <c r="F123" s="345"/>
      <c r="G123" s="347"/>
      <c r="H123" s="347"/>
      <c r="I123" s="63" t="str">
        <f t="shared" si="90"/>
        <v/>
      </c>
      <c r="J123" s="292">
        <f t="shared" si="91"/>
        <v>0</v>
      </c>
      <c r="K123" s="292">
        <f t="shared" si="92"/>
        <v>0</v>
      </c>
      <c r="L123" s="292">
        <f t="shared" si="93"/>
        <v>0</v>
      </c>
      <c r="M123" s="292">
        <f t="shared" si="94"/>
        <v>0</v>
      </c>
      <c r="N123" s="292">
        <f t="shared" si="83"/>
        <v>0</v>
      </c>
      <c r="O123" s="292">
        <f t="shared" si="84"/>
        <v>0</v>
      </c>
      <c r="P123" s="292">
        <f t="shared" si="95"/>
        <v>0</v>
      </c>
      <c r="Q123" s="292">
        <f t="shared" si="96"/>
        <v>0</v>
      </c>
      <c r="R123" s="292">
        <f t="shared" si="97"/>
        <v>0</v>
      </c>
      <c r="S123" s="292">
        <f t="shared" si="98"/>
        <v>0</v>
      </c>
      <c r="T123" s="292">
        <f t="shared" si="85"/>
        <v>0</v>
      </c>
      <c r="U123" s="292">
        <f t="shared" si="86"/>
        <v>0</v>
      </c>
      <c r="V123" s="292">
        <f t="shared" si="99"/>
        <v>0</v>
      </c>
      <c r="W123" s="292">
        <f t="shared" si="100"/>
        <v>0</v>
      </c>
      <c r="X123" s="292">
        <f t="shared" si="101"/>
        <v>0</v>
      </c>
      <c r="Y123" s="292">
        <f t="shared" si="102"/>
        <v>0</v>
      </c>
      <c r="Z123" s="292">
        <f t="shared" si="103"/>
        <v>0</v>
      </c>
      <c r="AA123" s="292">
        <f t="shared" si="104"/>
        <v>0</v>
      </c>
      <c r="AB123" s="292">
        <f t="shared" si="105"/>
        <v>0</v>
      </c>
      <c r="AC123" s="292">
        <f t="shared" si="106"/>
        <v>0</v>
      </c>
      <c r="AD123" s="292">
        <f t="shared" si="107"/>
        <v>0</v>
      </c>
      <c r="AE123" s="292">
        <f t="shared" si="108"/>
        <v>0</v>
      </c>
      <c r="AF123" s="292">
        <f t="shared" si="87"/>
        <v>0</v>
      </c>
      <c r="AG123" s="292">
        <f t="shared" si="88"/>
        <v>0</v>
      </c>
      <c r="AH123" s="292">
        <f t="shared" si="109"/>
        <v>0</v>
      </c>
      <c r="AI123" s="292">
        <f t="shared" si="110"/>
        <v>0</v>
      </c>
      <c r="AJ123" s="292">
        <f t="shared" si="111"/>
        <v>0</v>
      </c>
      <c r="AK123" s="292">
        <f t="shared" si="112"/>
        <v>0</v>
      </c>
      <c r="AL123" s="292">
        <f t="shared" si="113"/>
        <v>0</v>
      </c>
      <c r="AM123" s="292">
        <f t="shared" si="114"/>
        <v>0</v>
      </c>
      <c r="AN123" s="292">
        <f t="shared" si="115"/>
        <v>0</v>
      </c>
      <c r="AO123" s="292">
        <f t="shared" si="116"/>
        <v>0</v>
      </c>
      <c r="AP123" s="292">
        <f t="shared" si="117"/>
        <v>0</v>
      </c>
      <c r="AQ123" s="292">
        <f t="shared" si="118"/>
        <v>0</v>
      </c>
      <c r="AR123" s="292">
        <f t="shared" si="119"/>
        <v>0</v>
      </c>
      <c r="AS123" s="292">
        <f t="shared" si="120"/>
        <v>0</v>
      </c>
      <c r="AT123" s="292">
        <f t="shared" si="121"/>
        <v>0</v>
      </c>
      <c r="AU123" s="292">
        <f t="shared" si="122"/>
        <v>0</v>
      </c>
      <c r="AV123" s="292">
        <f t="shared" si="123"/>
        <v>0</v>
      </c>
      <c r="AW123" s="292">
        <f t="shared" si="124"/>
        <v>0</v>
      </c>
      <c r="AX123" s="292">
        <f t="shared" si="125"/>
        <v>0</v>
      </c>
      <c r="AY123" s="292">
        <f t="shared" si="126"/>
        <v>0</v>
      </c>
      <c r="AZ123" s="292">
        <f t="shared" si="127"/>
        <v>0</v>
      </c>
      <c r="BA123" s="292">
        <f t="shared" si="128"/>
        <v>0</v>
      </c>
    </row>
    <row r="124" spans="1:53" s="289" customFormat="1" ht="16.5" customHeight="1">
      <c r="A124" s="63" t="str">
        <f t="array" ref="A124">IF(C124&lt;&gt;0,SUM(($C$11:C124&lt;&gt;0)*1),"")</f>
        <v/>
      </c>
      <c r="B124" s="290"/>
      <c r="C124" s="290"/>
      <c r="D124" s="290"/>
      <c r="E124" s="396"/>
      <c r="F124" s="345"/>
      <c r="G124" s="347"/>
      <c r="H124" s="347"/>
      <c r="I124" s="63" t="str">
        <f t="shared" si="90"/>
        <v/>
      </c>
      <c r="J124" s="292">
        <f t="shared" si="91"/>
        <v>0</v>
      </c>
      <c r="K124" s="292">
        <f t="shared" si="92"/>
        <v>0</v>
      </c>
      <c r="L124" s="292">
        <f t="shared" si="93"/>
        <v>0</v>
      </c>
      <c r="M124" s="292">
        <f t="shared" si="94"/>
        <v>0</v>
      </c>
      <c r="N124" s="292">
        <f t="shared" si="83"/>
        <v>0</v>
      </c>
      <c r="O124" s="292">
        <f t="shared" si="84"/>
        <v>0</v>
      </c>
      <c r="P124" s="292">
        <f t="shared" si="95"/>
        <v>0</v>
      </c>
      <c r="Q124" s="292">
        <f t="shared" si="96"/>
        <v>0</v>
      </c>
      <c r="R124" s="292">
        <f t="shared" si="97"/>
        <v>0</v>
      </c>
      <c r="S124" s="292">
        <f t="shared" si="98"/>
        <v>0</v>
      </c>
      <c r="T124" s="292">
        <f t="shared" si="85"/>
        <v>0</v>
      </c>
      <c r="U124" s="292">
        <f t="shared" si="86"/>
        <v>0</v>
      </c>
      <c r="V124" s="292">
        <f t="shared" si="99"/>
        <v>0</v>
      </c>
      <c r="W124" s="292">
        <f t="shared" si="100"/>
        <v>0</v>
      </c>
      <c r="X124" s="292">
        <f t="shared" si="101"/>
        <v>0</v>
      </c>
      <c r="Y124" s="292">
        <f t="shared" si="102"/>
        <v>0</v>
      </c>
      <c r="Z124" s="292">
        <f t="shared" si="103"/>
        <v>0</v>
      </c>
      <c r="AA124" s="292">
        <f t="shared" si="104"/>
        <v>0</v>
      </c>
      <c r="AB124" s="292">
        <f t="shared" si="105"/>
        <v>0</v>
      </c>
      <c r="AC124" s="292">
        <f t="shared" si="106"/>
        <v>0</v>
      </c>
      <c r="AD124" s="292">
        <f t="shared" si="107"/>
        <v>0</v>
      </c>
      <c r="AE124" s="292">
        <f t="shared" si="108"/>
        <v>0</v>
      </c>
      <c r="AF124" s="292">
        <f t="shared" si="87"/>
        <v>0</v>
      </c>
      <c r="AG124" s="292">
        <f t="shared" si="88"/>
        <v>0</v>
      </c>
      <c r="AH124" s="292">
        <f t="shared" si="109"/>
        <v>0</v>
      </c>
      <c r="AI124" s="292">
        <f t="shared" si="110"/>
        <v>0</v>
      </c>
      <c r="AJ124" s="292">
        <f t="shared" si="111"/>
        <v>0</v>
      </c>
      <c r="AK124" s="292">
        <f t="shared" si="112"/>
        <v>0</v>
      </c>
      <c r="AL124" s="292">
        <f t="shared" si="113"/>
        <v>0</v>
      </c>
      <c r="AM124" s="292">
        <f t="shared" si="114"/>
        <v>0</v>
      </c>
      <c r="AN124" s="292">
        <f t="shared" si="115"/>
        <v>0</v>
      </c>
      <c r="AO124" s="292">
        <f t="shared" si="116"/>
        <v>0</v>
      </c>
      <c r="AP124" s="292">
        <f t="shared" si="117"/>
        <v>0</v>
      </c>
      <c r="AQ124" s="292">
        <f t="shared" si="118"/>
        <v>0</v>
      </c>
      <c r="AR124" s="292">
        <f t="shared" si="119"/>
        <v>0</v>
      </c>
      <c r="AS124" s="292">
        <f t="shared" si="120"/>
        <v>0</v>
      </c>
      <c r="AT124" s="292">
        <f t="shared" si="121"/>
        <v>0</v>
      </c>
      <c r="AU124" s="292">
        <f t="shared" si="122"/>
        <v>0</v>
      </c>
      <c r="AV124" s="292">
        <f t="shared" si="123"/>
        <v>0</v>
      </c>
      <c r="AW124" s="292">
        <f t="shared" si="124"/>
        <v>0</v>
      </c>
      <c r="AX124" s="292">
        <f t="shared" si="125"/>
        <v>0</v>
      </c>
      <c r="AY124" s="292">
        <f t="shared" si="126"/>
        <v>0</v>
      </c>
      <c r="AZ124" s="292">
        <f t="shared" si="127"/>
        <v>0</v>
      </c>
      <c r="BA124" s="292">
        <f t="shared" si="128"/>
        <v>0</v>
      </c>
    </row>
    <row r="125" spans="1:53" s="289" customFormat="1" ht="16.5" customHeight="1">
      <c r="A125" s="63" t="str">
        <f t="array" ref="A125">IF(C125&lt;&gt;0,SUM(($C$11:C125&lt;&gt;0)*1),"")</f>
        <v/>
      </c>
      <c r="B125" s="290"/>
      <c r="C125" s="290"/>
      <c r="D125" s="290"/>
      <c r="E125" s="396"/>
      <c r="F125" s="345"/>
      <c r="G125" s="347"/>
      <c r="H125" s="347"/>
      <c r="I125" s="63" t="str">
        <f t="shared" si="90"/>
        <v/>
      </c>
      <c r="J125" s="292">
        <f t="shared" si="91"/>
        <v>0</v>
      </c>
      <c r="K125" s="292">
        <f t="shared" si="92"/>
        <v>0</v>
      </c>
      <c r="L125" s="292">
        <f t="shared" si="93"/>
        <v>0</v>
      </c>
      <c r="M125" s="292">
        <f t="shared" si="94"/>
        <v>0</v>
      </c>
      <c r="N125" s="292">
        <f t="shared" si="83"/>
        <v>0</v>
      </c>
      <c r="O125" s="292">
        <f t="shared" si="84"/>
        <v>0</v>
      </c>
      <c r="P125" s="292">
        <f t="shared" si="95"/>
        <v>0</v>
      </c>
      <c r="Q125" s="292">
        <f t="shared" si="96"/>
        <v>0</v>
      </c>
      <c r="R125" s="292">
        <f t="shared" si="97"/>
        <v>0</v>
      </c>
      <c r="S125" s="292">
        <f t="shared" si="98"/>
        <v>0</v>
      </c>
      <c r="T125" s="292">
        <f t="shared" si="85"/>
        <v>0</v>
      </c>
      <c r="U125" s="292">
        <f t="shared" si="86"/>
        <v>0</v>
      </c>
      <c r="V125" s="292">
        <f t="shared" si="99"/>
        <v>0</v>
      </c>
      <c r="W125" s="292">
        <f t="shared" si="100"/>
        <v>0</v>
      </c>
      <c r="X125" s="292">
        <f t="shared" si="101"/>
        <v>0</v>
      </c>
      <c r="Y125" s="292">
        <f t="shared" si="102"/>
        <v>0</v>
      </c>
      <c r="Z125" s="292">
        <f t="shared" si="103"/>
        <v>0</v>
      </c>
      <c r="AA125" s="292">
        <f t="shared" si="104"/>
        <v>0</v>
      </c>
      <c r="AB125" s="292">
        <f t="shared" si="105"/>
        <v>0</v>
      </c>
      <c r="AC125" s="292">
        <f t="shared" si="106"/>
        <v>0</v>
      </c>
      <c r="AD125" s="292">
        <f t="shared" si="107"/>
        <v>0</v>
      </c>
      <c r="AE125" s="292">
        <f t="shared" si="108"/>
        <v>0</v>
      </c>
      <c r="AF125" s="292">
        <f t="shared" si="87"/>
        <v>0</v>
      </c>
      <c r="AG125" s="292">
        <f t="shared" si="88"/>
        <v>0</v>
      </c>
      <c r="AH125" s="292">
        <f t="shared" si="109"/>
        <v>0</v>
      </c>
      <c r="AI125" s="292">
        <f t="shared" si="110"/>
        <v>0</v>
      </c>
      <c r="AJ125" s="292">
        <f t="shared" si="111"/>
        <v>0</v>
      </c>
      <c r="AK125" s="292">
        <f t="shared" si="112"/>
        <v>0</v>
      </c>
      <c r="AL125" s="292">
        <f t="shared" si="113"/>
        <v>0</v>
      </c>
      <c r="AM125" s="292">
        <f t="shared" si="114"/>
        <v>0</v>
      </c>
      <c r="AN125" s="292">
        <f t="shared" si="115"/>
        <v>0</v>
      </c>
      <c r="AO125" s="292">
        <f t="shared" si="116"/>
        <v>0</v>
      </c>
      <c r="AP125" s="292">
        <f t="shared" si="117"/>
        <v>0</v>
      </c>
      <c r="AQ125" s="292">
        <f t="shared" si="118"/>
        <v>0</v>
      </c>
      <c r="AR125" s="292">
        <f t="shared" si="119"/>
        <v>0</v>
      </c>
      <c r="AS125" s="292">
        <f t="shared" si="120"/>
        <v>0</v>
      </c>
      <c r="AT125" s="292">
        <f t="shared" si="121"/>
        <v>0</v>
      </c>
      <c r="AU125" s="292">
        <f t="shared" si="122"/>
        <v>0</v>
      </c>
      <c r="AV125" s="292">
        <f t="shared" si="123"/>
        <v>0</v>
      </c>
      <c r="AW125" s="292">
        <f t="shared" si="124"/>
        <v>0</v>
      </c>
      <c r="AX125" s="292">
        <f t="shared" si="125"/>
        <v>0</v>
      </c>
      <c r="AY125" s="292">
        <f t="shared" si="126"/>
        <v>0</v>
      </c>
      <c r="AZ125" s="292">
        <f t="shared" si="127"/>
        <v>0</v>
      </c>
      <c r="BA125" s="292">
        <f t="shared" si="128"/>
        <v>0</v>
      </c>
    </row>
    <row r="126" spans="1:53" s="289" customFormat="1" ht="16.5" customHeight="1">
      <c r="A126" s="63" t="str">
        <f t="array" ref="A126">IF(C126&lt;&gt;0,SUM(($C$11:C126&lt;&gt;0)*1),"")</f>
        <v/>
      </c>
      <c r="B126" s="290"/>
      <c r="C126" s="290"/>
      <c r="D126" s="290"/>
      <c r="E126" s="396"/>
      <c r="F126" s="345"/>
      <c r="G126" s="347"/>
      <c r="H126" s="347"/>
      <c r="I126" s="63" t="str">
        <f t="shared" si="90"/>
        <v/>
      </c>
      <c r="J126" s="292">
        <f t="shared" si="91"/>
        <v>0</v>
      </c>
      <c r="K126" s="292">
        <f t="shared" si="92"/>
        <v>0</v>
      </c>
      <c r="L126" s="292">
        <f t="shared" si="93"/>
        <v>0</v>
      </c>
      <c r="M126" s="292">
        <f t="shared" si="94"/>
        <v>0</v>
      </c>
      <c r="N126" s="292">
        <f t="shared" si="83"/>
        <v>0</v>
      </c>
      <c r="O126" s="292">
        <f t="shared" si="84"/>
        <v>0</v>
      </c>
      <c r="P126" s="292">
        <f t="shared" si="95"/>
        <v>0</v>
      </c>
      <c r="Q126" s="292">
        <f t="shared" si="96"/>
        <v>0</v>
      </c>
      <c r="R126" s="292">
        <f t="shared" si="97"/>
        <v>0</v>
      </c>
      <c r="S126" s="292">
        <f t="shared" si="98"/>
        <v>0</v>
      </c>
      <c r="T126" s="292">
        <f t="shared" si="85"/>
        <v>0</v>
      </c>
      <c r="U126" s="292">
        <f t="shared" si="86"/>
        <v>0</v>
      </c>
      <c r="V126" s="292">
        <f t="shared" si="99"/>
        <v>0</v>
      </c>
      <c r="W126" s="292">
        <f t="shared" si="100"/>
        <v>0</v>
      </c>
      <c r="X126" s="292">
        <f t="shared" si="101"/>
        <v>0</v>
      </c>
      <c r="Y126" s="292">
        <f t="shared" si="102"/>
        <v>0</v>
      </c>
      <c r="Z126" s="292">
        <f t="shared" si="103"/>
        <v>0</v>
      </c>
      <c r="AA126" s="292">
        <f t="shared" si="104"/>
        <v>0</v>
      </c>
      <c r="AB126" s="292">
        <f t="shared" si="105"/>
        <v>0</v>
      </c>
      <c r="AC126" s="292">
        <f t="shared" si="106"/>
        <v>0</v>
      </c>
      <c r="AD126" s="292">
        <f t="shared" si="107"/>
        <v>0</v>
      </c>
      <c r="AE126" s="292">
        <f t="shared" si="108"/>
        <v>0</v>
      </c>
      <c r="AF126" s="292">
        <f t="shared" si="87"/>
        <v>0</v>
      </c>
      <c r="AG126" s="292">
        <f t="shared" si="88"/>
        <v>0</v>
      </c>
      <c r="AH126" s="292">
        <f t="shared" si="109"/>
        <v>0</v>
      </c>
      <c r="AI126" s="292">
        <f t="shared" si="110"/>
        <v>0</v>
      </c>
      <c r="AJ126" s="292">
        <f t="shared" si="111"/>
        <v>0</v>
      </c>
      <c r="AK126" s="292">
        <f t="shared" si="112"/>
        <v>0</v>
      </c>
      <c r="AL126" s="292">
        <f t="shared" si="113"/>
        <v>0</v>
      </c>
      <c r="AM126" s="292">
        <f t="shared" si="114"/>
        <v>0</v>
      </c>
      <c r="AN126" s="292">
        <f t="shared" si="115"/>
        <v>0</v>
      </c>
      <c r="AO126" s="292">
        <f t="shared" si="116"/>
        <v>0</v>
      </c>
      <c r="AP126" s="292">
        <f t="shared" si="117"/>
        <v>0</v>
      </c>
      <c r="AQ126" s="292">
        <f t="shared" si="118"/>
        <v>0</v>
      </c>
      <c r="AR126" s="292">
        <f t="shared" si="119"/>
        <v>0</v>
      </c>
      <c r="AS126" s="292">
        <f t="shared" si="120"/>
        <v>0</v>
      </c>
      <c r="AT126" s="292">
        <f t="shared" si="121"/>
        <v>0</v>
      </c>
      <c r="AU126" s="292">
        <f t="shared" si="122"/>
        <v>0</v>
      </c>
      <c r="AV126" s="292">
        <f t="shared" si="123"/>
        <v>0</v>
      </c>
      <c r="AW126" s="292">
        <f t="shared" si="124"/>
        <v>0</v>
      </c>
      <c r="AX126" s="292">
        <f t="shared" si="125"/>
        <v>0</v>
      </c>
      <c r="AY126" s="292">
        <f t="shared" si="126"/>
        <v>0</v>
      </c>
      <c r="AZ126" s="292">
        <f t="shared" si="127"/>
        <v>0</v>
      </c>
      <c r="BA126" s="292">
        <f t="shared" si="128"/>
        <v>0</v>
      </c>
    </row>
    <row r="127" spans="1:53" s="289" customFormat="1" ht="16.5" customHeight="1">
      <c r="A127" s="63" t="str">
        <f t="array" ref="A127">IF(C127&lt;&gt;0,SUM(($C$11:C127&lt;&gt;0)*1),"")</f>
        <v/>
      </c>
      <c r="B127" s="290"/>
      <c r="C127" s="290"/>
      <c r="D127" s="290"/>
      <c r="E127" s="396"/>
      <c r="F127" s="345"/>
      <c r="G127" s="347"/>
      <c r="H127" s="347"/>
      <c r="I127" s="63" t="str">
        <f t="shared" si="90"/>
        <v/>
      </c>
      <c r="J127" s="292">
        <f t="shared" si="91"/>
        <v>0</v>
      </c>
      <c r="K127" s="292">
        <f t="shared" si="92"/>
        <v>0</v>
      </c>
      <c r="L127" s="292">
        <f t="shared" si="93"/>
        <v>0</v>
      </c>
      <c r="M127" s="292">
        <f t="shared" si="94"/>
        <v>0</v>
      </c>
      <c r="N127" s="292">
        <f t="shared" si="83"/>
        <v>0</v>
      </c>
      <c r="O127" s="292">
        <f t="shared" si="84"/>
        <v>0</v>
      </c>
      <c r="P127" s="292">
        <f t="shared" si="95"/>
        <v>0</v>
      </c>
      <c r="Q127" s="292">
        <f t="shared" si="96"/>
        <v>0</v>
      </c>
      <c r="R127" s="292">
        <f t="shared" si="97"/>
        <v>0</v>
      </c>
      <c r="S127" s="292">
        <f t="shared" si="98"/>
        <v>0</v>
      </c>
      <c r="T127" s="292">
        <f t="shared" si="85"/>
        <v>0</v>
      </c>
      <c r="U127" s="292">
        <f t="shared" si="86"/>
        <v>0</v>
      </c>
      <c r="V127" s="292">
        <f t="shared" si="99"/>
        <v>0</v>
      </c>
      <c r="W127" s="292">
        <f t="shared" si="100"/>
        <v>0</v>
      </c>
      <c r="X127" s="292">
        <f t="shared" si="101"/>
        <v>0</v>
      </c>
      <c r="Y127" s="292">
        <f t="shared" si="102"/>
        <v>0</v>
      </c>
      <c r="Z127" s="292">
        <f t="shared" si="103"/>
        <v>0</v>
      </c>
      <c r="AA127" s="292">
        <f t="shared" si="104"/>
        <v>0</v>
      </c>
      <c r="AB127" s="292">
        <f t="shared" si="105"/>
        <v>0</v>
      </c>
      <c r="AC127" s="292">
        <f t="shared" si="106"/>
        <v>0</v>
      </c>
      <c r="AD127" s="292">
        <f t="shared" si="107"/>
        <v>0</v>
      </c>
      <c r="AE127" s="292">
        <f t="shared" si="108"/>
        <v>0</v>
      </c>
      <c r="AF127" s="292">
        <f t="shared" si="87"/>
        <v>0</v>
      </c>
      <c r="AG127" s="292">
        <f t="shared" si="88"/>
        <v>0</v>
      </c>
      <c r="AH127" s="292">
        <f t="shared" si="109"/>
        <v>0</v>
      </c>
      <c r="AI127" s="292">
        <f t="shared" si="110"/>
        <v>0</v>
      </c>
      <c r="AJ127" s="292">
        <f t="shared" si="111"/>
        <v>0</v>
      </c>
      <c r="AK127" s="292">
        <f t="shared" si="112"/>
        <v>0</v>
      </c>
      <c r="AL127" s="292">
        <f t="shared" si="113"/>
        <v>0</v>
      </c>
      <c r="AM127" s="292">
        <f t="shared" si="114"/>
        <v>0</v>
      </c>
      <c r="AN127" s="292">
        <f t="shared" si="115"/>
        <v>0</v>
      </c>
      <c r="AO127" s="292">
        <f t="shared" si="116"/>
        <v>0</v>
      </c>
      <c r="AP127" s="292">
        <f t="shared" si="117"/>
        <v>0</v>
      </c>
      <c r="AQ127" s="292">
        <f t="shared" si="118"/>
        <v>0</v>
      </c>
      <c r="AR127" s="292">
        <f t="shared" si="119"/>
        <v>0</v>
      </c>
      <c r="AS127" s="292">
        <f t="shared" si="120"/>
        <v>0</v>
      </c>
      <c r="AT127" s="292">
        <f t="shared" si="121"/>
        <v>0</v>
      </c>
      <c r="AU127" s="292">
        <f t="shared" si="122"/>
        <v>0</v>
      </c>
      <c r="AV127" s="292">
        <f t="shared" si="123"/>
        <v>0</v>
      </c>
      <c r="AW127" s="292">
        <f t="shared" si="124"/>
        <v>0</v>
      </c>
      <c r="AX127" s="292">
        <f t="shared" si="125"/>
        <v>0</v>
      </c>
      <c r="AY127" s="292">
        <f t="shared" si="126"/>
        <v>0</v>
      </c>
      <c r="AZ127" s="292">
        <f t="shared" si="127"/>
        <v>0</v>
      </c>
      <c r="BA127" s="292">
        <f t="shared" si="128"/>
        <v>0</v>
      </c>
    </row>
    <row r="128" spans="1:53" s="289" customFormat="1" ht="16.5" customHeight="1">
      <c r="A128" s="63" t="str">
        <f t="array" ref="A128">IF(C128&lt;&gt;0,SUM(($C$11:C128&lt;&gt;0)*1),"")</f>
        <v/>
      </c>
      <c r="B128" s="290"/>
      <c r="C128" s="290"/>
      <c r="D128" s="290"/>
      <c r="E128" s="396"/>
      <c r="F128" s="345"/>
      <c r="G128" s="347"/>
      <c r="H128" s="347"/>
      <c r="I128" s="63" t="str">
        <f t="shared" si="90"/>
        <v/>
      </c>
      <c r="J128" s="292">
        <f t="shared" si="91"/>
        <v>0</v>
      </c>
      <c r="K128" s="292">
        <f t="shared" si="92"/>
        <v>0</v>
      </c>
      <c r="L128" s="292">
        <f t="shared" si="93"/>
        <v>0</v>
      </c>
      <c r="M128" s="292">
        <f t="shared" si="94"/>
        <v>0</v>
      </c>
      <c r="N128" s="292">
        <f t="shared" si="83"/>
        <v>0</v>
      </c>
      <c r="O128" s="292">
        <f t="shared" si="84"/>
        <v>0</v>
      </c>
      <c r="P128" s="292">
        <f t="shared" si="95"/>
        <v>0</v>
      </c>
      <c r="Q128" s="292">
        <f t="shared" si="96"/>
        <v>0</v>
      </c>
      <c r="R128" s="292">
        <f t="shared" si="97"/>
        <v>0</v>
      </c>
      <c r="S128" s="292">
        <f t="shared" si="98"/>
        <v>0</v>
      </c>
      <c r="T128" s="292">
        <f t="shared" si="85"/>
        <v>0</v>
      </c>
      <c r="U128" s="292">
        <f t="shared" si="86"/>
        <v>0</v>
      </c>
      <c r="V128" s="292">
        <f t="shared" si="99"/>
        <v>0</v>
      </c>
      <c r="W128" s="292">
        <f t="shared" si="100"/>
        <v>0</v>
      </c>
      <c r="X128" s="292">
        <f t="shared" si="101"/>
        <v>0</v>
      </c>
      <c r="Y128" s="292">
        <f t="shared" si="102"/>
        <v>0</v>
      </c>
      <c r="Z128" s="292">
        <f t="shared" si="103"/>
        <v>0</v>
      </c>
      <c r="AA128" s="292">
        <f t="shared" si="104"/>
        <v>0</v>
      </c>
      <c r="AB128" s="292">
        <f t="shared" si="105"/>
        <v>0</v>
      </c>
      <c r="AC128" s="292">
        <f t="shared" si="106"/>
        <v>0</v>
      </c>
      <c r="AD128" s="292">
        <f t="shared" si="107"/>
        <v>0</v>
      </c>
      <c r="AE128" s="292">
        <f t="shared" si="108"/>
        <v>0</v>
      </c>
      <c r="AF128" s="292">
        <f t="shared" si="87"/>
        <v>0</v>
      </c>
      <c r="AG128" s="292">
        <f t="shared" si="88"/>
        <v>0</v>
      </c>
      <c r="AH128" s="292">
        <f t="shared" si="109"/>
        <v>0</v>
      </c>
      <c r="AI128" s="292">
        <f t="shared" si="110"/>
        <v>0</v>
      </c>
      <c r="AJ128" s="292">
        <f t="shared" si="111"/>
        <v>0</v>
      </c>
      <c r="AK128" s="292">
        <f t="shared" si="112"/>
        <v>0</v>
      </c>
      <c r="AL128" s="292">
        <f t="shared" si="113"/>
        <v>0</v>
      </c>
      <c r="AM128" s="292">
        <f t="shared" si="114"/>
        <v>0</v>
      </c>
      <c r="AN128" s="292">
        <f t="shared" si="115"/>
        <v>0</v>
      </c>
      <c r="AO128" s="292">
        <f t="shared" si="116"/>
        <v>0</v>
      </c>
      <c r="AP128" s="292">
        <f t="shared" si="117"/>
        <v>0</v>
      </c>
      <c r="AQ128" s="292">
        <f t="shared" si="118"/>
        <v>0</v>
      </c>
      <c r="AR128" s="292">
        <f t="shared" si="119"/>
        <v>0</v>
      </c>
      <c r="AS128" s="292">
        <f t="shared" si="120"/>
        <v>0</v>
      </c>
      <c r="AT128" s="292">
        <f t="shared" si="121"/>
        <v>0</v>
      </c>
      <c r="AU128" s="292">
        <f t="shared" si="122"/>
        <v>0</v>
      </c>
      <c r="AV128" s="292">
        <f t="shared" si="123"/>
        <v>0</v>
      </c>
      <c r="AW128" s="292">
        <f t="shared" si="124"/>
        <v>0</v>
      </c>
      <c r="AX128" s="292">
        <f t="shared" si="125"/>
        <v>0</v>
      </c>
      <c r="AY128" s="292">
        <f t="shared" si="126"/>
        <v>0</v>
      </c>
      <c r="AZ128" s="292">
        <f t="shared" si="127"/>
        <v>0</v>
      </c>
      <c r="BA128" s="292">
        <f t="shared" si="128"/>
        <v>0</v>
      </c>
    </row>
    <row r="129" spans="1:53" s="289" customFormat="1" ht="16.5" customHeight="1">
      <c r="A129" s="63" t="str">
        <f t="array" ref="A129">IF(C129&lt;&gt;0,SUM(($C$11:C129&lt;&gt;0)*1),"")</f>
        <v/>
      </c>
      <c r="B129" s="290"/>
      <c r="C129" s="290"/>
      <c r="D129" s="290"/>
      <c r="E129" s="396"/>
      <c r="F129" s="345"/>
      <c r="G129" s="347"/>
      <c r="H129" s="347"/>
      <c r="I129" s="63" t="str">
        <f t="shared" si="90"/>
        <v/>
      </c>
      <c r="J129" s="292">
        <f t="shared" si="91"/>
        <v>0</v>
      </c>
      <c r="K129" s="292">
        <f t="shared" si="92"/>
        <v>0</v>
      </c>
      <c r="L129" s="292">
        <f t="shared" si="93"/>
        <v>0</v>
      </c>
      <c r="M129" s="292">
        <f t="shared" si="94"/>
        <v>0</v>
      </c>
      <c r="N129" s="292">
        <f t="shared" si="83"/>
        <v>0</v>
      </c>
      <c r="O129" s="292">
        <f t="shared" si="84"/>
        <v>0</v>
      </c>
      <c r="P129" s="292">
        <f t="shared" si="95"/>
        <v>0</v>
      </c>
      <c r="Q129" s="292">
        <f t="shared" si="96"/>
        <v>0</v>
      </c>
      <c r="R129" s="292">
        <f t="shared" si="97"/>
        <v>0</v>
      </c>
      <c r="S129" s="292">
        <f t="shared" si="98"/>
        <v>0</v>
      </c>
      <c r="T129" s="292">
        <f t="shared" si="85"/>
        <v>0</v>
      </c>
      <c r="U129" s="292">
        <f t="shared" si="86"/>
        <v>0</v>
      </c>
      <c r="V129" s="292">
        <f t="shared" si="99"/>
        <v>0</v>
      </c>
      <c r="W129" s="292">
        <f t="shared" si="100"/>
        <v>0</v>
      </c>
      <c r="X129" s="292">
        <f t="shared" si="101"/>
        <v>0</v>
      </c>
      <c r="Y129" s="292">
        <f t="shared" si="102"/>
        <v>0</v>
      </c>
      <c r="Z129" s="292">
        <f t="shared" si="103"/>
        <v>0</v>
      </c>
      <c r="AA129" s="292">
        <f t="shared" si="104"/>
        <v>0</v>
      </c>
      <c r="AB129" s="292">
        <f t="shared" si="105"/>
        <v>0</v>
      </c>
      <c r="AC129" s="292">
        <f t="shared" si="106"/>
        <v>0</v>
      </c>
      <c r="AD129" s="292">
        <f t="shared" si="107"/>
        <v>0</v>
      </c>
      <c r="AE129" s="292">
        <f t="shared" si="108"/>
        <v>0</v>
      </c>
      <c r="AF129" s="292">
        <f t="shared" si="87"/>
        <v>0</v>
      </c>
      <c r="AG129" s="292">
        <f t="shared" si="88"/>
        <v>0</v>
      </c>
      <c r="AH129" s="292">
        <f t="shared" si="109"/>
        <v>0</v>
      </c>
      <c r="AI129" s="292">
        <f t="shared" si="110"/>
        <v>0</v>
      </c>
      <c r="AJ129" s="292">
        <f t="shared" si="111"/>
        <v>0</v>
      </c>
      <c r="AK129" s="292">
        <f t="shared" si="112"/>
        <v>0</v>
      </c>
      <c r="AL129" s="292">
        <f t="shared" si="113"/>
        <v>0</v>
      </c>
      <c r="AM129" s="292">
        <f t="shared" si="114"/>
        <v>0</v>
      </c>
      <c r="AN129" s="292">
        <f t="shared" si="115"/>
        <v>0</v>
      </c>
      <c r="AO129" s="292">
        <f t="shared" si="116"/>
        <v>0</v>
      </c>
      <c r="AP129" s="292">
        <f t="shared" si="117"/>
        <v>0</v>
      </c>
      <c r="AQ129" s="292">
        <f t="shared" si="118"/>
        <v>0</v>
      </c>
      <c r="AR129" s="292">
        <f t="shared" si="119"/>
        <v>0</v>
      </c>
      <c r="AS129" s="292">
        <f t="shared" si="120"/>
        <v>0</v>
      </c>
      <c r="AT129" s="292">
        <f t="shared" si="121"/>
        <v>0</v>
      </c>
      <c r="AU129" s="292">
        <f t="shared" si="122"/>
        <v>0</v>
      </c>
      <c r="AV129" s="292">
        <f t="shared" si="123"/>
        <v>0</v>
      </c>
      <c r="AW129" s="292">
        <f t="shared" si="124"/>
        <v>0</v>
      </c>
      <c r="AX129" s="292">
        <f t="shared" si="125"/>
        <v>0</v>
      </c>
      <c r="AY129" s="292">
        <f t="shared" si="126"/>
        <v>0</v>
      </c>
      <c r="AZ129" s="292">
        <f t="shared" si="127"/>
        <v>0</v>
      </c>
      <c r="BA129" s="292">
        <f t="shared" si="128"/>
        <v>0</v>
      </c>
    </row>
    <row r="130" spans="1:53" s="289" customFormat="1" ht="16.5" customHeight="1">
      <c r="A130" s="63" t="str">
        <f t="array" ref="A130">IF(C130&lt;&gt;0,SUM(($C$11:C130&lt;&gt;0)*1),"")</f>
        <v/>
      </c>
      <c r="B130" s="290"/>
      <c r="C130" s="290"/>
      <c r="D130" s="290"/>
      <c r="E130" s="396"/>
      <c r="F130" s="345"/>
      <c r="G130" s="347"/>
      <c r="H130" s="347"/>
      <c r="I130" s="63" t="str">
        <f t="shared" si="90"/>
        <v/>
      </c>
      <c r="J130" s="292">
        <f t="shared" si="91"/>
        <v>0</v>
      </c>
      <c r="K130" s="292">
        <f t="shared" si="92"/>
        <v>0</v>
      </c>
      <c r="L130" s="292">
        <f t="shared" si="93"/>
        <v>0</v>
      </c>
      <c r="M130" s="292">
        <f t="shared" si="94"/>
        <v>0</v>
      </c>
      <c r="N130" s="292">
        <f t="shared" si="83"/>
        <v>0</v>
      </c>
      <c r="O130" s="292">
        <f t="shared" si="84"/>
        <v>0</v>
      </c>
      <c r="P130" s="292">
        <f t="shared" si="95"/>
        <v>0</v>
      </c>
      <c r="Q130" s="292">
        <f t="shared" si="96"/>
        <v>0</v>
      </c>
      <c r="R130" s="292">
        <f t="shared" si="97"/>
        <v>0</v>
      </c>
      <c r="S130" s="292">
        <f t="shared" si="98"/>
        <v>0</v>
      </c>
      <c r="T130" s="292">
        <f t="shared" si="85"/>
        <v>0</v>
      </c>
      <c r="U130" s="292">
        <f t="shared" si="86"/>
        <v>0</v>
      </c>
      <c r="V130" s="292">
        <f t="shared" si="99"/>
        <v>0</v>
      </c>
      <c r="W130" s="292">
        <f t="shared" si="100"/>
        <v>0</v>
      </c>
      <c r="X130" s="292">
        <f t="shared" si="101"/>
        <v>0</v>
      </c>
      <c r="Y130" s="292">
        <f t="shared" si="102"/>
        <v>0</v>
      </c>
      <c r="Z130" s="292">
        <f t="shared" si="103"/>
        <v>0</v>
      </c>
      <c r="AA130" s="292">
        <f t="shared" si="104"/>
        <v>0</v>
      </c>
      <c r="AB130" s="292">
        <f t="shared" si="105"/>
        <v>0</v>
      </c>
      <c r="AC130" s="292">
        <f t="shared" si="106"/>
        <v>0</v>
      </c>
      <c r="AD130" s="292">
        <f t="shared" si="107"/>
        <v>0</v>
      </c>
      <c r="AE130" s="292">
        <f t="shared" si="108"/>
        <v>0</v>
      </c>
      <c r="AF130" s="292">
        <f t="shared" si="87"/>
        <v>0</v>
      </c>
      <c r="AG130" s="292">
        <f t="shared" si="88"/>
        <v>0</v>
      </c>
      <c r="AH130" s="292">
        <f t="shared" si="109"/>
        <v>0</v>
      </c>
      <c r="AI130" s="292">
        <f t="shared" si="110"/>
        <v>0</v>
      </c>
      <c r="AJ130" s="292">
        <f t="shared" si="111"/>
        <v>0</v>
      </c>
      <c r="AK130" s="292">
        <f t="shared" si="112"/>
        <v>0</v>
      </c>
      <c r="AL130" s="292">
        <f t="shared" si="113"/>
        <v>0</v>
      </c>
      <c r="AM130" s="292">
        <f t="shared" si="114"/>
        <v>0</v>
      </c>
      <c r="AN130" s="292">
        <f t="shared" si="115"/>
        <v>0</v>
      </c>
      <c r="AO130" s="292">
        <f t="shared" si="116"/>
        <v>0</v>
      </c>
      <c r="AP130" s="292">
        <f t="shared" si="117"/>
        <v>0</v>
      </c>
      <c r="AQ130" s="292">
        <f t="shared" si="118"/>
        <v>0</v>
      </c>
      <c r="AR130" s="292">
        <f t="shared" si="119"/>
        <v>0</v>
      </c>
      <c r="AS130" s="292">
        <f t="shared" si="120"/>
        <v>0</v>
      </c>
      <c r="AT130" s="292">
        <f t="shared" si="121"/>
        <v>0</v>
      </c>
      <c r="AU130" s="292">
        <f t="shared" si="122"/>
        <v>0</v>
      </c>
      <c r="AV130" s="292">
        <f t="shared" si="123"/>
        <v>0</v>
      </c>
      <c r="AW130" s="292">
        <f t="shared" si="124"/>
        <v>0</v>
      </c>
      <c r="AX130" s="292">
        <f t="shared" si="125"/>
        <v>0</v>
      </c>
      <c r="AY130" s="292">
        <f t="shared" si="126"/>
        <v>0</v>
      </c>
      <c r="AZ130" s="292">
        <f t="shared" si="127"/>
        <v>0</v>
      </c>
      <c r="BA130" s="292">
        <f t="shared" si="128"/>
        <v>0</v>
      </c>
    </row>
    <row r="131" spans="1:53" s="289" customFormat="1" ht="16.5" customHeight="1">
      <c r="A131" s="63" t="str">
        <f t="array" ref="A131">IF(C131&lt;&gt;0,SUM(($C$11:C131&lt;&gt;0)*1),"")</f>
        <v/>
      </c>
      <c r="B131" s="290"/>
      <c r="C131" s="290"/>
      <c r="D131" s="290"/>
      <c r="E131" s="396"/>
      <c r="F131" s="345"/>
      <c r="G131" s="347"/>
      <c r="H131" s="347"/>
      <c r="I131" s="63" t="str">
        <f>A131</f>
        <v/>
      </c>
      <c r="J131" s="292">
        <f>IF($G131="1111",$F131,0)</f>
        <v>0</v>
      </c>
      <c r="K131" s="292">
        <f>IF($H131="1111",$F131,0)</f>
        <v>0</v>
      </c>
      <c r="L131" s="292">
        <f>IF($G131="1121",$F131,0)</f>
        <v>0</v>
      </c>
      <c r="M131" s="292">
        <f>IF($H131="1121",$F131,0)</f>
        <v>0</v>
      </c>
      <c r="N131" s="292">
        <f t="shared" si="83"/>
        <v>0</v>
      </c>
      <c r="O131" s="292">
        <f t="shared" si="84"/>
        <v>0</v>
      </c>
      <c r="P131" s="292">
        <f>IF($G131="1331",$F131,0)</f>
        <v>0</v>
      </c>
      <c r="Q131" s="292">
        <f>IF($H131="1331",$F131,0)</f>
        <v>0</v>
      </c>
      <c r="R131" s="292">
        <f>IF($G131="1388",$F131,0)</f>
        <v>0</v>
      </c>
      <c r="S131" s="292">
        <f>IF($H131="1388",$F131,0)</f>
        <v>0</v>
      </c>
      <c r="T131" s="292">
        <f t="shared" si="85"/>
        <v>0</v>
      </c>
      <c r="U131" s="292">
        <f t="shared" si="86"/>
        <v>0</v>
      </c>
      <c r="V131" s="292">
        <f>IF($G131="331",$F131,0)</f>
        <v>0</v>
      </c>
      <c r="W131" s="292">
        <f>IF($H131="331",$F131,0)</f>
        <v>0</v>
      </c>
      <c r="X131" s="292">
        <f>IF($G131="3334",$F131,0)</f>
        <v>0</v>
      </c>
      <c r="Y131" s="292">
        <f>IF($H131="3334",$F131,0)</f>
        <v>0</v>
      </c>
      <c r="Z131" s="292">
        <f>IF($G131="33382",$F131,0)</f>
        <v>0</v>
      </c>
      <c r="AA131" s="292">
        <f>IF($H131="33382",$F131,0)</f>
        <v>0</v>
      </c>
      <c r="AB131" s="292">
        <f>IF($G131="3388",$F131,0)</f>
        <v>0</v>
      </c>
      <c r="AC131" s="292">
        <f>IF($H131="3388",$F131,0)</f>
        <v>0</v>
      </c>
      <c r="AD131" s="292">
        <f>IF($G131="3411",$F131,0)</f>
        <v>0</v>
      </c>
      <c r="AE131" s="292">
        <f>IF($H131="3411",$F131,0)</f>
        <v>0</v>
      </c>
      <c r="AF131" s="292">
        <f t="shared" si="87"/>
        <v>0</v>
      </c>
      <c r="AG131" s="292">
        <f t="shared" si="88"/>
        <v>0</v>
      </c>
      <c r="AH131" s="292">
        <f>IF($G131="4111",$F131,0)</f>
        <v>0</v>
      </c>
      <c r="AI131" s="292">
        <f>IF($H131="4111",$F131,0)</f>
        <v>0</v>
      </c>
      <c r="AJ131" s="292">
        <f>IF($G131="4211",$F131,0)</f>
        <v>0</v>
      </c>
      <c r="AK131" s="292">
        <f>IF($H131="4211",$F131,0)</f>
        <v>0</v>
      </c>
      <c r="AL131" s="292">
        <f>IF($G131="4212",$F131,0)</f>
        <v>0</v>
      </c>
      <c r="AM131" s="292">
        <f>IF($H131="4212",$F131,0)</f>
        <v>0</v>
      </c>
      <c r="AN131" s="292">
        <f>IF($G131="515",$F131,0)</f>
        <v>0</v>
      </c>
      <c r="AO131" s="292">
        <f>IF($H131="515",$F131,0)</f>
        <v>0</v>
      </c>
      <c r="AP131" s="292">
        <f>IF($G131="635",$F131,0)</f>
        <v>0</v>
      </c>
      <c r="AQ131" s="292">
        <f>IF($H131="635",$F131,0)</f>
        <v>0</v>
      </c>
      <c r="AR131" s="292">
        <f>IF($G131="642",$F131,0)</f>
        <v>0</v>
      </c>
      <c r="AS131" s="292">
        <f>IF($H131="642",$F131,0)</f>
        <v>0</v>
      </c>
      <c r="AT131" s="292">
        <f>IF($G131="711",$F131,0)</f>
        <v>0</v>
      </c>
      <c r="AU131" s="292">
        <f>IF($H131="711",$F131,0)</f>
        <v>0</v>
      </c>
      <c r="AV131" s="292">
        <f>IF($G131="811",$F131,0)</f>
        <v>0</v>
      </c>
      <c r="AW131" s="292">
        <f>IF($H131="811",$F131,0)</f>
        <v>0</v>
      </c>
      <c r="AX131" s="292">
        <f>IF($G131="821",$F131,0)</f>
        <v>0</v>
      </c>
      <c r="AY131" s="292">
        <f>IF($H131="821",$F131,0)</f>
        <v>0</v>
      </c>
      <c r="AZ131" s="292">
        <f>IF($G131="911",$F131,0)</f>
        <v>0</v>
      </c>
      <c r="BA131" s="292">
        <f>IF($H131="911",$F131,0)</f>
        <v>0</v>
      </c>
    </row>
    <row r="132" spans="1:53" s="289" customFormat="1" ht="16.5" customHeight="1">
      <c r="A132" s="63" t="str">
        <f t="array" ref="A132">IF(C132&lt;&gt;0,SUM(($C$11:C132&lt;&gt;0)*1),"")</f>
        <v/>
      </c>
      <c r="B132" s="290"/>
      <c r="C132" s="290"/>
      <c r="D132" s="290"/>
      <c r="E132" s="396"/>
      <c r="F132" s="345"/>
      <c r="G132" s="347"/>
      <c r="H132" s="347"/>
      <c r="I132" s="63" t="str">
        <f>A132</f>
        <v/>
      </c>
      <c r="J132" s="292">
        <f>IF($G132="1111",$F132,0)</f>
        <v>0</v>
      </c>
      <c r="K132" s="292">
        <f>IF($H132="1111",$F132,0)</f>
        <v>0</v>
      </c>
      <c r="L132" s="292">
        <f>IF($G132="1121",$F132,0)</f>
        <v>0</v>
      </c>
      <c r="M132" s="292">
        <f>IF($H132="1121",$F132,0)</f>
        <v>0</v>
      </c>
      <c r="N132" s="292">
        <f t="shared" si="83"/>
        <v>0</v>
      </c>
      <c r="O132" s="292">
        <f t="shared" si="84"/>
        <v>0</v>
      </c>
      <c r="P132" s="292">
        <f>IF($G132="1331",$F132,0)</f>
        <v>0</v>
      </c>
      <c r="Q132" s="292">
        <f>IF($H132="1331",$F132,0)</f>
        <v>0</v>
      </c>
      <c r="R132" s="292">
        <f>IF($G132="1388",$F132,0)</f>
        <v>0</v>
      </c>
      <c r="S132" s="292">
        <f>IF($H132="1388",$F132,0)</f>
        <v>0</v>
      </c>
      <c r="T132" s="292">
        <f t="shared" si="85"/>
        <v>0</v>
      </c>
      <c r="U132" s="292">
        <f t="shared" si="86"/>
        <v>0</v>
      </c>
      <c r="V132" s="292">
        <f>IF($G132="331",$F132,0)</f>
        <v>0</v>
      </c>
      <c r="W132" s="292">
        <f>IF($H132="331",$F132,0)</f>
        <v>0</v>
      </c>
      <c r="X132" s="292">
        <f>IF($G132="3334",$F132,0)</f>
        <v>0</v>
      </c>
      <c r="Y132" s="292">
        <f>IF($H132="3334",$F132,0)</f>
        <v>0</v>
      </c>
      <c r="Z132" s="292">
        <f>IF($G132="33382",$F132,0)</f>
        <v>0</v>
      </c>
      <c r="AA132" s="292">
        <f>IF($H132="33382",$F132,0)</f>
        <v>0</v>
      </c>
      <c r="AB132" s="292">
        <f>IF($G132="3388",$F132,0)</f>
        <v>0</v>
      </c>
      <c r="AC132" s="292">
        <f>IF($H132="3388",$F132,0)</f>
        <v>0</v>
      </c>
      <c r="AD132" s="292">
        <f>IF($G132="3411",$F132,0)</f>
        <v>0</v>
      </c>
      <c r="AE132" s="292">
        <f>IF($H132="3411",$F132,0)</f>
        <v>0</v>
      </c>
      <c r="AF132" s="292">
        <f t="shared" si="87"/>
        <v>0</v>
      </c>
      <c r="AG132" s="292">
        <f t="shared" si="88"/>
        <v>0</v>
      </c>
      <c r="AH132" s="292">
        <f>IF($G132="4111",$F132,0)</f>
        <v>0</v>
      </c>
      <c r="AI132" s="292">
        <f>IF($H132="4111",$F132,0)</f>
        <v>0</v>
      </c>
      <c r="AJ132" s="292">
        <f>IF($G132="4211",$F132,0)</f>
        <v>0</v>
      </c>
      <c r="AK132" s="292">
        <f>IF($H132="4211",$F132,0)</f>
        <v>0</v>
      </c>
      <c r="AL132" s="292">
        <f>IF($G132="4212",$F132,0)</f>
        <v>0</v>
      </c>
      <c r="AM132" s="292">
        <f>IF($H132="4212",$F132,0)</f>
        <v>0</v>
      </c>
      <c r="AN132" s="292">
        <f>IF($G132="515",$F132,0)</f>
        <v>0</v>
      </c>
      <c r="AO132" s="292">
        <f>IF($H132="515",$F132,0)</f>
        <v>0</v>
      </c>
      <c r="AP132" s="292">
        <f>IF($G132="635",$F132,0)</f>
        <v>0</v>
      </c>
      <c r="AQ132" s="292">
        <f>IF($H132="635",$F132,0)</f>
        <v>0</v>
      </c>
      <c r="AR132" s="292">
        <f>IF($G132="642",$F132,0)</f>
        <v>0</v>
      </c>
      <c r="AS132" s="292">
        <f>IF($H132="642",$F132,0)</f>
        <v>0</v>
      </c>
      <c r="AT132" s="292">
        <f>IF($G132="711",$F132,0)</f>
        <v>0</v>
      </c>
      <c r="AU132" s="292">
        <f>IF($H132="711",$F132,0)</f>
        <v>0</v>
      </c>
      <c r="AV132" s="292">
        <f>IF($G132="811",$F132,0)</f>
        <v>0</v>
      </c>
      <c r="AW132" s="292">
        <f>IF($H132="811",$F132,0)</f>
        <v>0</v>
      </c>
      <c r="AX132" s="292">
        <f>IF($G132="821",$F132,0)</f>
        <v>0</v>
      </c>
      <c r="AY132" s="292">
        <f>IF($H132="821",$F132,0)</f>
        <v>0</v>
      </c>
      <c r="AZ132" s="292">
        <f>IF($G132="911",$F132,0)</f>
        <v>0</v>
      </c>
      <c r="BA132" s="292">
        <f>IF($H132="911",$F132,0)</f>
        <v>0</v>
      </c>
    </row>
    <row r="133" spans="1:53" s="289" customFormat="1" ht="16.5" customHeight="1">
      <c r="A133" s="63" t="str">
        <f t="array" ref="A133">IF(C133&lt;&gt;0,SUM(($C$11:C133&lt;&gt;0)*1),"")</f>
        <v/>
      </c>
      <c r="B133" s="290"/>
      <c r="C133" s="290"/>
      <c r="D133" s="290"/>
      <c r="E133" s="396"/>
      <c r="F133" s="345"/>
      <c r="G133" s="347"/>
      <c r="H133" s="347"/>
      <c r="I133" s="63" t="str">
        <f>A133</f>
        <v/>
      </c>
      <c r="J133" s="292">
        <f>IF($G133="1111",$F133,0)</f>
        <v>0</v>
      </c>
      <c r="K133" s="292">
        <f>IF($H133="1111",$F133,0)</f>
        <v>0</v>
      </c>
      <c r="L133" s="292">
        <f>IF($G133="1121",$F133,0)</f>
        <v>0</v>
      </c>
      <c r="M133" s="292">
        <f>IF($H133="1121",$F133,0)</f>
        <v>0</v>
      </c>
      <c r="N133" s="292">
        <f t="shared" si="83"/>
        <v>0</v>
      </c>
      <c r="O133" s="292">
        <f t="shared" si="84"/>
        <v>0</v>
      </c>
      <c r="P133" s="292">
        <f>IF($G133="1331",$F133,0)</f>
        <v>0</v>
      </c>
      <c r="Q133" s="292">
        <f>IF($H133="1331",$F133,0)</f>
        <v>0</v>
      </c>
      <c r="R133" s="292">
        <f>IF($G133="1388",$F133,0)</f>
        <v>0</v>
      </c>
      <c r="S133" s="292">
        <f>IF($H133="1388",$F133,0)</f>
        <v>0</v>
      </c>
      <c r="T133" s="292">
        <f t="shared" si="85"/>
        <v>0</v>
      </c>
      <c r="U133" s="292">
        <f t="shared" si="86"/>
        <v>0</v>
      </c>
      <c r="V133" s="292">
        <f>IF($G133="331",$F133,0)</f>
        <v>0</v>
      </c>
      <c r="W133" s="292">
        <f>IF($H133="331",$F133,0)</f>
        <v>0</v>
      </c>
      <c r="X133" s="292">
        <f>IF($G133="3334",$F133,0)</f>
        <v>0</v>
      </c>
      <c r="Y133" s="292">
        <f>IF($H133="3334",$F133,0)</f>
        <v>0</v>
      </c>
      <c r="Z133" s="292">
        <f>IF($G133="33382",$F133,0)</f>
        <v>0</v>
      </c>
      <c r="AA133" s="292">
        <f>IF($H133="33382",$F133,0)</f>
        <v>0</v>
      </c>
      <c r="AB133" s="292">
        <f>IF($G133="3388",$F133,0)</f>
        <v>0</v>
      </c>
      <c r="AC133" s="292">
        <f>IF($H133="3388",$F133,0)</f>
        <v>0</v>
      </c>
      <c r="AD133" s="292">
        <f>IF($G133="3411",$F133,0)</f>
        <v>0</v>
      </c>
      <c r="AE133" s="292">
        <f>IF($H133="3411",$F133,0)</f>
        <v>0</v>
      </c>
      <c r="AF133" s="292">
        <f t="shared" si="87"/>
        <v>0</v>
      </c>
      <c r="AG133" s="292">
        <f t="shared" si="88"/>
        <v>0</v>
      </c>
      <c r="AH133" s="292">
        <f>IF($G133="4111",$F133,0)</f>
        <v>0</v>
      </c>
      <c r="AI133" s="292">
        <f>IF($H133="4111",$F133,0)</f>
        <v>0</v>
      </c>
      <c r="AJ133" s="292">
        <f>IF($G133="4211",$F133,0)</f>
        <v>0</v>
      </c>
      <c r="AK133" s="292">
        <f>IF($H133="4211",$F133,0)</f>
        <v>0</v>
      </c>
      <c r="AL133" s="292">
        <f>IF($G133="4212",$F133,0)</f>
        <v>0</v>
      </c>
      <c r="AM133" s="292">
        <f>IF($H133="4212",$F133,0)</f>
        <v>0</v>
      </c>
      <c r="AN133" s="292">
        <f>IF($G133="515",$F133,0)</f>
        <v>0</v>
      </c>
      <c r="AO133" s="292">
        <f>IF($H133="515",$F133,0)</f>
        <v>0</v>
      </c>
      <c r="AP133" s="292">
        <f>IF($G133="635",$F133,0)</f>
        <v>0</v>
      </c>
      <c r="AQ133" s="292">
        <f>IF($H133="635",$F133,0)</f>
        <v>0</v>
      </c>
      <c r="AR133" s="292">
        <f>IF($G133="642",$F133,0)</f>
        <v>0</v>
      </c>
      <c r="AS133" s="292">
        <f>IF($H133="642",$F133,0)</f>
        <v>0</v>
      </c>
      <c r="AT133" s="292">
        <f>IF($G133="711",$F133,0)</f>
        <v>0</v>
      </c>
      <c r="AU133" s="292">
        <f>IF($H133="711",$F133,0)</f>
        <v>0</v>
      </c>
      <c r="AV133" s="292">
        <f>IF($G133="811",$F133,0)</f>
        <v>0</v>
      </c>
      <c r="AW133" s="292">
        <f>IF($H133="811",$F133,0)</f>
        <v>0</v>
      </c>
      <c r="AX133" s="292">
        <f>IF($G133="821",$F133,0)</f>
        <v>0</v>
      </c>
      <c r="AY133" s="292">
        <f>IF($H133="821",$F133,0)</f>
        <v>0</v>
      </c>
      <c r="AZ133" s="292">
        <f>IF($G133="911",$F133,0)</f>
        <v>0</v>
      </c>
      <c r="BA133" s="292">
        <f>IF($H133="911",$F133,0)</f>
        <v>0</v>
      </c>
    </row>
    <row r="134" spans="1:53" s="289" customFormat="1" ht="16.5" customHeight="1">
      <c r="A134" s="63" t="str">
        <f t="array" ref="A134">IF(C134&lt;&gt;0,SUM(($C$11:C134&lt;&gt;0)*1),"")</f>
        <v/>
      </c>
      <c r="B134" s="290"/>
      <c r="C134" s="290"/>
      <c r="D134" s="290"/>
      <c r="E134" s="396"/>
      <c r="F134" s="345"/>
      <c r="G134" s="347"/>
      <c r="H134" s="347"/>
      <c r="I134" s="63" t="str">
        <f>A134</f>
        <v/>
      </c>
      <c r="J134" s="292">
        <f>IF($G134="1111",$F134,0)</f>
        <v>0</v>
      </c>
      <c r="K134" s="292">
        <f>IF($H134="1111",$F134,0)</f>
        <v>0</v>
      </c>
      <c r="L134" s="292">
        <f>IF($G134="1121",$F134,0)</f>
        <v>0</v>
      </c>
      <c r="M134" s="292">
        <f>IF($H134="1121",$F134,0)</f>
        <v>0</v>
      </c>
      <c r="N134" s="292">
        <f t="shared" si="83"/>
        <v>0</v>
      </c>
      <c r="O134" s="292">
        <f t="shared" si="84"/>
        <v>0</v>
      </c>
      <c r="P134" s="292">
        <f>IF($G134="1331",$F134,0)</f>
        <v>0</v>
      </c>
      <c r="Q134" s="292">
        <f>IF($H134="1331",$F134,0)</f>
        <v>0</v>
      </c>
      <c r="R134" s="292">
        <f>IF($G134="1388",$F134,0)</f>
        <v>0</v>
      </c>
      <c r="S134" s="292">
        <f>IF($H134="1388",$F134,0)</f>
        <v>0</v>
      </c>
      <c r="T134" s="292">
        <f t="shared" si="85"/>
        <v>0</v>
      </c>
      <c r="U134" s="292">
        <f t="shared" si="86"/>
        <v>0</v>
      </c>
      <c r="V134" s="292">
        <f>IF($G134="331",$F134,0)</f>
        <v>0</v>
      </c>
      <c r="W134" s="292">
        <f>IF($H134="331",$F134,0)</f>
        <v>0</v>
      </c>
      <c r="X134" s="292">
        <f>IF($G134="3334",$F134,0)</f>
        <v>0</v>
      </c>
      <c r="Y134" s="292">
        <f>IF($H134="3334",$F134,0)</f>
        <v>0</v>
      </c>
      <c r="Z134" s="292">
        <f>IF($G134="33382",$F134,0)</f>
        <v>0</v>
      </c>
      <c r="AA134" s="292">
        <f>IF($H134="33382",$F134,0)</f>
        <v>0</v>
      </c>
      <c r="AB134" s="292">
        <f>IF($G134="3388",$F134,0)</f>
        <v>0</v>
      </c>
      <c r="AC134" s="292">
        <f>IF($H134="3388",$F134,0)</f>
        <v>0</v>
      </c>
      <c r="AD134" s="292">
        <f>IF($G134="3411",$F134,0)</f>
        <v>0</v>
      </c>
      <c r="AE134" s="292">
        <f>IF($H134="3411",$F134,0)</f>
        <v>0</v>
      </c>
      <c r="AF134" s="292">
        <f t="shared" si="87"/>
        <v>0</v>
      </c>
      <c r="AG134" s="292">
        <f t="shared" si="88"/>
        <v>0</v>
      </c>
      <c r="AH134" s="292">
        <f>IF($G134="4111",$F134,0)</f>
        <v>0</v>
      </c>
      <c r="AI134" s="292">
        <f>IF($H134="4111",$F134,0)</f>
        <v>0</v>
      </c>
      <c r="AJ134" s="292">
        <f>IF($G134="4211",$F134,0)</f>
        <v>0</v>
      </c>
      <c r="AK134" s="292">
        <f>IF($H134="4211",$F134,0)</f>
        <v>0</v>
      </c>
      <c r="AL134" s="292">
        <f>IF($G134="4212",$F134,0)</f>
        <v>0</v>
      </c>
      <c r="AM134" s="292">
        <f>IF($H134="4212",$F134,0)</f>
        <v>0</v>
      </c>
      <c r="AN134" s="292">
        <f>IF($G134="515",$F134,0)</f>
        <v>0</v>
      </c>
      <c r="AO134" s="292">
        <f>IF($H134="515",$F134,0)</f>
        <v>0</v>
      </c>
      <c r="AP134" s="292">
        <f>IF($G134="635",$F134,0)</f>
        <v>0</v>
      </c>
      <c r="AQ134" s="292">
        <f>IF($H134="635",$F134,0)</f>
        <v>0</v>
      </c>
      <c r="AR134" s="292">
        <f>IF($G134="642",$F134,0)</f>
        <v>0</v>
      </c>
      <c r="AS134" s="292">
        <f>IF($H134="642",$F134,0)</f>
        <v>0</v>
      </c>
      <c r="AT134" s="292">
        <f>IF($G134="711",$F134,0)</f>
        <v>0</v>
      </c>
      <c r="AU134" s="292">
        <f>IF($H134="711",$F134,0)</f>
        <v>0</v>
      </c>
      <c r="AV134" s="292">
        <f>IF($G134="811",$F134,0)</f>
        <v>0</v>
      </c>
      <c r="AW134" s="292">
        <f>IF($H134="811",$F134,0)</f>
        <v>0</v>
      </c>
      <c r="AX134" s="292">
        <f>IF($G134="821",$F134,0)</f>
        <v>0</v>
      </c>
      <c r="AY134" s="292">
        <f>IF($H134="821",$F134,0)</f>
        <v>0</v>
      </c>
      <c r="AZ134" s="292">
        <f>IF($G134="911",$F134,0)</f>
        <v>0</v>
      </c>
      <c r="BA134" s="292">
        <f>IF($H134="911",$F134,0)</f>
        <v>0</v>
      </c>
    </row>
    <row r="135" spans="1:53" s="289" customFormat="1" ht="16.5" customHeight="1">
      <c r="A135" s="63" t="str">
        <f t="array" ref="A135">IF(C135&lt;&gt;0,SUM(($C$11:C135&lt;&gt;0)*1),"")</f>
        <v/>
      </c>
      <c r="B135" s="290"/>
      <c r="C135" s="290"/>
      <c r="D135" s="290"/>
      <c r="E135" s="396"/>
      <c r="F135" s="345"/>
      <c r="G135" s="347"/>
      <c r="H135" s="347"/>
      <c r="I135" s="63" t="str">
        <f t="shared" ref="I135:I206" si="129">A135</f>
        <v/>
      </c>
      <c r="J135" s="292">
        <f t="shared" ref="J135:J206" si="130">IF($G135="1111",$F135,0)</f>
        <v>0</v>
      </c>
      <c r="K135" s="292">
        <f t="shared" ref="K135:K206" si="131">IF($H135="1111",$F135,0)</f>
        <v>0</v>
      </c>
      <c r="L135" s="292">
        <f t="shared" ref="L135:L207" si="132">IF($G135="1121",$F135,0)</f>
        <v>0</v>
      </c>
      <c r="M135" s="292">
        <f t="shared" ref="M135:M207" si="133">IF($H135="1121",$F135,0)</f>
        <v>0</v>
      </c>
      <c r="N135" s="292">
        <f t="shared" si="83"/>
        <v>0</v>
      </c>
      <c r="O135" s="292">
        <f t="shared" si="84"/>
        <v>0</v>
      </c>
      <c r="P135" s="292">
        <f t="shared" ref="P135:P207" si="134">IF($G135="1331",$F135,0)</f>
        <v>0</v>
      </c>
      <c r="Q135" s="292">
        <f t="shared" ref="Q135:Q207" si="135">IF($H135="1331",$F135,0)</f>
        <v>0</v>
      </c>
      <c r="R135" s="292">
        <f t="shared" ref="R135:R207" si="136">IF($G135="1388",$F135,0)</f>
        <v>0</v>
      </c>
      <c r="S135" s="292">
        <f t="shared" ref="S135:S207" si="137">IF($H135="1388",$F135,0)</f>
        <v>0</v>
      </c>
      <c r="T135" s="292">
        <f t="shared" si="85"/>
        <v>0</v>
      </c>
      <c r="U135" s="292">
        <f t="shared" si="86"/>
        <v>0</v>
      </c>
      <c r="V135" s="292">
        <f t="shared" ref="V135:V207" si="138">IF($G135="331",$F135,0)</f>
        <v>0</v>
      </c>
      <c r="W135" s="292">
        <f t="shared" ref="W135:W207" si="139">IF($H135="331",$F135,0)</f>
        <v>0</v>
      </c>
      <c r="X135" s="292">
        <f t="shared" ref="X135:X207" si="140">IF($G135="3334",$F135,0)</f>
        <v>0</v>
      </c>
      <c r="Y135" s="292">
        <f t="shared" ref="Y135:Y207" si="141">IF($H135="3334",$F135,0)</f>
        <v>0</v>
      </c>
      <c r="Z135" s="292">
        <f t="shared" ref="Z135:Z206" si="142">IF($G135="33382",$F135,0)</f>
        <v>0</v>
      </c>
      <c r="AA135" s="292">
        <f t="shared" ref="AA135:AA206" si="143">IF($H135="33382",$F135,0)</f>
        <v>0</v>
      </c>
      <c r="AB135" s="292">
        <f t="shared" ref="AB135:AB207" si="144">IF($G135="3388",$F135,0)</f>
        <v>0</v>
      </c>
      <c r="AC135" s="292">
        <f t="shared" ref="AC135:AC207" si="145">IF($H135="3388",$F135,0)</f>
        <v>0</v>
      </c>
      <c r="AD135" s="292">
        <f t="shared" ref="AD135:AD206" si="146">IF($G135="3411",$F135,0)</f>
        <v>0</v>
      </c>
      <c r="AE135" s="292">
        <f t="shared" ref="AE135:AE206" si="147">IF($H135="3411",$F135,0)</f>
        <v>0</v>
      </c>
      <c r="AF135" s="292">
        <f t="shared" si="87"/>
        <v>0</v>
      </c>
      <c r="AG135" s="292">
        <f t="shared" si="88"/>
        <v>0</v>
      </c>
      <c r="AH135" s="292">
        <f t="shared" ref="AH135:AH207" si="148">IF($G135="4111",$F135,0)</f>
        <v>0</v>
      </c>
      <c r="AI135" s="292">
        <f t="shared" ref="AI135:AI207" si="149">IF($H135="4111",$F135,0)</f>
        <v>0</v>
      </c>
      <c r="AJ135" s="292">
        <f t="shared" ref="AJ135:AJ207" si="150">IF($G135="4211",$F135,0)</f>
        <v>0</v>
      </c>
      <c r="AK135" s="292">
        <f t="shared" ref="AK135:AK207" si="151">IF($H135="4211",$F135,0)</f>
        <v>0</v>
      </c>
      <c r="AL135" s="292">
        <f t="shared" ref="AL135:AL207" si="152">IF($G135="4212",$F135,0)</f>
        <v>0</v>
      </c>
      <c r="AM135" s="292">
        <f t="shared" ref="AM135:AM207" si="153">IF($H135="4212",$F135,0)</f>
        <v>0</v>
      </c>
      <c r="AN135" s="292">
        <f t="shared" ref="AN135:AN207" si="154">IF($G135="515",$F135,0)</f>
        <v>0</v>
      </c>
      <c r="AO135" s="292">
        <f t="shared" ref="AO135:AO207" si="155">IF($H135="515",$F135,0)</f>
        <v>0</v>
      </c>
      <c r="AP135" s="292">
        <f t="shared" ref="AP135:AP207" si="156">IF($G135="635",$F135,0)</f>
        <v>0</v>
      </c>
      <c r="AQ135" s="292">
        <f t="shared" ref="AQ135:AQ207" si="157">IF($H135="635",$F135,0)</f>
        <v>0</v>
      </c>
      <c r="AR135" s="292">
        <f t="shared" ref="AR135:AR206" si="158">IF($G135="642",$F135,0)</f>
        <v>0</v>
      </c>
      <c r="AS135" s="292">
        <f t="shared" ref="AS135:AS206" si="159">IF($H135="642",$F135,0)</f>
        <v>0</v>
      </c>
      <c r="AT135" s="292">
        <f t="shared" ref="AT135:AT207" si="160">IF($G135="711",$F135,0)</f>
        <v>0</v>
      </c>
      <c r="AU135" s="292">
        <f t="shared" ref="AU135:AU207" si="161">IF($H135="711",$F135,0)</f>
        <v>0</v>
      </c>
      <c r="AV135" s="292">
        <f t="shared" ref="AV135:AV207" si="162">IF($G135="811",$F135,0)</f>
        <v>0</v>
      </c>
      <c r="AW135" s="292">
        <f t="shared" ref="AW135:AW207" si="163">IF($H135="811",$F135,0)</f>
        <v>0</v>
      </c>
      <c r="AX135" s="292">
        <f t="shared" ref="AX135:AX206" si="164">IF($G135="821",$F135,0)</f>
        <v>0</v>
      </c>
      <c r="AY135" s="292">
        <f t="shared" ref="AY135:AY206" si="165">IF($H135="821",$F135,0)</f>
        <v>0</v>
      </c>
      <c r="AZ135" s="292">
        <f t="shared" ref="AZ135:AZ206" si="166">IF($G135="911",$F135,0)</f>
        <v>0</v>
      </c>
      <c r="BA135" s="292">
        <f t="shared" ref="BA135:BA206" si="167">IF($H135="911",$F135,0)</f>
        <v>0</v>
      </c>
    </row>
    <row r="136" spans="1:53" s="289" customFormat="1" ht="16.5" customHeight="1">
      <c r="A136" s="63" t="str">
        <f t="array" ref="A136">IF(C136&lt;&gt;0,SUM(($C$11:C136&lt;&gt;0)*1),"")</f>
        <v/>
      </c>
      <c r="B136" s="290"/>
      <c r="C136" s="290"/>
      <c r="D136" s="290"/>
      <c r="E136" s="396"/>
      <c r="F136" s="345"/>
      <c r="G136" s="347"/>
      <c r="H136" s="347"/>
      <c r="I136" s="63" t="str">
        <f t="shared" si="129"/>
        <v/>
      </c>
      <c r="J136" s="292">
        <f t="shared" si="130"/>
        <v>0</v>
      </c>
      <c r="K136" s="292">
        <f t="shared" si="131"/>
        <v>0</v>
      </c>
      <c r="L136" s="292">
        <f t="shared" si="132"/>
        <v>0</v>
      </c>
      <c r="M136" s="292">
        <f t="shared" si="133"/>
        <v>0</v>
      </c>
      <c r="N136" s="292">
        <f t="shared" si="83"/>
        <v>0</v>
      </c>
      <c r="O136" s="292">
        <f t="shared" si="84"/>
        <v>0</v>
      </c>
      <c r="P136" s="292">
        <f t="shared" si="134"/>
        <v>0</v>
      </c>
      <c r="Q136" s="292">
        <f t="shared" si="135"/>
        <v>0</v>
      </c>
      <c r="R136" s="292">
        <f t="shared" si="136"/>
        <v>0</v>
      </c>
      <c r="S136" s="292">
        <f t="shared" si="137"/>
        <v>0</v>
      </c>
      <c r="T136" s="292">
        <f t="shared" si="85"/>
        <v>0</v>
      </c>
      <c r="U136" s="292">
        <f t="shared" si="86"/>
        <v>0</v>
      </c>
      <c r="V136" s="292">
        <f t="shared" si="138"/>
        <v>0</v>
      </c>
      <c r="W136" s="292">
        <f t="shared" si="139"/>
        <v>0</v>
      </c>
      <c r="X136" s="292">
        <f t="shared" si="140"/>
        <v>0</v>
      </c>
      <c r="Y136" s="292">
        <f t="shared" si="141"/>
        <v>0</v>
      </c>
      <c r="Z136" s="292">
        <f t="shared" si="142"/>
        <v>0</v>
      </c>
      <c r="AA136" s="292">
        <f t="shared" si="143"/>
        <v>0</v>
      </c>
      <c r="AB136" s="292">
        <f t="shared" si="144"/>
        <v>0</v>
      </c>
      <c r="AC136" s="292">
        <f t="shared" si="145"/>
        <v>0</v>
      </c>
      <c r="AD136" s="292">
        <f t="shared" si="146"/>
        <v>0</v>
      </c>
      <c r="AE136" s="292">
        <f t="shared" si="147"/>
        <v>0</v>
      </c>
      <c r="AF136" s="292">
        <f t="shared" si="87"/>
        <v>0</v>
      </c>
      <c r="AG136" s="292">
        <f t="shared" si="88"/>
        <v>0</v>
      </c>
      <c r="AH136" s="292">
        <f t="shared" si="148"/>
        <v>0</v>
      </c>
      <c r="AI136" s="292">
        <f t="shared" si="149"/>
        <v>0</v>
      </c>
      <c r="AJ136" s="292">
        <f t="shared" si="150"/>
        <v>0</v>
      </c>
      <c r="AK136" s="292">
        <f t="shared" si="151"/>
        <v>0</v>
      </c>
      <c r="AL136" s="292">
        <f t="shared" si="152"/>
        <v>0</v>
      </c>
      <c r="AM136" s="292">
        <f t="shared" si="153"/>
        <v>0</v>
      </c>
      <c r="AN136" s="292">
        <f t="shared" si="154"/>
        <v>0</v>
      </c>
      <c r="AO136" s="292">
        <f t="shared" si="155"/>
        <v>0</v>
      </c>
      <c r="AP136" s="292">
        <f t="shared" si="156"/>
        <v>0</v>
      </c>
      <c r="AQ136" s="292">
        <f t="shared" si="157"/>
        <v>0</v>
      </c>
      <c r="AR136" s="292">
        <f t="shared" si="158"/>
        <v>0</v>
      </c>
      <c r="AS136" s="292">
        <f t="shared" si="159"/>
        <v>0</v>
      </c>
      <c r="AT136" s="292">
        <f t="shared" si="160"/>
        <v>0</v>
      </c>
      <c r="AU136" s="292">
        <f t="shared" si="161"/>
        <v>0</v>
      </c>
      <c r="AV136" s="292">
        <f t="shared" si="162"/>
        <v>0</v>
      </c>
      <c r="AW136" s="292">
        <f t="shared" si="163"/>
        <v>0</v>
      </c>
      <c r="AX136" s="292">
        <f t="shared" si="164"/>
        <v>0</v>
      </c>
      <c r="AY136" s="292">
        <f t="shared" si="165"/>
        <v>0</v>
      </c>
      <c r="AZ136" s="292">
        <f t="shared" si="166"/>
        <v>0</v>
      </c>
      <c r="BA136" s="292">
        <f t="shared" si="167"/>
        <v>0</v>
      </c>
    </row>
    <row r="137" spans="1:53" s="289" customFormat="1" ht="16.5" customHeight="1">
      <c r="A137" s="63" t="str">
        <f t="array" ref="A137">IF(C137&lt;&gt;0,SUM(($C$11:C137&lt;&gt;0)*1),"")</f>
        <v/>
      </c>
      <c r="B137" s="290"/>
      <c r="C137" s="290"/>
      <c r="D137" s="290"/>
      <c r="E137" s="396"/>
      <c r="F137" s="345"/>
      <c r="G137" s="347"/>
      <c r="H137" s="347"/>
      <c r="I137" s="63" t="str">
        <f t="shared" si="129"/>
        <v/>
      </c>
      <c r="J137" s="292">
        <f t="shared" si="130"/>
        <v>0</v>
      </c>
      <c r="K137" s="292">
        <f t="shared" si="131"/>
        <v>0</v>
      </c>
      <c r="L137" s="292">
        <f t="shared" si="132"/>
        <v>0</v>
      </c>
      <c r="M137" s="292">
        <f t="shared" si="133"/>
        <v>0</v>
      </c>
      <c r="N137" s="292">
        <f t="shared" si="83"/>
        <v>0</v>
      </c>
      <c r="O137" s="292">
        <f t="shared" si="84"/>
        <v>0</v>
      </c>
      <c r="P137" s="292">
        <f t="shared" si="134"/>
        <v>0</v>
      </c>
      <c r="Q137" s="292">
        <f t="shared" si="135"/>
        <v>0</v>
      </c>
      <c r="R137" s="292">
        <f t="shared" si="136"/>
        <v>0</v>
      </c>
      <c r="S137" s="292">
        <f t="shared" si="137"/>
        <v>0</v>
      </c>
      <c r="T137" s="292">
        <f t="shared" si="85"/>
        <v>0</v>
      </c>
      <c r="U137" s="292">
        <f t="shared" si="86"/>
        <v>0</v>
      </c>
      <c r="V137" s="292">
        <f t="shared" si="138"/>
        <v>0</v>
      </c>
      <c r="W137" s="292">
        <f t="shared" si="139"/>
        <v>0</v>
      </c>
      <c r="X137" s="292">
        <f t="shared" si="140"/>
        <v>0</v>
      </c>
      <c r="Y137" s="292">
        <f t="shared" si="141"/>
        <v>0</v>
      </c>
      <c r="Z137" s="292">
        <f t="shared" si="142"/>
        <v>0</v>
      </c>
      <c r="AA137" s="292">
        <f t="shared" si="143"/>
        <v>0</v>
      </c>
      <c r="AB137" s="292">
        <f t="shared" si="144"/>
        <v>0</v>
      </c>
      <c r="AC137" s="292">
        <f t="shared" si="145"/>
        <v>0</v>
      </c>
      <c r="AD137" s="292">
        <f t="shared" si="146"/>
        <v>0</v>
      </c>
      <c r="AE137" s="292">
        <f t="shared" si="147"/>
        <v>0</v>
      </c>
      <c r="AF137" s="292">
        <f t="shared" si="87"/>
        <v>0</v>
      </c>
      <c r="AG137" s="292">
        <f t="shared" si="88"/>
        <v>0</v>
      </c>
      <c r="AH137" s="292">
        <f t="shared" si="148"/>
        <v>0</v>
      </c>
      <c r="AI137" s="292">
        <f t="shared" si="149"/>
        <v>0</v>
      </c>
      <c r="AJ137" s="292">
        <f t="shared" si="150"/>
        <v>0</v>
      </c>
      <c r="AK137" s="292">
        <f t="shared" si="151"/>
        <v>0</v>
      </c>
      <c r="AL137" s="292">
        <f t="shared" si="152"/>
        <v>0</v>
      </c>
      <c r="AM137" s="292">
        <f t="shared" si="153"/>
        <v>0</v>
      </c>
      <c r="AN137" s="292">
        <f t="shared" si="154"/>
        <v>0</v>
      </c>
      <c r="AO137" s="292">
        <f t="shared" si="155"/>
        <v>0</v>
      </c>
      <c r="AP137" s="292">
        <f t="shared" si="156"/>
        <v>0</v>
      </c>
      <c r="AQ137" s="292">
        <f t="shared" si="157"/>
        <v>0</v>
      </c>
      <c r="AR137" s="292">
        <f t="shared" si="158"/>
        <v>0</v>
      </c>
      <c r="AS137" s="292">
        <f t="shared" si="159"/>
        <v>0</v>
      </c>
      <c r="AT137" s="292">
        <f t="shared" si="160"/>
        <v>0</v>
      </c>
      <c r="AU137" s="292">
        <f t="shared" si="161"/>
        <v>0</v>
      </c>
      <c r="AV137" s="292">
        <f t="shared" si="162"/>
        <v>0</v>
      </c>
      <c r="AW137" s="292">
        <f t="shared" si="163"/>
        <v>0</v>
      </c>
      <c r="AX137" s="292">
        <f t="shared" si="164"/>
        <v>0</v>
      </c>
      <c r="AY137" s="292">
        <f t="shared" si="165"/>
        <v>0</v>
      </c>
      <c r="AZ137" s="292">
        <f t="shared" si="166"/>
        <v>0</v>
      </c>
      <c r="BA137" s="292">
        <f t="shared" si="167"/>
        <v>0</v>
      </c>
    </row>
    <row r="138" spans="1:53" s="289" customFormat="1" ht="16.5" customHeight="1">
      <c r="A138" s="63" t="str">
        <f t="array" ref="A138">IF(C138&lt;&gt;0,SUM(($C$11:C138&lt;&gt;0)*1),"")</f>
        <v/>
      </c>
      <c r="B138" s="290"/>
      <c r="C138" s="290"/>
      <c r="D138" s="290"/>
      <c r="E138" s="396"/>
      <c r="F138" s="345"/>
      <c r="G138" s="347"/>
      <c r="H138" s="347"/>
      <c r="I138" s="63" t="str">
        <f t="shared" si="129"/>
        <v/>
      </c>
      <c r="J138" s="292">
        <f t="shared" si="130"/>
        <v>0</v>
      </c>
      <c r="K138" s="292">
        <f t="shared" si="131"/>
        <v>0</v>
      </c>
      <c r="L138" s="292">
        <f t="shared" si="132"/>
        <v>0</v>
      </c>
      <c r="M138" s="292">
        <f t="shared" si="133"/>
        <v>0</v>
      </c>
      <c r="N138" s="292">
        <f t="shared" si="83"/>
        <v>0</v>
      </c>
      <c r="O138" s="292">
        <f t="shared" si="84"/>
        <v>0</v>
      </c>
      <c r="P138" s="292">
        <f t="shared" si="134"/>
        <v>0</v>
      </c>
      <c r="Q138" s="292">
        <f t="shared" si="135"/>
        <v>0</v>
      </c>
      <c r="R138" s="292">
        <f t="shared" si="136"/>
        <v>0</v>
      </c>
      <c r="S138" s="292">
        <f t="shared" si="137"/>
        <v>0</v>
      </c>
      <c r="T138" s="292">
        <f t="shared" si="85"/>
        <v>0</v>
      </c>
      <c r="U138" s="292">
        <f t="shared" si="86"/>
        <v>0</v>
      </c>
      <c r="V138" s="292">
        <f t="shared" si="138"/>
        <v>0</v>
      </c>
      <c r="W138" s="292">
        <f t="shared" si="139"/>
        <v>0</v>
      </c>
      <c r="X138" s="292">
        <f t="shared" si="140"/>
        <v>0</v>
      </c>
      <c r="Y138" s="292">
        <f t="shared" si="141"/>
        <v>0</v>
      </c>
      <c r="Z138" s="292">
        <f t="shared" si="142"/>
        <v>0</v>
      </c>
      <c r="AA138" s="292">
        <f t="shared" si="143"/>
        <v>0</v>
      </c>
      <c r="AB138" s="292">
        <f t="shared" si="144"/>
        <v>0</v>
      </c>
      <c r="AC138" s="292">
        <f t="shared" si="145"/>
        <v>0</v>
      </c>
      <c r="AD138" s="292">
        <f t="shared" si="146"/>
        <v>0</v>
      </c>
      <c r="AE138" s="292">
        <f t="shared" si="147"/>
        <v>0</v>
      </c>
      <c r="AF138" s="292">
        <f t="shared" si="87"/>
        <v>0</v>
      </c>
      <c r="AG138" s="292">
        <f t="shared" si="88"/>
        <v>0</v>
      </c>
      <c r="AH138" s="292">
        <f t="shared" si="148"/>
        <v>0</v>
      </c>
      <c r="AI138" s="292">
        <f t="shared" si="149"/>
        <v>0</v>
      </c>
      <c r="AJ138" s="292">
        <f t="shared" si="150"/>
        <v>0</v>
      </c>
      <c r="AK138" s="292">
        <f t="shared" si="151"/>
        <v>0</v>
      </c>
      <c r="AL138" s="292">
        <f t="shared" si="152"/>
        <v>0</v>
      </c>
      <c r="AM138" s="292">
        <f t="shared" si="153"/>
        <v>0</v>
      </c>
      <c r="AN138" s="292">
        <f t="shared" si="154"/>
        <v>0</v>
      </c>
      <c r="AO138" s="292">
        <f t="shared" si="155"/>
        <v>0</v>
      </c>
      <c r="AP138" s="292">
        <f t="shared" si="156"/>
        <v>0</v>
      </c>
      <c r="AQ138" s="292">
        <f t="shared" si="157"/>
        <v>0</v>
      </c>
      <c r="AR138" s="292">
        <f t="shared" si="158"/>
        <v>0</v>
      </c>
      <c r="AS138" s="292">
        <f t="shared" si="159"/>
        <v>0</v>
      </c>
      <c r="AT138" s="292">
        <f t="shared" si="160"/>
        <v>0</v>
      </c>
      <c r="AU138" s="292">
        <f t="shared" si="161"/>
        <v>0</v>
      </c>
      <c r="AV138" s="292">
        <f t="shared" si="162"/>
        <v>0</v>
      </c>
      <c r="AW138" s="292">
        <f t="shared" si="163"/>
        <v>0</v>
      </c>
      <c r="AX138" s="292">
        <f t="shared" si="164"/>
        <v>0</v>
      </c>
      <c r="AY138" s="292">
        <f t="shared" si="165"/>
        <v>0</v>
      </c>
      <c r="AZ138" s="292">
        <f t="shared" si="166"/>
        <v>0</v>
      </c>
      <c r="BA138" s="292">
        <f t="shared" si="167"/>
        <v>0</v>
      </c>
    </row>
    <row r="139" spans="1:53" s="289" customFormat="1" ht="16.5" customHeight="1">
      <c r="A139" s="63" t="str">
        <f t="array" ref="A139">IF(C139&lt;&gt;0,SUM(($C$11:C139&lt;&gt;0)*1),"")</f>
        <v/>
      </c>
      <c r="B139" s="290"/>
      <c r="C139" s="290"/>
      <c r="D139" s="290"/>
      <c r="E139" s="396"/>
      <c r="F139" s="345"/>
      <c r="G139" s="347"/>
      <c r="H139" s="347"/>
      <c r="I139" s="63" t="str">
        <f t="shared" si="129"/>
        <v/>
      </c>
      <c r="J139" s="292">
        <f t="shared" si="130"/>
        <v>0</v>
      </c>
      <c r="K139" s="292">
        <f t="shared" si="131"/>
        <v>0</v>
      </c>
      <c r="L139" s="292">
        <f t="shared" si="132"/>
        <v>0</v>
      </c>
      <c r="M139" s="292">
        <f t="shared" si="133"/>
        <v>0</v>
      </c>
      <c r="N139" s="292">
        <f t="shared" si="83"/>
        <v>0</v>
      </c>
      <c r="O139" s="292">
        <f t="shared" si="84"/>
        <v>0</v>
      </c>
      <c r="P139" s="292">
        <f t="shared" si="134"/>
        <v>0</v>
      </c>
      <c r="Q139" s="292">
        <f t="shared" si="135"/>
        <v>0</v>
      </c>
      <c r="R139" s="292">
        <f t="shared" si="136"/>
        <v>0</v>
      </c>
      <c r="S139" s="292">
        <f t="shared" si="137"/>
        <v>0</v>
      </c>
      <c r="T139" s="292">
        <f t="shared" si="85"/>
        <v>0</v>
      </c>
      <c r="U139" s="292">
        <f t="shared" si="86"/>
        <v>0</v>
      </c>
      <c r="V139" s="292">
        <f t="shared" si="138"/>
        <v>0</v>
      </c>
      <c r="W139" s="292">
        <f t="shared" si="139"/>
        <v>0</v>
      </c>
      <c r="X139" s="292">
        <f t="shared" si="140"/>
        <v>0</v>
      </c>
      <c r="Y139" s="292">
        <f t="shared" si="141"/>
        <v>0</v>
      </c>
      <c r="Z139" s="292">
        <f t="shared" si="142"/>
        <v>0</v>
      </c>
      <c r="AA139" s="292">
        <f t="shared" si="143"/>
        <v>0</v>
      </c>
      <c r="AB139" s="292">
        <f t="shared" si="144"/>
        <v>0</v>
      </c>
      <c r="AC139" s="292">
        <f t="shared" si="145"/>
        <v>0</v>
      </c>
      <c r="AD139" s="292">
        <f t="shared" si="146"/>
        <v>0</v>
      </c>
      <c r="AE139" s="292">
        <f t="shared" si="147"/>
        <v>0</v>
      </c>
      <c r="AF139" s="292">
        <f t="shared" si="87"/>
        <v>0</v>
      </c>
      <c r="AG139" s="292">
        <f t="shared" si="88"/>
        <v>0</v>
      </c>
      <c r="AH139" s="292">
        <f t="shared" si="148"/>
        <v>0</v>
      </c>
      <c r="AI139" s="292">
        <f t="shared" si="149"/>
        <v>0</v>
      </c>
      <c r="AJ139" s="292">
        <f t="shared" si="150"/>
        <v>0</v>
      </c>
      <c r="AK139" s="292">
        <f t="shared" si="151"/>
        <v>0</v>
      </c>
      <c r="AL139" s="292">
        <f t="shared" si="152"/>
        <v>0</v>
      </c>
      <c r="AM139" s="292">
        <f t="shared" si="153"/>
        <v>0</v>
      </c>
      <c r="AN139" s="292">
        <f t="shared" si="154"/>
        <v>0</v>
      </c>
      <c r="AO139" s="292">
        <f t="shared" si="155"/>
        <v>0</v>
      </c>
      <c r="AP139" s="292">
        <f t="shared" si="156"/>
        <v>0</v>
      </c>
      <c r="AQ139" s="292">
        <f t="shared" si="157"/>
        <v>0</v>
      </c>
      <c r="AR139" s="292">
        <f t="shared" si="158"/>
        <v>0</v>
      </c>
      <c r="AS139" s="292">
        <f t="shared" si="159"/>
        <v>0</v>
      </c>
      <c r="AT139" s="292">
        <f t="shared" si="160"/>
        <v>0</v>
      </c>
      <c r="AU139" s="292">
        <f t="shared" si="161"/>
        <v>0</v>
      </c>
      <c r="AV139" s="292">
        <f t="shared" si="162"/>
        <v>0</v>
      </c>
      <c r="AW139" s="292">
        <f t="shared" si="163"/>
        <v>0</v>
      </c>
      <c r="AX139" s="292">
        <f t="shared" si="164"/>
        <v>0</v>
      </c>
      <c r="AY139" s="292">
        <f t="shared" si="165"/>
        <v>0</v>
      </c>
      <c r="AZ139" s="292">
        <f t="shared" si="166"/>
        <v>0</v>
      </c>
      <c r="BA139" s="292">
        <f t="shared" si="167"/>
        <v>0</v>
      </c>
    </row>
    <row r="140" spans="1:53" s="289" customFormat="1" ht="16.5" customHeight="1">
      <c r="A140" s="63" t="str">
        <f t="array" ref="A140">IF(C140&lt;&gt;0,SUM(($C$11:C140&lt;&gt;0)*1),"")</f>
        <v/>
      </c>
      <c r="B140" s="290"/>
      <c r="C140" s="290"/>
      <c r="D140" s="290"/>
      <c r="E140" s="396"/>
      <c r="F140" s="345"/>
      <c r="G140" s="347"/>
      <c r="H140" s="347"/>
      <c r="I140" s="63" t="str">
        <f t="shared" si="129"/>
        <v/>
      </c>
      <c r="J140" s="292">
        <f t="shared" si="130"/>
        <v>0</v>
      </c>
      <c r="K140" s="292">
        <f t="shared" si="131"/>
        <v>0</v>
      </c>
      <c r="L140" s="292">
        <f t="shared" si="132"/>
        <v>0</v>
      </c>
      <c r="M140" s="292">
        <f t="shared" si="133"/>
        <v>0</v>
      </c>
      <c r="N140" s="292">
        <f t="shared" ref="N140:N203" si="168">IF($G140="1122",$F140,0)</f>
        <v>0</v>
      </c>
      <c r="O140" s="292">
        <f t="shared" ref="O140:O203" si="169">IF($H140="1122",$F140,0)</f>
        <v>0</v>
      </c>
      <c r="P140" s="292">
        <f t="shared" si="134"/>
        <v>0</v>
      </c>
      <c r="Q140" s="292">
        <f t="shared" si="135"/>
        <v>0</v>
      </c>
      <c r="R140" s="292">
        <f t="shared" si="136"/>
        <v>0</v>
      </c>
      <c r="S140" s="292">
        <f t="shared" si="137"/>
        <v>0</v>
      </c>
      <c r="T140" s="292">
        <f t="shared" ref="T140:T203" si="170">IF($G140="2412",$F140,0)</f>
        <v>0</v>
      </c>
      <c r="U140" s="292">
        <f t="shared" ref="U140:U203" si="171">IF($H140="2412",$F140,0)</f>
        <v>0</v>
      </c>
      <c r="V140" s="292">
        <f t="shared" si="138"/>
        <v>0</v>
      </c>
      <c r="W140" s="292">
        <f t="shared" si="139"/>
        <v>0</v>
      </c>
      <c r="X140" s="292">
        <f t="shared" si="140"/>
        <v>0</v>
      </c>
      <c r="Y140" s="292">
        <f t="shared" si="141"/>
        <v>0</v>
      </c>
      <c r="Z140" s="292">
        <f t="shared" si="142"/>
        <v>0</v>
      </c>
      <c r="AA140" s="292">
        <f t="shared" si="143"/>
        <v>0</v>
      </c>
      <c r="AB140" s="292">
        <f t="shared" si="144"/>
        <v>0</v>
      </c>
      <c r="AC140" s="292">
        <f t="shared" si="145"/>
        <v>0</v>
      </c>
      <c r="AD140" s="292">
        <f t="shared" si="146"/>
        <v>0</v>
      </c>
      <c r="AE140" s="292">
        <f t="shared" si="147"/>
        <v>0</v>
      </c>
      <c r="AF140" s="292">
        <f t="shared" ref="AF140:AF203" si="172">IF($G140="3412",$F140,0)</f>
        <v>0</v>
      </c>
      <c r="AG140" s="292">
        <f t="shared" ref="AG140:AG203" si="173">IF($H140="3412",$F140,0)</f>
        <v>0</v>
      </c>
      <c r="AH140" s="292">
        <f t="shared" si="148"/>
        <v>0</v>
      </c>
      <c r="AI140" s="292">
        <f t="shared" si="149"/>
        <v>0</v>
      </c>
      <c r="AJ140" s="292">
        <f t="shared" si="150"/>
        <v>0</v>
      </c>
      <c r="AK140" s="292">
        <f t="shared" si="151"/>
        <v>0</v>
      </c>
      <c r="AL140" s="292">
        <f t="shared" si="152"/>
        <v>0</v>
      </c>
      <c r="AM140" s="292">
        <f t="shared" si="153"/>
        <v>0</v>
      </c>
      <c r="AN140" s="292">
        <f t="shared" si="154"/>
        <v>0</v>
      </c>
      <c r="AO140" s="292">
        <f t="shared" si="155"/>
        <v>0</v>
      </c>
      <c r="AP140" s="292">
        <f t="shared" si="156"/>
        <v>0</v>
      </c>
      <c r="AQ140" s="292">
        <f t="shared" si="157"/>
        <v>0</v>
      </c>
      <c r="AR140" s="292">
        <f t="shared" si="158"/>
        <v>0</v>
      </c>
      <c r="AS140" s="292">
        <f t="shared" si="159"/>
        <v>0</v>
      </c>
      <c r="AT140" s="292">
        <f t="shared" si="160"/>
        <v>0</v>
      </c>
      <c r="AU140" s="292">
        <f t="shared" si="161"/>
        <v>0</v>
      </c>
      <c r="AV140" s="292">
        <f t="shared" si="162"/>
        <v>0</v>
      </c>
      <c r="AW140" s="292">
        <f t="shared" si="163"/>
        <v>0</v>
      </c>
      <c r="AX140" s="292">
        <f t="shared" si="164"/>
        <v>0</v>
      </c>
      <c r="AY140" s="292">
        <f t="shared" si="165"/>
        <v>0</v>
      </c>
      <c r="AZ140" s="292">
        <f t="shared" si="166"/>
        <v>0</v>
      </c>
      <c r="BA140" s="292">
        <f t="shared" si="167"/>
        <v>0</v>
      </c>
    </row>
    <row r="141" spans="1:53" s="289" customFormat="1" ht="16.5" customHeight="1">
      <c r="A141" s="63" t="str">
        <f t="array" ref="A141">IF(C141&lt;&gt;0,SUM(($C$11:C141&lt;&gt;0)*1),"")</f>
        <v/>
      </c>
      <c r="B141" s="290"/>
      <c r="C141" s="290"/>
      <c r="D141" s="290"/>
      <c r="E141" s="396"/>
      <c r="F141" s="345"/>
      <c r="G141" s="347"/>
      <c r="H141" s="347"/>
      <c r="I141" s="63" t="str">
        <f t="shared" si="129"/>
        <v/>
      </c>
      <c r="J141" s="292">
        <f t="shared" si="130"/>
        <v>0</v>
      </c>
      <c r="K141" s="292">
        <f t="shared" si="131"/>
        <v>0</v>
      </c>
      <c r="L141" s="292">
        <f t="shared" si="132"/>
        <v>0</v>
      </c>
      <c r="M141" s="292">
        <f t="shared" si="133"/>
        <v>0</v>
      </c>
      <c r="N141" s="292">
        <f t="shared" si="168"/>
        <v>0</v>
      </c>
      <c r="O141" s="292">
        <f t="shared" si="169"/>
        <v>0</v>
      </c>
      <c r="P141" s="292">
        <f t="shared" si="134"/>
        <v>0</v>
      </c>
      <c r="Q141" s="292">
        <f t="shared" si="135"/>
        <v>0</v>
      </c>
      <c r="R141" s="292">
        <f t="shared" si="136"/>
        <v>0</v>
      </c>
      <c r="S141" s="292">
        <f t="shared" si="137"/>
        <v>0</v>
      </c>
      <c r="T141" s="292">
        <f t="shared" si="170"/>
        <v>0</v>
      </c>
      <c r="U141" s="292">
        <f t="shared" si="171"/>
        <v>0</v>
      </c>
      <c r="V141" s="292">
        <f t="shared" si="138"/>
        <v>0</v>
      </c>
      <c r="W141" s="292">
        <f t="shared" si="139"/>
        <v>0</v>
      </c>
      <c r="X141" s="292">
        <f t="shared" si="140"/>
        <v>0</v>
      </c>
      <c r="Y141" s="292">
        <f t="shared" si="141"/>
        <v>0</v>
      </c>
      <c r="Z141" s="292">
        <f t="shared" si="142"/>
        <v>0</v>
      </c>
      <c r="AA141" s="292">
        <f t="shared" si="143"/>
        <v>0</v>
      </c>
      <c r="AB141" s="292">
        <f t="shared" si="144"/>
        <v>0</v>
      </c>
      <c r="AC141" s="292">
        <f t="shared" si="145"/>
        <v>0</v>
      </c>
      <c r="AD141" s="292">
        <f t="shared" si="146"/>
        <v>0</v>
      </c>
      <c r="AE141" s="292">
        <f t="shared" si="147"/>
        <v>0</v>
      </c>
      <c r="AF141" s="292">
        <f t="shared" si="172"/>
        <v>0</v>
      </c>
      <c r="AG141" s="292">
        <f t="shared" si="173"/>
        <v>0</v>
      </c>
      <c r="AH141" s="292">
        <f t="shared" si="148"/>
        <v>0</v>
      </c>
      <c r="AI141" s="292">
        <f t="shared" si="149"/>
        <v>0</v>
      </c>
      <c r="AJ141" s="292">
        <f t="shared" si="150"/>
        <v>0</v>
      </c>
      <c r="AK141" s="292">
        <f t="shared" si="151"/>
        <v>0</v>
      </c>
      <c r="AL141" s="292">
        <f t="shared" si="152"/>
        <v>0</v>
      </c>
      <c r="AM141" s="292">
        <f t="shared" si="153"/>
        <v>0</v>
      </c>
      <c r="AN141" s="292">
        <f t="shared" si="154"/>
        <v>0</v>
      </c>
      <c r="AO141" s="292">
        <f t="shared" si="155"/>
        <v>0</v>
      </c>
      <c r="AP141" s="292">
        <f t="shared" si="156"/>
        <v>0</v>
      </c>
      <c r="AQ141" s="292">
        <f t="shared" si="157"/>
        <v>0</v>
      </c>
      <c r="AR141" s="292">
        <f t="shared" si="158"/>
        <v>0</v>
      </c>
      <c r="AS141" s="292">
        <f t="shared" si="159"/>
        <v>0</v>
      </c>
      <c r="AT141" s="292">
        <f t="shared" si="160"/>
        <v>0</v>
      </c>
      <c r="AU141" s="292">
        <f t="shared" si="161"/>
        <v>0</v>
      </c>
      <c r="AV141" s="292">
        <f t="shared" si="162"/>
        <v>0</v>
      </c>
      <c r="AW141" s="292">
        <f t="shared" si="163"/>
        <v>0</v>
      </c>
      <c r="AX141" s="292">
        <f t="shared" si="164"/>
        <v>0</v>
      </c>
      <c r="AY141" s="292">
        <f t="shared" si="165"/>
        <v>0</v>
      </c>
      <c r="AZ141" s="292">
        <f t="shared" si="166"/>
        <v>0</v>
      </c>
      <c r="BA141" s="292">
        <f t="shared" si="167"/>
        <v>0</v>
      </c>
    </row>
    <row r="142" spans="1:53" s="289" customFormat="1" ht="16.5" customHeight="1">
      <c r="A142" s="63" t="str">
        <f t="array" ref="A142">IF(C142&lt;&gt;0,SUM(($C$11:C142&lt;&gt;0)*1),"")</f>
        <v/>
      </c>
      <c r="B142" s="290"/>
      <c r="C142" s="290"/>
      <c r="D142" s="290"/>
      <c r="E142" s="396"/>
      <c r="F142" s="345"/>
      <c r="G142" s="347"/>
      <c r="H142" s="347"/>
      <c r="I142" s="63" t="str">
        <f t="shared" si="129"/>
        <v/>
      </c>
      <c r="J142" s="292">
        <f t="shared" si="130"/>
        <v>0</v>
      </c>
      <c r="K142" s="292">
        <f t="shared" si="131"/>
        <v>0</v>
      </c>
      <c r="L142" s="292">
        <f t="shared" si="132"/>
        <v>0</v>
      </c>
      <c r="M142" s="292">
        <f t="shared" si="133"/>
        <v>0</v>
      </c>
      <c r="N142" s="292">
        <f t="shared" si="168"/>
        <v>0</v>
      </c>
      <c r="O142" s="292">
        <f t="shared" si="169"/>
        <v>0</v>
      </c>
      <c r="P142" s="292">
        <f t="shared" si="134"/>
        <v>0</v>
      </c>
      <c r="Q142" s="292">
        <f t="shared" si="135"/>
        <v>0</v>
      </c>
      <c r="R142" s="292">
        <f t="shared" si="136"/>
        <v>0</v>
      </c>
      <c r="S142" s="292">
        <f t="shared" si="137"/>
        <v>0</v>
      </c>
      <c r="T142" s="292">
        <f t="shared" si="170"/>
        <v>0</v>
      </c>
      <c r="U142" s="292">
        <f t="shared" si="171"/>
        <v>0</v>
      </c>
      <c r="V142" s="292">
        <f t="shared" si="138"/>
        <v>0</v>
      </c>
      <c r="W142" s="292">
        <f t="shared" si="139"/>
        <v>0</v>
      </c>
      <c r="X142" s="292">
        <f t="shared" si="140"/>
        <v>0</v>
      </c>
      <c r="Y142" s="292">
        <f t="shared" si="141"/>
        <v>0</v>
      </c>
      <c r="Z142" s="292">
        <f t="shared" si="142"/>
        <v>0</v>
      </c>
      <c r="AA142" s="292">
        <f t="shared" si="143"/>
        <v>0</v>
      </c>
      <c r="AB142" s="292">
        <f t="shared" si="144"/>
        <v>0</v>
      </c>
      <c r="AC142" s="292">
        <f t="shared" si="145"/>
        <v>0</v>
      </c>
      <c r="AD142" s="292">
        <f t="shared" si="146"/>
        <v>0</v>
      </c>
      <c r="AE142" s="292">
        <f t="shared" si="147"/>
        <v>0</v>
      </c>
      <c r="AF142" s="292">
        <f t="shared" si="172"/>
        <v>0</v>
      </c>
      <c r="AG142" s="292">
        <f t="shared" si="173"/>
        <v>0</v>
      </c>
      <c r="AH142" s="292">
        <f t="shared" si="148"/>
        <v>0</v>
      </c>
      <c r="AI142" s="292">
        <f t="shared" si="149"/>
        <v>0</v>
      </c>
      <c r="AJ142" s="292">
        <f t="shared" si="150"/>
        <v>0</v>
      </c>
      <c r="AK142" s="292">
        <f t="shared" si="151"/>
        <v>0</v>
      </c>
      <c r="AL142" s="292">
        <f t="shared" si="152"/>
        <v>0</v>
      </c>
      <c r="AM142" s="292">
        <f t="shared" si="153"/>
        <v>0</v>
      </c>
      <c r="AN142" s="292">
        <f t="shared" si="154"/>
        <v>0</v>
      </c>
      <c r="AO142" s="292">
        <f t="shared" si="155"/>
        <v>0</v>
      </c>
      <c r="AP142" s="292">
        <f t="shared" si="156"/>
        <v>0</v>
      </c>
      <c r="AQ142" s="292">
        <f t="shared" si="157"/>
        <v>0</v>
      </c>
      <c r="AR142" s="292">
        <f t="shared" si="158"/>
        <v>0</v>
      </c>
      <c r="AS142" s="292">
        <f t="shared" si="159"/>
        <v>0</v>
      </c>
      <c r="AT142" s="292">
        <f t="shared" si="160"/>
        <v>0</v>
      </c>
      <c r="AU142" s="292">
        <f t="shared" si="161"/>
        <v>0</v>
      </c>
      <c r="AV142" s="292">
        <f t="shared" si="162"/>
        <v>0</v>
      </c>
      <c r="AW142" s="292">
        <f t="shared" si="163"/>
        <v>0</v>
      </c>
      <c r="AX142" s="292">
        <f t="shared" si="164"/>
        <v>0</v>
      </c>
      <c r="AY142" s="292">
        <f t="shared" si="165"/>
        <v>0</v>
      </c>
      <c r="AZ142" s="292">
        <f t="shared" si="166"/>
        <v>0</v>
      </c>
      <c r="BA142" s="292">
        <f t="shared" si="167"/>
        <v>0</v>
      </c>
    </row>
    <row r="143" spans="1:53" s="289" customFormat="1" ht="16.5" customHeight="1">
      <c r="A143" s="63" t="str">
        <f t="array" ref="A143">IF(C143&lt;&gt;0,SUM(($C$11:C143&lt;&gt;0)*1),"")</f>
        <v/>
      </c>
      <c r="B143" s="290"/>
      <c r="C143" s="290"/>
      <c r="D143" s="290"/>
      <c r="E143" s="396"/>
      <c r="F143" s="345"/>
      <c r="G143" s="347"/>
      <c r="H143" s="347"/>
      <c r="I143" s="63" t="str">
        <f t="shared" si="129"/>
        <v/>
      </c>
      <c r="J143" s="292">
        <f t="shared" si="130"/>
        <v>0</v>
      </c>
      <c r="K143" s="292">
        <f t="shared" si="131"/>
        <v>0</v>
      </c>
      <c r="L143" s="292">
        <f t="shared" si="132"/>
        <v>0</v>
      </c>
      <c r="M143" s="292">
        <f t="shared" si="133"/>
        <v>0</v>
      </c>
      <c r="N143" s="292">
        <f t="shared" si="168"/>
        <v>0</v>
      </c>
      <c r="O143" s="292">
        <f t="shared" si="169"/>
        <v>0</v>
      </c>
      <c r="P143" s="292">
        <f t="shared" si="134"/>
        <v>0</v>
      </c>
      <c r="Q143" s="292">
        <f t="shared" si="135"/>
        <v>0</v>
      </c>
      <c r="R143" s="292">
        <f t="shared" si="136"/>
        <v>0</v>
      </c>
      <c r="S143" s="292">
        <f t="shared" si="137"/>
        <v>0</v>
      </c>
      <c r="T143" s="292">
        <f t="shared" si="170"/>
        <v>0</v>
      </c>
      <c r="U143" s="292">
        <f t="shared" si="171"/>
        <v>0</v>
      </c>
      <c r="V143" s="292">
        <f t="shared" si="138"/>
        <v>0</v>
      </c>
      <c r="W143" s="292">
        <f t="shared" si="139"/>
        <v>0</v>
      </c>
      <c r="X143" s="292">
        <f t="shared" si="140"/>
        <v>0</v>
      </c>
      <c r="Y143" s="292">
        <f t="shared" si="141"/>
        <v>0</v>
      </c>
      <c r="Z143" s="292">
        <f t="shared" si="142"/>
        <v>0</v>
      </c>
      <c r="AA143" s="292">
        <f t="shared" si="143"/>
        <v>0</v>
      </c>
      <c r="AB143" s="292">
        <f t="shared" si="144"/>
        <v>0</v>
      </c>
      <c r="AC143" s="292">
        <f t="shared" si="145"/>
        <v>0</v>
      </c>
      <c r="AD143" s="292">
        <f t="shared" si="146"/>
        <v>0</v>
      </c>
      <c r="AE143" s="292">
        <f t="shared" si="147"/>
        <v>0</v>
      </c>
      <c r="AF143" s="292">
        <f t="shared" si="172"/>
        <v>0</v>
      </c>
      <c r="AG143" s="292">
        <f t="shared" si="173"/>
        <v>0</v>
      </c>
      <c r="AH143" s="292">
        <f t="shared" si="148"/>
        <v>0</v>
      </c>
      <c r="AI143" s="292">
        <f t="shared" si="149"/>
        <v>0</v>
      </c>
      <c r="AJ143" s="292">
        <f t="shared" si="150"/>
        <v>0</v>
      </c>
      <c r="AK143" s="292">
        <f t="shared" si="151"/>
        <v>0</v>
      </c>
      <c r="AL143" s="292">
        <f t="shared" si="152"/>
        <v>0</v>
      </c>
      <c r="AM143" s="292">
        <f t="shared" si="153"/>
        <v>0</v>
      </c>
      <c r="AN143" s="292">
        <f t="shared" si="154"/>
        <v>0</v>
      </c>
      <c r="AO143" s="292">
        <f t="shared" si="155"/>
        <v>0</v>
      </c>
      <c r="AP143" s="292">
        <f t="shared" si="156"/>
        <v>0</v>
      </c>
      <c r="AQ143" s="292">
        <f t="shared" si="157"/>
        <v>0</v>
      </c>
      <c r="AR143" s="292">
        <f t="shared" si="158"/>
        <v>0</v>
      </c>
      <c r="AS143" s="292">
        <f t="shared" si="159"/>
        <v>0</v>
      </c>
      <c r="AT143" s="292">
        <f t="shared" si="160"/>
        <v>0</v>
      </c>
      <c r="AU143" s="292">
        <f t="shared" si="161"/>
        <v>0</v>
      </c>
      <c r="AV143" s="292">
        <f t="shared" si="162"/>
        <v>0</v>
      </c>
      <c r="AW143" s="292">
        <f t="shared" si="163"/>
        <v>0</v>
      </c>
      <c r="AX143" s="292">
        <f t="shared" si="164"/>
        <v>0</v>
      </c>
      <c r="AY143" s="292">
        <f t="shared" si="165"/>
        <v>0</v>
      </c>
      <c r="AZ143" s="292">
        <f t="shared" si="166"/>
        <v>0</v>
      </c>
      <c r="BA143" s="292">
        <f t="shared" si="167"/>
        <v>0</v>
      </c>
    </row>
    <row r="144" spans="1:53" s="289" customFormat="1" ht="16.5" customHeight="1">
      <c r="A144" s="63" t="str">
        <f t="array" ref="A144">IF(C144&lt;&gt;0,SUM(($C$11:C144&lt;&gt;0)*1),"")</f>
        <v/>
      </c>
      <c r="B144" s="290"/>
      <c r="C144" s="290"/>
      <c r="D144" s="290"/>
      <c r="E144" s="396"/>
      <c r="F144" s="345"/>
      <c r="G144" s="347"/>
      <c r="H144" s="347"/>
      <c r="I144" s="63" t="str">
        <f t="shared" si="129"/>
        <v/>
      </c>
      <c r="J144" s="292">
        <f t="shared" si="130"/>
        <v>0</v>
      </c>
      <c r="K144" s="292">
        <f t="shared" si="131"/>
        <v>0</v>
      </c>
      <c r="L144" s="292">
        <f t="shared" si="132"/>
        <v>0</v>
      </c>
      <c r="M144" s="292">
        <f t="shared" si="133"/>
        <v>0</v>
      </c>
      <c r="N144" s="292">
        <f t="shared" si="168"/>
        <v>0</v>
      </c>
      <c r="O144" s="292">
        <f t="shared" si="169"/>
        <v>0</v>
      </c>
      <c r="P144" s="292">
        <f t="shared" si="134"/>
        <v>0</v>
      </c>
      <c r="Q144" s="292">
        <f t="shared" si="135"/>
        <v>0</v>
      </c>
      <c r="R144" s="292">
        <f t="shared" si="136"/>
        <v>0</v>
      </c>
      <c r="S144" s="292">
        <f t="shared" si="137"/>
        <v>0</v>
      </c>
      <c r="T144" s="292">
        <f t="shared" si="170"/>
        <v>0</v>
      </c>
      <c r="U144" s="292">
        <f t="shared" si="171"/>
        <v>0</v>
      </c>
      <c r="V144" s="292">
        <f t="shared" si="138"/>
        <v>0</v>
      </c>
      <c r="W144" s="292">
        <f t="shared" si="139"/>
        <v>0</v>
      </c>
      <c r="X144" s="292">
        <f t="shared" si="140"/>
        <v>0</v>
      </c>
      <c r="Y144" s="292">
        <f t="shared" si="141"/>
        <v>0</v>
      </c>
      <c r="Z144" s="292">
        <f t="shared" si="142"/>
        <v>0</v>
      </c>
      <c r="AA144" s="292">
        <f t="shared" si="143"/>
        <v>0</v>
      </c>
      <c r="AB144" s="292">
        <f t="shared" si="144"/>
        <v>0</v>
      </c>
      <c r="AC144" s="292">
        <f t="shared" si="145"/>
        <v>0</v>
      </c>
      <c r="AD144" s="292">
        <f t="shared" si="146"/>
        <v>0</v>
      </c>
      <c r="AE144" s="292">
        <f t="shared" si="147"/>
        <v>0</v>
      </c>
      <c r="AF144" s="292">
        <f t="shared" si="172"/>
        <v>0</v>
      </c>
      <c r="AG144" s="292">
        <f t="shared" si="173"/>
        <v>0</v>
      </c>
      <c r="AH144" s="292">
        <f t="shared" si="148"/>
        <v>0</v>
      </c>
      <c r="AI144" s="292">
        <f t="shared" si="149"/>
        <v>0</v>
      </c>
      <c r="AJ144" s="292">
        <f t="shared" si="150"/>
        <v>0</v>
      </c>
      <c r="AK144" s="292">
        <f t="shared" si="151"/>
        <v>0</v>
      </c>
      <c r="AL144" s="292">
        <f t="shared" si="152"/>
        <v>0</v>
      </c>
      <c r="AM144" s="292">
        <f t="shared" si="153"/>
        <v>0</v>
      </c>
      <c r="AN144" s="292">
        <f t="shared" si="154"/>
        <v>0</v>
      </c>
      <c r="AO144" s="292">
        <f t="shared" si="155"/>
        <v>0</v>
      </c>
      <c r="AP144" s="292">
        <f t="shared" si="156"/>
        <v>0</v>
      </c>
      <c r="AQ144" s="292">
        <f t="shared" si="157"/>
        <v>0</v>
      </c>
      <c r="AR144" s="292">
        <f t="shared" si="158"/>
        <v>0</v>
      </c>
      <c r="AS144" s="292">
        <f t="shared" si="159"/>
        <v>0</v>
      </c>
      <c r="AT144" s="292">
        <f t="shared" si="160"/>
        <v>0</v>
      </c>
      <c r="AU144" s="292">
        <f t="shared" si="161"/>
        <v>0</v>
      </c>
      <c r="AV144" s="292">
        <f t="shared" si="162"/>
        <v>0</v>
      </c>
      <c r="AW144" s="292">
        <f t="shared" si="163"/>
        <v>0</v>
      </c>
      <c r="AX144" s="292">
        <f t="shared" si="164"/>
        <v>0</v>
      </c>
      <c r="AY144" s="292">
        <f t="shared" si="165"/>
        <v>0</v>
      </c>
      <c r="AZ144" s="292">
        <f t="shared" si="166"/>
        <v>0</v>
      </c>
      <c r="BA144" s="292">
        <f t="shared" si="167"/>
        <v>0</v>
      </c>
    </row>
    <row r="145" spans="1:53" s="289" customFormat="1" ht="16.5" customHeight="1">
      <c r="A145" s="63" t="str">
        <f t="array" ref="A145">IF(C145&lt;&gt;0,SUM(($C$11:C145&lt;&gt;0)*1),"")</f>
        <v/>
      </c>
      <c r="B145" s="290"/>
      <c r="C145" s="290"/>
      <c r="D145" s="290"/>
      <c r="E145" s="396"/>
      <c r="F145" s="345"/>
      <c r="G145" s="347"/>
      <c r="H145" s="347"/>
      <c r="I145" s="63" t="str">
        <f t="shared" si="129"/>
        <v/>
      </c>
      <c r="J145" s="292">
        <f t="shared" si="130"/>
        <v>0</v>
      </c>
      <c r="K145" s="292">
        <f t="shared" si="131"/>
        <v>0</v>
      </c>
      <c r="L145" s="292">
        <f t="shared" si="132"/>
        <v>0</v>
      </c>
      <c r="M145" s="292">
        <f t="shared" si="133"/>
        <v>0</v>
      </c>
      <c r="N145" s="292">
        <f t="shared" si="168"/>
        <v>0</v>
      </c>
      <c r="O145" s="292">
        <f t="shared" si="169"/>
        <v>0</v>
      </c>
      <c r="P145" s="292">
        <f t="shared" si="134"/>
        <v>0</v>
      </c>
      <c r="Q145" s="292">
        <f t="shared" si="135"/>
        <v>0</v>
      </c>
      <c r="R145" s="292">
        <f t="shared" si="136"/>
        <v>0</v>
      </c>
      <c r="S145" s="292">
        <f t="shared" si="137"/>
        <v>0</v>
      </c>
      <c r="T145" s="292">
        <f t="shared" si="170"/>
        <v>0</v>
      </c>
      <c r="U145" s="292">
        <f t="shared" si="171"/>
        <v>0</v>
      </c>
      <c r="V145" s="292">
        <f t="shared" si="138"/>
        <v>0</v>
      </c>
      <c r="W145" s="292">
        <f t="shared" si="139"/>
        <v>0</v>
      </c>
      <c r="X145" s="292">
        <f t="shared" si="140"/>
        <v>0</v>
      </c>
      <c r="Y145" s="292">
        <f t="shared" si="141"/>
        <v>0</v>
      </c>
      <c r="Z145" s="292">
        <f t="shared" si="142"/>
        <v>0</v>
      </c>
      <c r="AA145" s="292">
        <f t="shared" si="143"/>
        <v>0</v>
      </c>
      <c r="AB145" s="292">
        <f t="shared" si="144"/>
        <v>0</v>
      </c>
      <c r="AC145" s="292">
        <f t="shared" si="145"/>
        <v>0</v>
      </c>
      <c r="AD145" s="292">
        <f t="shared" si="146"/>
        <v>0</v>
      </c>
      <c r="AE145" s="292">
        <f t="shared" si="147"/>
        <v>0</v>
      </c>
      <c r="AF145" s="292">
        <f t="shared" si="172"/>
        <v>0</v>
      </c>
      <c r="AG145" s="292">
        <f t="shared" si="173"/>
        <v>0</v>
      </c>
      <c r="AH145" s="292">
        <f t="shared" si="148"/>
        <v>0</v>
      </c>
      <c r="AI145" s="292">
        <f t="shared" si="149"/>
        <v>0</v>
      </c>
      <c r="AJ145" s="292">
        <f t="shared" si="150"/>
        <v>0</v>
      </c>
      <c r="AK145" s="292">
        <f t="shared" si="151"/>
        <v>0</v>
      </c>
      <c r="AL145" s="292">
        <f t="shared" si="152"/>
        <v>0</v>
      </c>
      <c r="AM145" s="292">
        <f t="shared" si="153"/>
        <v>0</v>
      </c>
      <c r="AN145" s="292">
        <f t="shared" si="154"/>
        <v>0</v>
      </c>
      <c r="AO145" s="292">
        <f t="shared" si="155"/>
        <v>0</v>
      </c>
      <c r="AP145" s="292">
        <f t="shared" si="156"/>
        <v>0</v>
      </c>
      <c r="AQ145" s="292">
        <f t="shared" si="157"/>
        <v>0</v>
      </c>
      <c r="AR145" s="292">
        <f t="shared" si="158"/>
        <v>0</v>
      </c>
      <c r="AS145" s="292">
        <f t="shared" si="159"/>
        <v>0</v>
      </c>
      <c r="AT145" s="292">
        <f t="shared" si="160"/>
        <v>0</v>
      </c>
      <c r="AU145" s="292">
        <f t="shared" si="161"/>
        <v>0</v>
      </c>
      <c r="AV145" s="292">
        <f t="shared" si="162"/>
        <v>0</v>
      </c>
      <c r="AW145" s="292">
        <f t="shared" si="163"/>
        <v>0</v>
      </c>
      <c r="AX145" s="292">
        <f t="shared" si="164"/>
        <v>0</v>
      </c>
      <c r="AY145" s="292">
        <f t="shared" si="165"/>
        <v>0</v>
      </c>
      <c r="AZ145" s="292">
        <f t="shared" si="166"/>
        <v>0</v>
      </c>
      <c r="BA145" s="292">
        <f t="shared" si="167"/>
        <v>0</v>
      </c>
    </row>
    <row r="146" spans="1:53" s="289" customFormat="1" ht="16.5" customHeight="1">
      <c r="A146" s="63" t="str">
        <f t="array" ref="A146">IF(C146&lt;&gt;0,SUM(($C$11:C146&lt;&gt;0)*1),"")</f>
        <v/>
      </c>
      <c r="B146" s="290"/>
      <c r="C146" s="290"/>
      <c r="D146" s="290"/>
      <c r="E146" s="396"/>
      <c r="F146" s="345"/>
      <c r="G146" s="347"/>
      <c r="H146" s="347"/>
      <c r="I146" s="63" t="str">
        <f t="shared" si="129"/>
        <v/>
      </c>
      <c r="J146" s="292">
        <f t="shared" si="130"/>
        <v>0</v>
      </c>
      <c r="K146" s="292">
        <f t="shared" si="131"/>
        <v>0</v>
      </c>
      <c r="L146" s="292">
        <f t="shared" si="132"/>
        <v>0</v>
      </c>
      <c r="M146" s="292">
        <f t="shared" si="133"/>
        <v>0</v>
      </c>
      <c r="N146" s="292">
        <f t="shared" si="168"/>
        <v>0</v>
      </c>
      <c r="O146" s="292">
        <f t="shared" si="169"/>
        <v>0</v>
      </c>
      <c r="P146" s="292">
        <f t="shared" si="134"/>
        <v>0</v>
      </c>
      <c r="Q146" s="292">
        <f t="shared" si="135"/>
        <v>0</v>
      </c>
      <c r="R146" s="292">
        <f t="shared" si="136"/>
        <v>0</v>
      </c>
      <c r="S146" s="292">
        <f t="shared" si="137"/>
        <v>0</v>
      </c>
      <c r="T146" s="292">
        <f t="shared" si="170"/>
        <v>0</v>
      </c>
      <c r="U146" s="292">
        <f t="shared" si="171"/>
        <v>0</v>
      </c>
      <c r="V146" s="292">
        <f t="shared" si="138"/>
        <v>0</v>
      </c>
      <c r="W146" s="292">
        <f t="shared" si="139"/>
        <v>0</v>
      </c>
      <c r="X146" s="292">
        <f t="shared" si="140"/>
        <v>0</v>
      </c>
      <c r="Y146" s="292">
        <f t="shared" si="141"/>
        <v>0</v>
      </c>
      <c r="Z146" s="292">
        <f t="shared" si="142"/>
        <v>0</v>
      </c>
      <c r="AA146" s="292">
        <f t="shared" si="143"/>
        <v>0</v>
      </c>
      <c r="AB146" s="292">
        <f t="shared" si="144"/>
        <v>0</v>
      </c>
      <c r="AC146" s="292">
        <f t="shared" si="145"/>
        <v>0</v>
      </c>
      <c r="AD146" s="292">
        <f t="shared" si="146"/>
        <v>0</v>
      </c>
      <c r="AE146" s="292">
        <f t="shared" si="147"/>
        <v>0</v>
      </c>
      <c r="AF146" s="292">
        <f t="shared" si="172"/>
        <v>0</v>
      </c>
      <c r="AG146" s="292">
        <f t="shared" si="173"/>
        <v>0</v>
      </c>
      <c r="AH146" s="292">
        <f t="shared" si="148"/>
        <v>0</v>
      </c>
      <c r="AI146" s="292">
        <f t="shared" si="149"/>
        <v>0</v>
      </c>
      <c r="AJ146" s="292">
        <f t="shared" si="150"/>
        <v>0</v>
      </c>
      <c r="AK146" s="292">
        <f t="shared" si="151"/>
        <v>0</v>
      </c>
      <c r="AL146" s="292">
        <f t="shared" si="152"/>
        <v>0</v>
      </c>
      <c r="AM146" s="292">
        <f t="shared" si="153"/>
        <v>0</v>
      </c>
      <c r="AN146" s="292">
        <f t="shared" si="154"/>
        <v>0</v>
      </c>
      <c r="AO146" s="292">
        <f t="shared" si="155"/>
        <v>0</v>
      </c>
      <c r="AP146" s="292">
        <f t="shared" si="156"/>
        <v>0</v>
      </c>
      <c r="AQ146" s="292">
        <f t="shared" si="157"/>
        <v>0</v>
      </c>
      <c r="AR146" s="292">
        <f t="shared" si="158"/>
        <v>0</v>
      </c>
      <c r="AS146" s="292">
        <f t="shared" si="159"/>
        <v>0</v>
      </c>
      <c r="AT146" s="292">
        <f t="shared" si="160"/>
        <v>0</v>
      </c>
      <c r="AU146" s="292">
        <f t="shared" si="161"/>
        <v>0</v>
      </c>
      <c r="AV146" s="292">
        <f t="shared" si="162"/>
        <v>0</v>
      </c>
      <c r="AW146" s="292">
        <f t="shared" si="163"/>
        <v>0</v>
      </c>
      <c r="AX146" s="292">
        <f t="shared" si="164"/>
        <v>0</v>
      </c>
      <c r="AY146" s="292">
        <f t="shared" si="165"/>
        <v>0</v>
      </c>
      <c r="AZ146" s="292">
        <f t="shared" si="166"/>
        <v>0</v>
      </c>
      <c r="BA146" s="292">
        <f t="shared" si="167"/>
        <v>0</v>
      </c>
    </row>
    <row r="147" spans="1:53" s="289" customFormat="1" ht="16.5" customHeight="1">
      <c r="A147" s="63" t="str">
        <f t="array" ref="A147">IF(C147&lt;&gt;0,SUM(($C$11:C147&lt;&gt;0)*1),"")</f>
        <v/>
      </c>
      <c r="B147" s="290"/>
      <c r="C147" s="290"/>
      <c r="D147" s="290"/>
      <c r="E147" s="396"/>
      <c r="F147" s="345"/>
      <c r="G147" s="347"/>
      <c r="H147" s="347"/>
      <c r="I147" s="63" t="str">
        <f t="shared" si="129"/>
        <v/>
      </c>
      <c r="J147" s="292">
        <f t="shared" si="130"/>
        <v>0</v>
      </c>
      <c r="K147" s="292">
        <f t="shared" si="131"/>
        <v>0</v>
      </c>
      <c r="L147" s="292">
        <f t="shared" si="132"/>
        <v>0</v>
      </c>
      <c r="M147" s="292">
        <f t="shared" si="133"/>
        <v>0</v>
      </c>
      <c r="N147" s="292">
        <f t="shared" si="168"/>
        <v>0</v>
      </c>
      <c r="O147" s="292">
        <f t="shared" si="169"/>
        <v>0</v>
      </c>
      <c r="P147" s="292">
        <f t="shared" si="134"/>
        <v>0</v>
      </c>
      <c r="Q147" s="292">
        <f t="shared" si="135"/>
        <v>0</v>
      </c>
      <c r="R147" s="292">
        <f t="shared" si="136"/>
        <v>0</v>
      </c>
      <c r="S147" s="292">
        <f t="shared" si="137"/>
        <v>0</v>
      </c>
      <c r="T147" s="292">
        <f t="shared" si="170"/>
        <v>0</v>
      </c>
      <c r="U147" s="292">
        <f t="shared" si="171"/>
        <v>0</v>
      </c>
      <c r="V147" s="292">
        <f t="shared" si="138"/>
        <v>0</v>
      </c>
      <c r="W147" s="292">
        <f t="shared" si="139"/>
        <v>0</v>
      </c>
      <c r="X147" s="292">
        <f t="shared" si="140"/>
        <v>0</v>
      </c>
      <c r="Y147" s="292">
        <f t="shared" si="141"/>
        <v>0</v>
      </c>
      <c r="Z147" s="292">
        <f t="shared" si="142"/>
        <v>0</v>
      </c>
      <c r="AA147" s="292">
        <f t="shared" si="143"/>
        <v>0</v>
      </c>
      <c r="AB147" s="292">
        <f t="shared" si="144"/>
        <v>0</v>
      </c>
      <c r="AC147" s="292">
        <f t="shared" si="145"/>
        <v>0</v>
      </c>
      <c r="AD147" s="292">
        <f t="shared" si="146"/>
        <v>0</v>
      </c>
      <c r="AE147" s="292">
        <f t="shared" si="147"/>
        <v>0</v>
      </c>
      <c r="AF147" s="292">
        <f t="shared" si="172"/>
        <v>0</v>
      </c>
      <c r="AG147" s="292">
        <f t="shared" si="173"/>
        <v>0</v>
      </c>
      <c r="AH147" s="292">
        <f t="shared" si="148"/>
        <v>0</v>
      </c>
      <c r="AI147" s="292">
        <f t="shared" si="149"/>
        <v>0</v>
      </c>
      <c r="AJ147" s="292">
        <f t="shared" si="150"/>
        <v>0</v>
      </c>
      <c r="AK147" s="292">
        <f t="shared" si="151"/>
        <v>0</v>
      </c>
      <c r="AL147" s="292">
        <f t="shared" si="152"/>
        <v>0</v>
      </c>
      <c r="AM147" s="292">
        <f t="shared" si="153"/>
        <v>0</v>
      </c>
      <c r="AN147" s="292">
        <f t="shared" si="154"/>
        <v>0</v>
      </c>
      <c r="AO147" s="292">
        <f t="shared" si="155"/>
        <v>0</v>
      </c>
      <c r="AP147" s="292">
        <f t="shared" si="156"/>
        <v>0</v>
      </c>
      <c r="AQ147" s="292">
        <f t="shared" si="157"/>
        <v>0</v>
      </c>
      <c r="AR147" s="292">
        <f t="shared" si="158"/>
        <v>0</v>
      </c>
      <c r="AS147" s="292">
        <f t="shared" si="159"/>
        <v>0</v>
      </c>
      <c r="AT147" s="292">
        <f t="shared" si="160"/>
        <v>0</v>
      </c>
      <c r="AU147" s="292">
        <f t="shared" si="161"/>
        <v>0</v>
      </c>
      <c r="AV147" s="292">
        <f t="shared" si="162"/>
        <v>0</v>
      </c>
      <c r="AW147" s="292">
        <f t="shared" si="163"/>
        <v>0</v>
      </c>
      <c r="AX147" s="292">
        <f t="shared" si="164"/>
        <v>0</v>
      </c>
      <c r="AY147" s="292">
        <f t="shared" si="165"/>
        <v>0</v>
      </c>
      <c r="AZ147" s="292">
        <f t="shared" si="166"/>
        <v>0</v>
      </c>
      <c r="BA147" s="292">
        <f t="shared" si="167"/>
        <v>0</v>
      </c>
    </row>
    <row r="148" spans="1:53" s="289" customFormat="1" ht="16.5" customHeight="1">
      <c r="A148" s="63" t="str">
        <f t="array" ref="A148">IF(C148&lt;&gt;0,SUM(($C$11:C148&lt;&gt;0)*1),"")</f>
        <v/>
      </c>
      <c r="B148" s="290"/>
      <c r="C148" s="290"/>
      <c r="D148" s="290"/>
      <c r="E148" s="396"/>
      <c r="F148" s="345"/>
      <c r="G148" s="347"/>
      <c r="H148" s="347"/>
      <c r="I148" s="63" t="str">
        <f t="shared" si="129"/>
        <v/>
      </c>
      <c r="J148" s="292">
        <f t="shared" si="130"/>
        <v>0</v>
      </c>
      <c r="K148" s="292">
        <f t="shared" si="131"/>
        <v>0</v>
      </c>
      <c r="L148" s="292">
        <f t="shared" si="132"/>
        <v>0</v>
      </c>
      <c r="M148" s="292">
        <f t="shared" si="133"/>
        <v>0</v>
      </c>
      <c r="N148" s="292">
        <f t="shared" si="168"/>
        <v>0</v>
      </c>
      <c r="O148" s="292">
        <f t="shared" si="169"/>
        <v>0</v>
      </c>
      <c r="P148" s="292">
        <f t="shared" si="134"/>
        <v>0</v>
      </c>
      <c r="Q148" s="292">
        <f t="shared" si="135"/>
        <v>0</v>
      </c>
      <c r="R148" s="292">
        <f t="shared" si="136"/>
        <v>0</v>
      </c>
      <c r="S148" s="292">
        <f t="shared" si="137"/>
        <v>0</v>
      </c>
      <c r="T148" s="292">
        <f t="shared" si="170"/>
        <v>0</v>
      </c>
      <c r="U148" s="292">
        <f t="shared" si="171"/>
        <v>0</v>
      </c>
      <c r="V148" s="292">
        <f t="shared" si="138"/>
        <v>0</v>
      </c>
      <c r="W148" s="292">
        <f t="shared" si="139"/>
        <v>0</v>
      </c>
      <c r="X148" s="292">
        <f t="shared" si="140"/>
        <v>0</v>
      </c>
      <c r="Y148" s="292">
        <f t="shared" si="141"/>
        <v>0</v>
      </c>
      <c r="Z148" s="292">
        <f t="shared" si="142"/>
        <v>0</v>
      </c>
      <c r="AA148" s="292">
        <f t="shared" si="143"/>
        <v>0</v>
      </c>
      <c r="AB148" s="292">
        <f t="shared" si="144"/>
        <v>0</v>
      </c>
      <c r="AC148" s="292">
        <f t="shared" si="145"/>
        <v>0</v>
      </c>
      <c r="AD148" s="292">
        <f t="shared" si="146"/>
        <v>0</v>
      </c>
      <c r="AE148" s="292">
        <f t="shared" si="147"/>
        <v>0</v>
      </c>
      <c r="AF148" s="292">
        <f t="shared" si="172"/>
        <v>0</v>
      </c>
      <c r="AG148" s="292">
        <f t="shared" si="173"/>
        <v>0</v>
      </c>
      <c r="AH148" s="292">
        <f t="shared" si="148"/>
        <v>0</v>
      </c>
      <c r="AI148" s="292">
        <f t="shared" si="149"/>
        <v>0</v>
      </c>
      <c r="AJ148" s="292">
        <f t="shared" si="150"/>
        <v>0</v>
      </c>
      <c r="AK148" s="292">
        <f t="shared" si="151"/>
        <v>0</v>
      </c>
      <c r="AL148" s="292">
        <f t="shared" si="152"/>
        <v>0</v>
      </c>
      <c r="AM148" s="292">
        <f t="shared" si="153"/>
        <v>0</v>
      </c>
      <c r="AN148" s="292">
        <f t="shared" si="154"/>
        <v>0</v>
      </c>
      <c r="AO148" s="292">
        <f t="shared" si="155"/>
        <v>0</v>
      </c>
      <c r="AP148" s="292">
        <f t="shared" si="156"/>
        <v>0</v>
      </c>
      <c r="AQ148" s="292">
        <f t="shared" si="157"/>
        <v>0</v>
      </c>
      <c r="AR148" s="292">
        <f t="shared" si="158"/>
        <v>0</v>
      </c>
      <c r="AS148" s="292">
        <f t="shared" si="159"/>
        <v>0</v>
      </c>
      <c r="AT148" s="292">
        <f t="shared" si="160"/>
        <v>0</v>
      </c>
      <c r="AU148" s="292">
        <f t="shared" si="161"/>
        <v>0</v>
      </c>
      <c r="AV148" s="292">
        <f t="shared" si="162"/>
        <v>0</v>
      </c>
      <c r="AW148" s="292">
        <f t="shared" si="163"/>
        <v>0</v>
      </c>
      <c r="AX148" s="292">
        <f t="shared" si="164"/>
        <v>0</v>
      </c>
      <c r="AY148" s="292">
        <f t="shared" si="165"/>
        <v>0</v>
      </c>
      <c r="AZ148" s="292">
        <f t="shared" si="166"/>
        <v>0</v>
      </c>
      <c r="BA148" s="292">
        <f t="shared" si="167"/>
        <v>0</v>
      </c>
    </row>
    <row r="149" spans="1:53" s="289" customFormat="1" ht="16.5" customHeight="1">
      <c r="A149" s="63" t="str">
        <f t="array" ref="A149">IF(C149&lt;&gt;0,SUM(($C$11:C149&lt;&gt;0)*1),"")</f>
        <v/>
      </c>
      <c r="B149" s="290"/>
      <c r="C149" s="290"/>
      <c r="D149" s="290"/>
      <c r="E149" s="396"/>
      <c r="F149" s="345"/>
      <c r="G149" s="347"/>
      <c r="H149" s="347"/>
      <c r="I149" s="63" t="str">
        <f t="shared" si="129"/>
        <v/>
      </c>
      <c r="J149" s="292">
        <f t="shared" si="130"/>
        <v>0</v>
      </c>
      <c r="K149" s="292">
        <f t="shared" si="131"/>
        <v>0</v>
      </c>
      <c r="L149" s="292">
        <f t="shared" si="132"/>
        <v>0</v>
      </c>
      <c r="M149" s="292">
        <f t="shared" si="133"/>
        <v>0</v>
      </c>
      <c r="N149" s="292">
        <f t="shared" si="168"/>
        <v>0</v>
      </c>
      <c r="O149" s="292">
        <f t="shared" si="169"/>
        <v>0</v>
      </c>
      <c r="P149" s="292">
        <f t="shared" si="134"/>
        <v>0</v>
      </c>
      <c r="Q149" s="292">
        <f t="shared" si="135"/>
        <v>0</v>
      </c>
      <c r="R149" s="292">
        <f t="shared" si="136"/>
        <v>0</v>
      </c>
      <c r="S149" s="292">
        <f t="shared" si="137"/>
        <v>0</v>
      </c>
      <c r="T149" s="292">
        <f t="shared" si="170"/>
        <v>0</v>
      </c>
      <c r="U149" s="292">
        <f t="shared" si="171"/>
        <v>0</v>
      </c>
      <c r="V149" s="292">
        <f t="shared" si="138"/>
        <v>0</v>
      </c>
      <c r="W149" s="292">
        <f t="shared" si="139"/>
        <v>0</v>
      </c>
      <c r="X149" s="292">
        <f t="shared" si="140"/>
        <v>0</v>
      </c>
      <c r="Y149" s="292">
        <f t="shared" si="141"/>
        <v>0</v>
      </c>
      <c r="Z149" s="292">
        <f t="shared" si="142"/>
        <v>0</v>
      </c>
      <c r="AA149" s="292">
        <f t="shared" si="143"/>
        <v>0</v>
      </c>
      <c r="AB149" s="292">
        <f t="shared" si="144"/>
        <v>0</v>
      </c>
      <c r="AC149" s="292">
        <f t="shared" si="145"/>
        <v>0</v>
      </c>
      <c r="AD149" s="292">
        <f t="shared" si="146"/>
        <v>0</v>
      </c>
      <c r="AE149" s="292">
        <f t="shared" si="147"/>
        <v>0</v>
      </c>
      <c r="AF149" s="292">
        <f t="shared" si="172"/>
        <v>0</v>
      </c>
      <c r="AG149" s="292">
        <f t="shared" si="173"/>
        <v>0</v>
      </c>
      <c r="AH149" s="292">
        <f t="shared" si="148"/>
        <v>0</v>
      </c>
      <c r="AI149" s="292">
        <f t="shared" si="149"/>
        <v>0</v>
      </c>
      <c r="AJ149" s="292">
        <f t="shared" si="150"/>
        <v>0</v>
      </c>
      <c r="AK149" s="292">
        <f t="shared" si="151"/>
        <v>0</v>
      </c>
      <c r="AL149" s="292">
        <f t="shared" si="152"/>
        <v>0</v>
      </c>
      <c r="AM149" s="292">
        <f t="shared" si="153"/>
        <v>0</v>
      </c>
      <c r="AN149" s="292">
        <f t="shared" si="154"/>
        <v>0</v>
      </c>
      <c r="AO149" s="292">
        <f t="shared" si="155"/>
        <v>0</v>
      </c>
      <c r="AP149" s="292">
        <f t="shared" si="156"/>
        <v>0</v>
      </c>
      <c r="AQ149" s="292">
        <f t="shared" si="157"/>
        <v>0</v>
      </c>
      <c r="AR149" s="292">
        <f t="shared" si="158"/>
        <v>0</v>
      </c>
      <c r="AS149" s="292">
        <f t="shared" si="159"/>
        <v>0</v>
      </c>
      <c r="AT149" s="292">
        <f t="shared" si="160"/>
        <v>0</v>
      </c>
      <c r="AU149" s="292">
        <f t="shared" si="161"/>
        <v>0</v>
      </c>
      <c r="AV149" s="292">
        <f t="shared" si="162"/>
        <v>0</v>
      </c>
      <c r="AW149" s="292">
        <f t="shared" si="163"/>
        <v>0</v>
      </c>
      <c r="AX149" s="292">
        <f t="shared" si="164"/>
        <v>0</v>
      </c>
      <c r="AY149" s="292">
        <f t="shared" si="165"/>
        <v>0</v>
      </c>
      <c r="AZ149" s="292">
        <f t="shared" si="166"/>
        <v>0</v>
      </c>
      <c r="BA149" s="292">
        <f t="shared" si="167"/>
        <v>0</v>
      </c>
    </row>
    <row r="150" spans="1:53" s="289" customFormat="1" ht="16.5" customHeight="1">
      <c r="A150" s="63" t="str">
        <f t="array" ref="A150">IF(C150&lt;&gt;0,SUM(($C$11:C150&lt;&gt;0)*1),"")</f>
        <v/>
      </c>
      <c r="B150" s="290"/>
      <c r="C150" s="290"/>
      <c r="D150" s="290"/>
      <c r="E150" s="396"/>
      <c r="F150" s="345"/>
      <c r="G150" s="347"/>
      <c r="H150" s="347"/>
      <c r="I150" s="63" t="str">
        <f t="shared" si="129"/>
        <v/>
      </c>
      <c r="J150" s="292">
        <f t="shared" si="130"/>
        <v>0</v>
      </c>
      <c r="K150" s="292">
        <f t="shared" si="131"/>
        <v>0</v>
      </c>
      <c r="L150" s="292">
        <f t="shared" si="132"/>
        <v>0</v>
      </c>
      <c r="M150" s="292">
        <f t="shared" si="133"/>
        <v>0</v>
      </c>
      <c r="N150" s="292">
        <f t="shared" si="168"/>
        <v>0</v>
      </c>
      <c r="O150" s="292">
        <f t="shared" si="169"/>
        <v>0</v>
      </c>
      <c r="P150" s="292">
        <f t="shared" si="134"/>
        <v>0</v>
      </c>
      <c r="Q150" s="292">
        <f t="shared" si="135"/>
        <v>0</v>
      </c>
      <c r="R150" s="292">
        <f t="shared" si="136"/>
        <v>0</v>
      </c>
      <c r="S150" s="292">
        <f t="shared" si="137"/>
        <v>0</v>
      </c>
      <c r="T150" s="292">
        <f t="shared" si="170"/>
        <v>0</v>
      </c>
      <c r="U150" s="292">
        <f t="shared" si="171"/>
        <v>0</v>
      </c>
      <c r="V150" s="292">
        <f t="shared" si="138"/>
        <v>0</v>
      </c>
      <c r="W150" s="292">
        <f t="shared" si="139"/>
        <v>0</v>
      </c>
      <c r="X150" s="292">
        <f t="shared" si="140"/>
        <v>0</v>
      </c>
      <c r="Y150" s="292">
        <f t="shared" si="141"/>
        <v>0</v>
      </c>
      <c r="Z150" s="292">
        <f t="shared" si="142"/>
        <v>0</v>
      </c>
      <c r="AA150" s="292">
        <f t="shared" si="143"/>
        <v>0</v>
      </c>
      <c r="AB150" s="292">
        <f t="shared" si="144"/>
        <v>0</v>
      </c>
      <c r="AC150" s="292">
        <f t="shared" si="145"/>
        <v>0</v>
      </c>
      <c r="AD150" s="292">
        <f t="shared" si="146"/>
        <v>0</v>
      </c>
      <c r="AE150" s="292">
        <f t="shared" si="147"/>
        <v>0</v>
      </c>
      <c r="AF150" s="292">
        <f t="shared" si="172"/>
        <v>0</v>
      </c>
      <c r="AG150" s="292">
        <f t="shared" si="173"/>
        <v>0</v>
      </c>
      <c r="AH150" s="292">
        <f t="shared" si="148"/>
        <v>0</v>
      </c>
      <c r="AI150" s="292">
        <f t="shared" si="149"/>
        <v>0</v>
      </c>
      <c r="AJ150" s="292">
        <f t="shared" si="150"/>
        <v>0</v>
      </c>
      <c r="AK150" s="292">
        <f t="shared" si="151"/>
        <v>0</v>
      </c>
      <c r="AL150" s="292">
        <f t="shared" si="152"/>
        <v>0</v>
      </c>
      <c r="AM150" s="292">
        <f t="shared" si="153"/>
        <v>0</v>
      </c>
      <c r="AN150" s="292">
        <f t="shared" si="154"/>
        <v>0</v>
      </c>
      <c r="AO150" s="292">
        <f t="shared" si="155"/>
        <v>0</v>
      </c>
      <c r="AP150" s="292">
        <f t="shared" si="156"/>
        <v>0</v>
      </c>
      <c r="AQ150" s="292">
        <f t="shared" si="157"/>
        <v>0</v>
      </c>
      <c r="AR150" s="292">
        <f t="shared" si="158"/>
        <v>0</v>
      </c>
      <c r="AS150" s="292">
        <f t="shared" si="159"/>
        <v>0</v>
      </c>
      <c r="AT150" s="292">
        <f t="shared" si="160"/>
        <v>0</v>
      </c>
      <c r="AU150" s="292">
        <f t="shared" si="161"/>
        <v>0</v>
      </c>
      <c r="AV150" s="292">
        <f t="shared" si="162"/>
        <v>0</v>
      </c>
      <c r="AW150" s="292">
        <f t="shared" si="163"/>
        <v>0</v>
      </c>
      <c r="AX150" s="292">
        <f t="shared" si="164"/>
        <v>0</v>
      </c>
      <c r="AY150" s="292">
        <f t="shared" si="165"/>
        <v>0</v>
      </c>
      <c r="AZ150" s="292">
        <f t="shared" si="166"/>
        <v>0</v>
      </c>
      <c r="BA150" s="292">
        <f t="shared" si="167"/>
        <v>0</v>
      </c>
    </row>
    <row r="151" spans="1:53" s="289" customFormat="1" ht="16.5" customHeight="1">
      <c r="A151" s="63" t="str">
        <f t="array" ref="A151">IF(C151&lt;&gt;0,SUM(($C$11:C151&lt;&gt;0)*1),"")</f>
        <v/>
      </c>
      <c r="B151" s="290"/>
      <c r="C151" s="290"/>
      <c r="D151" s="290"/>
      <c r="E151" s="396"/>
      <c r="F151" s="345"/>
      <c r="G151" s="347"/>
      <c r="H151" s="347"/>
      <c r="I151" s="63" t="str">
        <f t="shared" si="129"/>
        <v/>
      </c>
      <c r="J151" s="292">
        <f t="shared" si="130"/>
        <v>0</v>
      </c>
      <c r="K151" s="292">
        <f t="shared" si="131"/>
        <v>0</v>
      </c>
      <c r="L151" s="292">
        <f t="shared" si="132"/>
        <v>0</v>
      </c>
      <c r="M151" s="292">
        <f t="shared" si="133"/>
        <v>0</v>
      </c>
      <c r="N151" s="292">
        <f t="shared" si="168"/>
        <v>0</v>
      </c>
      <c r="O151" s="292">
        <f t="shared" si="169"/>
        <v>0</v>
      </c>
      <c r="P151" s="292">
        <f t="shared" si="134"/>
        <v>0</v>
      </c>
      <c r="Q151" s="292">
        <f t="shared" si="135"/>
        <v>0</v>
      </c>
      <c r="R151" s="292">
        <f t="shared" si="136"/>
        <v>0</v>
      </c>
      <c r="S151" s="292">
        <f t="shared" si="137"/>
        <v>0</v>
      </c>
      <c r="T151" s="292">
        <f t="shared" si="170"/>
        <v>0</v>
      </c>
      <c r="U151" s="292">
        <f t="shared" si="171"/>
        <v>0</v>
      </c>
      <c r="V151" s="292">
        <f t="shared" si="138"/>
        <v>0</v>
      </c>
      <c r="W151" s="292">
        <f t="shared" si="139"/>
        <v>0</v>
      </c>
      <c r="X151" s="292">
        <f t="shared" si="140"/>
        <v>0</v>
      </c>
      <c r="Y151" s="292">
        <f t="shared" si="141"/>
        <v>0</v>
      </c>
      <c r="Z151" s="292">
        <f t="shared" si="142"/>
        <v>0</v>
      </c>
      <c r="AA151" s="292">
        <f t="shared" si="143"/>
        <v>0</v>
      </c>
      <c r="AB151" s="292">
        <f t="shared" si="144"/>
        <v>0</v>
      </c>
      <c r="AC151" s="292">
        <f t="shared" si="145"/>
        <v>0</v>
      </c>
      <c r="AD151" s="292">
        <f t="shared" si="146"/>
        <v>0</v>
      </c>
      <c r="AE151" s="292">
        <f t="shared" si="147"/>
        <v>0</v>
      </c>
      <c r="AF151" s="292">
        <f t="shared" si="172"/>
        <v>0</v>
      </c>
      <c r="AG151" s="292">
        <f t="shared" si="173"/>
        <v>0</v>
      </c>
      <c r="AH151" s="292">
        <f t="shared" si="148"/>
        <v>0</v>
      </c>
      <c r="AI151" s="292">
        <f t="shared" si="149"/>
        <v>0</v>
      </c>
      <c r="AJ151" s="292">
        <f t="shared" si="150"/>
        <v>0</v>
      </c>
      <c r="AK151" s="292">
        <f t="shared" si="151"/>
        <v>0</v>
      </c>
      <c r="AL151" s="292">
        <f t="shared" si="152"/>
        <v>0</v>
      </c>
      <c r="AM151" s="292">
        <f t="shared" si="153"/>
        <v>0</v>
      </c>
      <c r="AN151" s="292">
        <f t="shared" si="154"/>
        <v>0</v>
      </c>
      <c r="AO151" s="292">
        <f t="shared" si="155"/>
        <v>0</v>
      </c>
      <c r="AP151" s="292">
        <f t="shared" si="156"/>
        <v>0</v>
      </c>
      <c r="AQ151" s="292">
        <f t="shared" si="157"/>
        <v>0</v>
      </c>
      <c r="AR151" s="292">
        <f t="shared" si="158"/>
        <v>0</v>
      </c>
      <c r="AS151" s="292">
        <f t="shared" si="159"/>
        <v>0</v>
      </c>
      <c r="AT151" s="292">
        <f t="shared" si="160"/>
        <v>0</v>
      </c>
      <c r="AU151" s="292">
        <f t="shared" si="161"/>
        <v>0</v>
      </c>
      <c r="AV151" s="292">
        <f t="shared" si="162"/>
        <v>0</v>
      </c>
      <c r="AW151" s="292">
        <f t="shared" si="163"/>
        <v>0</v>
      </c>
      <c r="AX151" s="292">
        <f t="shared" si="164"/>
        <v>0</v>
      </c>
      <c r="AY151" s="292">
        <f t="shared" si="165"/>
        <v>0</v>
      </c>
      <c r="AZ151" s="292">
        <f t="shared" si="166"/>
        <v>0</v>
      </c>
      <c r="BA151" s="292">
        <f t="shared" si="167"/>
        <v>0</v>
      </c>
    </row>
    <row r="152" spans="1:53" s="289" customFormat="1" ht="16.5" customHeight="1">
      <c r="A152" s="63" t="str">
        <f t="array" ref="A152">IF(C152&lt;&gt;0,SUM(($C$11:C152&lt;&gt;0)*1),"")</f>
        <v/>
      </c>
      <c r="B152" s="290"/>
      <c r="C152" s="290"/>
      <c r="D152" s="290"/>
      <c r="E152" s="396"/>
      <c r="F152" s="345"/>
      <c r="G152" s="347"/>
      <c r="H152" s="347"/>
      <c r="I152" s="63" t="str">
        <f t="shared" si="129"/>
        <v/>
      </c>
      <c r="J152" s="292">
        <f t="shared" si="130"/>
        <v>0</v>
      </c>
      <c r="K152" s="292">
        <f t="shared" si="131"/>
        <v>0</v>
      </c>
      <c r="L152" s="292">
        <f t="shared" si="132"/>
        <v>0</v>
      </c>
      <c r="M152" s="292">
        <f t="shared" si="133"/>
        <v>0</v>
      </c>
      <c r="N152" s="292">
        <f t="shared" si="168"/>
        <v>0</v>
      </c>
      <c r="O152" s="292">
        <f t="shared" si="169"/>
        <v>0</v>
      </c>
      <c r="P152" s="292">
        <f t="shared" si="134"/>
        <v>0</v>
      </c>
      <c r="Q152" s="292">
        <f t="shared" si="135"/>
        <v>0</v>
      </c>
      <c r="R152" s="292">
        <f t="shared" si="136"/>
        <v>0</v>
      </c>
      <c r="S152" s="292">
        <f t="shared" si="137"/>
        <v>0</v>
      </c>
      <c r="T152" s="292">
        <f t="shared" si="170"/>
        <v>0</v>
      </c>
      <c r="U152" s="292">
        <f t="shared" si="171"/>
        <v>0</v>
      </c>
      <c r="V152" s="292">
        <f t="shared" si="138"/>
        <v>0</v>
      </c>
      <c r="W152" s="292">
        <f t="shared" si="139"/>
        <v>0</v>
      </c>
      <c r="X152" s="292">
        <f t="shared" si="140"/>
        <v>0</v>
      </c>
      <c r="Y152" s="292">
        <f t="shared" si="141"/>
        <v>0</v>
      </c>
      <c r="Z152" s="292">
        <f t="shared" si="142"/>
        <v>0</v>
      </c>
      <c r="AA152" s="292">
        <f t="shared" si="143"/>
        <v>0</v>
      </c>
      <c r="AB152" s="292">
        <f t="shared" si="144"/>
        <v>0</v>
      </c>
      <c r="AC152" s="292">
        <f t="shared" si="145"/>
        <v>0</v>
      </c>
      <c r="AD152" s="292">
        <f t="shared" si="146"/>
        <v>0</v>
      </c>
      <c r="AE152" s="292">
        <f t="shared" si="147"/>
        <v>0</v>
      </c>
      <c r="AF152" s="292">
        <f t="shared" si="172"/>
        <v>0</v>
      </c>
      <c r="AG152" s="292">
        <f t="shared" si="173"/>
        <v>0</v>
      </c>
      <c r="AH152" s="292">
        <f t="shared" si="148"/>
        <v>0</v>
      </c>
      <c r="AI152" s="292">
        <f t="shared" si="149"/>
        <v>0</v>
      </c>
      <c r="AJ152" s="292">
        <f t="shared" si="150"/>
        <v>0</v>
      </c>
      <c r="AK152" s="292">
        <f t="shared" si="151"/>
        <v>0</v>
      </c>
      <c r="AL152" s="292">
        <f t="shared" si="152"/>
        <v>0</v>
      </c>
      <c r="AM152" s="292">
        <f t="shared" si="153"/>
        <v>0</v>
      </c>
      <c r="AN152" s="292">
        <f t="shared" si="154"/>
        <v>0</v>
      </c>
      <c r="AO152" s="292">
        <f t="shared" si="155"/>
        <v>0</v>
      </c>
      <c r="AP152" s="292">
        <f t="shared" si="156"/>
        <v>0</v>
      </c>
      <c r="AQ152" s="292">
        <f t="shared" si="157"/>
        <v>0</v>
      </c>
      <c r="AR152" s="292">
        <f t="shared" si="158"/>
        <v>0</v>
      </c>
      <c r="AS152" s="292">
        <f t="shared" si="159"/>
        <v>0</v>
      </c>
      <c r="AT152" s="292">
        <f t="shared" si="160"/>
        <v>0</v>
      </c>
      <c r="AU152" s="292">
        <f t="shared" si="161"/>
        <v>0</v>
      </c>
      <c r="AV152" s="292">
        <f t="shared" si="162"/>
        <v>0</v>
      </c>
      <c r="AW152" s="292">
        <f t="shared" si="163"/>
        <v>0</v>
      </c>
      <c r="AX152" s="292">
        <f t="shared" si="164"/>
        <v>0</v>
      </c>
      <c r="AY152" s="292">
        <f t="shared" si="165"/>
        <v>0</v>
      </c>
      <c r="AZ152" s="292">
        <f t="shared" si="166"/>
        <v>0</v>
      </c>
      <c r="BA152" s="292">
        <f t="shared" si="167"/>
        <v>0</v>
      </c>
    </row>
    <row r="153" spans="1:53" s="289" customFormat="1" ht="16.5" customHeight="1">
      <c r="A153" s="63" t="str">
        <f t="array" ref="A153">IF(C153&lt;&gt;0,SUM(($C$11:C153&lt;&gt;0)*1),"")</f>
        <v/>
      </c>
      <c r="B153" s="290"/>
      <c r="C153" s="290"/>
      <c r="D153" s="290"/>
      <c r="E153" s="396"/>
      <c r="F153" s="345"/>
      <c r="G153" s="347"/>
      <c r="H153" s="347"/>
      <c r="I153" s="63" t="str">
        <f t="shared" si="129"/>
        <v/>
      </c>
      <c r="J153" s="292">
        <f t="shared" si="130"/>
        <v>0</v>
      </c>
      <c r="K153" s="292">
        <f t="shared" si="131"/>
        <v>0</v>
      </c>
      <c r="L153" s="292">
        <f t="shared" si="132"/>
        <v>0</v>
      </c>
      <c r="M153" s="292">
        <f t="shared" si="133"/>
        <v>0</v>
      </c>
      <c r="N153" s="292">
        <f t="shared" si="168"/>
        <v>0</v>
      </c>
      <c r="O153" s="292">
        <f t="shared" si="169"/>
        <v>0</v>
      </c>
      <c r="P153" s="292">
        <f t="shared" si="134"/>
        <v>0</v>
      </c>
      <c r="Q153" s="292">
        <f t="shared" si="135"/>
        <v>0</v>
      </c>
      <c r="R153" s="292">
        <f t="shared" si="136"/>
        <v>0</v>
      </c>
      <c r="S153" s="292">
        <f t="shared" si="137"/>
        <v>0</v>
      </c>
      <c r="T153" s="292">
        <f t="shared" si="170"/>
        <v>0</v>
      </c>
      <c r="U153" s="292">
        <f t="shared" si="171"/>
        <v>0</v>
      </c>
      <c r="V153" s="292">
        <f t="shared" si="138"/>
        <v>0</v>
      </c>
      <c r="W153" s="292">
        <f t="shared" si="139"/>
        <v>0</v>
      </c>
      <c r="X153" s="292">
        <f t="shared" si="140"/>
        <v>0</v>
      </c>
      <c r="Y153" s="292">
        <f t="shared" si="141"/>
        <v>0</v>
      </c>
      <c r="Z153" s="292">
        <f t="shared" si="142"/>
        <v>0</v>
      </c>
      <c r="AA153" s="292">
        <f t="shared" si="143"/>
        <v>0</v>
      </c>
      <c r="AB153" s="292">
        <f t="shared" si="144"/>
        <v>0</v>
      </c>
      <c r="AC153" s="292">
        <f t="shared" si="145"/>
        <v>0</v>
      </c>
      <c r="AD153" s="292">
        <f t="shared" si="146"/>
        <v>0</v>
      </c>
      <c r="AE153" s="292">
        <f t="shared" si="147"/>
        <v>0</v>
      </c>
      <c r="AF153" s="292">
        <f t="shared" si="172"/>
        <v>0</v>
      </c>
      <c r="AG153" s="292">
        <f t="shared" si="173"/>
        <v>0</v>
      </c>
      <c r="AH153" s="292">
        <f t="shared" si="148"/>
        <v>0</v>
      </c>
      <c r="AI153" s="292">
        <f t="shared" si="149"/>
        <v>0</v>
      </c>
      <c r="AJ153" s="292">
        <f t="shared" si="150"/>
        <v>0</v>
      </c>
      <c r="AK153" s="292">
        <f t="shared" si="151"/>
        <v>0</v>
      </c>
      <c r="AL153" s="292">
        <f t="shared" si="152"/>
        <v>0</v>
      </c>
      <c r="AM153" s="292">
        <f t="shared" si="153"/>
        <v>0</v>
      </c>
      <c r="AN153" s="292">
        <f t="shared" si="154"/>
        <v>0</v>
      </c>
      <c r="AO153" s="292">
        <f t="shared" si="155"/>
        <v>0</v>
      </c>
      <c r="AP153" s="292">
        <f t="shared" si="156"/>
        <v>0</v>
      </c>
      <c r="AQ153" s="292">
        <f t="shared" si="157"/>
        <v>0</v>
      </c>
      <c r="AR153" s="292">
        <f t="shared" si="158"/>
        <v>0</v>
      </c>
      <c r="AS153" s="292">
        <f t="shared" si="159"/>
        <v>0</v>
      </c>
      <c r="AT153" s="292">
        <f t="shared" si="160"/>
        <v>0</v>
      </c>
      <c r="AU153" s="292">
        <f t="shared" si="161"/>
        <v>0</v>
      </c>
      <c r="AV153" s="292">
        <f t="shared" si="162"/>
        <v>0</v>
      </c>
      <c r="AW153" s="292">
        <f t="shared" si="163"/>
        <v>0</v>
      </c>
      <c r="AX153" s="292">
        <f t="shared" si="164"/>
        <v>0</v>
      </c>
      <c r="AY153" s="292">
        <f t="shared" si="165"/>
        <v>0</v>
      </c>
      <c r="AZ153" s="292">
        <f t="shared" si="166"/>
        <v>0</v>
      </c>
      <c r="BA153" s="292">
        <f t="shared" si="167"/>
        <v>0</v>
      </c>
    </row>
    <row r="154" spans="1:53" s="289" customFormat="1" ht="16.5" customHeight="1">
      <c r="A154" s="63" t="str">
        <f t="array" ref="A154">IF(C154&lt;&gt;0,SUM(($C$11:C154&lt;&gt;0)*1),"")</f>
        <v/>
      </c>
      <c r="B154" s="290"/>
      <c r="C154" s="290"/>
      <c r="D154" s="290"/>
      <c r="E154" s="396"/>
      <c r="F154" s="345"/>
      <c r="G154" s="347"/>
      <c r="H154" s="347"/>
      <c r="I154" s="63" t="str">
        <f t="shared" si="129"/>
        <v/>
      </c>
      <c r="J154" s="292">
        <f t="shared" si="130"/>
        <v>0</v>
      </c>
      <c r="K154" s="292">
        <f t="shared" si="131"/>
        <v>0</v>
      </c>
      <c r="L154" s="292">
        <f t="shared" si="132"/>
        <v>0</v>
      </c>
      <c r="M154" s="292">
        <f t="shared" si="133"/>
        <v>0</v>
      </c>
      <c r="N154" s="292">
        <f t="shared" si="168"/>
        <v>0</v>
      </c>
      <c r="O154" s="292">
        <f t="shared" si="169"/>
        <v>0</v>
      </c>
      <c r="P154" s="292">
        <f t="shared" si="134"/>
        <v>0</v>
      </c>
      <c r="Q154" s="292">
        <f t="shared" si="135"/>
        <v>0</v>
      </c>
      <c r="R154" s="292">
        <f t="shared" si="136"/>
        <v>0</v>
      </c>
      <c r="S154" s="292">
        <f t="shared" si="137"/>
        <v>0</v>
      </c>
      <c r="T154" s="292">
        <f t="shared" si="170"/>
        <v>0</v>
      </c>
      <c r="U154" s="292">
        <f t="shared" si="171"/>
        <v>0</v>
      </c>
      <c r="V154" s="292">
        <f t="shared" si="138"/>
        <v>0</v>
      </c>
      <c r="W154" s="292">
        <f t="shared" si="139"/>
        <v>0</v>
      </c>
      <c r="X154" s="292">
        <f t="shared" si="140"/>
        <v>0</v>
      </c>
      <c r="Y154" s="292">
        <f t="shared" si="141"/>
        <v>0</v>
      </c>
      <c r="Z154" s="292">
        <f t="shared" si="142"/>
        <v>0</v>
      </c>
      <c r="AA154" s="292">
        <f t="shared" si="143"/>
        <v>0</v>
      </c>
      <c r="AB154" s="292">
        <f t="shared" si="144"/>
        <v>0</v>
      </c>
      <c r="AC154" s="292">
        <f t="shared" si="145"/>
        <v>0</v>
      </c>
      <c r="AD154" s="292">
        <f t="shared" si="146"/>
        <v>0</v>
      </c>
      <c r="AE154" s="292">
        <f t="shared" si="147"/>
        <v>0</v>
      </c>
      <c r="AF154" s="292">
        <f t="shared" si="172"/>
        <v>0</v>
      </c>
      <c r="AG154" s="292">
        <f t="shared" si="173"/>
        <v>0</v>
      </c>
      <c r="AH154" s="292">
        <f t="shared" si="148"/>
        <v>0</v>
      </c>
      <c r="AI154" s="292">
        <f t="shared" si="149"/>
        <v>0</v>
      </c>
      <c r="AJ154" s="292">
        <f t="shared" si="150"/>
        <v>0</v>
      </c>
      <c r="AK154" s="292">
        <f t="shared" si="151"/>
        <v>0</v>
      </c>
      <c r="AL154" s="292">
        <f t="shared" si="152"/>
        <v>0</v>
      </c>
      <c r="AM154" s="292">
        <f t="shared" si="153"/>
        <v>0</v>
      </c>
      <c r="AN154" s="292">
        <f t="shared" si="154"/>
        <v>0</v>
      </c>
      <c r="AO154" s="292">
        <f t="shared" si="155"/>
        <v>0</v>
      </c>
      <c r="AP154" s="292">
        <f t="shared" si="156"/>
        <v>0</v>
      </c>
      <c r="AQ154" s="292">
        <f t="shared" si="157"/>
        <v>0</v>
      </c>
      <c r="AR154" s="292">
        <f t="shared" si="158"/>
        <v>0</v>
      </c>
      <c r="AS154" s="292">
        <f t="shared" si="159"/>
        <v>0</v>
      </c>
      <c r="AT154" s="292">
        <f t="shared" si="160"/>
        <v>0</v>
      </c>
      <c r="AU154" s="292">
        <f t="shared" si="161"/>
        <v>0</v>
      </c>
      <c r="AV154" s="292">
        <f t="shared" si="162"/>
        <v>0</v>
      </c>
      <c r="AW154" s="292">
        <f t="shared" si="163"/>
        <v>0</v>
      </c>
      <c r="AX154" s="292">
        <f t="shared" si="164"/>
        <v>0</v>
      </c>
      <c r="AY154" s="292">
        <f t="shared" si="165"/>
        <v>0</v>
      </c>
      <c r="AZ154" s="292">
        <f t="shared" si="166"/>
        <v>0</v>
      </c>
      <c r="BA154" s="292">
        <f t="shared" si="167"/>
        <v>0</v>
      </c>
    </row>
    <row r="155" spans="1:53" s="289" customFormat="1" ht="16.5" customHeight="1">
      <c r="A155" s="63" t="str">
        <f t="array" ref="A155">IF(C155&lt;&gt;0,SUM(($C$11:C155&lt;&gt;0)*1),"")</f>
        <v/>
      </c>
      <c r="B155" s="290"/>
      <c r="C155" s="290"/>
      <c r="D155" s="290"/>
      <c r="E155" s="396"/>
      <c r="F155" s="345"/>
      <c r="G155" s="347"/>
      <c r="H155" s="347"/>
      <c r="I155" s="63" t="str">
        <f t="shared" si="129"/>
        <v/>
      </c>
      <c r="J155" s="292">
        <f t="shared" si="130"/>
        <v>0</v>
      </c>
      <c r="K155" s="292">
        <f t="shared" si="131"/>
        <v>0</v>
      </c>
      <c r="L155" s="292">
        <f t="shared" si="132"/>
        <v>0</v>
      </c>
      <c r="M155" s="292">
        <f t="shared" si="133"/>
        <v>0</v>
      </c>
      <c r="N155" s="292">
        <f t="shared" si="168"/>
        <v>0</v>
      </c>
      <c r="O155" s="292">
        <f t="shared" si="169"/>
        <v>0</v>
      </c>
      <c r="P155" s="292">
        <f t="shared" si="134"/>
        <v>0</v>
      </c>
      <c r="Q155" s="292">
        <f t="shared" si="135"/>
        <v>0</v>
      </c>
      <c r="R155" s="292">
        <f t="shared" si="136"/>
        <v>0</v>
      </c>
      <c r="S155" s="292">
        <f t="shared" si="137"/>
        <v>0</v>
      </c>
      <c r="T155" s="292">
        <f t="shared" si="170"/>
        <v>0</v>
      </c>
      <c r="U155" s="292">
        <f t="shared" si="171"/>
        <v>0</v>
      </c>
      <c r="V155" s="292">
        <f t="shared" si="138"/>
        <v>0</v>
      </c>
      <c r="W155" s="292">
        <f t="shared" si="139"/>
        <v>0</v>
      </c>
      <c r="X155" s="292">
        <f t="shared" si="140"/>
        <v>0</v>
      </c>
      <c r="Y155" s="292">
        <f t="shared" si="141"/>
        <v>0</v>
      </c>
      <c r="Z155" s="292">
        <f t="shared" si="142"/>
        <v>0</v>
      </c>
      <c r="AA155" s="292">
        <f t="shared" si="143"/>
        <v>0</v>
      </c>
      <c r="AB155" s="292">
        <f t="shared" si="144"/>
        <v>0</v>
      </c>
      <c r="AC155" s="292">
        <f t="shared" si="145"/>
        <v>0</v>
      </c>
      <c r="AD155" s="292">
        <f t="shared" si="146"/>
        <v>0</v>
      </c>
      <c r="AE155" s="292">
        <f t="shared" si="147"/>
        <v>0</v>
      </c>
      <c r="AF155" s="292">
        <f t="shared" si="172"/>
        <v>0</v>
      </c>
      <c r="AG155" s="292">
        <f t="shared" si="173"/>
        <v>0</v>
      </c>
      <c r="AH155" s="292">
        <f t="shared" si="148"/>
        <v>0</v>
      </c>
      <c r="AI155" s="292">
        <f t="shared" si="149"/>
        <v>0</v>
      </c>
      <c r="AJ155" s="292">
        <f t="shared" si="150"/>
        <v>0</v>
      </c>
      <c r="AK155" s="292">
        <f t="shared" si="151"/>
        <v>0</v>
      </c>
      <c r="AL155" s="292">
        <f t="shared" si="152"/>
        <v>0</v>
      </c>
      <c r="AM155" s="292">
        <f t="shared" si="153"/>
        <v>0</v>
      </c>
      <c r="AN155" s="292">
        <f t="shared" si="154"/>
        <v>0</v>
      </c>
      <c r="AO155" s="292">
        <f t="shared" si="155"/>
        <v>0</v>
      </c>
      <c r="AP155" s="292">
        <f t="shared" si="156"/>
        <v>0</v>
      </c>
      <c r="AQ155" s="292">
        <f t="shared" si="157"/>
        <v>0</v>
      </c>
      <c r="AR155" s="292">
        <f t="shared" si="158"/>
        <v>0</v>
      </c>
      <c r="AS155" s="292">
        <f t="shared" si="159"/>
        <v>0</v>
      </c>
      <c r="AT155" s="292">
        <f t="shared" si="160"/>
        <v>0</v>
      </c>
      <c r="AU155" s="292">
        <f t="shared" si="161"/>
        <v>0</v>
      </c>
      <c r="AV155" s="292">
        <f t="shared" si="162"/>
        <v>0</v>
      </c>
      <c r="AW155" s="292">
        <f t="shared" si="163"/>
        <v>0</v>
      </c>
      <c r="AX155" s="292">
        <f t="shared" si="164"/>
        <v>0</v>
      </c>
      <c r="AY155" s="292">
        <f t="shared" si="165"/>
        <v>0</v>
      </c>
      <c r="AZ155" s="292">
        <f t="shared" si="166"/>
        <v>0</v>
      </c>
      <c r="BA155" s="292">
        <f t="shared" si="167"/>
        <v>0</v>
      </c>
    </row>
    <row r="156" spans="1:53" s="289" customFormat="1" ht="16.5" customHeight="1">
      <c r="A156" s="63" t="str">
        <f t="array" ref="A156">IF(C156&lt;&gt;0,SUM(($C$11:C156&lt;&gt;0)*1),"")</f>
        <v/>
      </c>
      <c r="B156" s="290"/>
      <c r="C156" s="290"/>
      <c r="D156" s="290"/>
      <c r="E156" s="396"/>
      <c r="F156" s="345"/>
      <c r="G156" s="347"/>
      <c r="H156" s="347"/>
      <c r="I156" s="63" t="str">
        <f t="shared" si="129"/>
        <v/>
      </c>
      <c r="J156" s="292">
        <f t="shared" si="130"/>
        <v>0</v>
      </c>
      <c r="K156" s="292">
        <f t="shared" si="131"/>
        <v>0</v>
      </c>
      <c r="L156" s="292">
        <f t="shared" si="132"/>
        <v>0</v>
      </c>
      <c r="M156" s="292">
        <f t="shared" si="133"/>
        <v>0</v>
      </c>
      <c r="N156" s="292">
        <f t="shared" si="168"/>
        <v>0</v>
      </c>
      <c r="O156" s="292">
        <f t="shared" si="169"/>
        <v>0</v>
      </c>
      <c r="P156" s="292">
        <f t="shared" si="134"/>
        <v>0</v>
      </c>
      <c r="Q156" s="292">
        <f t="shared" si="135"/>
        <v>0</v>
      </c>
      <c r="R156" s="292">
        <f t="shared" si="136"/>
        <v>0</v>
      </c>
      <c r="S156" s="292">
        <f t="shared" si="137"/>
        <v>0</v>
      </c>
      <c r="T156" s="292">
        <f t="shared" si="170"/>
        <v>0</v>
      </c>
      <c r="U156" s="292">
        <f t="shared" si="171"/>
        <v>0</v>
      </c>
      <c r="V156" s="292">
        <f t="shared" si="138"/>
        <v>0</v>
      </c>
      <c r="W156" s="292">
        <f t="shared" si="139"/>
        <v>0</v>
      </c>
      <c r="X156" s="292">
        <f t="shared" si="140"/>
        <v>0</v>
      </c>
      <c r="Y156" s="292">
        <f t="shared" si="141"/>
        <v>0</v>
      </c>
      <c r="Z156" s="292">
        <f t="shared" si="142"/>
        <v>0</v>
      </c>
      <c r="AA156" s="292">
        <f t="shared" si="143"/>
        <v>0</v>
      </c>
      <c r="AB156" s="292">
        <f t="shared" si="144"/>
        <v>0</v>
      </c>
      <c r="AC156" s="292">
        <f t="shared" si="145"/>
        <v>0</v>
      </c>
      <c r="AD156" s="292">
        <f t="shared" si="146"/>
        <v>0</v>
      </c>
      <c r="AE156" s="292">
        <f t="shared" si="147"/>
        <v>0</v>
      </c>
      <c r="AF156" s="292">
        <f t="shared" si="172"/>
        <v>0</v>
      </c>
      <c r="AG156" s="292">
        <f t="shared" si="173"/>
        <v>0</v>
      </c>
      <c r="AH156" s="292">
        <f t="shared" si="148"/>
        <v>0</v>
      </c>
      <c r="AI156" s="292">
        <f t="shared" si="149"/>
        <v>0</v>
      </c>
      <c r="AJ156" s="292">
        <f t="shared" si="150"/>
        <v>0</v>
      </c>
      <c r="AK156" s="292">
        <f t="shared" si="151"/>
        <v>0</v>
      </c>
      <c r="AL156" s="292">
        <f t="shared" si="152"/>
        <v>0</v>
      </c>
      <c r="AM156" s="292">
        <f t="shared" si="153"/>
        <v>0</v>
      </c>
      <c r="AN156" s="292">
        <f t="shared" si="154"/>
        <v>0</v>
      </c>
      <c r="AO156" s="292">
        <f t="shared" si="155"/>
        <v>0</v>
      </c>
      <c r="AP156" s="292">
        <f t="shared" si="156"/>
        <v>0</v>
      </c>
      <c r="AQ156" s="292">
        <f t="shared" si="157"/>
        <v>0</v>
      </c>
      <c r="AR156" s="292">
        <f t="shared" si="158"/>
        <v>0</v>
      </c>
      <c r="AS156" s="292">
        <f t="shared" si="159"/>
        <v>0</v>
      </c>
      <c r="AT156" s="292">
        <f t="shared" si="160"/>
        <v>0</v>
      </c>
      <c r="AU156" s="292">
        <f t="shared" si="161"/>
        <v>0</v>
      </c>
      <c r="AV156" s="292">
        <f t="shared" si="162"/>
        <v>0</v>
      </c>
      <c r="AW156" s="292">
        <f t="shared" si="163"/>
        <v>0</v>
      </c>
      <c r="AX156" s="292">
        <f t="shared" si="164"/>
        <v>0</v>
      </c>
      <c r="AY156" s="292">
        <f t="shared" si="165"/>
        <v>0</v>
      </c>
      <c r="AZ156" s="292">
        <f t="shared" si="166"/>
        <v>0</v>
      </c>
      <c r="BA156" s="292">
        <f t="shared" si="167"/>
        <v>0</v>
      </c>
    </row>
    <row r="157" spans="1:53" s="289" customFormat="1" ht="16.5" customHeight="1">
      <c r="A157" s="63" t="str">
        <f t="array" ref="A157">IF(C157&lt;&gt;0,SUM(($C$11:C157&lt;&gt;0)*1),"")</f>
        <v/>
      </c>
      <c r="B157" s="290"/>
      <c r="C157" s="290"/>
      <c r="D157" s="290"/>
      <c r="E157" s="396"/>
      <c r="F157" s="345"/>
      <c r="G157" s="347"/>
      <c r="H157" s="347"/>
      <c r="I157" s="63" t="str">
        <f t="shared" si="129"/>
        <v/>
      </c>
      <c r="J157" s="292">
        <f t="shared" si="130"/>
        <v>0</v>
      </c>
      <c r="K157" s="292">
        <f t="shared" si="131"/>
        <v>0</v>
      </c>
      <c r="L157" s="292">
        <f t="shared" si="132"/>
        <v>0</v>
      </c>
      <c r="M157" s="292">
        <f t="shared" si="133"/>
        <v>0</v>
      </c>
      <c r="N157" s="292">
        <f t="shared" si="168"/>
        <v>0</v>
      </c>
      <c r="O157" s="292">
        <f t="shared" si="169"/>
        <v>0</v>
      </c>
      <c r="P157" s="292">
        <f t="shared" si="134"/>
        <v>0</v>
      </c>
      <c r="Q157" s="292">
        <f t="shared" si="135"/>
        <v>0</v>
      </c>
      <c r="R157" s="292">
        <f t="shared" si="136"/>
        <v>0</v>
      </c>
      <c r="S157" s="292">
        <f t="shared" si="137"/>
        <v>0</v>
      </c>
      <c r="T157" s="292">
        <f t="shared" si="170"/>
        <v>0</v>
      </c>
      <c r="U157" s="292">
        <f t="shared" si="171"/>
        <v>0</v>
      </c>
      <c r="V157" s="292">
        <f t="shared" si="138"/>
        <v>0</v>
      </c>
      <c r="W157" s="292">
        <f t="shared" si="139"/>
        <v>0</v>
      </c>
      <c r="X157" s="292">
        <f t="shared" si="140"/>
        <v>0</v>
      </c>
      <c r="Y157" s="292">
        <f t="shared" si="141"/>
        <v>0</v>
      </c>
      <c r="Z157" s="292">
        <f t="shared" si="142"/>
        <v>0</v>
      </c>
      <c r="AA157" s="292">
        <f t="shared" si="143"/>
        <v>0</v>
      </c>
      <c r="AB157" s="292">
        <f t="shared" si="144"/>
        <v>0</v>
      </c>
      <c r="AC157" s="292">
        <f t="shared" si="145"/>
        <v>0</v>
      </c>
      <c r="AD157" s="292">
        <f t="shared" si="146"/>
        <v>0</v>
      </c>
      <c r="AE157" s="292">
        <f t="shared" si="147"/>
        <v>0</v>
      </c>
      <c r="AF157" s="292">
        <f t="shared" si="172"/>
        <v>0</v>
      </c>
      <c r="AG157" s="292">
        <f t="shared" si="173"/>
        <v>0</v>
      </c>
      <c r="AH157" s="292">
        <f t="shared" si="148"/>
        <v>0</v>
      </c>
      <c r="AI157" s="292">
        <f t="shared" si="149"/>
        <v>0</v>
      </c>
      <c r="AJ157" s="292">
        <f t="shared" si="150"/>
        <v>0</v>
      </c>
      <c r="AK157" s="292">
        <f t="shared" si="151"/>
        <v>0</v>
      </c>
      <c r="AL157" s="292">
        <f t="shared" si="152"/>
        <v>0</v>
      </c>
      <c r="AM157" s="292">
        <f t="shared" si="153"/>
        <v>0</v>
      </c>
      <c r="AN157" s="292">
        <f t="shared" si="154"/>
        <v>0</v>
      </c>
      <c r="AO157" s="292">
        <f t="shared" si="155"/>
        <v>0</v>
      </c>
      <c r="AP157" s="292">
        <f t="shared" si="156"/>
        <v>0</v>
      </c>
      <c r="AQ157" s="292">
        <f t="shared" si="157"/>
        <v>0</v>
      </c>
      <c r="AR157" s="292">
        <f t="shared" si="158"/>
        <v>0</v>
      </c>
      <c r="AS157" s="292">
        <f t="shared" si="159"/>
        <v>0</v>
      </c>
      <c r="AT157" s="292">
        <f t="shared" si="160"/>
        <v>0</v>
      </c>
      <c r="AU157" s="292">
        <f t="shared" si="161"/>
        <v>0</v>
      </c>
      <c r="AV157" s="292">
        <f t="shared" si="162"/>
        <v>0</v>
      </c>
      <c r="AW157" s="292">
        <f t="shared" si="163"/>
        <v>0</v>
      </c>
      <c r="AX157" s="292">
        <f t="shared" si="164"/>
        <v>0</v>
      </c>
      <c r="AY157" s="292">
        <f t="shared" si="165"/>
        <v>0</v>
      </c>
      <c r="AZ157" s="292">
        <f t="shared" si="166"/>
        <v>0</v>
      </c>
      <c r="BA157" s="292">
        <f t="shared" si="167"/>
        <v>0</v>
      </c>
    </row>
    <row r="158" spans="1:53" s="289" customFormat="1" ht="16.5" customHeight="1">
      <c r="A158" s="63" t="str">
        <f t="array" ref="A158">IF(C158&lt;&gt;0,SUM(($C$11:C158&lt;&gt;0)*1),"")</f>
        <v/>
      </c>
      <c r="B158" s="290"/>
      <c r="C158" s="290"/>
      <c r="D158" s="290"/>
      <c r="E158" s="396"/>
      <c r="F158" s="345"/>
      <c r="G158" s="347"/>
      <c r="H158" s="347"/>
      <c r="I158" s="63" t="str">
        <f t="shared" si="129"/>
        <v/>
      </c>
      <c r="J158" s="292">
        <f t="shared" si="130"/>
        <v>0</v>
      </c>
      <c r="K158" s="292">
        <f t="shared" si="131"/>
        <v>0</v>
      </c>
      <c r="L158" s="292">
        <f t="shared" si="132"/>
        <v>0</v>
      </c>
      <c r="M158" s="292">
        <f t="shared" si="133"/>
        <v>0</v>
      </c>
      <c r="N158" s="292">
        <f t="shared" si="168"/>
        <v>0</v>
      </c>
      <c r="O158" s="292">
        <f t="shared" si="169"/>
        <v>0</v>
      </c>
      <c r="P158" s="292">
        <f t="shared" si="134"/>
        <v>0</v>
      </c>
      <c r="Q158" s="292">
        <f t="shared" si="135"/>
        <v>0</v>
      </c>
      <c r="R158" s="292">
        <f t="shared" si="136"/>
        <v>0</v>
      </c>
      <c r="S158" s="292">
        <f t="shared" si="137"/>
        <v>0</v>
      </c>
      <c r="T158" s="292">
        <f t="shared" si="170"/>
        <v>0</v>
      </c>
      <c r="U158" s="292">
        <f t="shared" si="171"/>
        <v>0</v>
      </c>
      <c r="V158" s="292">
        <f t="shared" si="138"/>
        <v>0</v>
      </c>
      <c r="W158" s="292">
        <f t="shared" si="139"/>
        <v>0</v>
      </c>
      <c r="X158" s="292">
        <f t="shared" si="140"/>
        <v>0</v>
      </c>
      <c r="Y158" s="292">
        <f t="shared" si="141"/>
        <v>0</v>
      </c>
      <c r="Z158" s="292">
        <f t="shared" si="142"/>
        <v>0</v>
      </c>
      <c r="AA158" s="292">
        <f t="shared" si="143"/>
        <v>0</v>
      </c>
      <c r="AB158" s="292">
        <f t="shared" si="144"/>
        <v>0</v>
      </c>
      <c r="AC158" s="292">
        <f t="shared" si="145"/>
        <v>0</v>
      </c>
      <c r="AD158" s="292">
        <f t="shared" si="146"/>
        <v>0</v>
      </c>
      <c r="AE158" s="292">
        <f t="shared" si="147"/>
        <v>0</v>
      </c>
      <c r="AF158" s="292">
        <f t="shared" si="172"/>
        <v>0</v>
      </c>
      <c r="AG158" s="292">
        <f t="shared" si="173"/>
        <v>0</v>
      </c>
      <c r="AH158" s="292">
        <f t="shared" si="148"/>
        <v>0</v>
      </c>
      <c r="AI158" s="292">
        <f t="shared" si="149"/>
        <v>0</v>
      </c>
      <c r="AJ158" s="292">
        <f t="shared" si="150"/>
        <v>0</v>
      </c>
      <c r="AK158" s="292">
        <f t="shared" si="151"/>
        <v>0</v>
      </c>
      <c r="AL158" s="292">
        <f t="shared" si="152"/>
        <v>0</v>
      </c>
      <c r="AM158" s="292">
        <f t="shared" si="153"/>
        <v>0</v>
      </c>
      <c r="AN158" s="292">
        <f t="shared" si="154"/>
        <v>0</v>
      </c>
      <c r="AO158" s="292">
        <f t="shared" si="155"/>
        <v>0</v>
      </c>
      <c r="AP158" s="292">
        <f t="shared" si="156"/>
        <v>0</v>
      </c>
      <c r="AQ158" s="292">
        <f t="shared" si="157"/>
        <v>0</v>
      </c>
      <c r="AR158" s="292">
        <f t="shared" si="158"/>
        <v>0</v>
      </c>
      <c r="AS158" s="292">
        <f t="shared" si="159"/>
        <v>0</v>
      </c>
      <c r="AT158" s="292">
        <f t="shared" si="160"/>
        <v>0</v>
      </c>
      <c r="AU158" s="292">
        <f t="shared" si="161"/>
        <v>0</v>
      </c>
      <c r="AV158" s="292">
        <f t="shared" si="162"/>
        <v>0</v>
      </c>
      <c r="AW158" s="292">
        <f t="shared" si="163"/>
        <v>0</v>
      </c>
      <c r="AX158" s="292">
        <f t="shared" si="164"/>
        <v>0</v>
      </c>
      <c r="AY158" s="292">
        <f t="shared" si="165"/>
        <v>0</v>
      </c>
      <c r="AZ158" s="292">
        <f t="shared" si="166"/>
        <v>0</v>
      </c>
      <c r="BA158" s="292">
        <f t="shared" si="167"/>
        <v>0</v>
      </c>
    </row>
    <row r="159" spans="1:53" s="289" customFormat="1" ht="16.5" customHeight="1">
      <c r="A159" s="63" t="str">
        <f t="array" ref="A159">IF(C159&lt;&gt;0,SUM(($C$11:C159&lt;&gt;0)*1),"")</f>
        <v/>
      </c>
      <c r="B159" s="290"/>
      <c r="C159" s="290"/>
      <c r="D159" s="290"/>
      <c r="E159" s="396"/>
      <c r="F159" s="345"/>
      <c r="G159" s="347"/>
      <c r="H159" s="347"/>
      <c r="I159" s="63" t="str">
        <f t="shared" si="129"/>
        <v/>
      </c>
      <c r="J159" s="292">
        <f t="shared" si="130"/>
        <v>0</v>
      </c>
      <c r="K159" s="292">
        <f t="shared" si="131"/>
        <v>0</v>
      </c>
      <c r="L159" s="292">
        <f t="shared" si="132"/>
        <v>0</v>
      </c>
      <c r="M159" s="292">
        <f t="shared" si="133"/>
        <v>0</v>
      </c>
      <c r="N159" s="292">
        <f t="shared" si="168"/>
        <v>0</v>
      </c>
      <c r="O159" s="292">
        <f t="shared" si="169"/>
        <v>0</v>
      </c>
      <c r="P159" s="292">
        <f t="shared" si="134"/>
        <v>0</v>
      </c>
      <c r="Q159" s="292">
        <f t="shared" si="135"/>
        <v>0</v>
      </c>
      <c r="R159" s="292">
        <f t="shared" si="136"/>
        <v>0</v>
      </c>
      <c r="S159" s="292">
        <f t="shared" si="137"/>
        <v>0</v>
      </c>
      <c r="T159" s="292">
        <f t="shared" si="170"/>
        <v>0</v>
      </c>
      <c r="U159" s="292">
        <f t="shared" si="171"/>
        <v>0</v>
      </c>
      <c r="V159" s="292">
        <f t="shared" si="138"/>
        <v>0</v>
      </c>
      <c r="W159" s="292">
        <f t="shared" si="139"/>
        <v>0</v>
      </c>
      <c r="X159" s="292">
        <f t="shared" si="140"/>
        <v>0</v>
      </c>
      <c r="Y159" s="292">
        <f t="shared" si="141"/>
        <v>0</v>
      </c>
      <c r="Z159" s="292">
        <f t="shared" si="142"/>
        <v>0</v>
      </c>
      <c r="AA159" s="292">
        <f t="shared" si="143"/>
        <v>0</v>
      </c>
      <c r="AB159" s="292">
        <f t="shared" si="144"/>
        <v>0</v>
      </c>
      <c r="AC159" s="292">
        <f t="shared" si="145"/>
        <v>0</v>
      </c>
      <c r="AD159" s="292">
        <f t="shared" si="146"/>
        <v>0</v>
      </c>
      <c r="AE159" s="292">
        <f t="shared" si="147"/>
        <v>0</v>
      </c>
      <c r="AF159" s="292">
        <f t="shared" si="172"/>
        <v>0</v>
      </c>
      <c r="AG159" s="292">
        <f t="shared" si="173"/>
        <v>0</v>
      </c>
      <c r="AH159" s="292">
        <f t="shared" si="148"/>
        <v>0</v>
      </c>
      <c r="AI159" s="292">
        <f t="shared" si="149"/>
        <v>0</v>
      </c>
      <c r="AJ159" s="292">
        <f t="shared" si="150"/>
        <v>0</v>
      </c>
      <c r="AK159" s="292">
        <f t="shared" si="151"/>
        <v>0</v>
      </c>
      <c r="AL159" s="292">
        <f t="shared" si="152"/>
        <v>0</v>
      </c>
      <c r="AM159" s="292">
        <f t="shared" si="153"/>
        <v>0</v>
      </c>
      <c r="AN159" s="292">
        <f t="shared" si="154"/>
        <v>0</v>
      </c>
      <c r="AO159" s="292">
        <f t="shared" si="155"/>
        <v>0</v>
      </c>
      <c r="AP159" s="292">
        <f t="shared" si="156"/>
        <v>0</v>
      </c>
      <c r="AQ159" s="292">
        <f t="shared" si="157"/>
        <v>0</v>
      </c>
      <c r="AR159" s="292">
        <f t="shared" si="158"/>
        <v>0</v>
      </c>
      <c r="AS159" s="292">
        <f t="shared" si="159"/>
        <v>0</v>
      </c>
      <c r="AT159" s="292">
        <f t="shared" si="160"/>
        <v>0</v>
      </c>
      <c r="AU159" s="292">
        <f t="shared" si="161"/>
        <v>0</v>
      </c>
      <c r="AV159" s="292">
        <f t="shared" si="162"/>
        <v>0</v>
      </c>
      <c r="AW159" s="292">
        <f t="shared" si="163"/>
        <v>0</v>
      </c>
      <c r="AX159" s="292">
        <f t="shared" si="164"/>
        <v>0</v>
      </c>
      <c r="AY159" s="292">
        <f t="shared" si="165"/>
        <v>0</v>
      </c>
      <c r="AZ159" s="292">
        <f t="shared" si="166"/>
        <v>0</v>
      </c>
      <c r="BA159" s="292">
        <f t="shared" si="167"/>
        <v>0</v>
      </c>
    </row>
    <row r="160" spans="1:53" s="289" customFormat="1" ht="16.5" customHeight="1">
      <c r="A160" s="63" t="str">
        <f t="array" ref="A160">IF(C160&lt;&gt;0,SUM(($C$11:C160&lt;&gt;0)*1),"")</f>
        <v/>
      </c>
      <c r="B160" s="290"/>
      <c r="C160" s="290"/>
      <c r="D160" s="290"/>
      <c r="E160" s="396"/>
      <c r="F160" s="345"/>
      <c r="G160" s="347"/>
      <c r="H160" s="347"/>
      <c r="I160" s="63" t="str">
        <f t="shared" si="129"/>
        <v/>
      </c>
      <c r="J160" s="292">
        <f t="shared" si="130"/>
        <v>0</v>
      </c>
      <c r="K160" s="292">
        <f t="shared" si="131"/>
        <v>0</v>
      </c>
      <c r="L160" s="292">
        <f t="shared" si="132"/>
        <v>0</v>
      </c>
      <c r="M160" s="292">
        <f t="shared" si="133"/>
        <v>0</v>
      </c>
      <c r="N160" s="292">
        <f t="shared" si="168"/>
        <v>0</v>
      </c>
      <c r="O160" s="292">
        <f t="shared" si="169"/>
        <v>0</v>
      </c>
      <c r="P160" s="292">
        <f t="shared" si="134"/>
        <v>0</v>
      </c>
      <c r="Q160" s="292">
        <f t="shared" si="135"/>
        <v>0</v>
      </c>
      <c r="R160" s="292">
        <f t="shared" si="136"/>
        <v>0</v>
      </c>
      <c r="S160" s="292">
        <f t="shared" si="137"/>
        <v>0</v>
      </c>
      <c r="T160" s="292">
        <f t="shared" si="170"/>
        <v>0</v>
      </c>
      <c r="U160" s="292">
        <f t="shared" si="171"/>
        <v>0</v>
      </c>
      <c r="V160" s="292">
        <f t="shared" si="138"/>
        <v>0</v>
      </c>
      <c r="W160" s="292">
        <f t="shared" si="139"/>
        <v>0</v>
      </c>
      <c r="X160" s="292">
        <f t="shared" si="140"/>
        <v>0</v>
      </c>
      <c r="Y160" s="292">
        <f t="shared" si="141"/>
        <v>0</v>
      </c>
      <c r="Z160" s="292">
        <f t="shared" si="142"/>
        <v>0</v>
      </c>
      <c r="AA160" s="292">
        <f t="shared" si="143"/>
        <v>0</v>
      </c>
      <c r="AB160" s="292">
        <f t="shared" si="144"/>
        <v>0</v>
      </c>
      <c r="AC160" s="292">
        <f t="shared" si="145"/>
        <v>0</v>
      </c>
      <c r="AD160" s="292">
        <f t="shared" si="146"/>
        <v>0</v>
      </c>
      <c r="AE160" s="292">
        <f t="shared" si="147"/>
        <v>0</v>
      </c>
      <c r="AF160" s="292">
        <f t="shared" si="172"/>
        <v>0</v>
      </c>
      <c r="AG160" s="292">
        <f t="shared" si="173"/>
        <v>0</v>
      </c>
      <c r="AH160" s="292">
        <f t="shared" si="148"/>
        <v>0</v>
      </c>
      <c r="AI160" s="292">
        <f t="shared" si="149"/>
        <v>0</v>
      </c>
      <c r="AJ160" s="292">
        <f t="shared" si="150"/>
        <v>0</v>
      </c>
      <c r="AK160" s="292">
        <f t="shared" si="151"/>
        <v>0</v>
      </c>
      <c r="AL160" s="292">
        <f t="shared" si="152"/>
        <v>0</v>
      </c>
      <c r="AM160" s="292">
        <f t="shared" si="153"/>
        <v>0</v>
      </c>
      <c r="AN160" s="292">
        <f t="shared" si="154"/>
        <v>0</v>
      </c>
      <c r="AO160" s="292">
        <f t="shared" si="155"/>
        <v>0</v>
      </c>
      <c r="AP160" s="292">
        <f t="shared" si="156"/>
        <v>0</v>
      </c>
      <c r="AQ160" s="292">
        <f t="shared" si="157"/>
        <v>0</v>
      </c>
      <c r="AR160" s="292">
        <f t="shared" si="158"/>
        <v>0</v>
      </c>
      <c r="AS160" s="292">
        <f t="shared" si="159"/>
        <v>0</v>
      </c>
      <c r="AT160" s="292">
        <f t="shared" si="160"/>
        <v>0</v>
      </c>
      <c r="AU160" s="292">
        <f t="shared" si="161"/>
        <v>0</v>
      </c>
      <c r="AV160" s="292">
        <f t="shared" si="162"/>
        <v>0</v>
      </c>
      <c r="AW160" s="292">
        <f t="shared" si="163"/>
        <v>0</v>
      </c>
      <c r="AX160" s="292">
        <f t="shared" si="164"/>
        <v>0</v>
      </c>
      <c r="AY160" s="292">
        <f t="shared" si="165"/>
        <v>0</v>
      </c>
      <c r="AZ160" s="292">
        <f t="shared" si="166"/>
        <v>0</v>
      </c>
      <c r="BA160" s="292">
        <f t="shared" si="167"/>
        <v>0</v>
      </c>
    </row>
    <row r="161" spans="1:53" s="289" customFormat="1" ht="16.5" customHeight="1">
      <c r="A161" s="63" t="str">
        <f t="array" ref="A161">IF(C161&lt;&gt;0,SUM(($C$11:C161&lt;&gt;0)*1),"")</f>
        <v/>
      </c>
      <c r="B161" s="290"/>
      <c r="C161" s="290"/>
      <c r="D161" s="290"/>
      <c r="E161" s="396"/>
      <c r="F161" s="345"/>
      <c r="G161" s="347"/>
      <c r="H161" s="347"/>
      <c r="I161" s="63" t="str">
        <f t="shared" si="129"/>
        <v/>
      </c>
      <c r="J161" s="292">
        <f t="shared" si="130"/>
        <v>0</v>
      </c>
      <c r="K161" s="292">
        <f t="shared" si="131"/>
        <v>0</v>
      </c>
      <c r="L161" s="292">
        <f t="shared" si="132"/>
        <v>0</v>
      </c>
      <c r="M161" s="292">
        <f t="shared" si="133"/>
        <v>0</v>
      </c>
      <c r="N161" s="292">
        <f t="shared" si="168"/>
        <v>0</v>
      </c>
      <c r="O161" s="292">
        <f t="shared" si="169"/>
        <v>0</v>
      </c>
      <c r="P161" s="292">
        <f t="shared" si="134"/>
        <v>0</v>
      </c>
      <c r="Q161" s="292">
        <f t="shared" si="135"/>
        <v>0</v>
      </c>
      <c r="R161" s="292">
        <f t="shared" si="136"/>
        <v>0</v>
      </c>
      <c r="S161" s="292">
        <f t="shared" si="137"/>
        <v>0</v>
      </c>
      <c r="T161" s="292">
        <f t="shared" si="170"/>
        <v>0</v>
      </c>
      <c r="U161" s="292">
        <f t="shared" si="171"/>
        <v>0</v>
      </c>
      <c r="V161" s="292">
        <f t="shared" si="138"/>
        <v>0</v>
      </c>
      <c r="W161" s="292">
        <f t="shared" si="139"/>
        <v>0</v>
      </c>
      <c r="X161" s="292">
        <f t="shared" si="140"/>
        <v>0</v>
      </c>
      <c r="Y161" s="292">
        <f t="shared" si="141"/>
        <v>0</v>
      </c>
      <c r="Z161" s="292">
        <f t="shared" si="142"/>
        <v>0</v>
      </c>
      <c r="AA161" s="292">
        <f t="shared" si="143"/>
        <v>0</v>
      </c>
      <c r="AB161" s="292">
        <f t="shared" si="144"/>
        <v>0</v>
      </c>
      <c r="AC161" s="292">
        <f t="shared" si="145"/>
        <v>0</v>
      </c>
      <c r="AD161" s="292">
        <f t="shared" si="146"/>
        <v>0</v>
      </c>
      <c r="AE161" s="292">
        <f t="shared" si="147"/>
        <v>0</v>
      </c>
      <c r="AF161" s="292">
        <f t="shared" si="172"/>
        <v>0</v>
      </c>
      <c r="AG161" s="292">
        <f t="shared" si="173"/>
        <v>0</v>
      </c>
      <c r="AH161" s="292">
        <f t="shared" si="148"/>
        <v>0</v>
      </c>
      <c r="AI161" s="292">
        <f t="shared" si="149"/>
        <v>0</v>
      </c>
      <c r="AJ161" s="292">
        <f t="shared" si="150"/>
        <v>0</v>
      </c>
      <c r="AK161" s="292">
        <f t="shared" si="151"/>
        <v>0</v>
      </c>
      <c r="AL161" s="292">
        <f t="shared" si="152"/>
        <v>0</v>
      </c>
      <c r="AM161" s="292">
        <f t="shared" si="153"/>
        <v>0</v>
      </c>
      <c r="AN161" s="292">
        <f t="shared" si="154"/>
        <v>0</v>
      </c>
      <c r="AO161" s="292">
        <f t="shared" si="155"/>
        <v>0</v>
      </c>
      <c r="AP161" s="292">
        <f t="shared" si="156"/>
        <v>0</v>
      </c>
      <c r="AQ161" s="292">
        <f t="shared" si="157"/>
        <v>0</v>
      </c>
      <c r="AR161" s="292">
        <f t="shared" si="158"/>
        <v>0</v>
      </c>
      <c r="AS161" s="292">
        <f t="shared" si="159"/>
        <v>0</v>
      </c>
      <c r="AT161" s="292">
        <f t="shared" si="160"/>
        <v>0</v>
      </c>
      <c r="AU161" s="292">
        <f t="shared" si="161"/>
        <v>0</v>
      </c>
      <c r="AV161" s="292">
        <f t="shared" si="162"/>
        <v>0</v>
      </c>
      <c r="AW161" s="292">
        <f t="shared" si="163"/>
        <v>0</v>
      </c>
      <c r="AX161" s="292">
        <f t="shared" si="164"/>
        <v>0</v>
      </c>
      <c r="AY161" s="292">
        <f t="shared" si="165"/>
        <v>0</v>
      </c>
      <c r="AZ161" s="292">
        <f t="shared" si="166"/>
        <v>0</v>
      </c>
      <c r="BA161" s="292">
        <f t="shared" si="167"/>
        <v>0</v>
      </c>
    </row>
    <row r="162" spans="1:53" s="289" customFormat="1" ht="16.5" customHeight="1">
      <c r="A162" s="63" t="str">
        <f t="array" ref="A162">IF(C162&lt;&gt;0,SUM(($C$11:C162&lt;&gt;0)*1),"")</f>
        <v/>
      </c>
      <c r="B162" s="290"/>
      <c r="C162" s="290"/>
      <c r="D162" s="290"/>
      <c r="E162" s="396"/>
      <c r="F162" s="345"/>
      <c r="G162" s="347"/>
      <c r="H162" s="347"/>
      <c r="I162" s="63" t="str">
        <f t="shared" si="129"/>
        <v/>
      </c>
      <c r="J162" s="292">
        <f t="shared" si="130"/>
        <v>0</v>
      </c>
      <c r="K162" s="292">
        <f t="shared" si="131"/>
        <v>0</v>
      </c>
      <c r="L162" s="292">
        <f t="shared" si="132"/>
        <v>0</v>
      </c>
      <c r="M162" s="292">
        <f t="shared" si="133"/>
        <v>0</v>
      </c>
      <c r="N162" s="292">
        <f t="shared" si="168"/>
        <v>0</v>
      </c>
      <c r="O162" s="292">
        <f t="shared" si="169"/>
        <v>0</v>
      </c>
      <c r="P162" s="292">
        <f t="shared" si="134"/>
        <v>0</v>
      </c>
      <c r="Q162" s="292">
        <f t="shared" si="135"/>
        <v>0</v>
      </c>
      <c r="R162" s="292">
        <f t="shared" si="136"/>
        <v>0</v>
      </c>
      <c r="S162" s="292">
        <f t="shared" si="137"/>
        <v>0</v>
      </c>
      <c r="T162" s="292">
        <f t="shared" si="170"/>
        <v>0</v>
      </c>
      <c r="U162" s="292">
        <f t="shared" si="171"/>
        <v>0</v>
      </c>
      <c r="V162" s="292">
        <f t="shared" si="138"/>
        <v>0</v>
      </c>
      <c r="W162" s="292">
        <f t="shared" si="139"/>
        <v>0</v>
      </c>
      <c r="X162" s="292">
        <f t="shared" si="140"/>
        <v>0</v>
      </c>
      <c r="Y162" s="292">
        <f t="shared" si="141"/>
        <v>0</v>
      </c>
      <c r="Z162" s="292">
        <f t="shared" si="142"/>
        <v>0</v>
      </c>
      <c r="AA162" s="292">
        <f t="shared" si="143"/>
        <v>0</v>
      </c>
      <c r="AB162" s="292">
        <f t="shared" si="144"/>
        <v>0</v>
      </c>
      <c r="AC162" s="292">
        <f t="shared" si="145"/>
        <v>0</v>
      </c>
      <c r="AD162" s="292">
        <f t="shared" si="146"/>
        <v>0</v>
      </c>
      <c r="AE162" s="292">
        <f t="shared" si="147"/>
        <v>0</v>
      </c>
      <c r="AF162" s="292">
        <f t="shared" si="172"/>
        <v>0</v>
      </c>
      <c r="AG162" s="292">
        <f t="shared" si="173"/>
        <v>0</v>
      </c>
      <c r="AH162" s="292">
        <f t="shared" si="148"/>
        <v>0</v>
      </c>
      <c r="AI162" s="292">
        <f t="shared" si="149"/>
        <v>0</v>
      </c>
      <c r="AJ162" s="292">
        <f t="shared" si="150"/>
        <v>0</v>
      </c>
      <c r="AK162" s="292">
        <f t="shared" si="151"/>
        <v>0</v>
      </c>
      <c r="AL162" s="292">
        <f t="shared" si="152"/>
        <v>0</v>
      </c>
      <c r="AM162" s="292">
        <f t="shared" si="153"/>
        <v>0</v>
      </c>
      <c r="AN162" s="292">
        <f t="shared" si="154"/>
        <v>0</v>
      </c>
      <c r="AO162" s="292">
        <f t="shared" si="155"/>
        <v>0</v>
      </c>
      <c r="AP162" s="292">
        <f t="shared" si="156"/>
        <v>0</v>
      </c>
      <c r="AQ162" s="292">
        <f t="shared" si="157"/>
        <v>0</v>
      </c>
      <c r="AR162" s="292">
        <f t="shared" si="158"/>
        <v>0</v>
      </c>
      <c r="AS162" s="292">
        <f t="shared" si="159"/>
        <v>0</v>
      </c>
      <c r="AT162" s="292">
        <f t="shared" si="160"/>
        <v>0</v>
      </c>
      <c r="AU162" s="292">
        <f t="shared" si="161"/>
        <v>0</v>
      </c>
      <c r="AV162" s="292">
        <f t="shared" si="162"/>
        <v>0</v>
      </c>
      <c r="AW162" s="292">
        <f t="shared" si="163"/>
        <v>0</v>
      </c>
      <c r="AX162" s="292">
        <f t="shared" si="164"/>
        <v>0</v>
      </c>
      <c r="AY162" s="292">
        <f t="shared" si="165"/>
        <v>0</v>
      </c>
      <c r="AZ162" s="292">
        <f t="shared" si="166"/>
        <v>0</v>
      </c>
      <c r="BA162" s="292">
        <f t="shared" si="167"/>
        <v>0</v>
      </c>
    </row>
    <row r="163" spans="1:53" s="289" customFormat="1" ht="16.5" customHeight="1">
      <c r="A163" s="63" t="str">
        <f t="array" ref="A163">IF(C163&lt;&gt;0,SUM(($C$11:C163&lt;&gt;0)*1),"")</f>
        <v/>
      </c>
      <c r="B163" s="290"/>
      <c r="C163" s="290"/>
      <c r="D163" s="290"/>
      <c r="E163" s="396"/>
      <c r="F163" s="345"/>
      <c r="G163" s="347"/>
      <c r="H163" s="347"/>
      <c r="I163" s="63" t="str">
        <f t="shared" si="129"/>
        <v/>
      </c>
      <c r="J163" s="292">
        <f t="shared" si="130"/>
        <v>0</v>
      </c>
      <c r="K163" s="292">
        <f t="shared" si="131"/>
        <v>0</v>
      </c>
      <c r="L163" s="292">
        <f t="shared" si="132"/>
        <v>0</v>
      </c>
      <c r="M163" s="292">
        <f t="shared" si="133"/>
        <v>0</v>
      </c>
      <c r="N163" s="292">
        <f t="shared" si="168"/>
        <v>0</v>
      </c>
      <c r="O163" s="292">
        <f t="shared" si="169"/>
        <v>0</v>
      </c>
      <c r="P163" s="292">
        <f t="shared" si="134"/>
        <v>0</v>
      </c>
      <c r="Q163" s="292">
        <f t="shared" si="135"/>
        <v>0</v>
      </c>
      <c r="R163" s="292">
        <f t="shared" si="136"/>
        <v>0</v>
      </c>
      <c r="S163" s="292">
        <f t="shared" si="137"/>
        <v>0</v>
      </c>
      <c r="T163" s="292">
        <f t="shared" si="170"/>
        <v>0</v>
      </c>
      <c r="U163" s="292">
        <f t="shared" si="171"/>
        <v>0</v>
      </c>
      <c r="V163" s="292">
        <f t="shared" si="138"/>
        <v>0</v>
      </c>
      <c r="W163" s="292">
        <f t="shared" si="139"/>
        <v>0</v>
      </c>
      <c r="X163" s="292">
        <f t="shared" si="140"/>
        <v>0</v>
      </c>
      <c r="Y163" s="292">
        <f t="shared" si="141"/>
        <v>0</v>
      </c>
      <c r="Z163" s="292">
        <f t="shared" si="142"/>
        <v>0</v>
      </c>
      <c r="AA163" s="292">
        <f t="shared" si="143"/>
        <v>0</v>
      </c>
      <c r="AB163" s="292">
        <f t="shared" si="144"/>
        <v>0</v>
      </c>
      <c r="AC163" s="292">
        <f t="shared" si="145"/>
        <v>0</v>
      </c>
      <c r="AD163" s="292">
        <f t="shared" si="146"/>
        <v>0</v>
      </c>
      <c r="AE163" s="292">
        <f t="shared" si="147"/>
        <v>0</v>
      </c>
      <c r="AF163" s="292">
        <f t="shared" si="172"/>
        <v>0</v>
      </c>
      <c r="AG163" s="292">
        <f t="shared" si="173"/>
        <v>0</v>
      </c>
      <c r="AH163" s="292">
        <f t="shared" si="148"/>
        <v>0</v>
      </c>
      <c r="AI163" s="292">
        <f t="shared" si="149"/>
        <v>0</v>
      </c>
      <c r="AJ163" s="292">
        <f t="shared" si="150"/>
        <v>0</v>
      </c>
      <c r="AK163" s="292">
        <f t="shared" si="151"/>
        <v>0</v>
      </c>
      <c r="AL163" s="292">
        <f t="shared" si="152"/>
        <v>0</v>
      </c>
      <c r="AM163" s="292">
        <f t="shared" si="153"/>
        <v>0</v>
      </c>
      <c r="AN163" s="292">
        <f t="shared" si="154"/>
        <v>0</v>
      </c>
      <c r="AO163" s="292">
        <f t="shared" si="155"/>
        <v>0</v>
      </c>
      <c r="AP163" s="292">
        <f t="shared" si="156"/>
        <v>0</v>
      </c>
      <c r="AQ163" s="292">
        <f t="shared" si="157"/>
        <v>0</v>
      </c>
      <c r="AR163" s="292">
        <f t="shared" si="158"/>
        <v>0</v>
      </c>
      <c r="AS163" s="292">
        <f t="shared" si="159"/>
        <v>0</v>
      </c>
      <c r="AT163" s="292">
        <f t="shared" si="160"/>
        <v>0</v>
      </c>
      <c r="AU163" s="292">
        <f t="shared" si="161"/>
        <v>0</v>
      </c>
      <c r="AV163" s="292">
        <f t="shared" si="162"/>
        <v>0</v>
      </c>
      <c r="AW163" s="292">
        <f t="shared" si="163"/>
        <v>0</v>
      </c>
      <c r="AX163" s="292">
        <f t="shared" si="164"/>
        <v>0</v>
      </c>
      <c r="AY163" s="292">
        <f t="shared" si="165"/>
        <v>0</v>
      </c>
      <c r="AZ163" s="292">
        <f t="shared" si="166"/>
        <v>0</v>
      </c>
      <c r="BA163" s="292">
        <f t="shared" si="167"/>
        <v>0</v>
      </c>
    </row>
    <row r="164" spans="1:53" s="289" customFormat="1" ht="16.5" customHeight="1">
      <c r="A164" s="63" t="str">
        <f t="array" ref="A164">IF(C164&lt;&gt;0,SUM(($C$11:C164&lt;&gt;0)*1),"")</f>
        <v/>
      </c>
      <c r="B164" s="290"/>
      <c r="C164" s="290"/>
      <c r="D164" s="290"/>
      <c r="E164" s="396"/>
      <c r="F164" s="345"/>
      <c r="G164" s="347"/>
      <c r="H164" s="347"/>
      <c r="I164" s="63" t="str">
        <f t="shared" si="129"/>
        <v/>
      </c>
      <c r="J164" s="292">
        <f t="shared" si="130"/>
        <v>0</v>
      </c>
      <c r="K164" s="292">
        <f t="shared" si="131"/>
        <v>0</v>
      </c>
      <c r="L164" s="292">
        <f t="shared" si="132"/>
        <v>0</v>
      </c>
      <c r="M164" s="292">
        <f t="shared" si="133"/>
        <v>0</v>
      </c>
      <c r="N164" s="292">
        <f t="shared" si="168"/>
        <v>0</v>
      </c>
      <c r="O164" s="292">
        <f t="shared" si="169"/>
        <v>0</v>
      </c>
      <c r="P164" s="292">
        <f t="shared" si="134"/>
        <v>0</v>
      </c>
      <c r="Q164" s="292">
        <f t="shared" si="135"/>
        <v>0</v>
      </c>
      <c r="R164" s="292">
        <f t="shared" si="136"/>
        <v>0</v>
      </c>
      <c r="S164" s="292">
        <f t="shared" si="137"/>
        <v>0</v>
      </c>
      <c r="T164" s="292">
        <f t="shared" si="170"/>
        <v>0</v>
      </c>
      <c r="U164" s="292">
        <f t="shared" si="171"/>
        <v>0</v>
      </c>
      <c r="V164" s="292">
        <f t="shared" si="138"/>
        <v>0</v>
      </c>
      <c r="W164" s="292">
        <f t="shared" si="139"/>
        <v>0</v>
      </c>
      <c r="X164" s="292">
        <f t="shared" si="140"/>
        <v>0</v>
      </c>
      <c r="Y164" s="292">
        <f t="shared" si="141"/>
        <v>0</v>
      </c>
      <c r="Z164" s="292">
        <f t="shared" si="142"/>
        <v>0</v>
      </c>
      <c r="AA164" s="292">
        <f t="shared" si="143"/>
        <v>0</v>
      </c>
      <c r="AB164" s="292">
        <f t="shared" si="144"/>
        <v>0</v>
      </c>
      <c r="AC164" s="292">
        <f t="shared" si="145"/>
        <v>0</v>
      </c>
      <c r="AD164" s="292">
        <f t="shared" si="146"/>
        <v>0</v>
      </c>
      <c r="AE164" s="292">
        <f t="shared" si="147"/>
        <v>0</v>
      </c>
      <c r="AF164" s="292">
        <f t="shared" si="172"/>
        <v>0</v>
      </c>
      <c r="AG164" s="292">
        <f t="shared" si="173"/>
        <v>0</v>
      </c>
      <c r="AH164" s="292">
        <f t="shared" si="148"/>
        <v>0</v>
      </c>
      <c r="AI164" s="292">
        <f t="shared" si="149"/>
        <v>0</v>
      </c>
      <c r="AJ164" s="292">
        <f t="shared" si="150"/>
        <v>0</v>
      </c>
      <c r="AK164" s="292">
        <f t="shared" si="151"/>
        <v>0</v>
      </c>
      <c r="AL164" s="292">
        <f t="shared" si="152"/>
        <v>0</v>
      </c>
      <c r="AM164" s="292">
        <f t="shared" si="153"/>
        <v>0</v>
      </c>
      <c r="AN164" s="292">
        <f t="shared" si="154"/>
        <v>0</v>
      </c>
      <c r="AO164" s="292">
        <f t="shared" si="155"/>
        <v>0</v>
      </c>
      <c r="AP164" s="292">
        <f t="shared" si="156"/>
        <v>0</v>
      </c>
      <c r="AQ164" s="292">
        <f t="shared" si="157"/>
        <v>0</v>
      </c>
      <c r="AR164" s="292">
        <f t="shared" si="158"/>
        <v>0</v>
      </c>
      <c r="AS164" s="292">
        <f t="shared" si="159"/>
        <v>0</v>
      </c>
      <c r="AT164" s="292">
        <f t="shared" si="160"/>
        <v>0</v>
      </c>
      <c r="AU164" s="292">
        <f t="shared" si="161"/>
        <v>0</v>
      </c>
      <c r="AV164" s="292">
        <f t="shared" si="162"/>
        <v>0</v>
      </c>
      <c r="AW164" s="292">
        <f t="shared" si="163"/>
        <v>0</v>
      </c>
      <c r="AX164" s="292">
        <f t="shared" si="164"/>
        <v>0</v>
      </c>
      <c r="AY164" s="292">
        <f t="shared" si="165"/>
        <v>0</v>
      </c>
      <c r="AZ164" s="292">
        <f t="shared" si="166"/>
        <v>0</v>
      </c>
      <c r="BA164" s="292">
        <f t="shared" si="167"/>
        <v>0</v>
      </c>
    </row>
    <row r="165" spans="1:53" s="289" customFormat="1" ht="16.5" customHeight="1">
      <c r="A165" s="63" t="str">
        <f t="array" ref="A165">IF(C165&lt;&gt;0,SUM(($C$11:C165&lt;&gt;0)*1),"")</f>
        <v/>
      </c>
      <c r="B165" s="290"/>
      <c r="C165" s="290"/>
      <c r="D165" s="290"/>
      <c r="E165" s="396"/>
      <c r="F165" s="345"/>
      <c r="G165" s="347"/>
      <c r="H165" s="347"/>
      <c r="I165" s="63" t="str">
        <f t="shared" si="129"/>
        <v/>
      </c>
      <c r="J165" s="292">
        <f t="shared" si="130"/>
        <v>0</v>
      </c>
      <c r="K165" s="292">
        <f t="shared" si="131"/>
        <v>0</v>
      </c>
      <c r="L165" s="292">
        <f t="shared" si="132"/>
        <v>0</v>
      </c>
      <c r="M165" s="292">
        <f t="shared" si="133"/>
        <v>0</v>
      </c>
      <c r="N165" s="292">
        <f t="shared" si="168"/>
        <v>0</v>
      </c>
      <c r="O165" s="292">
        <f t="shared" si="169"/>
        <v>0</v>
      </c>
      <c r="P165" s="292">
        <f t="shared" si="134"/>
        <v>0</v>
      </c>
      <c r="Q165" s="292">
        <f t="shared" si="135"/>
        <v>0</v>
      </c>
      <c r="R165" s="292">
        <f t="shared" si="136"/>
        <v>0</v>
      </c>
      <c r="S165" s="292">
        <f t="shared" si="137"/>
        <v>0</v>
      </c>
      <c r="T165" s="292">
        <f t="shared" si="170"/>
        <v>0</v>
      </c>
      <c r="U165" s="292">
        <f t="shared" si="171"/>
        <v>0</v>
      </c>
      <c r="V165" s="292">
        <f t="shared" si="138"/>
        <v>0</v>
      </c>
      <c r="W165" s="292">
        <f t="shared" si="139"/>
        <v>0</v>
      </c>
      <c r="X165" s="292">
        <f t="shared" si="140"/>
        <v>0</v>
      </c>
      <c r="Y165" s="292">
        <f t="shared" si="141"/>
        <v>0</v>
      </c>
      <c r="Z165" s="292">
        <f t="shared" si="142"/>
        <v>0</v>
      </c>
      <c r="AA165" s="292">
        <f t="shared" si="143"/>
        <v>0</v>
      </c>
      <c r="AB165" s="292">
        <f t="shared" si="144"/>
        <v>0</v>
      </c>
      <c r="AC165" s="292">
        <f t="shared" si="145"/>
        <v>0</v>
      </c>
      <c r="AD165" s="292">
        <f t="shared" si="146"/>
        <v>0</v>
      </c>
      <c r="AE165" s="292">
        <f t="shared" si="147"/>
        <v>0</v>
      </c>
      <c r="AF165" s="292">
        <f t="shared" si="172"/>
        <v>0</v>
      </c>
      <c r="AG165" s="292">
        <f t="shared" si="173"/>
        <v>0</v>
      </c>
      <c r="AH165" s="292">
        <f t="shared" si="148"/>
        <v>0</v>
      </c>
      <c r="AI165" s="292">
        <f t="shared" si="149"/>
        <v>0</v>
      </c>
      <c r="AJ165" s="292">
        <f t="shared" si="150"/>
        <v>0</v>
      </c>
      <c r="AK165" s="292">
        <f t="shared" si="151"/>
        <v>0</v>
      </c>
      <c r="AL165" s="292">
        <f t="shared" si="152"/>
        <v>0</v>
      </c>
      <c r="AM165" s="292">
        <f t="shared" si="153"/>
        <v>0</v>
      </c>
      <c r="AN165" s="292">
        <f t="shared" si="154"/>
        <v>0</v>
      </c>
      <c r="AO165" s="292">
        <f t="shared" si="155"/>
        <v>0</v>
      </c>
      <c r="AP165" s="292">
        <f t="shared" si="156"/>
        <v>0</v>
      </c>
      <c r="AQ165" s="292">
        <f t="shared" si="157"/>
        <v>0</v>
      </c>
      <c r="AR165" s="292">
        <f t="shared" si="158"/>
        <v>0</v>
      </c>
      <c r="AS165" s="292">
        <f t="shared" si="159"/>
        <v>0</v>
      </c>
      <c r="AT165" s="292">
        <f t="shared" si="160"/>
        <v>0</v>
      </c>
      <c r="AU165" s="292">
        <f t="shared" si="161"/>
        <v>0</v>
      </c>
      <c r="AV165" s="292">
        <f t="shared" si="162"/>
        <v>0</v>
      </c>
      <c r="AW165" s="292">
        <f t="shared" si="163"/>
        <v>0</v>
      </c>
      <c r="AX165" s="292">
        <f t="shared" si="164"/>
        <v>0</v>
      </c>
      <c r="AY165" s="292">
        <f t="shared" si="165"/>
        <v>0</v>
      </c>
      <c r="AZ165" s="292">
        <f t="shared" si="166"/>
        <v>0</v>
      </c>
      <c r="BA165" s="292">
        <f t="shared" si="167"/>
        <v>0</v>
      </c>
    </row>
    <row r="166" spans="1:53" s="289" customFormat="1" ht="16.5" customHeight="1">
      <c r="A166" s="63" t="str">
        <f t="array" ref="A166">IF(C166&lt;&gt;0,SUM(($C$11:C166&lt;&gt;0)*1),"")</f>
        <v/>
      </c>
      <c r="B166" s="290"/>
      <c r="C166" s="290"/>
      <c r="D166" s="290"/>
      <c r="E166" s="396"/>
      <c r="F166" s="345"/>
      <c r="G166" s="347"/>
      <c r="H166" s="347"/>
      <c r="I166" s="63" t="str">
        <f t="shared" si="129"/>
        <v/>
      </c>
      <c r="J166" s="292">
        <f t="shared" si="130"/>
        <v>0</v>
      </c>
      <c r="K166" s="292">
        <f t="shared" si="131"/>
        <v>0</v>
      </c>
      <c r="L166" s="292">
        <f t="shared" si="132"/>
        <v>0</v>
      </c>
      <c r="M166" s="292">
        <f t="shared" si="133"/>
        <v>0</v>
      </c>
      <c r="N166" s="292">
        <f t="shared" si="168"/>
        <v>0</v>
      </c>
      <c r="O166" s="292">
        <f t="shared" si="169"/>
        <v>0</v>
      </c>
      <c r="P166" s="292">
        <f t="shared" si="134"/>
        <v>0</v>
      </c>
      <c r="Q166" s="292">
        <f t="shared" si="135"/>
        <v>0</v>
      </c>
      <c r="R166" s="292">
        <f t="shared" si="136"/>
        <v>0</v>
      </c>
      <c r="S166" s="292">
        <f t="shared" si="137"/>
        <v>0</v>
      </c>
      <c r="T166" s="292">
        <f t="shared" si="170"/>
        <v>0</v>
      </c>
      <c r="U166" s="292">
        <f t="shared" si="171"/>
        <v>0</v>
      </c>
      <c r="V166" s="292">
        <f t="shared" si="138"/>
        <v>0</v>
      </c>
      <c r="W166" s="292">
        <f t="shared" si="139"/>
        <v>0</v>
      </c>
      <c r="X166" s="292">
        <f t="shared" si="140"/>
        <v>0</v>
      </c>
      <c r="Y166" s="292">
        <f t="shared" si="141"/>
        <v>0</v>
      </c>
      <c r="Z166" s="292">
        <f t="shared" si="142"/>
        <v>0</v>
      </c>
      <c r="AA166" s="292">
        <f t="shared" si="143"/>
        <v>0</v>
      </c>
      <c r="AB166" s="292">
        <f t="shared" si="144"/>
        <v>0</v>
      </c>
      <c r="AC166" s="292">
        <f t="shared" si="145"/>
        <v>0</v>
      </c>
      <c r="AD166" s="292">
        <f t="shared" si="146"/>
        <v>0</v>
      </c>
      <c r="AE166" s="292">
        <f t="shared" si="147"/>
        <v>0</v>
      </c>
      <c r="AF166" s="292">
        <f t="shared" si="172"/>
        <v>0</v>
      </c>
      <c r="AG166" s="292">
        <f t="shared" si="173"/>
        <v>0</v>
      </c>
      <c r="AH166" s="292">
        <f t="shared" si="148"/>
        <v>0</v>
      </c>
      <c r="AI166" s="292">
        <f t="shared" si="149"/>
        <v>0</v>
      </c>
      <c r="AJ166" s="292">
        <f t="shared" si="150"/>
        <v>0</v>
      </c>
      <c r="AK166" s="292">
        <f t="shared" si="151"/>
        <v>0</v>
      </c>
      <c r="AL166" s="292">
        <f t="shared" si="152"/>
        <v>0</v>
      </c>
      <c r="AM166" s="292">
        <f t="shared" si="153"/>
        <v>0</v>
      </c>
      <c r="AN166" s="292">
        <f t="shared" si="154"/>
        <v>0</v>
      </c>
      <c r="AO166" s="292">
        <f t="shared" si="155"/>
        <v>0</v>
      </c>
      <c r="AP166" s="292">
        <f t="shared" si="156"/>
        <v>0</v>
      </c>
      <c r="AQ166" s="292">
        <f t="shared" si="157"/>
        <v>0</v>
      </c>
      <c r="AR166" s="292">
        <f t="shared" si="158"/>
        <v>0</v>
      </c>
      <c r="AS166" s="292">
        <f t="shared" si="159"/>
        <v>0</v>
      </c>
      <c r="AT166" s="292">
        <f t="shared" si="160"/>
        <v>0</v>
      </c>
      <c r="AU166" s="292">
        <f t="shared" si="161"/>
        <v>0</v>
      </c>
      <c r="AV166" s="292">
        <f t="shared" si="162"/>
        <v>0</v>
      </c>
      <c r="AW166" s="292">
        <f t="shared" si="163"/>
        <v>0</v>
      </c>
      <c r="AX166" s="292">
        <f t="shared" si="164"/>
        <v>0</v>
      </c>
      <c r="AY166" s="292">
        <f t="shared" si="165"/>
        <v>0</v>
      </c>
      <c r="AZ166" s="292">
        <f t="shared" si="166"/>
        <v>0</v>
      </c>
      <c r="BA166" s="292">
        <f t="shared" si="167"/>
        <v>0</v>
      </c>
    </row>
    <row r="167" spans="1:53" s="289" customFormat="1" ht="16.5" customHeight="1">
      <c r="A167" s="63" t="str">
        <f t="array" ref="A167">IF(C167&lt;&gt;0,SUM(($C$11:C167&lt;&gt;0)*1),"")</f>
        <v/>
      </c>
      <c r="B167" s="290"/>
      <c r="C167" s="290"/>
      <c r="D167" s="290"/>
      <c r="E167" s="396"/>
      <c r="F167" s="345"/>
      <c r="G167" s="347"/>
      <c r="H167" s="347"/>
      <c r="I167" s="63" t="str">
        <f t="shared" si="129"/>
        <v/>
      </c>
      <c r="J167" s="292">
        <f t="shared" si="130"/>
        <v>0</v>
      </c>
      <c r="K167" s="292">
        <f t="shared" si="131"/>
        <v>0</v>
      </c>
      <c r="L167" s="292">
        <f t="shared" si="132"/>
        <v>0</v>
      </c>
      <c r="M167" s="292">
        <f t="shared" si="133"/>
        <v>0</v>
      </c>
      <c r="N167" s="292">
        <f t="shared" si="168"/>
        <v>0</v>
      </c>
      <c r="O167" s="292">
        <f t="shared" si="169"/>
        <v>0</v>
      </c>
      <c r="P167" s="292">
        <f t="shared" si="134"/>
        <v>0</v>
      </c>
      <c r="Q167" s="292">
        <f t="shared" si="135"/>
        <v>0</v>
      </c>
      <c r="R167" s="292">
        <f t="shared" si="136"/>
        <v>0</v>
      </c>
      <c r="S167" s="292">
        <f t="shared" si="137"/>
        <v>0</v>
      </c>
      <c r="T167" s="292">
        <f t="shared" si="170"/>
        <v>0</v>
      </c>
      <c r="U167" s="292">
        <f t="shared" si="171"/>
        <v>0</v>
      </c>
      <c r="V167" s="292">
        <f t="shared" si="138"/>
        <v>0</v>
      </c>
      <c r="W167" s="292">
        <f t="shared" si="139"/>
        <v>0</v>
      </c>
      <c r="X167" s="292">
        <f t="shared" si="140"/>
        <v>0</v>
      </c>
      <c r="Y167" s="292">
        <f t="shared" si="141"/>
        <v>0</v>
      </c>
      <c r="Z167" s="292">
        <f t="shared" si="142"/>
        <v>0</v>
      </c>
      <c r="AA167" s="292">
        <f t="shared" si="143"/>
        <v>0</v>
      </c>
      <c r="AB167" s="292">
        <f t="shared" si="144"/>
        <v>0</v>
      </c>
      <c r="AC167" s="292">
        <f t="shared" si="145"/>
        <v>0</v>
      </c>
      <c r="AD167" s="292">
        <f t="shared" si="146"/>
        <v>0</v>
      </c>
      <c r="AE167" s="292">
        <f t="shared" si="147"/>
        <v>0</v>
      </c>
      <c r="AF167" s="292">
        <f t="shared" si="172"/>
        <v>0</v>
      </c>
      <c r="AG167" s="292">
        <f t="shared" si="173"/>
        <v>0</v>
      </c>
      <c r="AH167" s="292">
        <f t="shared" si="148"/>
        <v>0</v>
      </c>
      <c r="AI167" s="292">
        <f t="shared" si="149"/>
        <v>0</v>
      </c>
      <c r="AJ167" s="292">
        <f t="shared" si="150"/>
        <v>0</v>
      </c>
      <c r="AK167" s="292">
        <f t="shared" si="151"/>
        <v>0</v>
      </c>
      <c r="AL167" s="292">
        <f t="shared" si="152"/>
        <v>0</v>
      </c>
      <c r="AM167" s="292">
        <f t="shared" si="153"/>
        <v>0</v>
      </c>
      <c r="AN167" s="292">
        <f t="shared" si="154"/>
        <v>0</v>
      </c>
      <c r="AO167" s="292">
        <f t="shared" si="155"/>
        <v>0</v>
      </c>
      <c r="AP167" s="292">
        <f t="shared" si="156"/>
        <v>0</v>
      </c>
      <c r="AQ167" s="292">
        <f t="shared" si="157"/>
        <v>0</v>
      </c>
      <c r="AR167" s="292">
        <f t="shared" si="158"/>
        <v>0</v>
      </c>
      <c r="AS167" s="292">
        <f t="shared" si="159"/>
        <v>0</v>
      </c>
      <c r="AT167" s="292">
        <f t="shared" si="160"/>
        <v>0</v>
      </c>
      <c r="AU167" s="292">
        <f t="shared" si="161"/>
        <v>0</v>
      </c>
      <c r="AV167" s="292">
        <f t="shared" si="162"/>
        <v>0</v>
      </c>
      <c r="AW167" s="292">
        <f t="shared" si="163"/>
        <v>0</v>
      </c>
      <c r="AX167" s="292">
        <f t="shared" si="164"/>
        <v>0</v>
      </c>
      <c r="AY167" s="292">
        <f t="shared" si="165"/>
        <v>0</v>
      </c>
      <c r="AZ167" s="292">
        <f t="shared" si="166"/>
        <v>0</v>
      </c>
      <c r="BA167" s="292">
        <f t="shared" si="167"/>
        <v>0</v>
      </c>
    </row>
    <row r="168" spans="1:53" s="289" customFormat="1" ht="16.5" customHeight="1">
      <c r="A168" s="63" t="str">
        <f t="array" ref="A168">IF(C168&lt;&gt;0,SUM(($C$11:C168&lt;&gt;0)*1),"")</f>
        <v/>
      </c>
      <c r="B168" s="290"/>
      <c r="C168" s="290"/>
      <c r="D168" s="290"/>
      <c r="E168" s="396"/>
      <c r="F168" s="345"/>
      <c r="G168" s="347"/>
      <c r="H168" s="347"/>
      <c r="I168" s="63" t="str">
        <f t="shared" si="129"/>
        <v/>
      </c>
      <c r="J168" s="292">
        <f t="shared" si="130"/>
        <v>0</v>
      </c>
      <c r="K168" s="292">
        <f t="shared" si="131"/>
        <v>0</v>
      </c>
      <c r="L168" s="292">
        <f t="shared" si="132"/>
        <v>0</v>
      </c>
      <c r="M168" s="292">
        <f t="shared" si="133"/>
        <v>0</v>
      </c>
      <c r="N168" s="292">
        <f t="shared" si="168"/>
        <v>0</v>
      </c>
      <c r="O168" s="292">
        <f t="shared" si="169"/>
        <v>0</v>
      </c>
      <c r="P168" s="292">
        <f t="shared" si="134"/>
        <v>0</v>
      </c>
      <c r="Q168" s="292">
        <f t="shared" si="135"/>
        <v>0</v>
      </c>
      <c r="R168" s="292">
        <f t="shared" si="136"/>
        <v>0</v>
      </c>
      <c r="S168" s="292">
        <f t="shared" si="137"/>
        <v>0</v>
      </c>
      <c r="T168" s="292">
        <f t="shared" si="170"/>
        <v>0</v>
      </c>
      <c r="U168" s="292">
        <f t="shared" si="171"/>
        <v>0</v>
      </c>
      <c r="V168" s="292">
        <f t="shared" si="138"/>
        <v>0</v>
      </c>
      <c r="W168" s="292">
        <f t="shared" si="139"/>
        <v>0</v>
      </c>
      <c r="X168" s="292">
        <f t="shared" si="140"/>
        <v>0</v>
      </c>
      <c r="Y168" s="292">
        <f t="shared" si="141"/>
        <v>0</v>
      </c>
      <c r="Z168" s="292">
        <f t="shared" si="142"/>
        <v>0</v>
      </c>
      <c r="AA168" s="292">
        <f t="shared" si="143"/>
        <v>0</v>
      </c>
      <c r="AB168" s="292">
        <f t="shared" si="144"/>
        <v>0</v>
      </c>
      <c r="AC168" s="292">
        <f t="shared" si="145"/>
        <v>0</v>
      </c>
      <c r="AD168" s="292">
        <f t="shared" si="146"/>
        <v>0</v>
      </c>
      <c r="AE168" s="292">
        <f t="shared" si="147"/>
        <v>0</v>
      </c>
      <c r="AF168" s="292">
        <f t="shared" si="172"/>
        <v>0</v>
      </c>
      <c r="AG168" s="292">
        <f t="shared" si="173"/>
        <v>0</v>
      </c>
      <c r="AH168" s="292">
        <f t="shared" si="148"/>
        <v>0</v>
      </c>
      <c r="AI168" s="292">
        <f t="shared" si="149"/>
        <v>0</v>
      </c>
      <c r="AJ168" s="292">
        <f t="shared" si="150"/>
        <v>0</v>
      </c>
      <c r="AK168" s="292">
        <f t="shared" si="151"/>
        <v>0</v>
      </c>
      <c r="AL168" s="292">
        <f t="shared" si="152"/>
        <v>0</v>
      </c>
      <c r="AM168" s="292">
        <f t="shared" si="153"/>
        <v>0</v>
      </c>
      <c r="AN168" s="292">
        <f t="shared" si="154"/>
        <v>0</v>
      </c>
      <c r="AO168" s="292">
        <f t="shared" si="155"/>
        <v>0</v>
      </c>
      <c r="AP168" s="292">
        <f t="shared" si="156"/>
        <v>0</v>
      </c>
      <c r="AQ168" s="292">
        <f t="shared" si="157"/>
        <v>0</v>
      </c>
      <c r="AR168" s="292">
        <f t="shared" si="158"/>
        <v>0</v>
      </c>
      <c r="AS168" s="292">
        <f t="shared" si="159"/>
        <v>0</v>
      </c>
      <c r="AT168" s="292">
        <f t="shared" si="160"/>
        <v>0</v>
      </c>
      <c r="AU168" s="292">
        <f t="shared" si="161"/>
        <v>0</v>
      </c>
      <c r="AV168" s="292">
        <f t="shared" si="162"/>
        <v>0</v>
      </c>
      <c r="AW168" s="292">
        <f t="shared" si="163"/>
        <v>0</v>
      </c>
      <c r="AX168" s="292">
        <f t="shared" si="164"/>
        <v>0</v>
      </c>
      <c r="AY168" s="292">
        <f t="shared" si="165"/>
        <v>0</v>
      </c>
      <c r="AZ168" s="292">
        <f t="shared" si="166"/>
        <v>0</v>
      </c>
      <c r="BA168" s="292">
        <f t="shared" si="167"/>
        <v>0</v>
      </c>
    </row>
    <row r="169" spans="1:53" s="289" customFormat="1" ht="16.5" customHeight="1">
      <c r="A169" s="63" t="str">
        <f t="array" ref="A169">IF(C169&lt;&gt;0,SUM(($C$11:C169&lt;&gt;0)*1),"")</f>
        <v/>
      </c>
      <c r="B169" s="290"/>
      <c r="C169" s="290"/>
      <c r="D169" s="290"/>
      <c r="E169" s="396"/>
      <c r="F169" s="345"/>
      <c r="G169" s="347"/>
      <c r="H169" s="347"/>
      <c r="I169" s="63" t="str">
        <f t="shared" si="129"/>
        <v/>
      </c>
      <c r="J169" s="292">
        <f t="shared" si="130"/>
        <v>0</v>
      </c>
      <c r="K169" s="292">
        <f t="shared" si="131"/>
        <v>0</v>
      </c>
      <c r="L169" s="292">
        <f t="shared" si="132"/>
        <v>0</v>
      </c>
      <c r="M169" s="292">
        <f t="shared" si="133"/>
        <v>0</v>
      </c>
      <c r="N169" s="292">
        <f t="shared" si="168"/>
        <v>0</v>
      </c>
      <c r="O169" s="292">
        <f t="shared" si="169"/>
        <v>0</v>
      </c>
      <c r="P169" s="292">
        <f t="shared" si="134"/>
        <v>0</v>
      </c>
      <c r="Q169" s="292">
        <f t="shared" si="135"/>
        <v>0</v>
      </c>
      <c r="R169" s="292">
        <f t="shared" si="136"/>
        <v>0</v>
      </c>
      <c r="S169" s="292">
        <f t="shared" si="137"/>
        <v>0</v>
      </c>
      <c r="T169" s="292">
        <f t="shared" si="170"/>
        <v>0</v>
      </c>
      <c r="U169" s="292">
        <f t="shared" si="171"/>
        <v>0</v>
      </c>
      <c r="V169" s="292">
        <f t="shared" si="138"/>
        <v>0</v>
      </c>
      <c r="W169" s="292">
        <f t="shared" si="139"/>
        <v>0</v>
      </c>
      <c r="X169" s="292">
        <f t="shared" si="140"/>
        <v>0</v>
      </c>
      <c r="Y169" s="292">
        <f t="shared" si="141"/>
        <v>0</v>
      </c>
      <c r="Z169" s="292">
        <f t="shared" si="142"/>
        <v>0</v>
      </c>
      <c r="AA169" s="292">
        <f t="shared" si="143"/>
        <v>0</v>
      </c>
      <c r="AB169" s="292">
        <f t="shared" si="144"/>
        <v>0</v>
      </c>
      <c r="AC169" s="292">
        <f t="shared" si="145"/>
        <v>0</v>
      </c>
      <c r="AD169" s="292">
        <f t="shared" si="146"/>
        <v>0</v>
      </c>
      <c r="AE169" s="292">
        <f t="shared" si="147"/>
        <v>0</v>
      </c>
      <c r="AF169" s="292">
        <f t="shared" si="172"/>
        <v>0</v>
      </c>
      <c r="AG169" s="292">
        <f t="shared" si="173"/>
        <v>0</v>
      </c>
      <c r="AH169" s="292">
        <f t="shared" si="148"/>
        <v>0</v>
      </c>
      <c r="AI169" s="292">
        <f t="shared" si="149"/>
        <v>0</v>
      </c>
      <c r="AJ169" s="292">
        <f t="shared" si="150"/>
        <v>0</v>
      </c>
      <c r="AK169" s="292">
        <f t="shared" si="151"/>
        <v>0</v>
      </c>
      <c r="AL169" s="292">
        <f t="shared" si="152"/>
        <v>0</v>
      </c>
      <c r="AM169" s="292">
        <f t="shared" si="153"/>
        <v>0</v>
      </c>
      <c r="AN169" s="292">
        <f t="shared" si="154"/>
        <v>0</v>
      </c>
      <c r="AO169" s="292">
        <f t="shared" si="155"/>
        <v>0</v>
      </c>
      <c r="AP169" s="292">
        <f t="shared" si="156"/>
        <v>0</v>
      </c>
      <c r="AQ169" s="292">
        <f t="shared" si="157"/>
        <v>0</v>
      </c>
      <c r="AR169" s="292">
        <f t="shared" si="158"/>
        <v>0</v>
      </c>
      <c r="AS169" s="292">
        <f t="shared" si="159"/>
        <v>0</v>
      </c>
      <c r="AT169" s="292">
        <f t="shared" si="160"/>
        <v>0</v>
      </c>
      <c r="AU169" s="292">
        <f t="shared" si="161"/>
        <v>0</v>
      </c>
      <c r="AV169" s="292">
        <f t="shared" si="162"/>
        <v>0</v>
      </c>
      <c r="AW169" s="292">
        <f t="shared" si="163"/>
        <v>0</v>
      </c>
      <c r="AX169" s="292">
        <f t="shared" si="164"/>
        <v>0</v>
      </c>
      <c r="AY169" s="292">
        <f t="shared" si="165"/>
        <v>0</v>
      </c>
      <c r="AZ169" s="292">
        <f t="shared" si="166"/>
        <v>0</v>
      </c>
      <c r="BA169" s="292">
        <f t="shared" si="167"/>
        <v>0</v>
      </c>
    </row>
    <row r="170" spans="1:53" s="289" customFormat="1" ht="16.5" customHeight="1">
      <c r="A170" s="63" t="str">
        <f t="array" ref="A170">IF(C170&lt;&gt;0,SUM(($C$11:C170&lt;&gt;0)*1),"")</f>
        <v/>
      </c>
      <c r="B170" s="290"/>
      <c r="C170" s="290"/>
      <c r="D170" s="290"/>
      <c r="E170" s="396"/>
      <c r="F170" s="345"/>
      <c r="G170" s="347"/>
      <c r="H170" s="347"/>
      <c r="I170" s="63" t="str">
        <f t="shared" si="129"/>
        <v/>
      </c>
      <c r="J170" s="292">
        <f t="shared" si="130"/>
        <v>0</v>
      </c>
      <c r="K170" s="292">
        <f t="shared" si="131"/>
        <v>0</v>
      </c>
      <c r="L170" s="292">
        <f t="shared" si="132"/>
        <v>0</v>
      </c>
      <c r="M170" s="292">
        <f t="shared" si="133"/>
        <v>0</v>
      </c>
      <c r="N170" s="292">
        <f t="shared" si="168"/>
        <v>0</v>
      </c>
      <c r="O170" s="292">
        <f t="shared" si="169"/>
        <v>0</v>
      </c>
      <c r="P170" s="292">
        <f t="shared" si="134"/>
        <v>0</v>
      </c>
      <c r="Q170" s="292">
        <f t="shared" si="135"/>
        <v>0</v>
      </c>
      <c r="R170" s="292">
        <f t="shared" si="136"/>
        <v>0</v>
      </c>
      <c r="S170" s="292">
        <f t="shared" si="137"/>
        <v>0</v>
      </c>
      <c r="T170" s="292">
        <f t="shared" si="170"/>
        <v>0</v>
      </c>
      <c r="U170" s="292">
        <f t="shared" si="171"/>
        <v>0</v>
      </c>
      <c r="V170" s="292">
        <f t="shared" si="138"/>
        <v>0</v>
      </c>
      <c r="W170" s="292">
        <f t="shared" si="139"/>
        <v>0</v>
      </c>
      <c r="X170" s="292">
        <f t="shared" si="140"/>
        <v>0</v>
      </c>
      <c r="Y170" s="292">
        <f t="shared" si="141"/>
        <v>0</v>
      </c>
      <c r="Z170" s="292">
        <f t="shared" si="142"/>
        <v>0</v>
      </c>
      <c r="AA170" s="292">
        <f t="shared" si="143"/>
        <v>0</v>
      </c>
      <c r="AB170" s="292">
        <f t="shared" si="144"/>
        <v>0</v>
      </c>
      <c r="AC170" s="292">
        <f t="shared" si="145"/>
        <v>0</v>
      </c>
      <c r="AD170" s="292">
        <f t="shared" si="146"/>
        <v>0</v>
      </c>
      <c r="AE170" s="292">
        <f t="shared" si="147"/>
        <v>0</v>
      </c>
      <c r="AF170" s="292">
        <f t="shared" si="172"/>
        <v>0</v>
      </c>
      <c r="AG170" s="292">
        <f t="shared" si="173"/>
        <v>0</v>
      </c>
      <c r="AH170" s="292">
        <f t="shared" si="148"/>
        <v>0</v>
      </c>
      <c r="AI170" s="292">
        <f t="shared" si="149"/>
        <v>0</v>
      </c>
      <c r="AJ170" s="292">
        <f t="shared" si="150"/>
        <v>0</v>
      </c>
      <c r="AK170" s="292">
        <f t="shared" si="151"/>
        <v>0</v>
      </c>
      <c r="AL170" s="292">
        <f t="shared" si="152"/>
        <v>0</v>
      </c>
      <c r="AM170" s="292">
        <f t="shared" si="153"/>
        <v>0</v>
      </c>
      <c r="AN170" s="292">
        <f t="shared" si="154"/>
        <v>0</v>
      </c>
      <c r="AO170" s="292">
        <f t="shared" si="155"/>
        <v>0</v>
      </c>
      <c r="AP170" s="292">
        <f t="shared" si="156"/>
        <v>0</v>
      </c>
      <c r="AQ170" s="292">
        <f t="shared" si="157"/>
        <v>0</v>
      </c>
      <c r="AR170" s="292">
        <f t="shared" si="158"/>
        <v>0</v>
      </c>
      <c r="AS170" s="292">
        <f t="shared" si="159"/>
        <v>0</v>
      </c>
      <c r="AT170" s="292">
        <f t="shared" si="160"/>
        <v>0</v>
      </c>
      <c r="AU170" s="292">
        <f t="shared" si="161"/>
        <v>0</v>
      </c>
      <c r="AV170" s="292">
        <f t="shared" si="162"/>
        <v>0</v>
      </c>
      <c r="AW170" s="292">
        <f t="shared" si="163"/>
        <v>0</v>
      </c>
      <c r="AX170" s="292">
        <f t="shared" si="164"/>
        <v>0</v>
      </c>
      <c r="AY170" s="292">
        <f t="shared" si="165"/>
        <v>0</v>
      </c>
      <c r="AZ170" s="292">
        <f t="shared" si="166"/>
        <v>0</v>
      </c>
      <c r="BA170" s="292">
        <f t="shared" si="167"/>
        <v>0</v>
      </c>
    </row>
    <row r="171" spans="1:53" s="289" customFormat="1" ht="16.5" customHeight="1">
      <c r="A171" s="63" t="str">
        <f t="array" ref="A171">IF(C171&lt;&gt;0,SUM(($C$11:C171&lt;&gt;0)*1),"")</f>
        <v/>
      </c>
      <c r="B171" s="290"/>
      <c r="C171" s="290"/>
      <c r="D171" s="290"/>
      <c r="E171" s="396"/>
      <c r="F171" s="345"/>
      <c r="G171" s="347"/>
      <c r="H171" s="347"/>
      <c r="I171" s="63" t="str">
        <f t="shared" si="129"/>
        <v/>
      </c>
      <c r="J171" s="292">
        <f t="shared" si="130"/>
        <v>0</v>
      </c>
      <c r="K171" s="292">
        <f t="shared" si="131"/>
        <v>0</v>
      </c>
      <c r="L171" s="292">
        <f t="shared" si="132"/>
        <v>0</v>
      </c>
      <c r="M171" s="292">
        <f t="shared" si="133"/>
        <v>0</v>
      </c>
      <c r="N171" s="292">
        <f t="shared" si="168"/>
        <v>0</v>
      </c>
      <c r="O171" s="292">
        <f t="shared" si="169"/>
        <v>0</v>
      </c>
      <c r="P171" s="292">
        <f t="shared" si="134"/>
        <v>0</v>
      </c>
      <c r="Q171" s="292">
        <f t="shared" si="135"/>
        <v>0</v>
      </c>
      <c r="R171" s="292">
        <f t="shared" si="136"/>
        <v>0</v>
      </c>
      <c r="S171" s="292">
        <f t="shared" si="137"/>
        <v>0</v>
      </c>
      <c r="T171" s="292">
        <f t="shared" si="170"/>
        <v>0</v>
      </c>
      <c r="U171" s="292">
        <f t="shared" si="171"/>
        <v>0</v>
      </c>
      <c r="V171" s="292">
        <f t="shared" si="138"/>
        <v>0</v>
      </c>
      <c r="W171" s="292">
        <f t="shared" si="139"/>
        <v>0</v>
      </c>
      <c r="X171" s="292">
        <f t="shared" si="140"/>
        <v>0</v>
      </c>
      <c r="Y171" s="292">
        <f t="shared" si="141"/>
        <v>0</v>
      </c>
      <c r="Z171" s="292">
        <f t="shared" si="142"/>
        <v>0</v>
      </c>
      <c r="AA171" s="292">
        <f t="shared" si="143"/>
        <v>0</v>
      </c>
      <c r="AB171" s="292">
        <f t="shared" si="144"/>
        <v>0</v>
      </c>
      <c r="AC171" s="292">
        <f t="shared" si="145"/>
        <v>0</v>
      </c>
      <c r="AD171" s="292">
        <f t="shared" si="146"/>
        <v>0</v>
      </c>
      <c r="AE171" s="292">
        <f t="shared" si="147"/>
        <v>0</v>
      </c>
      <c r="AF171" s="292">
        <f t="shared" si="172"/>
        <v>0</v>
      </c>
      <c r="AG171" s="292">
        <f t="shared" si="173"/>
        <v>0</v>
      </c>
      <c r="AH171" s="292">
        <f t="shared" si="148"/>
        <v>0</v>
      </c>
      <c r="AI171" s="292">
        <f t="shared" si="149"/>
        <v>0</v>
      </c>
      <c r="AJ171" s="292">
        <f t="shared" si="150"/>
        <v>0</v>
      </c>
      <c r="AK171" s="292">
        <f t="shared" si="151"/>
        <v>0</v>
      </c>
      <c r="AL171" s="292">
        <f t="shared" si="152"/>
        <v>0</v>
      </c>
      <c r="AM171" s="292">
        <f t="shared" si="153"/>
        <v>0</v>
      </c>
      <c r="AN171" s="292">
        <f t="shared" si="154"/>
        <v>0</v>
      </c>
      <c r="AO171" s="292">
        <f t="shared" si="155"/>
        <v>0</v>
      </c>
      <c r="AP171" s="292">
        <f t="shared" si="156"/>
        <v>0</v>
      </c>
      <c r="AQ171" s="292">
        <f t="shared" si="157"/>
        <v>0</v>
      </c>
      <c r="AR171" s="292">
        <f t="shared" si="158"/>
        <v>0</v>
      </c>
      <c r="AS171" s="292">
        <f t="shared" si="159"/>
        <v>0</v>
      </c>
      <c r="AT171" s="292">
        <f t="shared" si="160"/>
        <v>0</v>
      </c>
      <c r="AU171" s="292">
        <f t="shared" si="161"/>
        <v>0</v>
      </c>
      <c r="AV171" s="292">
        <f t="shared" si="162"/>
        <v>0</v>
      </c>
      <c r="AW171" s="292">
        <f t="shared" si="163"/>
        <v>0</v>
      </c>
      <c r="AX171" s="292">
        <f t="shared" si="164"/>
        <v>0</v>
      </c>
      <c r="AY171" s="292">
        <f t="shared" si="165"/>
        <v>0</v>
      </c>
      <c r="AZ171" s="292">
        <f t="shared" si="166"/>
        <v>0</v>
      </c>
      <c r="BA171" s="292">
        <f t="shared" si="167"/>
        <v>0</v>
      </c>
    </row>
    <row r="172" spans="1:53" s="289" customFormat="1" ht="16.5" customHeight="1">
      <c r="A172" s="63" t="str">
        <f t="array" ref="A172">IF(C172&lt;&gt;0,SUM(($C$11:C172&lt;&gt;0)*1),"")</f>
        <v/>
      </c>
      <c r="B172" s="290"/>
      <c r="C172" s="290"/>
      <c r="D172" s="290"/>
      <c r="E172" s="396"/>
      <c r="F172" s="345"/>
      <c r="G172" s="347"/>
      <c r="H172" s="347"/>
      <c r="I172" s="63" t="str">
        <f t="shared" si="129"/>
        <v/>
      </c>
      <c r="J172" s="292">
        <f t="shared" si="130"/>
        <v>0</v>
      </c>
      <c r="K172" s="292">
        <f t="shared" si="131"/>
        <v>0</v>
      </c>
      <c r="L172" s="292">
        <f t="shared" si="132"/>
        <v>0</v>
      </c>
      <c r="M172" s="292">
        <f t="shared" si="133"/>
        <v>0</v>
      </c>
      <c r="N172" s="292">
        <f t="shared" si="168"/>
        <v>0</v>
      </c>
      <c r="O172" s="292">
        <f t="shared" si="169"/>
        <v>0</v>
      </c>
      <c r="P172" s="292">
        <f t="shared" si="134"/>
        <v>0</v>
      </c>
      <c r="Q172" s="292">
        <f t="shared" si="135"/>
        <v>0</v>
      </c>
      <c r="R172" s="292">
        <f t="shared" si="136"/>
        <v>0</v>
      </c>
      <c r="S172" s="292">
        <f t="shared" si="137"/>
        <v>0</v>
      </c>
      <c r="T172" s="292">
        <f t="shared" si="170"/>
        <v>0</v>
      </c>
      <c r="U172" s="292">
        <f t="shared" si="171"/>
        <v>0</v>
      </c>
      <c r="V172" s="292">
        <f t="shared" si="138"/>
        <v>0</v>
      </c>
      <c r="W172" s="292">
        <f t="shared" si="139"/>
        <v>0</v>
      </c>
      <c r="X172" s="292">
        <f t="shared" si="140"/>
        <v>0</v>
      </c>
      <c r="Y172" s="292">
        <f t="shared" si="141"/>
        <v>0</v>
      </c>
      <c r="Z172" s="292">
        <f t="shared" si="142"/>
        <v>0</v>
      </c>
      <c r="AA172" s="292">
        <f t="shared" si="143"/>
        <v>0</v>
      </c>
      <c r="AB172" s="292">
        <f t="shared" si="144"/>
        <v>0</v>
      </c>
      <c r="AC172" s="292">
        <f t="shared" si="145"/>
        <v>0</v>
      </c>
      <c r="AD172" s="292">
        <f t="shared" si="146"/>
        <v>0</v>
      </c>
      <c r="AE172" s="292">
        <f t="shared" si="147"/>
        <v>0</v>
      </c>
      <c r="AF172" s="292">
        <f t="shared" si="172"/>
        <v>0</v>
      </c>
      <c r="AG172" s="292">
        <f t="shared" si="173"/>
        <v>0</v>
      </c>
      <c r="AH172" s="292">
        <f t="shared" si="148"/>
        <v>0</v>
      </c>
      <c r="AI172" s="292">
        <f t="shared" si="149"/>
        <v>0</v>
      </c>
      <c r="AJ172" s="292">
        <f t="shared" si="150"/>
        <v>0</v>
      </c>
      <c r="AK172" s="292">
        <f t="shared" si="151"/>
        <v>0</v>
      </c>
      <c r="AL172" s="292">
        <f t="shared" si="152"/>
        <v>0</v>
      </c>
      <c r="AM172" s="292">
        <f t="shared" si="153"/>
        <v>0</v>
      </c>
      <c r="AN172" s="292">
        <f t="shared" si="154"/>
        <v>0</v>
      </c>
      <c r="AO172" s="292">
        <f t="shared" si="155"/>
        <v>0</v>
      </c>
      <c r="AP172" s="292">
        <f t="shared" si="156"/>
        <v>0</v>
      </c>
      <c r="AQ172" s="292">
        <f t="shared" si="157"/>
        <v>0</v>
      </c>
      <c r="AR172" s="292">
        <f t="shared" si="158"/>
        <v>0</v>
      </c>
      <c r="AS172" s="292">
        <f t="shared" si="159"/>
        <v>0</v>
      </c>
      <c r="AT172" s="292">
        <f t="shared" si="160"/>
        <v>0</v>
      </c>
      <c r="AU172" s="292">
        <f t="shared" si="161"/>
        <v>0</v>
      </c>
      <c r="AV172" s="292">
        <f t="shared" si="162"/>
        <v>0</v>
      </c>
      <c r="AW172" s="292">
        <f t="shared" si="163"/>
        <v>0</v>
      </c>
      <c r="AX172" s="292">
        <f t="shared" si="164"/>
        <v>0</v>
      </c>
      <c r="AY172" s="292">
        <f t="shared" si="165"/>
        <v>0</v>
      </c>
      <c r="AZ172" s="292">
        <f t="shared" si="166"/>
        <v>0</v>
      </c>
      <c r="BA172" s="292">
        <f t="shared" si="167"/>
        <v>0</v>
      </c>
    </row>
    <row r="173" spans="1:53" s="289" customFormat="1" ht="16.5" customHeight="1">
      <c r="A173" s="63" t="str">
        <f t="array" ref="A173">IF(C173&lt;&gt;0,SUM(($C$11:C173&lt;&gt;0)*1),"")</f>
        <v/>
      </c>
      <c r="B173" s="290"/>
      <c r="C173" s="290"/>
      <c r="D173" s="290"/>
      <c r="E173" s="396"/>
      <c r="F173" s="345"/>
      <c r="G173" s="347"/>
      <c r="H173" s="347"/>
      <c r="I173" s="63" t="str">
        <f t="shared" si="129"/>
        <v/>
      </c>
      <c r="J173" s="292">
        <f t="shared" si="130"/>
        <v>0</v>
      </c>
      <c r="K173" s="292">
        <f t="shared" si="131"/>
        <v>0</v>
      </c>
      <c r="L173" s="292">
        <f t="shared" si="132"/>
        <v>0</v>
      </c>
      <c r="M173" s="292">
        <f t="shared" si="133"/>
        <v>0</v>
      </c>
      <c r="N173" s="292">
        <f t="shared" si="168"/>
        <v>0</v>
      </c>
      <c r="O173" s="292">
        <f t="shared" si="169"/>
        <v>0</v>
      </c>
      <c r="P173" s="292">
        <f t="shared" si="134"/>
        <v>0</v>
      </c>
      <c r="Q173" s="292">
        <f t="shared" si="135"/>
        <v>0</v>
      </c>
      <c r="R173" s="292">
        <f t="shared" si="136"/>
        <v>0</v>
      </c>
      <c r="S173" s="292">
        <f t="shared" si="137"/>
        <v>0</v>
      </c>
      <c r="T173" s="292">
        <f t="shared" si="170"/>
        <v>0</v>
      </c>
      <c r="U173" s="292">
        <f t="shared" si="171"/>
        <v>0</v>
      </c>
      <c r="V173" s="292">
        <f t="shared" si="138"/>
        <v>0</v>
      </c>
      <c r="W173" s="292">
        <f t="shared" si="139"/>
        <v>0</v>
      </c>
      <c r="X173" s="292">
        <f t="shared" si="140"/>
        <v>0</v>
      </c>
      <c r="Y173" s="292">
        <f t="shared" si="141"/>
        <v>0</v>
      </c>
      <c r="Z173" s="292">
        <f t="shared" si="142"/>
        <v>0</v>
      </c>
      <c r="AA173" s="292">
        <f t="shared" si="143"/>
        <v>0</v>
      </c>
      <c r="AB173" s="292">
        <f t="shared" si="144"/>
        <v>0</v>
      </c>
      <c r="AC173" s="292">
        <f t="shared" si="145"/>
        <v>0</v>
      </c>
      <c r="AD173" s="292">
        <f t="shared" si="146"/>
        <v>0</v>
      </c>
      <c r="AE173" s="292">
        <f t="shared" si="147"/>
        <v>0</v>
      </c>
      <c r="AF173" s="292">
        <f t="shared" si="172"/>
        <v>0</v>
      </c>
      <c r="AG173" s="292">
        <f t="shared" si="173"/>
        <v>0</v>
      </c>
      <c r="AH173" s="292">
        <f t="shared" si="148"/>
        <v>0</v>
      </c>
      <c r="AI173" s="292">
        <f t="shared" si="149"/>
        <v>0</v>
      </c>
      <c r="AJ173" s="292">
        <f t="shared" si="150"/>
        <v>0</v>
      </c>
      <c r="AK173" s="292">
        <f t="shared" si="151"/>
        <v>0</v>
      </c>
      <c r="AL173" s="292">
        <f t="shared" si="152"/>
        <v>0</v>
      </c>
      <c r="AM173" s="292">
        <f t="shared" si="153"/>
        <v>0</v>
      </c>
      <c r="AN173" s="292">
        <f t="shared" si="154"/>
        <v>0</v>
      </c>
      <c r="AO173" s="292">
        <f t="shared" si="155"/>
        <v>0</v>
      </c>
      <c r="AP173" s="292">
        <f t="shared" si="156"/>
        <v>0</v>
      </c>
      <c r="AQ173" s="292">
        <f t="shared" si="157"/>
        <v>0</v>
      </c>
      <c r="AR173" s="292">
        <f t="shared" si="158"/>
        <v>0</v>
      </c>
      <c r="AS173" s="292">
        <f t="shared" si="159"/>
        <v>0</v>
      </c>
      <c r="AT173" s="292">
        <f t="shared" si="160"/>
        <v>0</v>
      </c>
      <c r="AU173" s="292">
        <f t="shared" si="161"/>
        <v>0</v>
      </c>
      <c r="AV173" s="292">
        <f t="shared" si="162"/>
        <v>0</v>
      </c>
      <c r="AW173" s="292">
        <f t="shared" si="163"/>
        <v>0</v>
      </c>
      <c r="AX173" s="292">
        <f t="shared" si="164"/>
        <v>0</v>
      </c>
      <c r="AY173" s="292">
        <f t="shared" si="165"/>
        <v>0</v>
      </c>
      <c r="AZ173" s="292">
        <f t="shared" si="166"/>
        <v>0</v>
      </c>
      <c r="BA173" s="292">
        <f t="shared" si="167"/>
        <v>0</v>
      </c>
    </row>
    <row r="174" spans="1:53" s="289" customFormat="1" ht="16.5" customHeight="1">
      <c r="A174" s="63" t="str">
        <f t="array" ref="A174">IF(C174&lt;&gt;0,SUM(($C$11:C174&lt;&gt;0)*1),"")</f>
        <v/>
      </c>
      <c r="B174" s="290"/>
      <c r="C174" s="290"/>
      <c r="D174" s="290"/>
      <c r="E174" s="396"/>
      <c r="F174" s="345"/>
      <c r="G174" s="347"/>
      <c r="H174" s="347"/>
      <c r="I174" s="63" t="str">
        <f t="shared" si="129"/>
        <v/>
      </c>
      <c r="J174" s="292">
        <f t="shared" si="130"/>
        <v>0</v>
      </c>
      <c r="K174" s="292">
        <f t="shared" si="131"/>
        <v>0</v>
      </c>
      <c r="L174" s="292">
        <f t="shared" si="132"/>
        <v>0</v>
      </c>
      <c r="M174" s="292">
        <f t="shared" si="133"/>
        <v>0</v>
      </c>
      <c r="N174" s="292">
        <f t="shared" si="168"/>
        <v>0</v>
      </c>
      <c r="O174" s="292">
        <f t="shared" si="169"/>
        <v>0</v>
      </c>
      <c r="P174" s="292">
        <f t="shared" si="134"/>
        <v>0</v>
      </c>
      <c r="Q174" s="292">
        <f t="shared" si="135"/>
        <v>0</v>
      </c>
      <c r="R174" s="292">
        <f t="shared" si="136"/>
        <v>0</v>
      </c>
      <c r="S174" s="292">
        <f t="shared" si="137"/>
        <v>0</v>
      </c>
      <c r="T174" s="292">
        <f t="shared" si="170"/>
        <v>0</v>
      </c>
      <c r="U174" s="292">
        <f t="shared" si="171"/>
        <v>0</v>
      </c>
      <c r="V174" s="292">
        <f t="shared" si="138"/>
        <v>0</v>
      </c>
      <c r="W174" s="292">
        <f t="shared" si="139"/>
        <v>0</v>
      </c>
      <c r="X174" s="292">
        <f t="shared" si="140"/>
        <v>0</v>
      </c>
      <c r="Y174" s="292">
        <f t="shared" si="141"/>
        <v>0</v>
      </c>
      <c r="Z174" s="292">
        <f t="shared" si="142"/>
        <v>0</v>
      </c>
      <c r="AA174" s="292">
        <f t="shared" si="143"/>
        <v>0</v>
      </c>
      <c r="AB174" s="292">
        <f t="shared" si="144"/>
        <v>0</v>
      </c>
      <c r="AC174" s="292">
        <f t="shared" si="145"/>
        <v>0</v>
      </c>
      <c r="AD174" s="292">
        <f t="shared" si="146"/>
        <v>0</v>
      </c>
      <c r="AE174" s="292">
        <f t="shared" si="147"/>
        <v>0</v>
      </c>
      <c r="AF174" s="292">
        <f t="shared" si="172"/>
        <v>0</v>
      </c>
      <c r="AG174" s="292">
        <f t="shared" si="173"/>
        <v>0</v>
      </c>
      <c r="AH174" s="292">
        <f t="shared" si="148"/>
        <v>0</v>
      </c>
      <c r="AI174" s="292">
        <f t="shared" si="149"/>
        <v>0</v>
      </c>
      <c r="AJ174" s="292">
        <f t="shared" si="150"/>
        <v>0</v>
      </c>
      <c r="AK174" s="292">
        <f t="shared" si="151"/>
        <v>0</v>
      </c>
      <c r="AL174" s="292">
        <f t="shared" si="152"/>
        <v>0</v>
      </c>
      <c r="AM174" s="292">
        <f t="shared" si="153"/>
        <v>0</v>
      </c>
      <c r="AN174" s="292">
        <f t="shared" si="154"/>
        <v>0</v>
      </c>
      <c r="AO174" s="292">
        <f t="shared" si="155"/>
        <v>0</v>
      </c>
      <c r="AP174" s="292">
        <f t="shared" si="156"/>
        <v>0</v>
      </c>
      <c r="AQ174" s="292">
        <f t="shared" si="157"/>
        <v>0</v>
      </c>
      <c r="AR174" s="292">
        <f t="shared" si="158"/>
        <v>0</v>
      </c>
      <c r="AS174" s="292">
        <f t="shared" si="159"/>
        <v>0</v>
      </c>
      <c r="AT174" s="292">
        <f t="shared" si="160"/>
        <v>0</v>
      </c>
      <c r="AU174" s="292">
        <f t="shared" si="161"/>
        <v>0</v>
      </c>
      <c r="AV174" s="292">
        <f t="shared" si="162"/>
        <v>0</v>
      </c>
      <c r="AW174" s="292">
        <f t="shared" si="163"/>
        <v>0</v>
      </c>
      <c r="AX174" s="292">
        <f t="shared" si="164"/>
        <v>0</v>
      </c>
      <c r="AY174" s="292">
        <f t="shared" si="165"/>
        <v>0</v>
      </c>
      <c r="AZ174" s="292">
        <f t="shared" si="166"/>
        <v>0</v>
      </c>
      <c r="BA174" s="292">
        <f t="shared" si="167"/>
        <v>0</v>
      </c>
    </row>
    <row r="175" spans="1:53" s="289" customFormat="1" ht="16.5" customHeight="1">
      <c r="A175" s="63" t="str">
        <f t="array" ref="A175">IF(C175&lt;&gt;0,SUM(($C$11:C175&lt;&gt;0)*1),"")</f>
        <v/>
      </c>
      <c r="B175" s="290"/>
      <c r="C175" s="290"/>
      <c r="D175" s="290"/>
      <c r="E175" s="396"/>
      <c r="F175" s="345"/>
      <c r="G175" s="347"/>
      <c r="H175" s="347"/>
      <c r="I175" s="63" t="str">
        <f t="shared" si="129"/>
        <v/>
      </c>
      <c r="J175" s="292">
        <f t="shared" si="130"/>
        <v>0</v>
      </c>
      <c r="K175" s="292">
        <f t="shared" si="131"/>
        <v>0</v>
      </c>
      <c r="L175" s="292">
        <f t="shared" si="132"/>
        <v>0</v>
      </c>
      <c r="M175" s="292">
        <f t="shared" si="133"/>
        <v>0</v>
      </c>
      <c r="N175" s="292">
        <f t="shared" si="168"/>
        <v>0</v>
      </c>
      <c r="O175" s="292">
        <f t="shared" si="169"/>
        <v>0</v>
      </c>
      <c r="P175" s="292">
        <f t="shared" si="134"/>
        <v>0</v>
      </c>
      <c r="Q175" s="292">
        <f t="shared" si="135"/>
        <v>0</v>
      </c>
      <c r="R175" s="292">
        <f t="shared" si="136"/>
        <v>0</v>
      </c>
      <c r="S175" s="292">
        <f t="shared" si="137"/>
        <v>0</v>
      </c>
      <c r="T175" s="292">
        <f t="shared" si="170"/>
        <v>0</v>
      </c>
      <c r="U175" s="292">
        <f t="shared" si="171"/>
        <v>0</v>
      </c>
      <c r="V175" s="292">
        <f t="shared" si="138"/>
        <v>0</v>
      </c>
      <c r="W175" s="292">
        <f t="shared" si="139"/>
        <v>0</v>
      </c>
      <c r="X175" s="292">
        <f t="shared" si="140"/>
        <v>0</v>
      </c>
      <c r="Y175" s="292">
        <f t="shared" si="141"/>
        <v>0</v>
      </c>
      <c r="Z175" s="292">
        <f t="shared" si="142"/>
        <v>0</v>
      </c>
      <c r="AA175" s="292">
        <f t="shared" si="143"/>
        <v>0</v>
      </c>
      <c r="AB175" s="292">
        <f t="shared" si="144"/>
        <v>0</v>
      </c>
      <c r="AC175" s="292">
        <f t="shared" si="145"/>
        <v>0</v>
      </c>
      <c r="AD175" s="292">
        <f t="shared" si="146"/>
        <v>0</v>
      </c>
      <c r="AE175" s="292">
        <f t="shared" si="147"/>
        <v>0</v>
      </c>
      <c r="AF175" s="292">
        <f t="shared" si="172"/>
        <v>0</v>
      </c>
      <c r="AG175" s="292">
        <f t="shared" si="173"/>
        <v>0</v>
      </c>
      <c r="AH175" s="292">
        <f t="shared" si="148"/>
        <v>0</v>
      </c>
      <c r="AI175" s="292">
        <f t="shared" si="149"/>
        <v>0</v>
      </c>
      <c r="AJ175" s="292">
        <f t="shared" si="150"/>
        <v>0</v>
      </c>
      <c r="AK175" s="292">
        <f t="shared" si="151"/>
        <v>0</v>
      </c>
      <c r="AL175" s="292">
        <f t="shared" si="152"/>
        <v>0</v>
      </c>
      <c r="AM175" s="292">
        <f t="shared" si="153"/>
        <v>0</v>
      </c>
      <c r="AN175" s="292">
        <f t="shared" si="154"/>
        <v>0</v>
      </c>
      <c r="AO175" s="292">
        <f t="shared" si="155"/>
        <v>0</v>
      </c>
      <c r="AP175" s="292">
        <f t="shared" si="156"/>
        <v>0</v>
      </c>
      <c r="AQ175" s="292">
        <f t="shared" si="157"/>
        <v>0</v>
      </c>
      <c r="AR175" s="292">
        <f t="shared" si="158"/>
        <v>0</v>
      </c>
      <c r="AS175" s="292">
        <f t="shared" si="159"/>
        <v>0</v>
      </c>
      <c r="AT175" s="292">
        <f t="shared" si="160"/>
        <v>0</v>
      </c>
      <c r="AU175" s="292">
        <f t="shared" si="161"/>
        <v>0</v>
      </c>
      <c r="AV175" s="292">
        <f t="shared" si="162"/>
        <v>0</v>
      </c>
      <c r="AW175" s="292">
        <f t="shared" si="163"/>
        <v>0</v>
      </c>
      <c r="AX175" s="292">
        <f t="shared" si="164"/>
        <v>0</v>
      </c>
      <c r="AY175" s="292">
        <f t="shared" si="165"/>
        <v>0</v>
      </c>
      <c r="AZ175" s="292">
        <f t="shared" si="166"/>
        <v>0</v>
      </c>
      <c r="BA175" s="292">
        <f t="shared" si="167"/>
        <v>0</v>
      </c>
    </row>
    <row r="176" spans="1:53" s="289" customFormat="1" ht="16.5" customHeight="1">
      <c r="A176" s="63" t="str">
        <f t="array" ref="A176">IF(C176&lt;&gt;0,SUM(($C$11:C176&lt;&gt;0)*1),"")</f>
        <v/>
      </c>
      <c r="B176" s="290"/>
      <c r="C176" s="290"/>
      <c r="D176" s="290"/>
      <c r="E176" s="396"/>
      <c r="F176" s="345"/>
      <c r="G176" s="347"/>
      <c r="H176" s="347"/>
      <c r="I176" s="63" t="str">
        <f t="shared" si="129"/>
        <v/>
      </c>
      <c r="J176" s="292">
        <f t="shared" si="130"/>
        <v>0</v>
      </c>
      <c r="K176" s="292">
        <f t="shared" si="131"/>
        <v>0</v>
      </c>
      <c r="L176" s="292">
        <f t="shared" si="132"/>
        <v>0</v>
      </c>
      <c r="M176" s="292">
        <f t="shared" si="133"/>
        <v>0</v>
      </c>
      <c r="N176" s="292">
        <f t="shared" si="168"/>
        <v>0</v>
      </c>
      <c r="O176" s="292">
        <f t="shared" si="169"/>
        <v>0</v>
      </c>
      <c r="P176" s="292">
        <f t="shared" si="134"/>
        <v>0</v>
      </c>
      <c r="Q176" s="292">
        <f t="shared" si="135"/>
        <v>0</v>
      </c>
      <c r="R176" s="292">
        <f t="shared" si="136"/>
        <v>0</v>
      </c>
      <c r="S176" s="292">
        <f t="shared" si="137"/>
        <v>0</v>
      </c>
      <c r="T176" s="292">
        <f t="shared" si="170"/>
        <v>0</v>
      </c>
      <c r="U176" s="292">
        <f t="shared" si="171"/>
        <v>0</v>
      </c>
      <c r="V176" s="292">
        <f t="shared" si="138"/>
        <v>0</v>
      </c>
      <c r="W176" s="292">
        <f t="shared" si="139"/>
        <v>0</v>
      </c>
      <c r="X176" s="292">
        <f t="shared" si="140"/>
        <v>0</v>
      </c>
      <c r="Y176" s="292">
        <f t="shared" si="141"/>
        <v>0</v>
      </c>
      <c r="Z176" s="292">
        <f t="shared" si="142"/>
        <v>0</v>
      </c>
      <c r="AA176" s="292">
        <f t="shared" si="143"/>
        <v>0</v>
      </c>
      <c r="AB176" s="292">
        <f t="shared" si="144"/>
        <v>0</v>
      </c>
      <c r="AC176" s="292">
        <f t="shared" si="145"/>
        <v>0</v>
      </c>
      <c r="AD176" s="292">
        <f t="shared" si="146"/>
        <v>0</v>
      </c>
      <c r="AE176" s="292">
        <f t="shared" si="147"/>
        <v>0</v>
      </c>
      <c r="AF176" s="292">
        <f t="shared" si="172"/>
        <v>0</v>
      </c>
      <c r="AG176" s="292">
        <f t="shared" si="173"/>
        <v>0</v>
      </c>
      <c r="AH176" s="292">
        <f t="shared" si="148"/>
        <v>0</v>
      </c>
      <c r="AI176" s="292">
        <f t="shared" si="149"/>
        <v>0</v>
      </c>
      <c r="AJ176" s="292">
        <f t="shared" si="150"/>
        <v>0</v>
      </c>
      <c r="AK176" s="292">
        <f t="shared" si="151"/>
        <v>0</v>
      </c>
      <c r="AL176" s="292">
        <f t="shared" si="152"/>
        <v>0</v>
      </c>
      <c r="AM176" s="292">
        <f t="shared" si="153"/>
        <v>0</v>
      </c>
      <c r="AN176" s="292">
        <f t="shared" si="154"/>
        <v>0</v>
      </c>
      <c r="AO176" s="292">
        <f t="shared" si="155"/>
        <v>0</v>
      </c>
      <c r="AP176" s="292">
        <f t="shared" si="156"/>
        <v>0</v>
      </c>
      <c r="AQ176" s="292">
        <f t="shared" si="157"/>
        <v>0</v>
      </c>
      <c r="AR176" s="292">
        <f t="shared" si="158"/>
        <v>0</v>
      </c>
      <c r="AS176" s="292">
        <f t="shared" si="159"/>
        <v>0</v>
      </c>
      <c r="AT176" s="292">
        <f t="shared" si="160"/>
        <v>0</v>
      </c>
      <c r="AU176" s="292">
        <f t="shared" si="161"/>
        <v>0</v>
      </c>
      <c r="AV176" s="292">
        <f t="shared" si="162"/>
        <v>0</v>
      </c>
      <c r="AW176" s="292">
        <f t="shared" si="163"/>
        <v>0</v>
      </c>
      <c r="AX176" s="292">
        <f t="shared" si="164"/>
        <v>0</v>
      </c>
      <c r="AY176" s="292">
        <f t="shared" si="165"/>
        <v>0</v>
      </c>
      <c r="AZ176" s="292">
        <f t="shared" si="166"/>
        <v>0</v>
      </c>
      <c r="BA176" s="292">
        <f t="shared" si="167"/>
        <v>0</v>
      </c>
    </row>
    <row r="177" spans="1:53" s="289" customFormat="1" ht="16.5" customHeight="1">
      <c r="A177" s="63" t="str">
        <f t="array" ref="A177">IF(C177&lt;&gt;0,SUM(($C$11:C177&lt;&gt;0)*1),"")</f>
        <v/>
      </c>
      <c r="B177" s="290"/>
      <c r="C177" s="290"/>
      <c r="D177" s="290"/>
      <c r="E177" s="396"/>
      <c r="F177" s="345"/>
      <c r="G177" s="347"/>
      <c r="H177" s="347"/>
      <c r="I177" s="63" t="str">
        <f t="shared" si="129"/>
        <v/>
      </c>
      <c r="J177" s="292">
        <f t="shared" si="130"/>
        <v>0</v>
      </c>
      <c r="K177" s="292">
        <f t="shared" si="131"/>
        <v>0</v>
      </c>
      <c r="L177" s="292">
        <f t="shared" si="132"/>
        <v>0</v>
      </c>
      <c r="M177" s="292">
        <f t="shared" si="133"/>
        <v>0</v>
      </c>
      <c r="N177" s="292">
        <f t="shared" si="168"/>
        <v>0</v>
      </c>
      <c r="O177" s="292">
        <f t="shared" si="169"/>
        <v>0</v>
      </c>
      <c r="P177" s="292">
        <f t="shared" si="134"/>
        <v>0</v>
      </c>
      <c r="Q177" s="292">
        <f t="shared" si="135"/>
        <v>0</v>
      </c>
      <c r="R177" s="292">
        <f t="shared" si="136"/>
        <v>0</v>
      </c>
      <c r="S177" s="292">
        <f t="shared" si="137"/>
        <v>0</v>
      </c>
      <c r="T177" s="292">
        <f t="shared" si="170"/>
        <v>0</v>
      </c>
      <c r="U177" s="292">
        <f t="shared" si="171"/>
        <v>0</v>
      </c>
      <c r="V177" s="292">
        <f t="shared" si="138"/>
        <v>0</v>
      </c>
      <c r="W177" s="292">
        <f t="shared" si="139"/>
        <v>0</v>
      </c>
      <c r="X177" s="292">
        <f t="shared" si="140"/>
        <v>0</v>
      </c>
      <c r="Y177" s="292">
        <f t="shared" si="141"/>
        <v>0</v>
      </c>
      <c r="Z177" s="292">
        <f t="shared" si="142"/>
        <v>0</v>
      </c>
      <c r="AA177" s="292">
        <f t="shared" si="143"/>
        <v>0</v>
      </c>
      <c r="AB177" s="292">
        <f t="shared" si="144"/>
        <v>0</v>
      </c>
      <c r="AC177" s="292">
        <f t="shared" si="145"/>
        <v>0</v>
      </c>
      <c r="AD177" s="292">
        <f t="shared" si="146"/>
        <v>0</v>
      </c>
      <c r="AE177" s="292">
        <f t="shared" si="147"/>
        <v>0</v>
      </c>
      <c r="AF177" s="292">
        <f t="shared" si="172"/>
        <v>0</v>
      </c>
      <c r="AG177" s="292">
        <f t="shared" si="173"/>
        <v>0</v>
      </c>
      <c r="AH177" s="292">
        <f t="shared" si="148"/>
        <v>0</v>
      </c>
      <c r="AI177" s="292">
        <f t="shared" si="149"/>
        <v>0</v>
      </c>
      <c r="AJ177" s="292">
        <f t="shared" si="150"/>
        <v>0</v>
      </c>
      <c r="AK177" s="292">
        <f t="shared" si="151"/>
        <v>0</v>
      </c>
      <c r="AL177" s="292">
        <f t="shared" si="152"/>
        <v>0</v>
      </c>
      <c r="AM177" s="292">
        <f t="shared" si="153"/>
        <v>0</v>
      </c>
      <c r="AN177" s="292">
        <f t="shared" si="154"/>
        <v>0</v>
      </c>
      <c r="AO177" s="292">
        <f t="shared" si="155"/>
        <v>0</v>
      </c>
      <c r="AP177" s="292">
        <f t="shared" si="156"/>
        <v>0</v>
      </c>
      <c r="AQ177" s="292">
        <f t="shared" si="157"/>
        <v>0</v>
      </c>
      <c r="AR177" s="292">
        <f t="shared" si="158"/>
        <v>0</v>
      </c>
      <c r="AS177" s="292">
        <f t="shared" si="159"/>
        <v>0</v>
      </c>
      <c r="AT177" s="292">
        <f t="shared" si="160"/>
        <v>0</v>
      </c>
      <c r="AU177" s="292">
        <f t="shared" si="161"/>
        <v>0</v>
      </c>
      <c r="AV177" s="292">
        <f t="shared" si="162"/>
        <v>0</v>
      </c>
      <c r="AW177" s="292">
        <f t="shared" si="163"/>
        <v>0</v>
      </c>
      <c r="AX177" s="292">
        <f t="shared" si="164"/>
        <v>0</v>
      </c>
      <c r="AY177" s="292">
        <f t="shared" si="165"/>
        <v>0</v>
      </c>
      <c r="AZ177" s="292">
        <f t="shared" si="166"/>
        <v>0</v>
      </c>
      <c r="BA177" s="292">
        <f t="shared" si="167"/>
        <v>0</v>
      </c>
    </row>
    <row r="178" spans="1:53" s="289" customFormat="1" ht="16.5" customHeight="1">
      <c r="A178" s="63" t="str">
        <f t="array" ref="A178">IF(C178&lt;&gt;0,SUM(($C$11:C178&lt;&gt;0)*1),"")</f>
        <v/>
      </c>
      <c r="B178" s="290"/>
      <c r="C178" s="290"/>
      <c r="D178" s="290"/>
      <c r="E178" s="396"/>
      <c r="F178" s="345"/>
      <c r="G178" s="347"/>
      <c r="H178" s="347"/>
      <c r="I178" s="63" t="str">
        <f t="shared" si="129"/>
        <v/>
      </c>
      <c r="J178" s="292">
        <f t="shared" si="130"/>
        <v>0</v>
      </c>
      <c r="K178" s="292">
        <f t="shared" si="131"/>
        <v>0</v>
      </c>
      <c r="L178" s="292">
        <f t="shared" si="132"/>
        <v>0</v>
      </c>
      <c r="M178" s="292">
        <f t="shared" si="133"/>
        <v>0</v>
      </c>
      <c r="N178" s="292">
        <f t="shared" si="168"/>
        <v>0</v>
      </c>
      <c r="O178" s="292">
        <f t="shared" si="169"/>
        <v>0</v>
      </c>
      <c r="P178" s="292">
        <f t="shared" si="134"/>
        <v>0</v>
      </c>
      <c r="Q178" s="292">
        <f t="shared" si="135"/>
        <v>0</v>
      </c>
      <c r="R178" s="292">
        <f t="shared" si="136"/>
        <v>0</v>
      </c>
      <c r="S178" s="292">
        <f t="shared" si="137"/>
        <v>0</v>
      </c>
      <c r="T178" s="292">
        <f t="shared" si="170"/>
        <v>0</v>
      </c>
      <c r="U178" s="292">
        <f t="shared" si="171"/>
        <v>0</v>
      </c>
      <c r="V178" s="292">
        <f t="shared" si="138"/>
        <v>0</v>
      </c>
      <c r="W178" s="292">
        <f t="shared" si="139"/>
        <v>0</v>
      </c>
      <c r="X178" s="292">
        <f t="shared" si="140"/>
        <v>0</v>
      </c>
      <c r="Y178" s="292">
        <f t="shared" si="141"/>
        <v>0</v>
      </c>
      <c r="Z178" s="292">
        <f t="shared" si="142"/>
        <v>0</v>
      </c>
      <c r="AA178" s="292">
        <f t="shared" si="143"/>
        <v>0</v>
      </c>
      <c r="AB178" s="292">
        <f t="shared" si="144"/>
        <v>0</v>
      </c>
      <c r="AC178" s="292">
        <f t="shared" si="145"/>
        <v>0</v>
      </c>
      <c r="AD178" s="292">
        <f t="shared" si="146"/>
        <v>0</v>
      </c>
      <c r="AE178" s="292">
        <f t="shared" si="147"/>
        <v>0</v>
      </c>
      <c r="AF178" s="292">
        <f t="shared" si="172"/>
        <v>0</v>
      </c>
      <c r="AG178" s="292">
        <f t="shared" si="173"/>
        <v>0</v>
      </c>
      <c r="AH178" s="292">
        <f t="shared" si="148"/>
        <v>0</v>
      </c>
      <c r="AI178" s="292">
        <f t="shared" si="149"/>
        <v>0</v>
      </c>
      <c r="AJ178" s="292">
        <f t="shared" si="150"/>
        <v>0</v>
      </c>
      <c r="AK178" s="292">
        <f t="shared" si="151"/>
        <v>0</v>
      </c>
      <c r="AL178" s="292">
        <f t="shared" si="152"/>
        <v>0</v>
      </c>
      <c r="AM178" s="292">
        <f t="shared" si="153"/>
        <v>0</v>
      </c>
      <c r="AN178" s="292">
        <f t="shared" si="154"/>
        <v>0</v>
      </c>
      <c r="AO178" s="292">
        <f t="shared" si="155"/>
        <v>0</v>
      </c>
      <c r="AP178" s="292">
        <f t="shared" si="156"/>
        <v>0</v>
      </c>
      <c r="AQ178" s="292">
        <f t="shared" si="157"/>
        <v>0</v>
      </c>
      <c r="AR178" s="292">
        <f t="shared" si="158"/>
        <v>0</v>
      </c>
      <c r="AS178" s="292">
        <f t="shared" si="159"/>
        <v>0</v>
      </c>
      <c r="AT178" s="292">
        <f t="shared" si="160"/>
        <v>0</v>
      </c>
      <c r="AU178" s="292">
        <f t="shared" si="161"/>
        <v>0</v>
      </c>
      <c r="AV178" s="292">
        <f t="shared" si="162"/>
        <v>0</v>
      </c>
      <c r="AW178" s="292">
        <f t="shared" si="163"/>
        <v>0</v>
      </c>
      <c r="AX178" s="292">
        <f t="shared" si="164"/>
        <v>0</v>
      </c>
      <c r="AY178" s="292">
        <f t="shared" si="165"/>
        <v>0</v>
      </c>
      <c r="AZ178" s="292">
        <f t="shared" si="166"/>
        <v>0</v>
      </c>
      <c r="BA178" s="292">
        <f t="shared" si="167"/>
        <v>0</v>
      </c>
    </row>
    <row r="179" spans="1:53" s="289" customFormat="1" ht="16.5" customHeight="1">
      <c r="A179" s="63" t="str">
        <f t="array" ref="A179">IF(C179&lt;&gt;0,SUM(($C$11:C179&lt;&gt;0)*1),"")</f>
        <v/>
      </c>
      <c r="B179" s="290"/>
      <c r="C179" s="290"/>
      <c r="D179" s="290"/>
      <c r="E179" s="396"/>
      <c r="F179" s="345"/>
      <c r="G179" s="347"/>
      <c r="H179" s="347"/>
      <c r="I179" s="63" t="str">
        <f t="shared" si="129"/>
        <v/>
      </c>
      <c r="J179" s="292">
        <f t="shared" si="130"/>
        <v>0</v>
      </c>
      <c r="K179" s="292">
        <f t="shared" si="131"/>
        <v>0</v>
      </c>
      <c r="L179" s="292">
        <f t="shared" si="132"/>
        <v>0</v>
      </c>
      <c r="M179" s="292">
        <f t="shared" si="133"/>
        <v>0</v>
      </c>
      <c r="N179" s="292">
        <f t="shared" si="168"/>
        <v>0</v>
      </c>
      <c r="O179" s="292">
        <f t="shared" si="169"/>
        <v>0</v>
      </c>
      <c r="P179" s="292">
        <f t="shared" si="134"/>
        <v>0</v>
      </c>
      <c r="Q179" s="292">
        <f t="shared" si="135"/>
        <v>0</v>
      </c>
      <c r="R179" s="292">
        <f t="shared" si="136"/>
        <v>0</v>
      </c>
      <c r="S179" s="292">
        <f t="shared" si="137"/>
        <v>0</v>
      </c>
      <c r="T179" s="292">
        <f t="shared" si="170"/>
        <v>0</v>
      </c>
      <c r="U179" s="292">
        <f t="shared" si="171"/>
        <v>0</v>
      </c>
      <c r="V179" s="292">
        <f t="shared" si="138"/>
        <v>0</v>
      </c>
      <c r="W179" s="292">
        <f t="shared" si="139"/>
        <v>0</v>
      </c>
      <c r="X179" s="292">
        <f t="shared" si="140"/>
        <v>0</v>
      </c>
      <c r="Y179" s="292">
        <f t="shared" si="141"/>
        <v>0</v>
      </c>
      <c r="Z179" s="292">
        <f t="shared" si="142"/>
        <v>0</v>
      </c>
      <c r="AA179" s="292">
        <f t="shared" si="143"/>
        <v>0</v>
      </c>
      <c r="AB179" s="292">
        <f t="shared" si="144"/>
        <v>0</v>
      </c>
      <c r="AC179" s="292">
        <f t="shared" si="145"/>
        <v>0</v>
      </c>
      <c r="AD179" s="292">
        <f t="shared" si="146"/>
        <v>0</v>
      </c>
      <c r="AE179" s="292">
        <f t="shared" si="147"/>
        <v>0</v>
      </c>
      <c r="AF179" s="292">
        <f t="shared" si="172"/>
        <v>0</v>
      </c>
      <c r="AG179" s="292">
        <f t="shared" si="173"/>
        <v>0</v>
      </c>
      <c r="AH179" s="292">
        <f t="shared" si="148"/>
        <v>0</v>
      </c>
      <c r="AI179" s="292">
        <f t="shared" si="149"/>
        <v>0</v>
      </c>
      <c r="AJ179" s="292">
        <f t="shared" si="150"/>
        <v>0</v>
      </c>
      <c r="AK179" s="292">
        <f t="shared" si="151"/>
        <v>0</v>
      </c>
      <c r="AL179" s="292">
        <f t="shared" si="152"/>
        <v>0</v>
      </c>
      <c r="AM179" s="292">
        <f t="shared" si="153"/>
        <v>0</v>
      </c>
      <c r="AN179" s="292">
        <f t="shared" si="154"/>
        <v>0</v>
      </c>
      <c r="AO179" s="292">
        <f t="shared" si="155"/>
        <v>0</v>
      </c>
      <c r="AP179" s="292">
        <f t="shared" si="156"/>
        <v>0</v>
      </c>
      <c r="AQ179" s="292">
        <f t="shared" si="157"/>
        <v>0</v>
      </c>
      <c r="AR179" s="292">
        <f t="shared" si="158"/>
        <v>0</v>
      </c>
      <c r="AS179" s="292">
        <f t="shared" si="159"/>
        <v>0</v>
      </c>
      <c r="AT179" s="292">
        <f t="shared" si="160"/>
        <v>0</v>
      </c>
      <c r="AU179" s="292">
        <f t="shared" si="161"/>
        <v>0</v>
      </c>
      <c r="AV179" s="292">
        <f t="shared" si="162"/>
        <v>0</v>
      </c>
      <c r="AW179" s="292">
        <f t="shared" si="163"/>
        <v>0</v>
      </c>
      <c r="AX179" s="292">
        <f t="shared" si="164"/>
        <v>0</v>
      </c>
      <c r="AY179" s="292">
        <f t="shared" si="165"/>
        <v>0</v>
      </c>
      <c r="AZ179" s="292">
        <f t="shared" si="166"/>
        <v>0</v>
      </c>
      <c r="BA179" s="292">
        <f t="shared" si="167"/>
        <v>0</v>
      </c>
    </row>
    <row r="180" spans="1:53" s="289" customFormat="1" ht="16.5" customHeight="1">
      <c r="A180" s="63" t="str">
        <f t="array" ref="A180">IF(C180&lt;&gt;0,SUM(($C$11:C180&lt;&gt;0)*1),"")</f>
        <v/>
      </c>
      <c r="B180" s="290"/>
      <c r="C180" s="290"/>
      <c r="D180" s="290"/>
      <c r="E180" s="396"/>
      <c r="F180" s="345"/>
      <c r="G180" s="347"/>
      <c r="H180" s="347"/>
      <c r="I180" s="63" t="str">
        <f t="shared" si="129"/>
        <v/>
      </c>
      <c r="J180" s="292">
        <f t="shared" si="130"/>
        <v>0</v>
      </c>
      <c r="K180" s="292">
        <f t="shared" si="131"/>
        <v>0</v>
      </c>
      <c r="L180" s="292">
        <f t="shared" si="132"/>
        <v>0</v>
      </c>
      <c r="M180" s="292">
        <f t="shared" si="133"/>
        <v>0</v>
      </c>
      <c r="N180" s="292">
        <f t="shared" si="168"/>
        <v>0</v>
      </c>
      <c r="O180" s="292">
        <f t="shared" si="169"/>
        <v>0</v>
      </c>
      <c r="P180" s="292">
        <f t="shared" si="134"/>
        <v>0</v>
      </c>
      <c r="Q180" s="292">
        <f t="shared" si="135"/>
        <v>0</v>
      </c>
      <c r="R180" s="292">
        <f t="shared" si="136"/>
        <v>0</v>
      </c>
      <c r="S180" s="292">
        <f t="shared" si="137"/>
        <v>0</v>
      </c>
      <c r="T180" s="292">
        <f t="shared" si="170"/>
        <v>0</v>
      </c>
      <c r="U180" s="292">
        <f t="shared" si="171"/>
        <v>0</v>
      </c>
      <c r="V180" s="292">
        <f t="shared" si="138"/>
        <v>0</v>
      </c>
      <c r="W180" s="292">
        <f t="shared" si="139"/>
        <v>0</v>
      </c>
      <c r="X180" s="292">
        <f t="shared" si="140"/>
        <v>0</v>
      </c>
      <c r="Y180" s="292">
        <f t="shared" si="141"/>
        <v>0</v>
      </c>
      <c r="Z180" s="292">
        <f t="shared" si="142"/>
        <v>0</v>
      </c>
      <c r="AA180" s="292">
        <f t="shared" si="143"/>
        <v>0</v>
      </c>
      <c r="AB180" s="292">
        <f t="shared" si="144"/>
        <v>0</v>
      </c>
      <c r="AC180" s="292">
        <f t="shared" si="145"/>
        <v>0</v>
      </c>
      <c r="AD180" s="292">
        <f t="shared" si="146"/>
        <v>0</v>
      </c>
      <c r="AE180" s="292">
        <f t="shared" si="147"/>
        <v>0</v>
      </c>
      <c r="AF180" s="292">
        <f t="shared" si="172"/>
        <v>0</v>
      </c>
      <c r="AG180" s="292">
        <f t="shared" si="173"/>
        <v>0</v>
      </c>
      <c r="AH180" s="292">
        <f t="shared" si="148"/>
        <v>0</v>
      </c>
      <c r="AI180" s="292">
        <f t="shared" si="149"/>
        <v>0</v>
      </c>
      <c r="AJ180" s="292">
        <f t="shared" si="150"/>
        <v>0</v>
      </c>
      <c r="AK180" s="292">
        <f t="shared" si="151"/>
        <v>0</v>
      </c>
      <c r="AL180" s="292">
        <f t="shared" si="152"/>
        <v>0</v>
      </c>
      <c r="AM180" s="292">
        <f t="shared" si="153"/>
        <v>0</v>
      </c>
      <c r="AN180" s="292">
        <f t="shared" si="154"/>
        <v>0</v>
      </c>
      <c r="AO180" s="292">
        <f t="shared" si="155"/>
        <v>0</v>
      </c>
      <c r="AP180" s="292">
        <f t="shared" si="156"/>
        <v>0</v>
      </c>
      <c r="AQ180" s="292">
        <f t="shared" si="157"/>
        <v>0</v>
      </c>
      <c r="AR180" s="292">
        <f t="shared" si="158"/>
        <v>0</v>
      </c>
      <c r="AS180" s="292">
        <f t="shared" si="159"/>
        <v>0</v>
      </c>
      <c r="AT180" s="292">
        <f t="shared" si="160"/>
        <v>0</v>
      </c>
      <c r="AU180" s="292">
        <f t="shared" si="161"/>
        <v>0</v>
      </c>
      <c r="AV180" s="292">
        <f t="shared" si="162"/>
        <v>0</v>
      </c>
      <c r="AW180" s="292">
        <f t="shared" si="163"/>
        <v>0</v>
      </c>
      <c r="AX180" s="292">
        <f t="shared" si="164"/>
        <v>0</v>
      </c>
      <c r="AY180" s="292">
        <f t="shared" si="165"/>
        <v>0</v>
      </c>
      <c r="AZ180" s="292">
        <f t="shared" si="166"/>
        <v>0</v>
      </c>
      <c r="BA180" s="292">
        <f t="shared" si="167"/>
        <v>0</v>
      </c>
    </row>
    <row r="181" spans="1:53" s="289" customFormat="1" ht="16.5" customHeight="1">
      <c r="A181" s="63" t="str">
        <f t="array" ref="A181">IF(C181&lt;&gt;0,SUM(($C$11:C181&lt;&gt;0)*1),"")</f>
        <v/>
      </c>
      <c r="B181" s="290"/>
      <c r="C181" s="290"/>
      <c r="D181" s="290"/>
      <c r="E181" s="396"/>
      <c r="F181" s="345"/>
      <c r="G181" s="347"/>
      <c r="H181" s="347"/>
      <c r="I181" s="63" t="str">
        <f t="shared" si="129"/>
        <v/>
      </c>
      <c r="J181" s="292">
        <f t="shared" si="130"/>
        <v>0</v>
      </c>
      <c r="K181" s="292">
        <f t="shared" si="131"/>
        <v>0</v>
      </c>
      <c r="L181" s="292">
        <f t="shared" si="132"/>
        <v>0</v>
      </c>
      <c r="M181" s="292">
        <f t="shared" si="133"/>
        <v>0</v>
      </c>
      <c r="N181" s="292">
        <f t="shared" si="168"/>
        <v>0</v>
      </c>
      <c r="O181" s="292">
        <f t="shared" si="169"/>
        <v>0</v>
      </c>
      <c r="P181" s="292">
        <f t="shared" si="134"/>
        <v>0</v>
      </c>
      <c r="Q181" s="292">
        <f t="shared" si="135"/>
        <v>0</v>
      </c>
      <c r="R181" s="292">
        <f t="shared" si="136"/>
        <v>0</v>
      </c>
      <c r="S181" s="292">
        <f t="shared" si="137"/>
        <v>0</v>
      </c>
      <c r="T181" s="292">
        <f t="shared" si="170"/>
        <v>0</v>
      </c>
      <c r="U181" s="292">
        <f t="shared" si="171"/>
        <v>0</v>
      </c>
      <c r="V181" s="292">
        <f t="shared" si="138"/>
        <v>0</v>
      </c>
      <c r="W181" s="292">
        <f t="shared" si="139"/>
        <v>0</v>
      </c>
      <c r="X181" s="292">
        <f t="shared" si="140"/>
        <v>0</v>
      </c>
      <c r="Y181" s="292">
        <f t="shared" si="141"/>
        <v>0</v>
      </c>
      <c r="Z181" s="292">
        <f t="shared" si="142"/>
        <v>0</v>
      </c>
      <c r="AA181" s="292">
        <f t="shared" si="143"/>
        <v>0</v>
      </c>
      <c r="AB181" s="292">
        <f t="shared" si="144"/>
        <v>0</v>
      </c>
      <c r="AC181" s="292">
        <f t="shared" si="145"/>
        <v>0</v>
      </c>
      <c r="AD181" s="292">
        <f t="shared" si="146"/>
        <v>0</v>
      </c>
      <c r="AE181" s="292">
        <f t="shared" si="147"/>
        <v>0</v>
      </c>
      <c r="AF181" s="292">
        <f t="shared" si="172"/>
        <v>0</v>
      </c>
      <c r="AG181" s="292">
        <f t="shared" si="173"/>
        <v>0</v>
      </c>
      <c r="AH181" s="292">
        <f t="shared" si="148"/>
        <v>0</v>
      </c>
      <c r="AI181" s="292">
        <f t="shared" si="149"/>
        <v>0</v>
      </c>
      <c r="AJ181" s="292">
        <f t="shared" si="150"/>
        <v>0</v>
      </c>
      <c r="AK181" s="292">
        <f t="shared" si="151"/>
        <v>0</v>
      </c>
      <c r="AL181" s="292">
        <f t="shared" si="152"/>
        <v>0</v>
      </c>
      <c r="AM181" s="292">
        <f t="shared" si="153"/>
        <v>0</v>
      </c>
      <c r="AN181" s="292">
        <f t="shared" si="154"/>
        <v>0</v>
      </c>
      <c r="AO181" s="292">
        <f t="shared" si="155"/>
        <v>0</v>
      </c>
      <c r="AP181" s="292">
        <f t="shared" si="156"/>
        <v>0</v>
      </c>
      <c r="AQ181" s="292">
        <f t="shared" si="157"/>
        <v>0</v>
      </c>
      <c r="AR181" s="292">
        <f t="shared" si="158"/>
        <v>0</v>
      </c>
      <c r="AS181" s="292">
        <f t="shared" si="159"/>
        <v>0</v>
      </c>
      <c r="AT181" s="292">
        <f t="shared" si="160"/>
        <v>0</v>
      </c>
      <c r="AU181" s="292">
        <f t="shared" si="161"/>
        <v>0</v>
      </c>
      <c r="AV181" s="292">
        <f t="shared" si="162"/>
        <v>0</v>
      </c>
      <c r="AW181" s="292">
        <f t="shared" si="163"/>
        <v>0</v>
      </c>
      <c r="AX181" s="292">
        <f t="shared" si="164"/>
        <v>0</v>
      </c>
      <c r="AY181" s="292">
        <f t="shared" si="165"/>
        <v>0</v>
      </c>
      <c r="AZ181" s="292">
        <f t="shared" si="166"/>
        <v>0</v>
      </c>
      <c r="BA181" s="292">
        <f t="shared" si="167"/>
        <v>0</v>
      </c>
    </row>
    <row r="182" spans="1:53" s="289" customFormat="1" ht="16.5" customHeight="1">
      <c r="A182" s="63" t="str">
        <f t="array" ref="A182">IF(C182&lt;&gt;0,SUM(($C$11:C182&lt;&gt;0)*1),"")</f>
        <v/>
      </c>
      <c r="B182" s="290"/>
      <c r="C182" s="290"/>
      <c r="D182" s="290"/>
      <c r="E182" s="396"/>
      <c r="F182" s="345"/>
      <c r="G182" s="347"/>
      <c r="H182" s="347"/>
      <c r="I182" s="63" t="str">
        <f t="shared" si="129"/>
        <v/>
      </c>
      <c r="J182" s="292">
        <f t="shared" si="130"/>
        <v>0</v>
      </c>
      <c r="K182" s="292">
        <f t="shared" si="131"/>
        <v>0</v>
      </c>
      <c r="L182" s="292">
        <f t="shared" si="132"/>
        <v>0</v>
      </c>
      <c r="M182" s="292">
        <f t="shared" si="133"/>
        <v>0</v>
      </c>
      <c r="N182" s="292">
        <f t="shared" si="168"/>
        <v>0</v>
      </c>
      <c r="O182" s="292">
        <f t="shared" si="169"/>
        <v>0</v>
      </c>
      <c r="P182" s="292">
        <f t="shared" si="134"/>
        <v>0</v>
      </c>
      <c r="Q182" s="292">
        <f t="shared" si="135"/>
        <v>0</v>
      </c>
      <c r="R182" s="292">
        <f t="shared" si="136"/>
        <v>0</v>
      </c>
      <c r="S182" s="292">
        <f t="shared" si="137"/>
        <v>0</v>
      </c>
      <c r="T182" s="292">
        <f t="shared" si="170"/>
        <v>0</v>
      </c>
      <c r="U182" s="292">
        <f t="shared" si="171"/>
        <v>0</v>
      </c>
      <c r="V182" s="292">
        <f t="shared" si="138"/>
        <v>0</v>
      </c>
      <c r="W182" s="292">
        <f t="shared" si="139"/>
        <v>0</v>
      </c>
      <c r="X182" s="292">
        <f t="shared" si="140"/>
        <v>0</v>
      </c>
      <c r="Y182" s="292">
        <f t="shared" si="141"/>
        <v>0</v>
      </c>
      <c r="Z182" s="292">
        <f t="shared" si="142"/>
        <v>0</v>
      </c>
      <c r="AA182" s="292">
        <f t="shared" si="143"/>
        <v>0</v>
      </c>
      <c r="AB182" s="292">
        <f t="shared" si="144"/>
        <v>0</v>
      </c>
      <c r="AC182" s="292">
        <f t="shared" si="145"/>
        <v>0</v>
      </c>
      <c r="AD182" s="292">
        <f t="shared" si="146"/>
        <v>0</v>
      </c>
      <c r="AE182" s="292">
        <f t="shared" si="147"/>
        <v>0</v>
      </c>
      <c r="AF182" s="292">
        <f t="shared" si="172"/>
        <v>0</v>
      </c>
      <c r="AG182" s="292">
        <f t="shared" si="173"/>
        <v>0</v>
      </c>
      <c r="AH182" s="292">
        <f t="shared" si="148"/>
        <v>0</v>
      </c>
      <c r="AI182" s="292">
        <f t="shared" si="149"/>
        <v>0</v>
      </c>
      <c r="AJ182" s="292">
        <f t="shared" si="150"/>
        <v>0</v>
      </c>
      <c r="AK182" s="292">
        <f t="shared" si="151"/>
        <v>0</v>
      </c>
      <c r="AL182" s="292">
        <f t="shared" si="152"/>
        <v>0</v>
      </c>
      <c r="AM182" s="292">
        <f t="shared" si="153"/>
        <v>0</v>
      </c>
      <c r="AN182" s="292">
        <f t="shared" si="154"/>
        <v>0</v>
      </c>
      <c r="AO182" s="292">
        <f t="shared" si="155"/>
        <v>0</v>
      </c>
      <c r="AP182" s="292">
        <f t="shared" si="156"/>
        <v>0</v>
      </c>
      <c r="AQ182" s="292">
        <f t="shared" si="157"/>
        <v>0</v>
      </c>
      <c r="AR182" s="292">
        <f t="shared" si="158"/>
        <v>0</v>
      </c>
      <c r="AS182" s="292">
        <f t="shared" si="159"/>
        <v>0</v>
      </c>
      <c r="AT182" s="292">
        <f t="shared" si="160"/>
        <v>0</v>
      </c>
      <c r="AU182" s="292">
        <f t="shared" si="161"/>
        <v>0</v>
      </c>
      <c r="AV182" s="292">
        <f t="shared" si="162"/>
        <v>0</v>
      </c>
      <c r="AW182" s="292">
        <f t="shared" si="163"/>
        <v>0</v>
      </c>
      <c r="AX182" s="292">
        <f t="shared" si="164"/>
        <v>0</v>
      </c>
      <c r="AY182" s="292">
        <f t="shared" si="165"/>
        <v>0</v>
      </c>
      <c r="AZ182" s="292">
        <f t="shared" si="166"/>
        <v>0</v>
      </c>
      <c r="BA182" s="292">
        <f t="shared" si="167"/>
        <v>0</v>
      </c>
    </row>
    <row r="183" spans="1:53" s="289" customFormat="1" ht="16.5" customHeight="1">
      <c r="A183" s="63" t="str">
        <f t="array" ref="A183">IF(C183&lt;&gt;0,SUM(($C$11:C183&lt;&gt;0)*1),"")</f>
        <v/>
      </c>
      <c r="B183" s="290"/>
      <c r="C183" s="290"/>
      <c r="D183" s="290"/>
      <c r="E183" s="396"/>
      <c r="F183" s="345"/>
      <c r="G183" s="347"/>
      <c r="H183" s="347"/>
      <c r="I183" s="63" t="str">
        <f t="shared" si="129"/>
        <v/>
      </c>
      <c r="J183" s="292">
        <f t="shared" si="130"/>
        <v>0</v>
      </c>
      <c r="K183" s="292">
        <f t="shared" si="131"/>
        <v>0</v>
      </c>
      <c r="L183" s="292">
        <f t="shared" si="132"/>
        <v>0</v>
      </c>
      <c r="M183" s="292">
        <f t="shared" si="133"/>
        <v>0</v>
      </c>
      <c r="N183" s="292">
        <f t="shared" si="168"/>
        <v>0</v>
      </c>
      <c r="O183" s="292">
        <f t="shared" si="169"/>
        <v>0</v>
      </c>
      <c r="P183" s="292">
        <f t="shared" si="134"/>
        <v>0</v>
      </c>
      <c r="Q183" s="292">
        <f t="shared" si="135"/>
        <v>0</v>
      </c>
      <c r="R183" s="292">
        <f t="shared" si="136"/>
        <v>0</v>
      </c>
      <c r="S183" s="292">
        <f t="shared" si="137"/>
        <v>0</v>
      </c>
      <c r="T183" s="292">
        <f t="shared" si="170"/>
        <v>0</v>
      </c>
      <c r="U183" s="292">
        <f t="shared" si="171"/>
        <v>0</v>
      </c>
      <c r="V183" s="292">
        <f t="shared" si="138"/>
        <v>0</v>
      </c>
      <c r="W183" s="292">
        <f t="shared" si="139"/>
        <v>0</v>
      </c>
      <c r="X183" s="292">
        <f t="shared" si="140"/>
        <v>0</v>
      </c>
      <c r="Y183" s="292">
        <f t="shared" si="141"/>
        <v>0</v>
      </c>
      <c r="Z183" s="292">
        <f t="shared" si="142"/>
        <v>0</v>
      </c>
      <c r="AA183" s="292">
        <f t="shared" si="143"/>
        <v>0</v>
      </c>
      <c r="AB183" s="292">
        <f t="shared" si="144"/>
        <v>0</v>
      </c>
      <c r="AC183" s="292">
        <f t="shared" si="145"/>
        <v>0</v>
      </c>
      <c r="AD183" s="292">
        <f t="shared" si="146"/>
        <v>0</v>
      </c>
      <c r="AE183" s="292">
        <f t="shared" si="147"/>
        <v>0</v>
      </c>
      <c r="AF183" s="292">
        <f t="shared" si="172"/>
        <v>0</v>
      </c>
      <c r="AG183" s="292">
        <f t="shared" si="173"/>
        <v>0</v>
      </c>
      <c r="AH183" s="292">
        <f t="shared" si="148"/>
        <v>0</v>
      </c>
      <c r="AI183" s="292">
        <f t="shared" si="149"/>
        <v>0</v>
      </c>
      <c r="AJ183" s="292">
        <f t="shared" si="150"/>
        <v>0</v>
      </c>
      <c r="AK183" s="292">
        <f t="shared" si="151"/>
        <v>0</v>
      </c>
      <c r="AL183" s="292">
        <f t="shared" si="152"/>
        <v>0</v>
      </c>
      <c r="AM183" s="292">
        <f t="shared" si="153"/>
        <v>0</v>
      </c>
      <c r="AN183" s="292">
        <f t="shared" si="154"/>
        <v>0</v>
      </c>
      <c r="AO183" s="292">
        <f t="shared" si="155"/>
        <v>0</v>
      </c>
      <c r="AP183" s="292">
        <f t="shared" si="156"/>
        <v>0</v>
      </c>
      <c r="AQ183" s="292">
        <f t="shared" si="157"/>
        <v>0</v>
      </c>
      <c r="AR183" s="292">
        <f t="shared" si="158"/>
        <v>0</v>
      </c>
      <c r="AS183" s="292">
        <f t="shared" si="159"/>
        <v>0</v>
      </c>
      <c r="AT183" s="292">
        <f t="shared" si="160"/>
        <v>0</v>
      </c>
      <c r="AU183" s="292">
        <f t="shared" si="161"/>
        <v>0</v>
      </c>
      <c r="AV183" s="292">
        <f t="shared" si="162"/>
        <v>0</v>
      </c>
      <c r="AW183" s="292">
        <f t="shared" si="163"/>
        <v>0</v>
      </c>
      <c r="AX183" s="292">
        <f t="shared" si="164"/>
        <v>0</v>
      </c>
      <c r="AY183" s="292">
        <f t="shared" si="165"/>
        <v>0</v>
      </c>
      <c r="AZ183" s="292">
        <f t="shared" si="166"/>
        <v>0</v>
      </c>
      <c r="BA183" s="292">
        <f t="shared" si="167"/>
        <v>0</v>
      </c>
    </row>
    <row r="184" spans="1:53" s="289" customFormat="1" ht="16.5" customHeight="1">
      <c r="A184" s="63" t="str">
        <f t="array" ref="A184">IF(C184&lt;&gt;0,SUM(($C$11:C184&lt;&gt;0)*1),"")</f>
        <v/>
      </c>
      <c r="B184" s="290"/>
      <c r="C184" s="290"/>
      <c r="D184" s="290"/>
      <c r="E184" s="396"/>
      <c r="F184" s="345"/>
      <c r="G184" s="347"/>
      <c r="H184" s="347"/>
      <c r="I184" s="63" t="str">
        <f t="shared" si="129"/>
        <v/>
      </c>
      <c r="J184" s="292">
        <f t="shared" si="130"/>
        <v>0</v>
      </c>
      <c r="K184" s="292">
        <f t="shared" si="131"/>
        <v>0</v>
      </c>
      <c r="L184" s="292">
        <f t="shared" si="132"/>
        <v>0</v>
      </c>
      <c r="M184" s="292">
        <f t="shared" si="133"/>
        <v>0</v>
      </c>
      <c r="N184" s="292">
        <f t="shared" si="168"/>
        <v>0</v>
      </c>
      <c r="O184" s="292">
        <f t="shared" si="169"/>
        <v>0</v>
      </c>
      <c r="P184" s="292">
        <f t="shared" si="134"/>
        <v>0</v>
      </c>
      <c r="Q184" s="292">
        <f t="shared" si="135"/>
        <v>0</v>
      </c>
      <c r="R184" s="292">
        <f t="shared" si="136"/>
        <v>0</v>
      </c>
      <c r="S184" s="292">
        <f t="shared" si="137"/>
        <v>0</v>
      </c>
      <c r="T184" s="292">
        <f t="shared" si="170"/>
        <v>0</v>
      </c>
      <c r="U184" s="292">
        <f t="shared" si="171"/>
        <v>0</v>
      </c>
      <c r="V184" s="292">
        <f t="shared" si="138"/>
        <v>0</v>
      </c>
      <c r="W184" s="292">
        <f t="shared" si="139"/>
        <v>0</v>
      </c>
      <c r="X184" s="292">
        <f t="shared" si="140"/>
        <v>0</v>
      </c>
      <c r="Y184" s="292">
        <f t="shared" si="141"/>
        <v>0</v>
      </c>
      <c r="Z184" s="292">
        <f t="shared" si="142"/>
        <v>0</v>
      </c>
      <c r="AA184" s="292">
        <f t="shared" si="143"/>
        <v>0</v>
      </c>
      <c r="AB184" s="292">
        <f t="shared" si="144"/>
        <v>0</v>
      </c>
      <c r="AC184" s="292">
        <f t="shared" si="145"/>
        <v>0</v>
      </c>
      <c r="AD184" s="292">
        <f t="shared" si="146"/>
        <v>0</v>
      </c>
      <c r="AE184" s="292">
        <f t="shared" si="147"/>
        <v>0</v>
      </c>
      <c r="AF184" s="292">
        <f t="shared" si="172"/>
        <v>0</v>
      </c>
      <c r="AG184" s="292">
        <f t="shared" si="173"/>
        <v>0</v>
      </c>
      <c r="AH184" s="292">
        <f t="shared" si="148"/>
        <v>0</v>
      </c>
      <c r="AI184" s="292">
        <f t="shared" si="149"/>
        <v>0</v>
      </c>
      <c r="AJ184" s="292">
        <f t="shared" si="150"/>
        <v>0</v>
      </c>
      <c r="AK184" s="292">
        <f t="shared" si="151"/>
        <v>0</v>
      </c>
      <c r="AL184" s="292">
        <f t="shared" si="152"/>
        <v>0</v>
      </c>
      <c r="AM184" s="292">
        <f t="shared" si="153"/>
        <v>0</v>
      </c>
      <c r="AN184" s="292">
        <f t="shared" si="154"/>
        <v>0</v>
      </c>
      <c r="AO184" s="292">
        <f t="shared" si="155"/>
        <v>0</v>
      </c>
      <c r="AP184" s="292">
        <f t="shared" si="156"/>
        <v>0</v>
      </c>
      <c r="AQ184" s="292">
        <f t="shared" si="157"/>
        <v>0</v>
      </c>
      <c r="AR184" s="292">
        <f t="shared" si="158"/>
        <v>0</v>
      </c>
      <c r="AS184" s="292">
        <f t="shared" si="159"/>
        <v>0</v>
      </c>
      <c r="AT184" s="292">
        <f t="shared" si="160"/>
        <v>0</v>
      </c>
      <c r="AU184" s="292">
        <f t="shared" si="161"/>
        <v>0</v>
      </c>
      <c r="AV184" s="292">
        <f t="shared" si="162"/>
        <v>0</v>
      </c>
      <c r="AW184" s="292">
        <f t="shared" si="163"/>
        <v>0</v>
      </c>
      <c r="AX184" s="292">
        <f t="shared" si="164"/>
        <v>0</v>
      </c>
      <c r="AY184" s="292">
        <f t="shared" si="165"/>
        <v>0</v>
      </c>
      <c r="AZ184" s="292">
        <f t="shared" si="166"/>
        <v>0</v>
      </c>
      <c r="BA184" s="292">
        <f t="shared" si="167"/>
        <v>0</v>
      </c>
    </row>
    <row r="185" spans="1:53" s="289" customFormat="1" ht="16.5" customHeight="1">
      <c r="A185" s="63" t="str">
        <f t="array" ref="A185">IF(C185&lt;&gt;0,SUM(($C$11:C185&lt;&gt;0)*1),"")</f>
        <v/>
      </c>
      <c r="B185" s="290"/>
      <c r="C185" s="290"/>
      <c r="D185" s="290"/>
      <c r="E185" s="396"/>
      <c r="F185" s="345"/>
      <c r="G185" s="347"/>
      <c r="H185" s="347"/>
      <c r="I185" s="63" t="str">
        <f t="shared" si="129"/>
        <v/>
      </c>
      <c r="J185" s="292">
        <f t="shared" si="130"/>
        <v>0</v>
      </c>
      <c r="K185" s="292">
        <f t="shared" si="131"/>
        <v>0</v>
      </c>
      <c r="L185" s="292">
        <f t="shared" si="132"/>
        <v>0</v>
      </c>
      <c r="M185" s="292">
        <f t="shared" si="133"/>
        <v>0</v>
      </c>
      <c r="N185" s="292">
        <f t="shared" si="168"/>
        <v>0</v>
      </c>
      <c r="O185" s="292">
        <f t="shared" si="169"/>
        <v>0</v>
      </c>
      <c r="P185" s="292">
        <f t="shared" si="134"/>
        <v>0</v>
      </c>
      <c r="Q185" s="292">
        <f t="shared" si="135"/>
        <v>0</v>
      </c>
      <c r="R185" s="292">
        <f t="shared" si="136"/>
        <v>0</v>
      </c>
      <c r="S185" s="292">
        <f t="shared" si="137"/>
        <v>0</v>
      </c>
      <c r="T185" s="292">
        <f t="shared" si="170"/>
        <v>0</v>
      </c>
      <c r="U185" s="292">
        <f t="shared" si="171"/>
        <v>0</v>
      </c>
      <c r="V185" s="292">
        <f t="shared" si="138"/>
        <v>0</v>
      </c>
      <c r="W185" s="292">
        <f t="shared" si="139"/>
        <v>0</v>
      </c>
      <c r="X185" s="292">
        <f t="shared" si="140"/>
        <v>0</v>
      </c>
      <c r="Y185" s="292">
        <f t="shared" si="141"/>
        <v>0</v>
      </c>
      <c r="Z185" s="292">
        <f t="shared" si="142"/>
        <v>0</v>
      </c>
      <c r="AA185" s="292">
        <f t="shared" si="143"/>
        <v>0</v>
      </c>
      <c r="AB185" s="292">
        <f t="shared" si="144"/>
        <v>0</v>
      </c>
      <c r="AC185" s="292">
        <f t="shared" si="145"/>
        <v>0</v>
      </c>
      <c r="AD185" s="292">
        <f t="shared" si="146"/>
        <v>0</v>
      </c>
      <c r="AE185" s="292">
        <f t="shared" si="147"/>
        <v>0</v>
      </c>
      <c r="AF185" s="292">
        <f t="shared" si="172"/>
        <v>0</v>
      </c>
      <c r="AG185" s="292">
        <f t="shared" si="173"/>
        <v>0</v>
      </c>
      <c r="AH185" s="292">
        <f t="shared" si="148"/>
        <v>0</v>
      </c>
      <c r="AI185" s="292">
        <f t="shared" si="149"/>
        <v>0</v>
      </c>
      <c r="AJ185" s="292">
        <f t="shared" si="150"/>
        <v>0</v>
      </c>
      <c r="AK185" s="292">
        <f t="shared" si="151"/>
        <v>0</v>
      </c>
      <c r="AL185" s="292">
        <f t="shared" si="152"/>
        <v>0</v>
      </c>
      <c r="AM185" s="292">
        <f t="shared" si="153"/>
        <v>0</v>
      </c>
      <c r="AN185" s="292">
        <f t="shared" si="154"/>
        <v>0</v>
      </c>
      <c r="AO185" s="292">
        <f t="shared" si="155"/>
        <v>0</v>
      </c>
      <c r="AP185" s="292">
        <f t="shared" si="156"/>
        <v>0</v>
      </c>
      <c r="AQ185" s="292">
        <f t="shared" si="157"/>
        <v>0</v>
      </c>
      <c r="AR185" s="292">
        <f t="shared" si="158"/>
        <v>0</v>
      </c>
      <c r="AS185" s="292">
        <f t="shared" si="159"/>
        <v>0</v>
      </c>
      <c r="AT185" s="292">
        <f t="shared" si="160"/>
        <v>0</v>
      </c>
      <c r="AU185" s="292">
        <f t="shared" si="161"/>
        <v>0</v>
      </c>
      <c r="AV185" s="292">
        <f t="shared" si="162"/>
        <v>0</v>
      </c>
      <c r="AW185" s="292">
        <f t="shared" si="163"/>
        <v>0</v>
      </c>
      <c r="AX185" s="292">
        <f t="shared" si="164"/>
        <v>0</v>
      </c>
      <c r="AY185" s="292">
        <f t="shared" si="165"/>
        <v>0</v>
      </c>
      <c r="AZ185" s="292">
        <f t="shared" si="166"/>
        <v>0</v>
      </c>
      <c r="BA185" s="292">
        <f t="shared" si="167"/>
        <v>0</v>
      </c>
    </row>
    <row r="186" spans="1:53" s="289" customFormat="1" ht="16.5" customHeight="1">
      <c r="A186" s="63" t="str">
        <f t="array" ref="A186">IF(C186&lt;&gt;0,SUM(($C$11:C186&lt;&gt;0)*1),"")</f>
        <v/>
      </c>
      <c r="B186" s="290"/>
      <c r="C186" s="290"/>
      <c r="D186" s="290"/>
      <c r="E186" s="396"/>
      <c r="F186" s="345"/>
      <c r="G186" s="347"/>
      <c r="H186" s="347"/>
      <c r="I186" s="63" t="str">
        <f t="shared" si="129"/>
        <v/>
      </c>
      <c r="J186" s="292">
        <f t="shared" si="130"/>
        <v>0</v>
      </c>
      <c r="K186" s="292">
        <f t="shared" si="131"/>
        <v>0</v>
      </c>
      <c r="L186" s="292">
        <f t="shared" si="132"/>
        <v>0</v>
      </c>
      <c r="M186" s="292">
        <f t="shared" si="133"/>
        <v>0</v>
      </c>
      <c r="N186" s="292">
        <f t="shared" si="168"/>
        <v>0</v>
      </c>
      <c r="O186" s="292">
        <f t="shared" si="169"/>
        <v>0</v>
      </c>
      <c r="P186" s="292">
        <f t="shared" si="134"/>
        <v>0</v>
      </c>
      <c r="Q186" s="292">
        <f t="shared" si="135"/>
        <v>0</v>
      </c>
      <c r="R186" s="292">
        <f t="shared" si="136"/>
        <v>0</v>
      </c>
      <c r="S186" s="292">
        <f t="shared" si="137"/>
        <v>0</v>
      </c>
      <c r="T186" s="292">
        <f t="shared" si="170"/>
        <v>0</v>
      </c>
      <c r="U186" s="292">
        <f t="shared" si="171"/>
        <v>0</v>
      </c>
      <c r="V186" s="292">
        <f t="shared" si="138"/>
        <v>0</v>
      </c>
      <c r="W186" s="292">
        <f t="shared" si="139"/>
        <v>0</v>
      </c>
      <c r="X186" s="292">
        <f t="shared" si="140"/>
        <v>0</v>
      </c>
      <c r="Y186" s="292">
        <f t="shared" si="141"/>
        <v>0</v>
      </c>
      <c r="Z186" s="292">
        <f t="shared" si="142"/>
        <v>0</v>
      </c>
      <c r="AA186" s="292">
        <f t="shared" si="143"/>
        <v>0</v>
      </c>
      <c r="AB186" s="292">
        <f t="shared" si="144"/>
        <v>0</v>
      </c>
      <c r="AC186" s="292">
        <f t="shared" si="145"/>
        <v>0</v>
      </c>
      <c r="AD186" s="292">
        <f t="shared" si="146"/>
        <v>0</v>
      </c>
      <c r="AE186" s="292">
        <f t="shared" si="147"/>
        <v>0</v>
      </c>
      <c r="AF186" s="292">
        <f t="shared" si="172"/>
        <v>0</v>
      </c>
      <c r="AG186" s="292">
        <f t="shared" si="173"/>
        <v>0</v>
      </c>
      <c r="AH186" s="292">
        <f t="shared" si="148"/>
        <v>0</v>
      </c>
      <c r="AI186" s="292">
        <f t="shared" si="149"/>
        <v>0</v>
      </c>
      <c r="AJ186" s="292">
        <f t="shared" si="150"/>
        <v>0</v>
      </c>
      <c r="AK186" s="292">
        <f t="shared" si="151"/>
        <v>0</v>
      </c>
      <c r="AL186" s="292">
        <f t="shared" si="152"/>
        <v>0</v>
      </c>
      <c r="AM186" s="292">
        <f t="shared" si="153"/>
        <v>0</v>
      </c>
      <c r="AN186" s="292">
        <f t="shared" si="154"/>
        <v>0</v>
      </c>
      <c r="AO186" s="292">
        <f t="shared" si="155"/>
        <v>0</v>
      </c>
      <c r="AP186" s="292">
        <f t="shared" si="156"/>
        <v>0</v>
      </c>
      <c r="AQ186" s="292">
        <f t="shared" si="157"/>
        <v>0</v>
      </c>
      <c r="AR186" s="292">
        <f t="shared" si="158"/>
        <v>0</v>
      </c>
      <c r="AS186" s="292">
        <f t="shared" si="159"/>
        <v>0</v>
      </c>
      <c r="AT186" s="292">
        <f t="shared" si="160"/>
        <v>0</v>
      </c>
      <c r="AU186" s="292">
        <f t="shared" si="161"/>
        <v>0</v>
      </c>
      <c r="AV186" s="292">
        <f t="shared" si="162"/>
        <v>0</v>
      </c>
      <c r="AW186" s="292">
        <f t="shared" si="163"/>
        <v>0</v>
      </c>
      <c r="AX186" s="292">
        <f t="shared" si="164"/>
        <v>0</v>
      </c>
      <c r="AY186" s="292">
        <f t="shared" si="165"/>
        <v>0</v>
      </c>
      <c r="AZ186" s="292">
        <f t="shared" si="166"/>
        <v>0</v>
      </c>
      <c r="BA186" s="292">
        <f t="shared" si="167"/>
        <v>0</v>
      </c>
    </row>
    <row r="187" spans="1:53" s="289" customFormat="1" ht="16.5" customHeight="1">
      <c r="A187" s="63" t="str">
        <f t="array" ref="A187">IF(C187&lt;&gt;0,SUM(($C$11:C187&lt;&gt;0)*1),"")</f>
        <v/>
      </c>
      <c r="B187" s="290"/>
      <c r="C187" s="290"/>
      <c r="D187" s="290"/>
      <c r="E187" s="396"/>
      <c r="F187" s="345"/>
      <c r="G187" s="347"/>
      <c r="H187" s="347"/>
      <c r="I187" s="63" t="str">
        <f t="shared" si="129"/>
        <v/>
      </c>
      <c r="J187" s="292">
        <f t="shared" si="130"/>
        <v>0</v>
      </c>
      <c r="K187" s="292">
        <f t="shared" si="131"/>
        <v>0</v>
      </c>
      <c r="L187" s="292">
        <f t="shared" si="132"/>
        <v>0</v>
      </c>
      <c r="M187" s="292">
        <f t="shared" si="133"/>
        <v>0</v>
      </c>
      <c r="N187" s="292">
        <f t="shared" si="168"/>
        <v>0</v>
      </c>
      <c r="O187" s="292">
        <f t="shared" si="169"/>
        <v>0</v>
      </c>
      <c r="P187" s="292">
        <f t="shared" si="134"/>
        <v>0</v>
      </c>
      <c r="Q187" s="292">
        <f t="shared" si="135"/>
        <v>0</v>
      </c>
      <c r="R187" s="292">
        <f t="shared" si="136"/>
        <v>0</v>
      </c>
      <c r="S187" s="292">
        <f t="shared" si="137"/>
        <v>0</v>
      </c>
      <c r="T187" s="292">
        <f t="shared" si="170"/>
        <v>0</v>
      </c>
      <c r="U187" s="292">
        <f t="shared" si="171"/>
        <v>0</v>
      </c>
      <c r="V187" s="292">
        <f t="shared" si="138"/>
        <v>0</v>
      </c>
      <c r="W187" s="292">
        <f t="shared" si="139"/>
        <v>0</v>
      </c>
      <c r="X187" s="292">
        <f t="shared" si="140"/>
        <v>0</v>
      </c>
      <c r="Y187" s="292">
        <f t="shared" si="141"/>
        <v>0</v>
      </c>
      <c r="Z187" s="292">
        <f t="shared" si="142"/>
        <v>0</v>
      </c>
      <c r="AA187" s="292">
        <f t="shared" si="143"/>
        <v>0</v>
      </c>
      <c r="AB187" s="292">
        <f t="shared" si="144"/>
        <v>0</v>
      </c>
      <c r="AC187" s="292">
        <f t="shared" si="145"/>
        <v>0</v>
      </c>
      <c r="AD187" s="292">
        <f t="shared" si="146"/>
        <v>0</v>
      </c>
      <c r="AE187" s="292">
        <f t="shared" si="147"/>
        <v>0</v>
      </c>
      <c r="AF187" s="292">
        <f t="shared" si="172"/>
        <v>0</v>
      </c>
      <c r="AG187" s="292">
        <f t="shared" si="173"/>
        <v>0</v>
      </c>
      <c r="AH187" s="292">
        <f t="shared" si="148"/>
        <v>0</v>
      </c>
      <c r="AI187" s="292">
        <f t="shared" si="149"/>
        <v>0</v>
      </c>
      <c r="AJ187" s="292">
        <f t="shared" si="150"/>
        <v>0</v>
      </c>
      <c r="AK187" s="292">
        <f t="shared" si="151"/>
        <v>0</v>
      </c>
      <c r="AL187" s="292">
        <f t="shared" si="152"/>
        <v>0</v>
      </c>
      <c r="AM187" s="292">
        <f t="shared" si="153"/>
        <v>0</v>
      </c>
      <c r="AN187" s="292">
        <f t="shared" si="154"/>
        <v>0</v>
      </c>
      <c r="AO187" s="292">
        <f t="shared" si="155"/>
        <v>0</v>
      </c>
      <c r="AP187" s="292">
        <f t="shared" si="156"/>
        <v>0</v>
      </c>
      <c r="AQ187" s="292">
        <f t="shared" si="157"/>
        <v>0</v>
      </c>
      <c r="AR187" s="292">
        <f t="shared" si="158"/>
        <v>0</v>
      </c>
      <c r="AS187" s="292">
        <f t="shared" si="159"/>
        <v>0</v>
      </c>
      <c r="AT187" s="292">
        <f t="shared" si="160"/>
        <v>0</v>
      </c>
      <c r="AU187" s="292">
        <f t="shared" si="161"/>
        <v>0</v>
      </c>
      <c r="AV187" s="292">
        <f t="shared" si="162"/>
        <v>0</v>
      </c>
      <c r="AW187" s="292">
        <f t="shared" si="163"/>
        <v>0</v>
      </c>
      <c r="AX187" s="292">
        <f t="shared" si="164"/>
        <v>0</v>
      </c>
      <c r="AY187" s="292">
        <f t="shared" si="165"/>
        <v>0</v>
      </c>
      <c r="AZ187" s="292">
        <f t="shared" si="166"/>
        <v>0</v>
      </c>
      <c r="BA187" s="292">
        <f t="shared" si="167"/>
        <v>0</v>
      </c>
    </row>
    <row r="188" spans="1:53" s="289" customFormat="1" ht="16.5" customHeight="1">
      <c r="A188" s="63" t="str">
        <f t="array" ref="A188">IF(C188&lt;&gt;0,SUM(($C$11:C188&lt;&gt;0)*1),"")</f>
        <v/>
      </c>
      <c r="B188" s="290"/>
      <c r="C188" s="290"/>
      <c r="D188" s="290"/>
      <c r="E188" s="396"/>
      <c r="F188" s="345"/>
      <c r="G188" s="347"/>
      <c r="H188" s="347"/>
      <c r="I188" s="63" t="str">
        <f t="shared" si="129"/>
        <v/>
      </c>
      <c r="J188" s="292">
        <f t="shared" si="130"/>
        <v>0</v>
      </c>
      <c r="K188" s="292">
        <f t="shared" si="131"/>
        <v>0</v>
      </c>
      <c r="L188" s="292">
        <f t="shared" si="132"/>
        <v>0</v>
      </c>
      <c r="M188" s="292">
        <f t="shared" si="133"/>
        <v>0</v>
      </c>
      <c r="N188" s="292">
        <f t="shared" si="168"/>
        <v>0</v>
      </c>
      <c r="O188" s="292">
        <f t="shared" si="169"/>
        <v>0</v>
      </c>
      <c r="P188" s="292">
        <f t="shared" si="134"/>
        <v>0</v>
      </c>
      <c r="Q188" s="292">
        <f t="shared" si="135"/>
        <v>0</v>
      </c>
      <c r="R188" s="292">
        <f t="shared" si="136"/>
        <v>0</v>
      </c>
      <c r="S188" s="292">
        <f t="shared" si="137"/>
        <v>0</v>
      </c>
      <c r="T188" s="292">
        <f t="shared" si="170"/>
        <v>0</v>
      </c>
      <c r="U188" s="292">
        <f t="shared" si="171"/>
        <v>0</v>
      </c>
      <c r="V188" s="292">
        <f t="shared" si="138"/>
        <v>0</v>
      </c>
      <c r="W188" s="292">
        <f t="shared" si="139"/>
        <v>0</v>
      </c>
      <c r="X188" s="292">
        <f t="shared" si="140"/>
        <v>0</v>
      </c>
      <c r="Y188" s="292">
        <f t="shared" si="141"/>
        <v>0</v>
      </c>
      <c r="Z188" s="292">
        <f t="shared" si="142"/>
        <v>0</v>
      </c>
      <c r="AA188" s="292">
        <f t="shared" si="143"/>
        <v>0</v>
      </c>
      <c r="AB188" s="292">
        <f t="shared" si="144"/>
        <v>0</v>
      </c>
      <c r="AC188" s="292">
        <f t="shared" si="145"/>
        <v>0</v>
      </c>
      <c r="AD188" s="292">
        <f t="shared" si="146"/>
        <v>0</v>
      </c>
      <c r="AE188" s="292">
        <f t="shared" si="147"/>
        <v>0</v>
      </c>
      <c r="AF188" s="292">
        <f t="shared" si="172"/>
        <v>0</v>
      </c>
      <c r="AG188" s="292">
        <f t="shared" si="173"/>
        <v>0</v>
      </c>
      <c r="AH188" s="292">
        <f t="shared" si="148"/>
        <v>0</v>
      </c>
      <c r="AI188" s="292">
        <f t="shared" si="149"/>
        <v>0</v>
      </c>
      <c r="AJ188" s="292">
        <f t="shared" si="150"/>
        <v>0</v>
      </c>
      <c r="AK188" s="292">
        <f t="shared" si="151"/>
        <v>0</v>
      </c>
      <c r="AL188" s="292">
        <f t="shared" si="152"/>
        <v>0</v>
      </c>
      <c r="AM188" s="292">
        <f t="shared" si="153"/>
        <v>0</v>
      </c>
      <c r="AN188" s="292">
        <f t="shared" si="154"/>
        <v>0</v>
      </c>
      <c r="AO188" s="292">
        <f t="shared" si="155"/>
        <v>0</v>
      </c>
      <c r="AP188" s="292">
        <f t="shared" si="156"/>
        <v>0</v>
      </c>
      <c r="AQ188" s="292">
        <f t="shared" si="157"/>
        <v>0</v>
      </c>
      <c r="AR188" s="292">
        <f t="shared" si="158"/>
        <v>0</v>
      </c>
      <c r="AS188" s="292">
        <f t="shared" si="159"/>
        <v>0</v>
      </c>
      <c r="AT188" s="292">
        <f t="shared" si="160"/>
        <v>0</v>
      </c>
      <c r="AU188" s="292">
        <f t="shared" si="161"/>
        <v>0</v>
      </c>
      <c r="AV188" s="292">
        <f t="shared" si="162"/>
        <v>0</v>
      </c>
      <c r="AW188" s="292">
        <f t="shared" si="163"/>
        <v>0</v>
      </c>
      <c r="AX188" s="292">
        <f t="shared" si="164"/>
        <v>0</v>
      </c>
      <c r="AY188" s="292">
        <f t="shared" si="165"/>
        <v>0</v>
      </c>
      <c r="AZ188" s="292">
        <f t="shared" si="166"/>
        <v>0</v>
      </c>
      <c r="BA188" s="292">
        <f t="shared" si="167"/>
        <v>0</v>
      </c>
    </row>
    <row r="189" spans="1:53" s="289" customFormat="1" ht="16.5" customHeight="1">
      <c r="A189" s="63" t="str">
        <f t="array" ref="A189">IF(C189&lt;&gt;0,SUM(($C$11:C189&lt;&gt;0)*1),"")</f>
        <v/>
      </c>
      <c r="B189" s="290"/>
      <c r="C189" s="290"/>
      <c r="D189" s="290"/>
      <c r="E189" s="396"/>
      <c r="F189" s="345"/>
      <c r="G189" s="347"/>
      <c r="H189" s="347"/>
      <c r="I189" s="63" t="str">
        <f t="shared" si="129"/>
        <v/>
      </c>
      <c r="J189" s="292">
        <f t="shared" si="130"/>
        <v>0</v>
      </c>
      <c r="K189" s="292">
        <f t="shared" si="131"/>
        <v>0</v>
      </c>
      <c r="L189" s="292">
        <f t="shared" si="132"/>
        <v>0</v>
      </c>
      <c r="M189" s="292">
        <f t="shared" si="133"/>
        <v>0</v>
      </c>
      <c r="N189" s="292">
        <f t="shared" si="168"/>
        <v>0</v>
      </c>
      <c r="O189" s="292">
        <f t="shared" si="169"/>
        <v>0</v>
      </c>
      <c r="P189" s="292">
        <f t="shared" si="134"/>
        <v>0</v>
      </c>
      <c r="Q189" s="292">
        <f t="shared" si="135"/>
        <v>0</v>
      </c>
      <c r="R189" s="292">
        <f t="shared" si="136"/>
        <v>0</v>
      </c>
      <c r="S189" s="292">
        <f t="shared" si="137"/>
        <v>0</v>
      </c>
      <c r="T189" s="292">
        <f t="shared" si="170"/>
        <v>0</v>
      </c>
      <c r="U189" s="292">
        <f t="shared" si="171"/>
        <v>0</v>
      </c>
      <c r="V189" s="292">
        <f t="shared" si="138"/>
        <v>0</v>
      </c>
      <c r="W189" s="292">
        <f t="shared" si="139"/>
        <v>0</v>
      </c>
      <c r="X189" s="292">
        <f t="shared" si="140"/>
        <v>0</v>
      </c>
      <c r="Y189" s="292">
        <f t="shared" si="141"/>
        <v>0</v>
      </c>
      <c r="Z189" s="292">
        <f t="shared" si="142"/>
        <v>0</v>
      </c>
      <c r="AA189" s="292">
        <f t="shared" si="143"/>
        <v>0</v>
      </c>
      <c r="AB189" s="292">
        <f t="shared" si="144"/>
        <v>0</v>
      </c>
      <c r="AC189" s="292">
        <f t="shared" si="145"/>
        <v>0</v>
      </c>
      <c r="AD189" s="292">
        <f t="shared" si="146"/>
        <v>0</v>
      </c>
      <c r="AE189" s="292">
        <f t="shared" si="147"/>
        <v>0</v>
      </c>
      <c r="AF189" s="292">
        <f t="shared" si="172"/>
        <v>0</v>
      </c>
      <c r="AG189" s="292">
        <f t="shared" si="173"/>
        <v>0</v>
      </c>
      <c r="AH189" s="292">
        <f t="shared" si="148"/>
        <v>0</v>
      </c>
      <c r="AI189" s="292">
        <f t="shared" si="149"/>
        <v>0</v>
      </c>
      <c r="AJ189" s="292">
        <f t="shared" si="150"/>
        <v>0</v>
      </c>
      <c r="AK189" s="292">
        <f t="shared" si="151"/>
        <v>0</v>
      </c>
      <c r="AL189" s="292">
        <f t="shared" si="152"/>
        <v>0</v>
      </c>
      <c r="AM189" s="292">
        <f t="shared" si="153"/>
        <v>0</v>
      </c>
      <c r="AN189" s="292">
        <f t="shared" si="154"/>
        <v>0</v>
      </c>
      <c r="AO189" s="292">
        <f t="shared" si="155"/>
        <v>0</v>
      </c>
      <c r="AP189" s="292">
        <f t="shared" si="156"/>
        <v>0</v>
      </c>
      <c r="AQ189" s="292">
        <f t="shared" si="157"/>
        <v>0</v>
      </c>
      <c r="AR189" s="292">
        <f t="shared" si="158"/>
        <v>0</v>
      </c>
      <c r="AS189" s="292">
        <f t="shared" si="159"/>
        <v>0</v>
      </c>
      <c r="AT189" s="292">
        <f t="shared" si="160"/>
        <v>0</v>
      </c>
      <c r="AU189" s="292">
        <f t="shared" si="161"/>
        <v>0</v>
      </c>
      <c r="AV189" s="292">
        <f t="shared" si="162"/>
        <v>0</v>
      </c>
      <c r="AW189" s="292">
        <f t="shared" si="163"/>
        <v>0</v>
      </c>
      <c r="AX189" s="292">
        <f t="shared" si="164"/>
        <v>0</v>
      </c>
      <c r="AY189" s="292">
        <f t="shared" si="165"/>
        <v>0</v>
      </c>
      <c r="AZ189" s="292">
        <f t="shared" si="166"/>
        <v>0</v>
      </c>
      <c r="BA189" s="292">
        <f t="shared" si="167"/>
        <v>0</v>
      </c>
    </row>
    <row r="190" spans="1:53" s="289" customFormat="1" ht="16.5" customHeight="1">
      <c r="A190" s="63" t="str">
        <f t="array" ref="A190">IF(C190&lt;&gt;0,SUM(($C$11:C190&lt;&gt;0)*1),"")</f>
        <v/>
      </c>
      <c r="B190" s="290"/>
      <c r="C190" s="290"/>
      <c r="D190" s="290"/>
      <c r="E190" s="396"/>
      <c r="F190" s="345"/>
      <c r="G190" s="347"/>
      <c r="H190" s="347"/>
      <c r="I190" s="63" t="str">
        <f t="shared" si="129"/>
        <v/>
      </c>
      <c r="J190" s="292">
        <f t="shared" si="130"/>
        <v>0</v>
      </c>
      <c r="K190" s="292">
        <f t="shared" si="131"/>
        <v>0</v>
      </c>
      <c r="L190" s="292">
        <f t="shared" si="132"/>
        <v>0</v>
      </c>
      <c r="M190" s="292">
        <f t="shared" si="133"/>
        <v>0</v>
      </c>
      <c r="N190" s="292">
        <f t="shared" si="168"/>
        <v>0</v>
      </c>
      <c r="O190" s="292">
        <f t="shared" si="169"/>
        <v>0</v>
      </c>
      <c r="P190" s="292">
        <f t="shared" si="134"/>
        <v>0</v>
      </c>
      <c r="Q190" s="292">
        <f t="shared" si="135"/>
        <v>0</v>
      </c>
      <c r="R190" s="292">
        <f t="shared" si="136"/>
        <v>0</v>
      </c>
      <c r="S190" s="292">
        <f t="shared" si="137"/>
        <v>0</v>
      </c>
      <c r="T190" s="292">
        <f t="shared" si="170"/>
        <v>0</v>
      </c>
      <c r="U190" s="292">
        <f t="shared" si="171"/>
        <v>0</v>
      </c>
      <c r="V190" s="292">
        <f t="shared" si="138"/>
        <v>0</v>
      </c>
      <c r="W190" s="292">
        <f t="shared" si="139"/>
        <v>0</v>
      </c>
      <c r="X190" s="292">
        <f t="shared" si="140"/>
        <v>0</v>
      </c>
      <c r="Y190" s="292">
        <f t="shared" si="141"/>
        <v>0</v>
      </c>
      <c r="Z190" s="292">
        <f t="shared" si="142"/>
        <v>0</v>
      </c>
      <c r="AA190" s="292">
        <f t="shared" si="143"/>
        <v>0</v>
      </c>
      <c r="AB190" s="292">
        <f t="shared" si="144"/>
        <v>0</v>
      </c>
      <c r="AC190" s="292">
        <f t="shared" si="145"/>
        <v>0</v>
      </c>
      <c r="AD190" s="292">
        <f t="shared" si="146"/>
        <v>0</v>
      </c>
      <c r="AE190" s="292">
        <f t="shared" si="147"/>
        <v>0</v>
      </c>
      <c r="AF190" s="292">
        <f t="shared" si="172"/>
        <v>0</v>
      </c>
      <c r="AG190" s="292">
        <f t="shared" si="173"/>
        <v>0</v>
      </c>
      <c r="AH190" s="292">
        <f t="shared" si="148"/>
        <v>0</v>
      </c>
      <c r="AI190" s="292">
        <f t="shared" si="149"/>
        <v>0</v>
      </c>
      <c r="AJ190" s="292">
        <f t="shared" si="150"/>
        <v>0</v>
      </c>
      <c r="AK190" s="292">
        <f t="shared" si="151"/>
        <v>0</v>
      </c>
      <c r="AL190" s="292">
        <f t="shared" si="152"/>
        <v>0</v>
      </c>
      <c r="AM190" s="292">
        <f t="shared" si="153"/>
        <v>0</v>
      </c>
      <c r="AN190" s="292">
        <f t="shared" si="154"/>
        <v>0</v>
      </c>
      <c r="AO190" s="292">
        <f t="shared" si="155"/>
        <v>0</v>
      </c>
      <c r="AP190" s="292">
        <f t="shared" si="156"/>
        <v>0</v>
      </c>
      <c r="AQ190" s="292">
        <f t="shared" si="157"/>
        <v>0</v>
      </c>
      <c r="AR190" s="292">
        <f t="shared" si="158"/>
        <v>0</v>
      </c>
      <c r="AS190" s="292">
        <f t="shared" si="159"/>
        <v>0</v>
      </c>
      <c r="AT190" s="292">
        <f t="shared" si="160"/>
        <v>0</v>
      </c>
      <c r="AU190" s="292">
        <f t="shared" si="161"/>
        <v>0</v>
      </c>
      <c r="AV190" s="292">
        <f t="shared" si="162"/>
        <v>0</v>
      </c>
      <c r="AW190" s="292">
        <f t="shared" si="163"/>
        <v>0</v>
      </c>
      <c r="AX190" s="292">
        <f t="shared" si="164"/>
        <v>0</v>
      </c>
      <c r="AY190" s="292">
        <f t="shared" si="165"/>
        <v>0</v>
      </c>
      <c r="AZ190" s="292">
        <f t="shared" si="166"/>
        <v>0</v>
      </c>
      <c r="BA190" s="292">
        <f t="shared" si="167"/>
        <v>0</v>
      </c>
    </row>
    <row r="191" spans="1:53" s="289" customFormat="1" ht="16.5" customHeight="1">
      <c r="A191" s="63" t="str">
        <f t="array" ref="A191">IF(C191&lt;&gt;0,SUM(($C$11:C191&lt;&gt;0)*1),"")</f>
        <v/>
      </c>
      <c r="B191" s="290"/>
      <c r="C191" s="290"/>
      <c r="D191" s="290"/>
      <c r="E191" s="396"/>
      <c r="F191" s="345"/>
      <c r="G191" s="347"/>
      <c r="H191" s="347"/>
      <c r="I191" s="63" t="str">
        <f t="shared" si="129"/>
        <v/>
      </c>
      <c r="J191" s="292">
        <f t="shared" si="130"/>
        <v>0</v>
      </c>
      <c r="K191" s="292">
        <f t="shared" si="131"/>
        <v>0</v>
      </c>
      <c r="L191" s="292">
        <f t="shared" si="132"/>
        <v>0</v>
      </c>
      <c r="M191" s="292">
        <f t="shared" si="133"/>
        <v>0</v>
      </c>
      <c r="N191" s="292">
        <f t="shared" si="168"/>
        <v>0</v>
      </c>
      <c r="O191" s="292">
        <f t="shared" si="169"/>
        <v>0</v>
      </c>
      <c r="P191" s="292">
        <f t="shared" si="134"/>
        <v>0</v>
      </c>
      <c r="Q191" s="292">
        <f t="shared" si="135"/>
        <v>0</v>
      </c>
      <c r="R191" s="292">
        <f t="shared" si="136"/>
        <v>0</v>
      </c>
      <c r="S191" s="292">
        <f t="shared" si="137"/>
        <v>0</v>
      </c>
      <c r="T191" s="292">
        <f t="shared" si="170"/>
        <v>0</v>
      </c>
      <c r="U191" s="292">
        <f t="shared" si="171"/>
        <v>0</v>
      </c>
      <c r="V191" s="292">
        <f t="shared" si="138"/>
        <v>0</v>
      </c>
      <c r="W191" s="292">
        <f t="shared" si="139"/>
        <v>0</v>
      </c>
      <c r="X191" s="292">
        <f t="shared" si="140"/>
        <v>0</v>
      </c>
      <c r="Y191" s="292">
        <f t="shared" si="141"/>
        <v>0</v>
      </c>
      <c r="Z191" s="292">
        <f t="shared" si="142"/>
        <v>0</v>
      </c>
      <c r="AA191" s="292">
        <f t="shared" si="143"/>
        <v>0</v>
      </c>
      <c r="AB191" s="292">
        <f t="shared" si="144"/>
        <v>0</v>
      </c>
      <c r="AC191" s="292">
        <f t="shared" si="145"/>
        <v>0</v>
      </c>
      <c r="AD191" s="292">
        <f t="shared" si="146"/>
        <v>0</v>
      </c>
      <c r="AE191" s="292">
        <f t="shared" si="147"/>
        <v>0</v>
      </c>
      <c r="AF191" s="292">
        <f t="shared" si="172"/>
        <v>0</v>
      </c>
      <c r="AG191" s="292">
        <f t="shared" si="173"/>
        <v>0</v>
      </c>
      <c r="AH191" s="292">
        <f t="shared" si="148"/>
        <v>0</v>
      </c>
      <c r="AI191" s="292">
        <f t="shared" si="149"/>
        <v>0</v>
      </c>
      <c r="AJ191" s="292">
        <f t="shared" si="150"/>
        <v>0</v>
      </c>
      <c r="AK191" s="292">
        <f t="shared" si="151"/>
        <v>0</v>
      </c>
      <c r="AL191" s="292">
        <f t="shared" si="152"/>
        <v>0</v>
      </c>
      <c r="AM191" s="292">
        <f t="shared" si="153"/>
        <v>0</v>
      </c>
      <c r="AN191" s="292">
        <f t="shared" si="154"/>
        <v>0</v>
      </c>
      <c r="AO191" s="292">
        <f t="shared" si="155"/>
        <v>0</v>
      </c>
      <c r="AP191" s="292">
        <f t="shared" si="156"/>
        <v>0</v>
      </c>
      <c r="AQ191" s="292">
        <f t="shared" si="157"/>
        <v>0</v>
      </c>
      <c r="AR191" s="292">
        <f t="shared" si="158"/>
        <v>0</v>
      </c>
      <c r="AS191" s="292">
        <f t="shared" si="159"/>
        <v>0</v>
      </c>
      <c r="AT191" s="292">
        <f t="shared" si="160"/>
        <v>0</v>
      </c>
      <c r="AU191" s="292">
        <f t="shared" si="161"/>
        <v>0</v>
      </c>
      <c r="AV191" s="292">
        <f t="shared" si="162"/>
        <v>0</v>
      </c>
      <c r="AW191" s="292">
        <f t="shared" si="163"/>
        <v>0</v>
      </c>
      <c r="AX191" s="292">
        <f t="shared" si="164"/>
        <v>0</v>
      </c>
      <c r="AY191" s="292">
        <f t="shared" si="165"/>
        <v>0</v>
      </c>
      <c r="AZ191" s="292">
        <f t="shared" si="166"/>
        <v>0</v>
      </c>
      <c r="BA191" s="292">
        <f t="shared" si="167"/>
        <v>0</v>
      </c>
    </row>
    <row r="192" spans="1:53" s="289" customFormat="1" ht="16.5" customHeight="1">
      <c r="A192" s="63" t="str">
        <f t="array" ref="A192">IF(C192&lt;&gt;0,SUM(($C$11:C192&lt;&gt;0)*1),"")</f>
        <v/>
      </c>
      <c r="B192" s="290"/>
      <c r="C192" s="290"/>
      <c r="D192" s="290"/>
      <c r="E192" s="396"/>
      <c r="F192" s="345"/>
      <c r="G192" s="347"/>
      <c r="H192" s="347"/>
      <c r="I192" s="63" t="str">
        <f t="shared" si="129"/>
        <v/>
      </c>
      <c r="J192" s="292">
        <f t="shared" si="130"/>
        <v>0</v>
      </c>
      <c r="K192" s="292">
        <f t="shared" si="131"/>
        <v>0</v>
      </c>
      <c r="L192" s="292">
        <f t="shared" si="132"/>
        <v>0</v>
      </c>
      <c r="M192" s="292">
        <f t="shared" si="133"/>
        <v>0</v>
      </c>
      <c r="N192" s="292">
        <f t="shared" si="168"/>
        <v>0</v>
      </c>
      <c r="O192" s="292">
        <f t="shared" si="169"/>
        <v>0</v>
      </c>
      <c r="P192" s="292">
        <f t="shared" si="134"/>
        <v>0</v>
      </c>
      <c r="Q192" s="292">
        <f t="shared" si="135"/>
        <v>0</v>
      </c>
      <c r="R192" s="292">
        <f t="shared" si="136"/>
        <v>0</v>
      </c>
      <c r="S192" s="292">
        <f t="shared" si="137"/>
        <v>0</v>
      </c>
      <c r="T192" s="292">
        <f t="shared" si="170"/>
        <v>0</v>
      </c>
      <c r="U192" s="292">
        <f t="shared" si="171"/>
        <v>0</v>
      </c>
      <c r="V192" s="292">
        <f t="shared" si="138"/>
        <v>0</v>
      </c>
      <c r="W192" s="292">
        <f t="shared" si="139"/>
        <v>0</v>
      </c>
      <c r="X192" s="292">
        <f t="shared" si="140"/>
        <v>0</v>
      </c>
      <c r="Y192" s="292">
        <f t="shared" si="141"/>
        <v>0</v>
      </c>
      <c r="Z192" s="292">
        <f t="shared" si="142"/>
        <v>0</v>
      </c>
      <c r="AA192" s="292">
        <f t="shared" si="143"/>
        <v>0</v>
      </c>
      <c r="AB192" s="292">
        <f t="shared" si="144"/>
        <v>0</v>
      </c>
      <c r="AC192" s="292">
        <f t="shared" si="145"/>
        <v>0</v>
      </c>
      <c r="AD192" s="292">
        <f t="shared" si="146"/>
        <v>0</v>
      </c>
      <c r="AE192" s="292">
        <f t="shared" si="147"/>
        <v>0</v>
      </c>
      <c r="AF192" s="292">
        <f t="shared" si="172"/>
        <v>0</v>
      </c>
      <c r="AG192" s="292">
        <f t="shared" si="173"/>
        <v>0</v>
      </c>
      <c r="AH192" s="292">
        <f t="shared" si="148"/>
        <v>0</v>
      </c>
      <c r="AI192" s="292">
        <f t="shared" si="149"/>
        <v>0</v>
      </c>
      <c r="AJ192" s="292">
        <f t="shared" si="150"/>
        <v>0</v>
      </c>
      <c r="AK192" s="292">
        <f t="shared" si="151"/>
        <v>0</v>
      </c>
      <c r="AL192" s="292">
        <f t="shared" si="152"/>
        <v>0</v>
      </c>
      <c r="AM192" s="292">
        <f t="shared" si="153"/>
        <v>0</v>
      </c>
      <c r="AN192" s="292">
        <f t="shared" si="154"/>
        <v>0</v>
      </c>
      <c r="AO192" s="292">
        <f t="shared" si="155"/>
        <v>0</v>
      </c>
      <c r="AP192" s="292">
        <f t="shared" si="156"/>
        <v>0</v>
      </c>
      <c r="AQ192" s="292">
        <f t="shared" si="157"/>
        <v>0</v>
      </c>
      <c r="AR192" s="292">
        <f t="shared" si="158"/>
        <v>0</v>
      </c>
      <c r="AS192" s="292">
        <f t="shared" si="159"/>
        <v>0</v>
      </c>
      <c r="AT192" s="292">
        <f t="shared" si="160"/>
        <v>0</v>
      </c>
      <c r="AU192" s="292">
        <f t="shared" si="161"/>
        <v>0</v>
      </c>
      <c r="AV192" s="292">
        <f t="shared" si="162"/>
        <v>0</v>
      </c>
      <c r="AW192" s="292">
        <f t="shared" si="163"/>
        <v>0</v>
      </c>
      <c r="AX192" s="292">
        <f t="shared" si="164"/>
        <v>0</v>
      </c>
      <c r="AY192" s="292">
        <f t="shared" si="165"/>
        <v>0</v>
      </c>
      <c r="AZ192" s="292">
        <f t="shared" si="166"/>
        <v>0</v>
      </c>
      <c r="BA192" s="292">
        <f t="shared" si="167"/>
        <v>0</v>
      </c>
    </row>
    <row r="193" spans="1:53" s="289" customFormat="1" ht="16.5" customHeight="1">
      <c r="A193" s="63" t="str">
        <f t="array" ref="A193">IF(C193&lt;&gt;0,SUM(($C$11:C193&lt;&gt;0)*1),"")</f>
        <v/>
      </c>
      <c r="B193" s="290"/>
      <c r="C193" s="290"/>
      <c r="D193" s="290"/>
      <c r="E193" s="396"/>
      <c r="F193" s="345"/>
      <c r="G193" s="347"/>
      <c r="H193" s="347"/>
      <c r="I193" s="63" t="str">
        <f t="shared" si="129"/>
        <v/>
      </c>
      <c r="J193" s="292">
        <f t="shared" si="130"/>
        <v>0</v>
      </c>
      <c r="K193" s="292">
        <f t="shared" si="131"/>
        <v>0</v>
      </c>
      <c r="L193" s="292">
        <f t="shared" si="132"/>
        <v>0</v>
      </c>
      <c r="M193" s="292">
        <f t="shared" si="133"/>
        <v>0</v>
      </c>
      <c r="N193" s="292">
        <f t="shared" si="168"/>
        <v>0</v>
      </c>
      <c r="O193" s="292">
        <f t="shared" si="169"/>
        <v>0</v>
      </c>
      <c r="P193" s="292">
        <f t="shared" si="134"/>
        <v>0</v>
      </c>
      <c r="Q193" s="292">
        <f t="shared" si="135"/>
        <v>0</v>
      </c>
      <c r="R193" s="292">
        <f t="shared" si="136"/>
        <v>0</v>
      </c>
      <c r="S193" s="292">
        <f t="shared" si="137"/>
        <v>0</v>
      </c>
      <c r="T193" s="292">
        <f t="shared" si="170"/>
        <v>0</v>
      </c>
      <c r="U193" s="292">
        <f t="shared" si="171"/>
        <v>0</v>
      </c>
      <c r="V193" s="292">
        <f t="shared" si="138"/>
        <v>0</v>
      </c>
      <c r="W193" s="292">
        <f t="shared" si="139"/>
        <v>0</v>
      </c>
      <c r="X193" s="292">
        <f t="shared" si="140"/>
        <v>0</v>
      </c>
      <c r="Y193" s="292">
        <f t="shared" si="141"/>
        <v>0</v>
      </c>
      <c r="Z193" s="292">
        <f t="shared" si="142"/>
        <v>0</v>
      </c>
      <c r="AA193" s="292">
        <f t="shared" si="143"/>
        <v>0</v>
      </c>
      <c r="AB193" s="292">
        <f t="shared" si="144"/>
        <v>0</v>
      </c>
      <c r="AC193" s="292">
        <f t="shared" si="145"/>
        <v>0</v>
      </c>
      <c r="AD193" s="292">
        <f t="shared" si="146"/>
        <v>0</v>
      </c>
      <c r="AE193" s="292">
        <f t="shared" si="147"/>
        <v>0</v>
      </c>
      <c r="AF193" s="292">
        <f t="shared" si="172"/>
        <v>0</v>
      </c>
      <c r="AG193" s="292">
        <f t="shared" si="173"/>
        <v>0</v>
      </c>
      <c r="AH193" s="292">
        <f t="shared" si="148"/>
        <v>0</v>
      </c>
      <c r="AI193" s="292">
        <f t="shared" si="149"/>
        <v>0</v>
      </c>
      <c r="AJ193" s="292">
        <f t="shared" si="150"/>
        <v>0</v>
      </c>
      <c r="AK193" s="292">
        <f t="shared" si="151"/>
        <v>0</v>
      </c>
      <c r="AL193" s="292">
        <f t="shared" si="152"/>
        <v>0</v>
      </c>
      <c r="AM193" s="292">
        <f t="shared" si="153"/>
        <v>0</v>
      </c>
      <c r="AN193" s="292">
        <f t="shared" si="154"/>
        <v>0</v>
      </c>
      <c r="AO193" s="292">
        <f t="shared" si="155"/>
        <v>0</v>
      </c>
      <c r="AP193" s="292">
        <f t="shared" si="156"/>
        <v>0</v>
      </c>
      <c r="AQ193" s="292">
        <f t="shared" si="157"/>
        <v>0</v>
      </c>
      <c r="AR193" s="292">
        <f t="shared" si="158"/>
        <v>0</v>
      </c>
      <c r="AS193" s="292">
        <f t="shared" si="159"/>
        <v>0</v>
      </c>
      <c r="AT193" s="292">
        <f t="shared" si="160"/>
        <v>0</v>
      </c>
      <c r="AU193" s="292">
        <f t="shared" si="161"/>
        <v>0</v>
      </c>
      <c r="AV193" s="292">
        <f t="shared" si="162"/>
        <v>0</v>
      </c>
      <c r="AW193" s="292">
        <f t="shared" si="163"/>
        <v>0</v>
      </c>
      <c r="AX193" s="292">
        <f t="shared" si="164"/>
        <v>0</v>
      </c>
      <c r="AY193" s="292">
        <f t="shared" si="165"/>
        <v>0</v>
      </c>
      <c r="AZ193" s="292">
        <f t="shared" si="166"/>
        <v>0</v>
      </c>
      <c r="BA193" s="292">
        <f t="shared" si="167"/>
        <v>0</v>
      </c>
    </row>
    <row r="194" spans="1:53" s="289" customFormat="1" ht="16.5" customHeight="1">
      <c r="A194" s="63" t="str">
        <f t="array" ref="A194">IF(C194&lt;&gt;0,SUM(($C$11:C194&lt;&gt;0)*1),"")</f>
        <v/>
      </c>
      <c r="B194" s="290"/>
      <c r="C194" s="290"/>
      <c r="D194" s="290"/>
      <c r="E194" s="396"/>
      <c r="F194" s="345"/>
      <c r="G194" s="347"/>
      <c r="H194" s="347"/>
      <c r="I194" s="63" t="str">
        <f t="shared" si="129"/>
        <v/>
      </c>
      <c r="J194" s="292">
        <f t="shared" si="130"/>
        <v>0</v>
      </c>
      <c r="K194" s="292">
        <f t="shared" si="131"/>
        <v>0</v>
      </c>
      <c r="L194" s="292">
        <f t="shared" si="132"/>
        <v>0</v>
      </c>
      <c r="M194" s="292">
        <f t="shared" si="133"/>
        <v>0</v>
      </c>
      <c r="N194" s="292">
        <f t="shared" si="168"/>
        <v>0</v>
      </c>
      <c r="O194" s="292">
        <f t="shared" si="169"/>
        <v>0</v>
      </c>
      <c r="P194" s="292">
        <f t="shared" si="134"/>
        <v>0</v>
      </c>
      <c r="Q194" s="292">
        <f t="shared" si="135"/>
        <v>0</v>
      </c>
      <c r="R194" s="292">
        <f t="shared" si="136"/>
        <v>0</v>
      </c>
      <c r="S194" s="292">
        <f t="shared" si="137"/>
        <v>0</v>
      </c>
      <c r="T194" s="292">
        <f t="shared" si="170"/>
        <v>0</v>
      </c>
      <c r="U194" s="292">
        <f t="shared" si="171"/>
        <v>0</v>
      </c>
      <c r="V194" s="292">
        <f t="shared" si="138"/>
        <v>0</v>
      </c>
      <c r="W194" s="292">
        <f t="shared" si="139"/>
        <v>0</v>
      </c>
      <c r="X194" s="292">
        <f t="shared" si="140"/>
        <v>0</v>
      </c>
      <c r="Y194" s="292">
        <f t="shared" si="141"/>
        <v>0</v>
      </c>
      <c r="Z194" s="292">
        <f t="shared" si="142"/>
        <v>0</v>
      </c>
      <c r="AA194" s="292">
        <f t="shared" si="143"/>
        <v>0</v>
      </c>
      <c r="AB194" s="292">
        <f t="shared" si="144"/>
        <v>0</v>
      </c>
      <c r="AC194" s="292">
        <f t="shared" si="145"/>
        <v>0</v>
      </c>
      <c r="AD194" s="292">
        <f t="shared" si="146"/>
        <v>0</v>
      </c>
      <c r="AE194" s="292">
        <f t="shared" si="147"/>
        <v>0</v>
      </c>
      <c r="AF194" s="292">
        <f t="shared" si="172"/>
        <v>0</v>
      </c>
      <c r="AG194" s="292">
        <f t="shared" si="173"/>
        <v>0</v>
      </c>
      <c r="AH194" s="292">
        <f t="shared" si="148"/>
        <v>0</v>
      </c>
      <c r="AI194" s="292">
        <f t="shared" si="149"/>
        <v>0</v>
      </c>
      <c r="AJ194" s="292">
        <f t="shared" si="150"/>
        <v>0</v>
      </c>
      <c r="AK194" s="292">
        <f t="shared" si="151"/>
        <v>0</v>
      </c>
      <c r="AL194" s="292">
        <f t="shared" si="152"/>
        <v>0</v>
      </c>
      <c r="AM194" s="292">
        <f t="shared" si="153"/>
        <v>0</v>
      </c>
      <c r="AN194" s="292">
        <f t="shared" si="154"/>
        <v>0</v>
      </c>
      <c r="AO194" s="292">
        <f t="shared" si="155"/>
        <v>0</v>
      </c>
      <c r="AP194" s="292">
        <f t="shared" si="156"/>
        <v>0</v>
      </c>
      <c r="AQ194" s="292">
        <f t="shared" si="157"/>
        <v>0</v>
      </c>
      <c r="AR194" s="292">
        <f t="shared" si="158"/>
        <v>0</v>
      </c>
      <c r="AS194" s="292">
        <f t="shared" si="159"/>
        <v>0</v>
      </c>
      <c r="AT194" s="292">
        <f t="shared" si="160"/>
        <v>0</v>
      </c>
      <c r="AU194" s="292">
        <f t="shared" si="161"/>
        <v>0</v>
      </c>
      <c r="AV194" s="292">
        <f t="shared" si="162"/>
        <v>0</v>
      </c>
      <c r="AW194" s="292">
        <f t="shared" si="163"/>
        <v>0</v>
      </c>
      <c r="AX194" s="292">
        <f t="shared" si="164"/>
        <v>0</v>
      </c>
      <c r="AY194" s="292">
        <f t="shared" si="165"/>
        <v>0</v>
      </c>
      <c r="AZ194" s="292">
        <f t="shared" si="166"/>
        <v>0</v>
      </c>
      <c r="BA194" s="292">
        <f t="shared" si="167"/>
        <v>0</v>
      </c>
    </row>
    <row r="195" spans="1:53" s="289" customFormat="1" ht="16.5" customHeight="1">
      <c r="A195" s="63" t="str">
        <f t="array" ref="A195">IF(C195&lt;&gt;0,SUM(($C$11:C195&lt;&gt;0)*1),"")</f>
        <v/>
      </c>
      <c r="B195" s="290"/>
      <c r="C195" s="290"/>
      <c r="D195" s="290"/>
      <c r="E195" s="396"/>
      <c r="F195" s="345"/>
      <c r="G195" s="347"/>
      <c r="H195" s="347"/>
      <c r="I195" s="63" t="str">
        <f t="shared" si="129"/>
        <v/>
      </c>
      <c r="J195" s="292">
        <f t="shared" si="130"/>
        <v>0</v>
      </c>
      <c r="K195" s="292">
        <f t="shared" si="131"/>
        <v>0</v>
      </c>
      <c r="L195" s="292">
        <f t="shared" si="132"/>
        <v>0</v>
      </c>
      <c r="M195" s="292">
        <f t="shared" si="133"/>
        <v>0</v>
      </c>
      <c r="N195" s="292">
        <f t="shared" si="168"/>
        <v>0</v>
      </c>
      <c r="O195" s="292">
        <f t="shared" si="169"/>
        <v>0</v>
      </c>
      <c r="P195" s="292">
        <f t="shared" si="134"/>
        <v>0</v>
      </c>
      <c r="Q195" s="292">
        <f t="shared" si="135"/>
        <v>0</v>
      </c>
      <c r="R195" s="292">
        <f t="shared" si="136"/>
        <v>0</v>
      </c>
      <c r="S195" s="292">
        <f t="shared" si="137"/>
        <v>0</v>
      </c>
      <c r="T195" s="292">
        <f t="shared" si="170"/>
        <v>0</v>
      </c>
      <c r="U195" s="292">
        <f t="shared" si="171"/>
        <v>0</v>
      </c>
      <c r="V195" s="292">
        <f t="shared" si="138"/>
        <v>0</v>
      </c>
      <c r="W195" s="292">
        <f t="shared" si="139"/>
        <v>0</v>
      </c>
      <c r="X195" s="292">
        <f t="shared" si="140"/>
        <v>0</v>
      </c>
      <c r="Y195" s="292">
        <f t="shared" si="141"/>
        <v>0</v>
      </c>
      <c r="Z195" s="292">
        <f t="shared" si="142"/>
        <v>0</v>
      </c>
      <c r="AA195" s="292">
        <f t="shared" si="143"/>
        <v>0</v>
      </c>
      <c r="AB195" s="292">
        <f t="shared" si="144"/>
        <v>0</v>
      </c>
      <c r="AC195" s="292">
        <f t="shared" si="145"/>
        <v>0</v>
      </c>
      <c r="AD195" s="292">
        <f t="shared" si="146"/>
        <v>0</v>
      </c>
      <c r="AE195" s="292">
        <f t="shared" si="147"/>
        <v>0</v>
      </c>
      <c r="AF195" s="292">
        <f t="shared" si="172"/>
        <v>0</v>
      </c>
      <c r="AG195" s="292">
        <f t="shared" si="173"/>
        <v>0</v>
      </c>
      <c r="AH195" s="292">
        <f t="shared" si="148"/>
        <v>0</v>
      </c>
      <c r="AI195" s="292">
        <f t="shared" si="149"/>
        <v>0</v>
      </c>
      <c r="AJ195" s="292">
        <f t="shared" si="150"/>
        <v>0</v>
      </c>
      <c r="AK195" s="292">
        <f t="shared" si="151"/>
        <v>0</v>
      </c>
      <c r="AL195" s="292">
        <f t="shared" si="152"/>
        <v>0</v>
      </c>
      <c r="AM195" s="292">
        <f t="shared" si="153"/>
        <v>0</v>
      </c>
      <c r="AN195" s="292">
        <f t="shared" si="154"/>
        <v>0</v>
      </c>
      <c r="AO195" s="292">
        <f t="shared" si="155"/>
        <v>0</v>
      </c>
      <c r="AP195" s="292">
        <f t="shared" si="156"/>
        <v>0</v>
      </c>
      <c r="AQ195" s="292">
        <f t="shared" si="157"/>
        <v>0</v>
      </c>
      <c r="AR195" s="292">
        <f t="shared" si="158"/>
        <v>0</v>
      </c>
      <c r="AS195" s="292">
        <f t="shared" si="159"/>
        <v>0</v>
      </c>
      <c r="AT195" s="292">
        <f t="shared" si="160"/>
        <v>0</v>
      </c>
      <c r="AU195" s="292">
        <f t="shared" si="161"/>
        <v>0</v>
      </c>
      <c r="AV195" s="292">
        <f t="shared" si="162"/>
        <v>0</v>
      </c>
      <c r="AW195" s="292">
        <f t="shared" si="163"/>
        <v>0</v>
      </c>
      <c r="AX195" s="292">
        <f t="shared" si="164"/>
        <v>0</v>
      </c>
      <c r="AY195" s="292">
        <f t="shared" si="165"/>
        <v>0</v>
      </c>
      <c r="AZ195" s="292">
        <f t="shared" si="166"/>
        <v>0</v>
      </c>
      <c r="BA195" s="292">
        <f t="shared" si="167"/>
        <v>0</v>
      </c>
    </row>
    <row r="196" spans="1:53" s="289" customFormat="1" ht="16.5" customHeight="1">
      <c r="A196" s="63" t="str">
        <f t="array" ref="A196">IF(C196&lt;&gt;0,SUM(($C$11:C196&lt;&gt;0)*1),"")</f>
        <v/>
      </c>
      <c r="B196" s="290"/>
      <c r="C196" s="290"/>
      <c r="D196" s="290"/>
      <c r="E196" s="396"/>
      <c r="F196" s="345"/>
      <c r="G196" s="347"/>
      <c r="H196" s="347"/>
      <c r="I196" s="63" t="str">
        <f t="shared" si="129"/>
        <v/>
      </c>
      <c r="J196" s="292">
        <f t="shared" si="130"/>
        <v>0</v>
      </c>
      <c r="K196" s="292">
        <f t="shared" si="131"/>
        <v>0</v>
      </c>
      <c r="L196" s="292">
        <f t="shared" si="132"/>
        <v>0</v>
      </c>
      <c r="M196" s="292">
        <f t="shared" si="133"/>
        <v>0</v>
      </c>
      <c r="N196" s="292">
        <f t="shared" si="168"/>
        <v>0</v>
      </c>
      <c r="O196" s="292">
        <f t="shared" si="169"/>
        <v>0</v>
      </c>
      <c r="P196" s="292">
        <f t="shared" si="134"/>
        <v>0</v>
      </c>
      <c r="Q196" s="292">
        <f t="shared" si="135"/>
        <v>0</v>
      </c>
      <c r="R196" s="292">
        <f t="shared" si="136"/>
        <v>0</v>
      </c>
      <c r="S196" s="292">
        <f t="shared" si="137"/>
        <v>0</v>
      </c>
      <c r="T196" s="292">
        <f t="shared" si="170"/>
        <v>0</v>
      </c>
      <c r="U196" s="292">
        <f t="shared" si="171"/>
        <v>0</v>
      </c>
      <c r="V196" s="292">
        <f t="shared" si="138"/>
        <v>0</v>
      </c>
      <c r="W196" s="292">
        <f t="shared" si="139"/>
        <v>0</v>
      </c>
      <c r="X196" s="292">
        <f t="shared" si="140"/>
        <v>0</v>
      </c>
      <c r="Y196" s="292">
        <f t="shared" si="141"/>
        <v>0</v>
      </c>
      <c r="Z196" s="292">
        <f t="shared" si="142"/>
        <v>0</v>
      </c>
      <c r="AA196" s="292">
        <f t="shared" si="143"/>
        <v>0</v>
      </c>
      <c r="AB196" s="292">
        <f t="shared" si="144"/>
        <v>0</v>
      </c>
      <c r="AC196" s="292">
        <f t="shared" si="145"/>
        <v>0</v>
      </c>
      <c r="AD196" s="292">
        <f t="shared" si="146"/>
        <v>0</v>
      </c>
      <c r="AE196" s="292">
        <f t="shared" si="147"/>
        <v>0</v>
      </c>
      <c r="AF196" s="292">
        <f t="shared" si="172"/>
        <v>0</v>
      </c>
      <c r="AG196" s="292">
        <f t="shared" si="173"/>
        <v>0</v>
      </c>
      <c r="AH196" s="292">
        <f t="shared" si="148"/>
        <v>0</v>
      </c>
      <c r="AI196" s="292">
        <f t="shared" si="149"/>
        <v>0</v>
      </c>
      <c r="AJ196" s="292">
        <f t="shared" si="150"/>
        <v>0</v>
      </c>
      <c r="AK196" s="292">
        <f t="shared" si="151"/>
        <v>0</v>
      </c>
      <c r="AL196" s="292">
        <f t="shared" si="152"/>
        <v>0</v>
      </c>
      <c r="AM196" s="292">
        <f t="shared" si="153"/>
        <v>0</v>
      </c>
      <c r="AN196" s="292">
        <f t="shared" si="154"/>
        <v>0</v>
      </c>
      <c r="AO196" s="292">
        <f t="shared" si="155"/>
        <v>0</v>
      </c>
      <c r="AP196" s="292">
        <f t="shared" si="156"/>
        <v>0</v>
      </c>
      <c r="AQ196" s="292">
        <f t="shared" si="157"/>
        <v>0</v>
      </c>
      <c r="AR196" s="292">
        <f t="shared" si="158"/>
        <v>0</v>
      </c>
      <c r="AS196" s="292">
        <f t="shared" si="159"/>
        <v>0</v>
      </c>
      <c r="AT196" s="292">
        <f t="shared" si="160"/>
        <v>0</v>
      </c>
      <c r="AU196" s="292">
        <f t="shared" si="161"/>
        <v>0</v>
      </c>
      <c r="AV196" s="292">
        <f t="shared" si="162"/>
        <v>0</v>
      </c>
      <c r="AW196" s="292">
        <f t="shared" si="163"/>
        <v>0</v>
      </c>
      <c r="AX196" s="292">
        <f t="shared" si="164"/>
        <v>0</v>
      </c>
      <c r="AY196" s="292">
        <f t="shared" si="165"/>
        <v>0</v>
      </c>
      <c r="AZ196" s="292">
        <f t="shared" si="166"/>
        <v>0</v>
      </c>
      <c r="BA196" s="292">
        <f t="shared" si="167"/>
        <v>0</v>
      </c>
    </row>
    <row r="197" spans="1:53" s="289" customFormat="1" ht="16.5" customHeight="1">
      <c r="A197" s="63" t="str">
        <f t="array" ref="A197">IF(C197&lt;&gt;0,SUM(($C$11:C197&lt;&gt;0)*1),"")</f>
        <v/>
      </c>
      <c r="B197" s="290"/>
      <c r="C197" s="290"/>
      <c r="D197" s="290"/>
      <c r="E197" s="396"/>
      <c r="F197" s="345"/>
      <c r="G197" s="347"/>
      <c r="H197" s="347"/>
      <c r="I197" s="63" t="str">
        <f t="shared" si="129"/>
        <v/>
      </c>
      <c r="J197" s="292">
        <f t="shared" si="130"/>
        <v>0</v>
      </c>
      <c r="K197" s="292">
        <f t="shared" si="131"/>
        <v>0</v>
      </c>
      <c r="L197" s="292">
        <f t="shared" si="132"/>
        <v>0</v>
      </c>
      <c r="M197" s="292">
        <f t="shared" si="133"/>
        <v>0</v>
      </c>
      <c r="N197" s="292">
        <f t="shared" si="168"/>
        <v>0</v>
      </c>
      <c r="O197" s="292">
        <f t="shared" si="169"/>
        <v>0</v>
      </c>
      <c r="P197" s="292">
        <f t="shared" si="134"/>
        <v>0</v>
      </c>
      <c r="Q197" s="292">
        <f t="shared" si="135"/>
        <v>0</v>
      </c>
      <c r="R197" s="292">
        <f t="shared" si="136"/>
        <v>0</v>
      </c>
      <c r="S197" s="292">
        <f t="shared" si="137"/>
        <v>0</v>
      </c>
      <c r="T197" s="292">
        <f t="shared" si="170"/>
        <v>0</v>
      </c>
      <c r="U197" s="292">
        <f t="shared" si="171"/>
        <v>0</v>
      </c>
      <c r="V197" s="292">
        <f t="shared" si="138"/>
        <v>0</v>
      </c>
      <c r="W197" s="292">
        <f t="shared" si="139"/>
        <v>0</v>
      </c>
      <c r="X197" s="292">
        <f t="shared" si="140"/>
        <v>0</v>
      </c>
      <c r="Y197" s="292">
        <f t="shared" si="141"/>
        <v>0</v>
      </c>
      <c r="Z197" s="292">
        <f t="shared" si="142"/>
        <v>0</v>
      </c>
      <c r="AA197" s="292">
        <f t="shared" si="143"/>
        <v>0</v>
      </c>
      <c r="AB197" s="292">
        <f t="shared" si="144"/>
        <v>0</v>
      </c>
      <c r="AC197" s="292">
        <f t="shared" si="145"/>
        <v>0</v>
      </c>
      <c r="AD197" s="292">
        <f t="shared" si="146"/>
        <v>0</v>
      </c>
      <c r="AE197" s="292">
        <f t="shared" si="147"/>
        <v>0</v>
      </c>
      <c r="AF197" s="292">
        <f t="shared" si="172"/>
        <v>0</v>
      </c>
      <c r="AG197" s="292">
        <f t="shared" si="173"/>
        <v>0</v>
      </c>
      <c r="AH197" s="292">
        <f t="shared" si="148"/>
        <v>0</v>
      </c>
      <c r="AI197" s="292">
        <f t="shared" si="149"/>
        <v>0</v>
      </c>
      <c r="AJ197" s="292">
        <f t="shared" si="150"/>
        <v>0</v>
      </c>
      <c r="AK197" s="292">
        <f t="shared" si="151"/>
        <v>0</v>
      </c>
      <c r="AL197" s="292">
        <f t="shared" si="152"/>
        <v>0</v>
      </c>
      <c r="AM197" s="292">
        <f t="shared" si="153"/>
        <v>0</v>
      </c>
      <c r="AN197" s="292">
        <f t="shared" si="154"/>
        <v>0</v>
      </c>
      <c r="AO197" s="292">
        <f t="shared" si="155"/>
        <v>0</v>
      </c>
      <c r="AP197" s="292">
        <f t="shared" si="156"/>
        <v>0</v>
      </c>
      <c r="AQ197" s="292">
        <f t="shared" si="157"/>
        <v>0</v>
      </c>
      <c r="AR197" s="292">
        <f t="shared" si="158"/>
        <v>0</v>
      </c>
      <c r="AS197" s="292">
        <f t="shared" si="159"/>
        <v>0</v>
      </c>
      <c r="AT197" s="292">
        <f t="shared" si="160"/>
        <v>0</v>
      </c>
      <c r="AU197" s="292">
        <f t="shared" si="161"/>
        <v>0</v>
      </c>
      <c r="AV197" s="292">
        <f t="shared" si="162"/>
        <v>0</v>
      </c>
      <c r="AW197" s="292">
        <f t="shared" si="163"/>
        <v>0</v>
      </c>
      <c r="AX197" s="292">
        <f t="shared" si="164"/>
        <v>0</v>
      </c>
      <c r="AY197" s="292">
        <f t="shared" si="165"/>
        <v>0</v>
      </c>
      <c r="AZ197" s="292">
        <f t="shared" si="166"/>
        <v>0</v>
      </c>
      <c r="BA197" s="292">
        <f t="shared" si="167"/>
        <v>0</v>
      </c>
    </row>
    <row r="198" spans="1:53" s="289" customFormat="1" ht="16.5" customHeight="1">
      <c r="A198" s="63" t="str">
        <f t="array" ref="A198">IF(C198&lt;&gt;0,SUM(($C$11:C198&lt;&gt;0)*1),"")</f>
        <v/>
      </c>
      <c r="B198" s="290"/>
      <c r="C198" s="290"/>
      <c r="D198" s="290"/>
      <c r="E198" s="396"/>
      <c r="F198" s="345"/>
      <c r="G198" s="347"/>
      <c r="H198" s="347"/>
      <c r="I198" s="63" t="str">
        <f t="shared" si="129"/>
        <v/>
      </c>
      <c r="J198" s="292">
        <f t="shared" si="130"/>
        <v>0</v>
      </c>
      <c r="K198" s="292">
        <f t="shared" si="131"/>
        <v>0</v>
      </c>
      <c r="L198" s="292">
        <f t="shared" si="132"/>
        <v>0</v>
      </c>
      <c r="M198" s="292">
        <f t="shared" si="133"/>
        <v>0</v>
      </c>
      <c r="N198" s="292">
        <f t="shared" si="168"/>
        <v>0</v>
      </c>
      <c r="O198" s="292">
        <f t="shared" si="169"/>
        <v>0</v>
      </c>
      <c r="P198" s="292">
        <f t="shared" si="134"/>
        <v>0</v>
      </c>
      <c r="Q198" s="292">
        <f t="shared" si="135"/>
        <v>0</v>
      </c>
      <c r="R198" s="292">
        <f t="shared" si="136"/>
        <v>0</v>
      </c>
      <c r="S198" s="292">
        <f t="shared" si="137"/>
        <v>0</v>
      </c>
      <c r="T198" s="292">
        <f t="shared" si="170"/>
        <v>0</v>
      </c>
      <c r="U198" s="292">
        <f t="shared" si="171"/>
        <v>0</v>
      </c>
      <c r="V198" s="292">
        <f t="shared" si="138"/>
        <v>0</v>
      </c>
      <c r="W198" s="292">
        <f t="shared" si="139"/>
        <v>0</v>
      </c>
      <c r="X198" s="292">
        <f t="shared" si="140"/>
        <v>0</v>
      </c>
      <c r="Y198" s="292">
        <f t="shared" si="141"/>
        <v>0</v>
      </c>
      <c r="Z198" s="292">
        <f t="shared" si="142"/>
        <v>0</v>
      </c>
      <c r="AA198" s="292">
        <f t="shared" si="143"/>
        <v>0</v>
      </c>
      <c r="AB198" s="292">
        <f t="shared" si="144"/>
        <v>0</v>
      </c>
      <c r="AC198" s="292">
        <f t="shared" si="145"/>
        <v>0</v>
      </c>
      <c r="AD198" s="292">
        <f t="shared" si="146"/>
        <v>0</v>
      </c>
      <c r="AE198" s="292">
        <f t="shared" si="147"/>
        <v>0</v>
      </c>
      <c r="AF198" s="292">
        <f t="shared" si="172"/>
        <v>0</v>
      </c>
      <c r="AG198" s="292">
        <f t="shared" si="173"/>
        <v>0</v>
      </c>
      <c r="AH198" s="292">
        <f t="shared" si="148"/>
        <v>0</v>
      </c>
      <c r="AI198" s="292">
        <f t="shared" si="149"/>
        <v>0</v>
      </c>
      <c r="AJ198" s="292">
        <f t="shared" si="150"/>
        <v>0</v>
      </c>
      <c r="AK198" s="292">
        <f t="shared" si="151"/>
        <v>0</v>
      </c>
      <c r="AL198" s="292">
        <f t="shared" si="152"/>
        <v>0</v>
      </c>
      <c r="AM198" s="292">
        <f t="shared" si="153"/>
        <v>0</v>
      </c>
      <c r="AN198" s="292">
        <f t="shared" si="154"/>
        <v>0</v>
      </c>
      <c r="AO198" s="292">
        <f t="shared" si="155"/>
        <v>0</v>
      </c>
      <c r="AP198" s="292">
        <f t="shared" si="156"/>
        <v>0</v>
      </c>
      <c r="AQ198" s="292">
        <f t="shared" si="157"/>
        <v>0</v>
      </c>
      <c r="AR198" s="292">
        <f t="shared" si="158"/>
        <v>0</v>
      </c>
      <c r="AS198" s="292">
        <f t="shared" si="159"/>
        <v>0</v>
      </c>
      <c r="AT198" s="292">
        <f t="shared" si="160"/>
        <v>0</v>
      </c>
      <c r="AU198" s="292">
        <f t="shared" si="161"/>
        <v>0</v>
      </c>
      <c r="AV198" s="292">
        <f t="shared" si="162"/>
        <v>0</v>
      </c>
      <c r="AW198" s="292">
        <f t="shared" si="163"/>
        <v>0</v>
      </c>
      <c r="AX198" s="292">
        <f t="shared" si="164"/>
        <v>0</v>
      </c>
      <c r="AY198" s="292">
        <f t="shared" si="165"/>
        <v>0</v>
      </c>
      <c r="AZ198" s="292">
        <f t="shared" si="166"/>
        <v>0</v>
      </c>
      <c r="BA198" s="292">
        <f t="shared" si="167"/>
        <v>0</v>
      </c>
    </row>
    <row r="199" spans="1:53" s="289" customFormat="1" ht="16.5" customHeight="1">
      <c r="A199" s="63" t="str">
        <f t="array" ref="A199">IF(C199&lt;&gt;0,SUM(($C$11:C199&lt;&gt;0)*1),"")</f>
        <v/>
      </c>
      <c r="B199" s="290"/>
      <c r="C199" s="290"/>
      <c r="D199" s="290"/>
      <c r="E199" s="396"/>
      <c r="F199" s="345"/>
      <c r="G199" s="347"/>
      <c r="H199" s="347"/>
      <c r="I199" s="63" t="str">
        <f t="shared" si="129"/>
        <v/>
      </c>
      <c r="J199" s="292">
        <f t="shared" si="130"/>
        <v>0</v>
      </c>
      <c r="K199" s="292">
        <f t="shared" si="131"/>
        <v>0</v>
      </c>
      <c r="L199" s="292">
        <f t="shared" si="132"/>
        <v>0</v>
      </c>
      <c r="M199" s="292">
        <f t="shared" si="133"/>
        <v>0</v>
      </c>
      <c r="N199" s="292">
        <f t="shared" si="168"/>
        <v>0</v>
      </c>
      <c r="O199" s="292">
        <f t="shared" si="169"/>
        <v>0</v>
      </c>
      <c r="P199" s="292">
        <f t="shared" si="134"/>
        <v>0</v>
      </c>
      <c r="Q199" s="292">
        <f t="shared" si="135"/>
        <v>0</v>
      </c>
      <c r="R199" s="292">
        <f t="shared" si="136"/>
        <v>0</v>
      </c>
      <c r="S199" s="292">
        <f t="shared" si="137"/>
        <v>0</v>
      </c>
      <c r="T199" s="292">
        <f t="shared" si="170"/>
        <v>0</v>
      </c>
      <c r="U199" s="292">
        <f t="shared" si="171"/>
        <v>0</v>
      </c>
      <c r="V199" s="292">
        <f t="shared" si="138"/>
        <v>0</v>
      </c>
      <c r="W199" s="292">
        <f t="shared" si="139"/>
        <v>0</v>
      </c>
      <c r="X199" s="292">
        <f t="shared" si="140"/>
        <v>0</v>
      </c>
      <c r="Y199" s="292">
        <f t="shared" si="141"/>
        <v>0</v>
      </c>
      <c r="Z199" s="292">
        <f t="shared" si="142"/>
        <v>0</v>
      </c>
      <c r="AA199" s="292">
        <f t="shared" si="143"/>
        <v>0</v>
      </c>
      <c r="AB199" s="292">
        <f t="shared" si="144"/>
        <v>0</v>
      </c>
      <c r="AC199" s="292">
        <f t="shared" si="145"/>
        <v>0</v>
      </c>
      <c r="AD199" s="292">
        <f t="shared" si="146"/>
        <v>0</v>
      </c>
      <c r="AE199" s="292">
        <f t="shared" si="147"/>
        <v>0</v>
      </c>
      <c r="AF199" s="292">
        <f t="shared" si="172"/>
        <v>0</v>
      </c>
      <c r="AG199" s="292">
        <f t="shared" si="173"/>
        <v>0</v>
      </c>
      <c r="AH199" s="292">
        <f t="shared" si="148"/>
        <v>0</v>
      </c>
      <c r="AI199" s="292">
        <f t="shared" si="149"/>
        <v>0</v>
      </c>
      <c r="AJ199" s="292">
        <f t="shared" si="150"/>
        <v>0</v>
      </c>
      <c r="AK199" s="292">
        <f t="shared" si="151"/>
        <v>0</v>
      </c>
      <c r="AL199" s="292">
        <f t="shared" si="152"/>
        <v>0</v>
      </c>
      <c r="AM199" s="292">
        <f t="shared" si="153"/>
        <v>0</v>
      </c>
      <c r="AN199" s="292">
        <f t="shared" si="154"/>
        <v>0</v>
      </c>
      <c r="AO199" s="292">
        <f t="shared" si="155"/>
        <v>0</v>
      </c>
      <c r="AP199" s="292">
        <f t="shared" si="156"/>
        <v>0</v>
      </c>
      <c r="AQ199" s="292">
        <f t="shared" si="157"/>
        <v>0</v>
      </c>
      <c r="AR199" s="292">
        <f t="shared" si="158"/>
        <v>0</v>
      </c>
      <c r="AS199" s="292">
        <f t="shared" si="159"/>
        <v>0</v>
      </c>
      <c r="AT199" s="292">
        <f t="shared" si="160"/>
        <v>0</v>
      </c>
      <c r="AU199" s="292">
        <f t="shared" si="161"/>
        <v>0</v>
      </c>
      <c r="AV199" s="292">
        <f t="shared" si="162"/>
        <v>0</v>
      </c>
      <c r="AW199" s="292">
        <f t="shared" si="163"/>
        <v>0</v>
      </c>
      <c r="AX199" s="292">
        <f t="shared" si="164"/>
        <v>0</v>
      </c>
      <c r="AY199" s="292">
        <f t="shared" si="165"/>
        <v>0</v>
      </c>
      <c r="AZ199" s="292">
        <f t="shared" si="166"/>
        <v>0</v>
      </c>
      <c r="BA199" s="292">
        <f t="shared" si="167"/>
        <v>0</v>
      </c>
    </row>
    <row r="200" spans="1:53" s="289" customFormat="1" ht="16.5" customHeight="1">
      <c r="A200" s="63" t="str">
        <f t="array" ref="A200">IF(C200&lt;&gt;0,SUM(($C$11:C200&lt;&gt;0)*1),"")</f>
        <v/>
      </c>
      <c r="B200" s="290"/>
      <c r="C200" s="290"/>
      <c r="D200" s="290"/>
      <c r="E200" s="396"/>
      <c r="F200" s="345"/>
      <c r="G200" s="347"/>
      <c r="H200" s="347"/>
      <c r="I200" s="63" t="str">
        <f t="shared" si="129"/>
        <v/>
      </c>
      <c r="J200" s="292">
        <f t="shared" si="130"/>
        <v>0</v>
      </c>
      <c r="K200" s="292">
        <f t="shared" si="131"/>
        <v>0</v>
      </c>
      <c r="L200" s="292">
        <f t="shared" si="132"/>
        <v>0</v>
      </c>
      <c r="M200" s="292">
        <f t="shared" si="133"/>
        <v>0</v>
      </c>
      <c r="N200" s="292">
        <f t="shared" si="168"/>
        <v>0</v>
      </c>
      <c r="O200" s="292">
        <f t="shared" si="169"/>
        <v>0</v>
      </c>
      <c r="P200" s="292">
        <f t="shared" si="134"/>
        <v>0</v>
      </c>
      <c r="Q200" s="292">
        <f t="shared" si="135"/>
        <v>0</v>
      </c>
      <c r="R200" s="292">
        <f t="shared" si="136"/>
        <v>0</v>
      </c>
      <c r="S200" s="292">
        <f t="shared" si="137"/>
        <v>0</v>
      </c>
      <c r="T200" s="292">
        <f t="shared" si="170"/>
        <v>0</v>
      </c>
      <c r="U200" s="292">
        <f t="shared" si="171"/>
        <v>0</v>
      </c>
      <c r="V200" s="292">
        <f t="shared" si="138"/>
        <v>0</v>
      </c>
      <c r="W200" s="292">
        <f t="shared" si="139"/>
        <v>0</v>
      </c>
      <c r="X200" s="292">
        <f t="shared" si="140"/>
        <v>0</v>
      </c>
      <c r="Y200" s="292">
        <f t="shared" si="141"/>
        <v>0</v>
      </c>
      <c r="Z200" s="292">
        <f t="shared" si="142"/>
        <v>0</v>
      </c>
      <c r="AA200" s="292">
        <f t="shared" si="143"/>
        <v>0</v>
      </c>
      <c r="AB200" s="292">
        <f t="shared" si="144"/>
        <v>0</v>
      </c>
      <c r="AC200" s="292">
        <f t="shared" si="145"/>
        <v>0</v>
      </c>
      <c r="AD200" s="292">
        <f t="shared" si="146"/>
        <v>0</v>
      </c>
      <c r="AE200" s="292">
        <f t="shared" si="147"/>
        <v>0</v>
      </c>
      <c r="AF200" s="292">
        <f t="shared" si="172"/>
        <v>0</v>
      </c>
      <c r="AG200" s="292">
        <f t="shared" si="173"/>
        <v>0</v>
      </c>
      <c r="AH200" s="292">
        <f t="shared" si="148"/>
        <v>0</v>
      </c>
      <c r="AI200" s="292">
        <f t="shared" si="149"/>
        <v>0</v>
      </c>
      <c r="AJ200" s="292">
        <f t="shared" si="150"/>
        <v>0</v>
      </c>
      <c r="AK200" s="292">
        <f t="shared" si="151"/>
        <v>0</v>
      </c>
      <c r="AL200" s="292">
        <f t="shared" si="152"/>
        <v>0</v>
      </c>
      <c r="AM200" s="292">
        <f t="shared" si="153"/>
        <v>0</v>
      </c>
      <c r="AN200" s="292">
        <f t="shared" si="154"/>
        <v>0</v>
      </c>
      <c r="AO200" s="292">
        <f t="shared" si="155"/>
        <v>0</v>
      </c>
      <c r="AP200" s="292">
        <f t="shared" si="156"/>
        <v>0</v>
      </c>
      <c r="AQ200" s="292">
        <f t="shared" si="157"/>
        <v>0</v>
      </c>
      <c r="AR200" s="292">
        <f t="shared" si="158"/>
        <v>0</v>
      </c>
      <c r="AS200" s="292">
        <f t="shared" si="159"/>
        <v>0</v>
      </c>
      <c r="AT200" s="292">
        <f t="shared" si="160"/>
        <v>0</v>
      </c>
      <c r="AU200" s="292">
        <f t="shared" si="161"/>
        <v>0</v>
      </c>
      <c r="AV200" s="292">
        <f t="shared" si="162"/>
        <v>0</v>
      </c>
      <c r="AW200" s="292">
        <f t="shared" si="163"/>
        <v>0</v>
      </c>
      <c r="AX200" s="292">
        <f t="shared" si="164"/>
        <v>0</v>
      </c>
      <c r="AY200" s="292">
        <f t="shared" si="165"/>
        <v>0</v>
      </c>
      <c r="AZ200" s="292">
        <f t="shared" si="166"/>
        <v>0</v>
      </c>
      <c r="BA200" s="292">
        <f t="shared" si="167"/>
        <v>0</v>
      </c>
    </row>
    <row r="201" spans="1:53" s="289" customFormat="1" ht="16.5" customHeight="1">
      <c r="A201" s="63" t="str">
        <f t="array" ref="A201">IF(C201&lt;&gt;0,SUM(($C$11:C201&lt;&gt;0)*1),"")</f>
        <v/>
      </c>
      <c r="B201" s="290"/>
      <c r="C201" s="290"/>
      <c r="D201" s="290"/>
      <c r="E201" s="396"/>
      <c r="F201" s="345"/>
      <c r="G201" s="347"/>
      <c r="H201" s="347"/>
      <c r="I201" s="63" t="str">
        <f t="shared" si="129"/>
        <v/>
      </c>
      <c r="J201" s="292">
        <f t="shared" si="130"/>
        <v>0</v>
      </c>
      <c r="K201" s="292">
        <f t="shared" si="131"/>
        <v>0</v>
      </c>
      <c r="L201" s="292">
        <f t="shared" si="132"/>
        <v>0</v>
      </c>
      <c r="M201" s="292">
        <f t="shared" si="133"/>
        <v>0</v>
      </c>
      <c r="N201" s="292">
        <f t="shared" si="168"/>
        <v>0</v>
      </c>
      <c r="O201" s="292">
        <f t="shared" si="169"/>
        <v>0</v>
      </c>
      <c r="P201" s="292">
        <f t="shared" si="134"/>
        <v>0</v>
      </c>
      <c r="Q201" s="292">
        <f t="shared" si="135"/>
        <v>0</v>
      </c>
      <c r="R201" s="292">
        <f t="shared" si="136"/>
        <v>0</v>
      </c>
      <c r="S201" s="292">
        <f t="shared" si="137"/>
        <v>0</v>
      </c>
      <c r="T201" s="292">
        <f t="shared" si="170"/>
        <v>0</v>
      </c>
      <c r="U201" s="292">
        <f t="shared" si="171"/>
        <v>0</v>
      </c>
      <c r="V201" s="292">
        <f t="shared" si="138"/>
        <v>0</v>
      </c>
      <c r="W201" s="292">
        <f t="shared" si="139"/>
        <v>0</v>
      </c>
      <c r="X201" s="292">
        <f t="shared" si="140"/>
        <v>0</v>
      </c>
      <c r="Y201" s="292">
        <f t="shared" si="141"/>
        <v>0</v>
      </c>
      <c r="Z201" s="292">
        <f t="shared" si="142"/>
        <v>0</v>
      </c>
      <c r="AA201" s="292">
        <f t="shared" si="143"/>
        <v>0</v>
      </c>
      <c r="AB201" s="292">
        <f t="shared" si="144"/>
        <v>0</v>
      </c>
      <c r="AC201" s="292">
        <f t="shared" si="145"/>
        <v>0</v>
      </c>
      <c r="AD201" s="292">
        <f t="shared" si="146"/>
        <v>0</v>
      </c>
      <c r="AE201" s="292">
        <f t="shared" si="147"/>
        <v>0</v>
      </c>
      <c r="AF201" s="292">
        <f t="shared" si="172"/>
        <v>0</v>
      </c>
      <c r="AG201" s="292">
        <f t="shared" si="173"/>
        <v>0</v>
      </c>
      <c r="AH201" s="292">
        <f t="shared" si="148"/>
        <v>0</v>
      </c>
      <c r="AI201" s="292">
        <f t="shared" si="149"/>
        <v>0</v>
      </c>
      <c r="AJ201" s="292">
        <f t="shared" si="150"/>
        <v>0</v>
      </c>
      <c r="AK201" s="292">
        <f t="shared" si="151"/>
        <v>0</v>
      </c>
      <c r="AL201" s="292">
        <f t="shared" si="152"/>
        <v>0</v>
      </c>
      <c r="AM201" s="292">
        <f t="shared" si="153"/>
        <v>0</v>
      </c>
      <c r="AN201" s="292">
        <f t="shared" si="154"/>
        <v>0</v>
      </c>
      <c r="AO201" s="292">
        <f t="shared" si="155"/>
        <v>0</v>
      </c>
      <c r="AP201" s="292">
        <f t="shared" si="156"/>
        <v>0</v>
      </c>
      <c r="AQ201" s="292">
        <f t="shared" si="157"/>
        <v>0</v>
      </c>
      <c r="AR201" s="292">
        <f t="shared" si="158"/>
        <v>0</v>
      </c>
      <c r="AS201" s="292">
        <f t="shared" si="159"/>
        <v>0</v>
      </c>
      <c r="AT201" s="292">
        <f t="shared" si="160"/>
        <v>0</v>
      </c>
      <c r="AU201" s="292">
        <f t="shared" si="161"/>
        <v>0</v>
      </c>
      <c r="AV201" s="292">
        <f t="shared" si="162"/>
        <v>0</v>
      </c>
      <c r="AW201" s="292">
        <f t="shared" si="163"/>
        <v>0</v>
      </c>
      <c r="AX201" s="292">
        <f t="shared" si="164"/>
        <v>0</v>
      </c>
      <c r="AY201" s="292">
        <f t="shared" si="165"/>
        <v>0</v>
      </c>
      <c r="AZ201" s="292">
        <f t="shared" si="166"/>
        <v>0</v>
      </c>
      <c r="BA201" s="292">
        <f t="shared" si="167"/>
        <v>0</v>
      </c>
    </row>
    <row r="202" spans="1:53" s="289" customFormat="1" ht="16.5" customHeight="1">
      <c r="A202" s="63" t="str">
        <f t="array" ref="A202">IF(C202&lt;&gt;0,SUM(($C$11:C202&lt;&gt;0)*1),"")</f>
        <v/>
      </c>
      <c r="B202" s="290"/>
      <c r="C202" s="290"/>
      <c r="D202" s="290"/>
      <c r="E202" s="396"/>
      <c r="F202" s="345"/>
      <c r="G202" s="347"/>
      <c r="H202" s="347"/>
      <c r="I202" s="63" t="str">
        <f t="shared" si="129"/>
        <v/>
      </c>
      <c r="J202" s="292">
        <f t="shared" si="130"/>
        <v>0</v>
      </c>
      <c r="K202" s="292">
        <f t="shared" si="131"/>
        <v>0</v>
      </c>
      <c r="L202" s="292">
        <f t="shared" si="132"/>
        <v>0</v>
      </c>
      <c r="M202" s="292">
        <f t="shared" si="133"/>
        <v>0</v>
      </c>
      <c r="N202" s="292">
        <f t="shared" si="168"/>
        <v>0</v>
      </c>
      <c r="O202" s="292">
        <f t="shared" si="169"/>
        <v>0</v>
      </c>
      <c r="P202" s="292">
        <f t="shared" si="134"/>
        <v>0</v>
      </c>
      <c r="Q202" s="292">
        <f t="shared" si="135"/>
        <v>0</v>
      </c>
      <c r="R202" s="292">
        <f t="shared" si="136"/>
        <v>0</v>
      </c>
      <c r="S202" s="292">
        <f t="shared" si="137"/>
        <v>0</v>
      </c>
      <c r="T202" s="292">
        <f t="shared" si="170"/>
        <v>0</v>
      </c>
      <c r="U202" s="292">
        <f t="shared" si="171"/>
        <v>0</v>
      </c>
      <c r="V202" s="292">
        <f t="shared" si="138"/>
        <v>0</v>
      </c>
      <c r="W202" s="292">
        <f t="shared" si="139"/>
        <v>0</v>
      </c>
      <c r="X202" s="292">
        <f t="shared" si="140"/>
        <v>0</v>
      </c>
      <c r="Y202" s="292">
        <f t="shared" si="141"/>
        <v>0</v>
      </c>
      <c r="Z202" s="292">
        <f t="shared" si="142"/>
        <v>0</v>
      </c>
      <c r="AA202" s="292">
        <f t="shared" si="143"/>
        <v>0</v>
      </c>
      <c r="AB202" s="292">
        <f t="shared" si="144"/>
        <v>0</v>
      </c>
      <c r="AC202" s="292">
        <f t="shared" si="145"/>
        <v>0</v>
      </c>
      <c r="AD202" s="292">
        <f t="shared" si="146"/>
        <v>0</v>
      </c>
      <c r="AE202" s="292">
        <f t="shared" si="147"/>
        <v>0</v>
      </c>
      <c r="AF202" s="292">
        <f t="shared" si="172"/>
        <v>0</v>
      </c>
      <c r="AG202" s="292">
        <f t="shared" si="173"/>
        <v>0</v>
      </c>
      <c r="AH202" s="292">
        <f t="shared" si="148"/>
        <v>0</v>
      </c>
      <c r="AI202" s="292">
        <f t="shared" si="149"/>
        <v>0</v>
      </c>
      <c r="AJ202" s="292">
        <f t="shared" si="150"/>
        <v>0</v>
      </c>
      <c r="AK202" s="292">
        <f t="shared" si="151"/>
        <v>0</v>
      </c>
      <c r="AL202" s="292">
        <f t="shared" si="152"/>
        <v>0</v>
      </c>
      <c r="AM202" s="292">
        <f t="shared" si="153"/>
        <v>0</v>
      </c>
      <c r="AN202" s="292">
        <f t="shared" si="154"/>
        <v>0</v>
      </c>
      <c r="AO202" s="292">
        <f t="shared" si="155"/>
        <v>0</v>
      </c>
      <c r="AP202" s="292">
        <f t="shared" si="156"/>
        <v>0</v>
      </c>
      <c r="AQ202" s="292">
        <f t="shared" si="157"/>
        <v>0</v>
      </c>
      <c r="AR202" s="292">
        <f t="shared" si="158"/>
        <v>0</v>
      </c>
      <c r="AS202" s="292">
        <f t="shared" si="159"/>
        <v>0</v>
      </c>
      <c r="AT202" s="292">
        <f t="shared" si="160"/>
        <v>0</v>
      </c>
      <c r="AU202" s="292">
        <f t="shared" si="161"/>
        <v>0</v>
      </c>
      <c r="AV202" s="292">
        <f t="shared" si="162"/>
        <v>0</v>
      </c>
      <c r="AW202" s="292">
        <f t="shared" si="163"/>
        <v>0</v>
      </c>
      <c r="AX202" s="292">
        <f t="shared" si="164"/>
        <v>0</v>
      </c>
      <c r="AY202" s="292">
        <f t="shared" si="165"/>
        <v>0</v>
      </c>
      <c r="AZ202" s="292">
        <f t="shared" si="166"/>
        <v>0</v>
      </c>
      <c r="BA202" s="292">
        <f t="shared" si="167"/>
        <v>0</v>
      </c>
    </row>
    <row r="203" spans="1:53" s="289" customFormat="1" ht="16.5" customHeight="1">
      <c r="A203" s="63" t="str">
        <f t="array" ref="A203">IF(C203&lt;&gt;0,SUM(($C$11:C203&lt;&gt;0)*1),"")</f>
        <v/>
      </c>
      <c r="B203" s="290"/>
      <c r="C203" s="290"/>
      <c r="D203" s="290"/>
      <c r="E203" s="396"/>
      <c r="F203" s="345"/>
      <c r="G203" s="347"/>
      <c r="H203" s="347"/>
      <c r="I203" s="63" t="str">
        <f t="shared" si="129"/>
        <v/>
      </c>
      <c r="J203" s="292">
        <f t="shared" si="130"/>
        <v>0</v>
      </c>
      <c r="K203" s="292">
        <f t="shared" si="131"/>
        <v>0</v>
      </c>
      <c r="L203" s="292">
        <f t="shared" si="132"/>
        <v>0</v>
      </c>
      <c r="M203" s="292">
        <f t="shared" si="133"/>
        <v>0</v>
      </c>
      <c r="N203" s="292">
        <f t="shared" si="168"/>
        <v>0</v>
      </c>
      <c r="O203" s="292">
        <f t="shared" si="169"/>
        <v>0</v>
      </c>
      <c r="P203" s="292">
        <f t="shared" si="134"/>
        <v>0</v>
      </c>
      <c r="Q203" s="292">
        <f t="shared" si="135"/>
        <v>0</v>
      </c>
      <c r="R203" s="292">
        <f t="shared" si="136"/>
        <v>0</v>
      </c>
      <c r="S203" s="292">
        <f t="shared" si="137"/>
        <v>0</v>
      </c>
      <c r="T203" s="292">
        <f t="shared" si="170"/>
        <v>0</v>
      </c>
      <c r="U203" s="292">
        <f t="shared" si="171"/>
        <v>0</v>
      </c>
      <c r="V203" s="292">
        <f t="shared" si="138"/>
        <v>0</v>
      </c>
      <c r="W203" s="292">
        <f t="shared" si="139"/>
        <v>0</v>
      </c>
      <c r="X203" s="292">
        <f t="shared" si="140"/>
        <v>0</v>
      </c>
      <c r="Y203" s="292">
        <f t="shared" si="141"/>
        <v>0</v>
      </c>
      <c r="Z203" s="292">
        <f t="shared" si="142"/>
        <v>0</v>
      </c>
      <c r="AA203" s="292">
        <f t="shared" si="143"/>
        <v>0</v>
      </c>
      <c r="AB203" s="292">
        <f t="shared" si="144"/>
        <v>0</v>
      </c>
      <c r="AC203" s="292">
        <f t="shared" si="145"/>
        <v>0</v>
      </c>
      <c r="AD203" s="292">
        <f t="shared" si="146"/>
        <v>0</v>
      </c>
      <c r="AE203" s="292">
        <f t="shared" si="147"/>
        <v>0</v>
      </c>
      <c r="AF203" s="292">
        <f t="shared" si="172"/>
        <v>0</v>
      </c>
      <c r="AG203" s="292">
        <f t="shared" si="173"/>
        <v>0</v>
      </c>
      <c r="AH203" s="292">
        <f t="shared" si="148"/>
        <v>0</v>
      </c>
      <c r="AI203" s="292">
        <f t="shared" si="149"/>
        <v>0</v>
      </c>
      <c r="AJ203" s="292">
        <f t="shared" si="150"/>
        <v>0</v>
      </c>
      <c r="AK203" s="292">
        <f t="shared" si="151"/>
        <v>0</v>
      </c>
      <c r="AL203" s="292">
        <f t="shared" si="152"/>
        <v>0</v>
      </c>
      <c r="AM203" s="292">
        <f t="shared" si="153"/>
        <v>0</v>
      </c>
      <c r="AN203" s="292">
        <f t="shared" si="154"/>
        <v>0</v>
      </c>
      <c r="AO203" s="292">
        <f t="shared" si="155"/>
        <v>0</v>
      </c>
      <c r="AP203" s="292">
        <f t="shared" si="156"/>
        <v>0</v>
      </c>
      <c r="AQ203" s="292">
        <f t="shared" si="157"/>
        <v>0</v>
      </c>
      <c r="AR203" s="292">
        <f t="shared" si="158"/>
        <v>0</v>
      </c>
      <c r="AS203" s="292">
        <f t="shared" si="159"/>
        <v>0</v>
      </c>
      <c r="AT203" s="292">
        <f t="shared" si="160"/>
        <v>0</v>
      </c>
      <c r="AU203" s="292">
        <f t="shared" si="161"/>
        <v>0</v>
      </c>
      <c r="AV203" s="292">
        <f t="shared" si="162"/>
        <v>0</v>
      </c>
      <c r="AW203" s="292">
        <f t="shared" si="163"/>
        <v>0</v>
      </c>
      <c r="AX203" s="292">
        <f t="shared" si="164"/>
        <v>0</v>
      </c>
      <c r="AY203" s="292">
        <f t="shared" si="165"/>
        <v>0</v>
      </c>
      <c r="AZ203" s="292">
        <f t="shared" si="166"/>
        <v>0</v>
      </c>
      <c r="BA203" s="292">
        <f t="shared" si="167"/>
        <v>0</v>
      </c>
    </row>
    <row r="204" spans="1:53" s="289" customFormat="1" ht="16.5" customHeight="1">
      <c r="A204" s="63" t="str">
        <f t="array" ref="A204">IF(C204&lt;&gt;0,SUM(($C$11:C204&lt;&gt;0)*1),"")</f>
        <v/>
      </c>
      <c r="B204" s="290"/>
      <c r="C204" s="290"/>
      <c r="D204" s="290"/>
      <c r="E204" s="396"/>
      <c r="F204" s="345"/>
      <c r="G204" s="347"/>
      <c r="H204" s="347"/>
      <c r="I204" s="63" t="str">
        <f t="shared" si="129"/>
        <v/>
      </c>
      <c r="J204" s="292">
        <f t="shared" si="130"/>
        <v>0</v>
      </c>
      <c r="K204" s="292">
        <f t="shared" si="131"/>
        <v>0</v>
      </c>
      <c r="L204" s="292">
        <f t="shared" si="132"/>
        <v>0</v>
      </c>
      <c r="M204" s="292">
        <f t="shared" si="133"/>
        <v>0</v>
      </c>
      <c r="N204" s="292">
        <f t="shared" ref="N204:N267" si="174">IF($G204="1122",$F204,0)</f>
        <v>0</v>
      </c>
      <c r="O204" s="292">
        <f t="shared" ref="O204:O267" si="175">IF($H204="1122",$F204,0)</f>
        <v>0</v>
      </c>
      <c r="P204" s="292">
        <f t="shared" si="134"/>
        <v>0</v>
      </c>
      <c r="Q204" s="292">
        <f t="shared" si="135"/>
        <v>0</v>
      </c>
      <c r="R204" s="292">
        <f t="shared" si="136"/>
        <v>0</v>
      </c>
      <c r="S204" s="292">
        <f t="shared" si="137"/>
        <v>0</v>
      </c>
      <c r="T204" s="292">
        <f t="shared" ref="T204:T267" si="176">IF($G204="2412",$F204,0)</f>
        <v>0</v>
      </c>
      <c r="U204" s="292">
        <f t="shared" ref="U204:U267" si="177">IF($H204="2412",$F204,0)</f>
        <v>0</v>
      </c>
      <c r="V204" s="292">
        <f t="shared" si="138"/>
        <v>0</v>
      </c>
      <c r="W204" s="292">
        <f t="shared" si="139"/>
        <v>0</v>
      </c>
      <c r="X204" s="292">
        <f t="shared" si="140"/>
        <v>0</v>
      </c>
      <c r="Y204" s="292">
        <f t="shared" si="141"/>
        <v>0</v>
      </c>
      <c r="Z204" s="292">
        <f t="shared" si="142"/>
        <v>0</v>
      </c>
      <c r="AA204" s="292">
        <f t="shared" si="143"/>
        <v>0</v>
      </c>
      <c r="AB204" s="292">
        <f t="shared" si="144"/>
        <v>0</v>
      </c>
      <c r="AC204" s="292">
        <f t="shared" si="145"/>
        <v>0</v>
      </c>
      <c r="AD204" s="292">
        <f t="shared" si="146"/>
        <v>0</v>
      </c>
      <c r="AE204" s="292">
        <f t="shared" si="147"/>
        <v>0</v>
      </c>
      <c r="AF204" s="292">
        <f t="shared" ref="AF204:AF267" si="178">IF($G204="3412",$F204,0)</f>
        <v>0</v>
      </c>
      <c r="AG204" s="292">
        <f t="shared" ref="AG204:AG267" si="179">IF($H204="3412",$F204,0)</f>
        <v>0</v>
      </c>
      <c r="AH204" s="292">
        <f t="shared" si="148"/>
        <v>0</v>
      </c>
      <c r="AI204" s="292">
        <f t="shared" si="149"/>
        <v>0</v>
      </c>
      <c r="AJ204" s="292">
        <f t="shared" si="150"/>
        <v>0</v>
      </c>
      <c r="AK204" s="292">
        <f t="shared" si="151"/>
        <v>0</v>
      </c>
      <c r="AL204" s="292">
        <f t="shared" si="152"/>
        <v>0</v>
      </c>
      <c r="AM204" s="292">
        <f t="shared" si="153"/>
        <v>0</v>
      </c>
      <c r="AN204" s="292">
        <f t="shared" si="154"/>
        <v>0</v>
      </c>
      <c r="AO204" s="292">
        <f t="shared" si="155"/>
        <v>0</v>
      </c>
      <c r="AP204" s="292">
        <f t="shared" si="156"/>
        <v>0</v>
      </c>
      <c r="AQ204" s="292">
        <f t="shared" si="157"/>
        <v>0</v>
      </c>
      <c r="AR204" s="292">
        <f t="shared" si="158"/>
        <v>0</v>
      </c>
      <c r="AS204" s="292">
        <f t="shared" si="159"/>
        <v>0</v>
      </c>
      <c r="AT204" s="292">
        <f t="shared" si="160"/>
        <v>0</v>
      </c>
      <c r="AU204" s="292">
        <f t="shared" si="161"/>
        <v>0</v>
      </c>
      <c r="AV204" s="292">
        <f t="shared" si="162"/>
        <v>0</v>
      </c>
      <c r="AW204" s="292">
        <f t="shared" si="163"/>
        <v>0</v>
      </c>
      <c r="AX204" s="292">
        <f t="shared" si="164"/>
        <v>0</v>
      </c>
      <c r="AY204" s="292">
        <f t="shared" si="165"/>
        <v>0</v>
      </c>
      <c r="AZ204" s="292">
        <f t="shared" si="166"/>
        <v>0</v>
      </c>
      <c r="BA204" s="292">
        <f t="shared" si="167"/>
        <v>0</v>
      </c>
    </row>
    <row r="205" spans="1:53" s="289" customFormat="1" ht="16.5" customHeight="1">
      <c r="A205" s="63" t="str">
        <f t="array" ref="A205">IF(C205&lt;&gt;0,SUM(($C$11:C205&lt;&gt;0)*1),"")</f>
        <v/>
      </c>
      <c r="B205" s="290"/>
      <c r="C205" s="290"/>
      <c r="D205" s="290"/>
      <c r="E205" s="396"/>
      <c r="F205" s="345"/>
      <c r="G205" s="347"/>
      <c r="H205" s="347"/>
      <c r="I205" s="63" t="str">
        <f t="shared" si="129"/>
        <v/>
      </c>
      <c r="J205" s="292">
        <f t="shared" si="130"/>
        <v>0</v>
      </c>
      <c r="K205" s="292">
        <f t="shared" si="131"/>
        <v>0</v>
      </c>
      <c r="L205" s="292">
        <f t="shared" si="132"/>
        <v>0</v>
      </c>
      <c r="M205" s="292">
        <f t="shared" si="133"/>
        <v>0</v>
      </c>
      <c r="N205" s="292">
        <f t="shared" si="174"/>
        <v>0</v>
      </c>
      <c r="O205" s="292">
        <f t="shared" si="175"/>
        <v>0</v>
      </c>
      <c r="P205" s="292">
        <f t="shared" si="134"/>
        <v>0</v>
      </c>
      <c r="Q205" s="292">
        <f t="shared" si="135"/>
        <v>0</v>
      </c>
      <c r="R205" s="292">
        <f t="shared" si="136"/>
        <v>0</v>
      </c>
      <c r="S205" s="292">
        <f t="shared" si="137"/>
        <v>0</v>
      </c>
      <c r="T205" s="292">
        <f t="shared" si="176"/>
        <v>0</v>
      </c>
      <c r="U205" s="292">
        <f t="shared" si="177"/>
        <v>0</v>
      </c>
      <c r="V205" s="292">
        <f t="shared" si="138"/>
        <v>0</v>
      </c>
      <c r="W205" s="292">
        <f t="shared" si="139"/>
        <v>0</v>
      </c>
      <c r="X205" s="292">
        <f t="shared" si="140"/>
        <v>0</v>
      </c>
      <c r="Y205" s="292">
        <f t="shared" si="141"/>
        <v>0</v>
      </c>
      <c r="Z205" s="292">
        <f t="shared" si="142"/>
        <v>0</v>
      </c>
      <c r="AA205" s="292">
        <f t="shared" si="143"/>
        <v>0</v>
      </c>
      <c r="AB205" s="292">
        <f t="shared" si="144"/>
        <v>0</v>
      </c>
      <c r="AC205" s="292">
        <f t="shared" si="145"/>
        <v>0</v>
      </c>
      <c r="AD205" s="292">
        <f t="shared" si="146"/>
        <v>0</v>
      </c>
      <c r="AE205" s="292">
        <f t="shared" si="147"/>
        <v>0</v>
      </c>
      <c r="AF205" s="292">
        <f t="shared" si="178"/>
        <v>0</v>
      </c>
      <c r="AG205" s="292">
        <f t="shared" si="179"/>
        <v>0</v>
      </c>
      <c r="AH205" s="292">
        <f t="shared" si="148"/>
        <v>0</v>
      </c>
      <c r="AI205" s="292">
        <f t="shared" si="149"/>
        <v>0</v>
      </c>
      <c r="AJ205" s="292">
        <f t="shared" si="150"/>
        <v>0</v>
      </c>
      <c r="AK205" s="292">
        <f t="shared" si="151"/>
        <v>0</v>
      </c>
      <c r="AL205" s="292">
        <f t="shared" si="152"/>
        <v>0</v>
      </c>
      <c r="AM205" s="292">
        <f t="shared" si="153"/>
        <v>0</v>
      </c>
      <c r="AN205" s="292">
        <f t="shared" si="154"/>
        <v>0</v>
      </c>
      <c r="AO205" s="292">
        <f t="shared" si="155"/>
        <v>0</v>
      </c>
      <c r="AP205" s="292">
        <f t="shared" si="156"/>
        <v>0</v>
      </c>
      <c r="AQ205" s="292">
        <f t="shared" si="157"/>
        <v>0</v>
      </c>
      <c r="AR205" s="292">
        <f t="shared" si="158"/>
        <v>0</v>
      </c>
      <c r="AS205" s="292">
        <f t="shared" si="159"/>
        <v>0</v>
      </c>
      <c r="AT205" s="292">
        <f t="shared" si="160"/>
        <v>0</v>
      </c>
      <c r="AU205" s="292">
        <f t="shared" si="161"/>
        <v>0</v>
      </c>
      <c r="AV205" s="292">
        <f t="shared" si="162"/>
        <v>0</v>
      </c>
      <c r="AW205" s="292">
        <f t="shared" si="163"/>
        <v>0</v>
      </c>
      <c r="AX205" s="292">
        <f t="shared" si="164"/>
        <v>0</v>
      </c>
      <c r="AY205" s="292">
        <f t="shared" si="165"/>
        <v>0</v>
      </c>
      <c r="AZ205" s="292">
        <f t="shared" si="166"/>
        <v>0</v>
      </c>
      <c r="BA205" s="292">
        <f t="shared" si="167"/>
        <v>0</v>
      </c>
    </row>
    <row r="206" spans="1:53" s="289" customFormat="1" ht="16.5" customHeight="1">
      <c r="A206" s="63" t="str">
        <f t="array" ref="A206">IF(C206&lt;&gt;0,SUM(($C$11:C206&lt;&gt;0)*1),"")</f>
        <v/>
      </c>
      <c r="B206" s="290"/>
      <c r="C206" s="290"/>
      <c r="D206" s="290"/>
      <c r="E206" s="396"/>
      <c r="F206" s="345"/>
      <c r="G206" s="347"/>
      <c r="H206" s="347"/>
      <c r="I206" s="63" t="str">
        <f t="shared" si="129"/>
        <v/>
      </c>
      <c r="J206" s="292">
        <f t="shared" si="130"/>
        <v>0</v>
      </c>
      <c r="K206" s="292">
        <f t="shared" si="131"/>
        <v>0</v>
      </c>
      <c r="L206" s="292">
        <f t="shared" si="132"/>
        <v>0</v>
      </c>
      <c r="M206" s="292">
        <f t="shared" si="133"/>
        <v>0</v>
      </c>
      <c r="N206" s="292">
        <f t="shared" si="174"/>
        <v>0</v>
      </c>
      <c r="O206" s="292">
        <f t="shared" si="175"/>
        <v>0</v>
      </c>
      <c r="P206" s="292">
        <f t="shared" si="134"/>
        <v>0</v>
      </c>
      <c r="Q206" s="292">
        <f t="shared" si="135"/>
        <v>0</v>
      </c>
      <c r="R206" s="292">
        <f t="shared" si="136"/>
        <v>0</v>
      </c>
      <c r="S206" s="292">
        <f t="shared" si="137"/>
        <v>0</v>
      </c>
      <c r="T206" s="292">
        <f t="shared" si="176"/>
        <v>0</v>
      </c>
      <c r="U206" s="292">
        <f t="shared" si="177"/>
        <v>0</v>
      </c>
      <c r="V206" s="292">
        <f t="shared" si="138"/>
        <v>0</v>
      </c>
      <c r="W206" s="292">
        <f t="shared" si="139"/>
        <v>0</v>
      </c>
      <c r="X206" s="292">
        <f t="shared" si="140"/>
        <v>0</v>
      </c>
      <c r="Y206" s="292">
        <f t="shared" si="141"/>
        <v>0</v>
      </c>
      <c r="Z206" s="292">
        <f t="shared" si="142"/>
        <v>0</v>
      </c>
      <c r="AA206" s="292">
        <f t="shared" si="143"/>
        <v>0</v>
      </c>
      <c r="AB206" s="292">
        <f t="shared" si="144"/>
        <v>0</v>
      </c>
      <c r="AC206" s="292">
        <f t="shared" si="145"/>
        <v>0</v>
      </c>
      <c r="AD206" s="292">
        <f t="shared" si="146"/>
        <v>0</v>
      </c>
      <c r="AE206" s="292">
        <f t="shared" si="147"/>
        <v>0</v>
      </c>
      <c r="AF206" s="292">
        <f t="shared" si="178"/>
        <v>0</v>
      </c>
      <c r="AG206" s="292">
        <f t="shared" si="179"/>
        <v>0</v>
      </c>
      <c r="AH206" s="292">
        <f t="shared" si="148"/>
        <v>0</v>
      </c>
      <c r="AI206" s="292">
        <f t="shared" si="149"/>
        <v>0</v>
      </c>
      <c r="AJ206" s="292">
        <f t="shared" si="150"/>
        <v>0</v>
      </c>
      <c r="AK206" s="292">
        <f t="shared" si="151"/>
        <v>0</v>
      </c>
      <c r="AL206" s="292">
        <f t="shared" si="152"/>
        <v>0</v>
      </c>
      <c r="AM206" s="292">
        <f t="shared" si="153"/>
        <v>0</v>
      </c>
      <c r="AN206" s="292">
        <f t="shared" si="154"/>
        <v>0</v>
      </c>
      <c r="AO206" s="292">
        <f t="shared" si="155"/>
        <v>0</v>
      </c>
      <c r="AP206" s="292">
        <f t="shared" si="156"/>
        <v>0</v>
      </c>
      <c r="AQ206" s="292">
        <f t="shared" si="157"/>
        <v>0</v>
      </c>
      <c r="AR206" s="292">
        <f t="shared" si="158"/>
        <v>0</v>
      </c>
      <c r="AS206" s="292">
        <f t="shared" si="159"/>
        <v>0</v>
      </c>
      <c r="AT206" s="292">
        <f t="shared" si="160"/>
        <v>0</v>
      </c>
      <c r="AU206" s="292">
        <f t="shared" si="161"/>
        <v>0</v>
      </c>
      <c r="AV206" s="292">
        <f t="shared" si="162"/>
        <v>0</v>
      </c>
      <c r="AW206" s="292">
        <f t="shared" si="163"/>
        <v>0</v>
      </c>
      <c r="AX206" s="292">
        <f t="shared" si="164"/>
        <v>0</v>
      </c>
      <c r="AY206" s="292">
        <f t="shared" si="165"/>
        <v>0</v>
      </c>
      <c r="AZ206" s="292">
        <f t="shared" si="166"/>
        <v>0</v>
      </c>
      <c r="BA206" s="292">
        <f t="shared" si="167"/>
        <v>0</v>
      </c>
    </row>
    <row r="207" spans="1:53" s="289" customFormat="1" ht="16.5" customHeight="1">
      <c r="A207" s="63" t="str">
        <f t="array" ref="A207">IF(C207&lt;&gt;0,SUM(($C$11:C207&lt;&gt;0)*1),"")</f>
        <v/>
      </c>
      <c r="B207" s="290"/>
      <c r="C207" s="290"/>
      <c r="D207" s="290"/>
      <c r="E207" s="396"/>
      <c r="F207" s="345"/>
      <c r="G207" s="347"/>
      <c r="H207" s="347"/>
      <c r="I207" s="63" t="str">
        <f t="shared" ref="I207:I240" si="180">A207</f>
        <v/>
      </c>
      <c r="J207" s="292">
        <f t="shared" ref="J207:J270" si="181">IF($G207="1111",$F207,0)</f>
        <v>0</v>
      </c>
      <c r="K207" s="292">
        <f t="shared" ref="K207:K270" si="182">IF($H207="1111",$F207,0)</f>
        <v>0</v>
      </c>
      <c r="L207" s="292">
        <f t="shared" si="132"/>
        <v>0</v>
      </c>
      <c r="M207" s="292">
        <f t="shared" si="133"/>
        <v>0</v>
      </c>
      <c r="N207" s="292">
        <f t="shared" si="174"/>
        <v>0</v>
      </c>
      <c r="O207" s="292">
        <f t="shared" si="175"/>
        <v>0</v>
      </c>
      <c r="P207" s="292">
        <f t="shared" si="134"/>
        <v>0</v>
      </c>
      <c r="Q207" s="292">
        <f t="shared" si="135"/>
        <v>0</v>
      </c>
      <c r="R207" s="292">
        <f t="shared" si="136"/>
        <v>0</v>
      </c>
      <c r="S207" s="292">
        <f t="shared" si="137"/>
        <v>0</v>
      </c>
      <c r="T207" s="292">
        <f t="shared" si="176"/>
        <v>0</v>
      </c>
      <c r="U207" s="292">
        <f t="shared" si="177"/>
        <v>0</v>
      </c>
      <c r="V207" s="292">
        <f t="shared" si="138"/>
        <v>0</v>
      </c>
      <c r="W207" s="292">
        <f t="shared" si="139"/>
        <v>0</v>
      </c>
      <c r="X207" s="292">
        <f t="shared" si="140"/>
        <v>0</v>
      </c>
      <c r="Y207" s="292">
        <f t="shared" si="141"/>
        <v>0</v>
      </c>
      <c r="Z207" s="292">
        <f t="shared" ref="Z207:Z270" si="183">IF($G207="33382",$F207,0)</f>
        <v>0</v>
      </c>
      <c r="AA207" s="292">
        <f t="shared" ref="AA207:AA270" si="184">IF($H207="33382",$F207,0)</f>
        <v>0</v>
      </c>
      <c r="AB207" s="292">
        <f t="shared" si="144"/>
        <v>0</v>
      </c>
      <c r="AC207" s="292">
        <f t="shared" si="145"/>
        <v>0</v>
      </c>
      <c r="AD207" s="292">
        <f t="shared" ref="AD207:AD270" si="185">IF($G207="3411",$F207,0)</f>
        <v>0</v>
      </c>
      <c r="AE207" s="292">
        <f t="shared" ref="AE207:AE270" si="186">IF($H207="3411",$F207,0)</f>
        <v>0</v>
      </c>
      <c r="AF207" s="292">
        <f t="shared" si="178"/>
        <v>0</v>
      </c>
      <c r="AG207" s="292">
        <f t="shared" si="179"/>
        <v>0</v>
      </c>
      <c r="AH207" s="292">
        <f t="shared" si="148"/>
        <v>0</v>
      </c>
      <c r="AI207" s="292">
        <f t="shared" si="149"/>
        <v>0</v>
      </c>
      <c r="AJ207" s="292">
        <f t="shared" si="150"/>
        <v>0</v>
      </c>
      <c r="AK207" s="292">
        <f t="shared" si="151"/>
        <v>0</v>
      </c>
      <c r="AL207" s="292">
        <f t="shared" si="152"/>
        <v>0</v>
      </c>
      <c r="AM207" s="292">
        <f t="shared" si="153"/>
        <v>0</v>
      </c>
      <c r="AN207" s="292">
        <f t="shared" si="154"/>
        <v>0</v>
      </c>
      <c r="AO207" s="292">
        <f t="shared" si="155"/>
        <v>0</v>
      </c>
      <c r="AP207" s="292">
        <f t="shared" si="156"/>
        <v>0</v>
      </c>
      <c r="AQ207" s="292">
        <f t="shared" si="157"/>
        <v>0</v>
      </c>
      <c r="AR207" s="292">
        <f t="shared" ref="AR207:AR270" si="187">IF($G207="642",$F207,0)</f>
        <v>0</v>
      </c>
      <c r="AS207" s="292">
        <f t="shared" ref="AS207:AS270" si="188">IF($H207="642",$F207,0)</f>
        <v>0</v>
      </c>
      <c r="AT207" s="292">
        <f t="shared" si="160"/>
        <v>0</v>
      </c>
      <c r="AU207" s="292">
        <f t="shared" si="161"/>
        <v>0</v>
      </c>
      <c r="AV207" s="292">
        <f t="shared" si="162"/>
        <v>0</v>
      </c>
      <c r="AW207" s="292">
        <f t="shared" si="163"/>
        <v>0</v>
      </c>
      <c r="AX207" s="292">
        <f t="shared" ref="AX207:AX270" si="189">IF($G207="821",$F207,0)</f>
        <v>0</v>
      </c>
      <c r="AY207" s="292">
        <f t="shared" ref="AY207:AY270" si="190">IF($H207="821",$F207,0)</f>
        <v>0</v>
      </c>
      <c r="AZ207" s="292">
        <f t="shared" ref="AZ207:AZ270" si="191">IF($G207="911",$F207,0)</f>
        <v>0</v>
      </c>
      <c r="BA207" s="292">
        <f t="shared" ref="BA207:BA270" si="192">IF($H207="911",$F207,0)</f>
        <v>0</v>
      </c>
    </row>
    <row r="208" spans="1:53" s="289" customFormat="1" ht="16.5" customHeight="1">
      <c r="A208" s="63" t="str">
        <f t="array" ref="A208">IF(C208&lt;&gt;0,SUM(($C$11:C208&lt;&gt;0)*1),"")</f>
        <v/>
      </c>
      <c r="B208" s="290"/>
      <c r="C208" s="290"/>
      <c r="D208" s="290"/>
      <c r="E208" s="396"/>
      <c r="F208" s="345"/>
      <c r="G208" s="347"/>
      <c r="H208" s="347"/>
      <c r="I208" s="63" t="str">
        <f t="shared" si="180"/>
        <v/>
      </c>
      <c r="J208" s="292">
        <f t="shared" si="181"/>
        <v>0</v>
      </c>
      <c r="K208" s="292">
        <f t="shared" si="182"/>
        <v>0</v>
      </c>
      <c r="L208" s="292">
        <f t="shared" ref="L208:L271" si="193">IF($G208="1121",$F208,0)</f>
        <v>0</v>
      </c>
      <c r="M208" s="292">
        <f t="shared" ref="M208:M271" si="194">IF($H208="1121",$F208,0)</f>
        <v>0</v>
      </c>
      <c r="N208" s="292">
        <f t="shared" si="174"/>
        <v>0</v>
      </c>
      <c r="O208" s="292">
        <f t="shared" si="175"/>
        <v>0</v>
      </c>
      <c r="P208" s="292">
        <f t="shared" ref="P208:P271" si="195">IF($G208="1331",$F208,0)</f>
        <v>0</v>
      </c>
      <c r="Q208" s="292">
        <f t="shared" ref="Q208:Q271" si="196">IF($H208="1331",$F208,0)</f>
        <v>0</v>
      </c>
      <c r="R208" s="292">
        <f t="shared" ref="R208:R271" si="197">IF($G208="1388",$F208,0)</f>
        <v>0</v>
      </c>
      <c r="S208" s="292">
        <f t="shared" ref="S208:S271" si="198">IF($H208="1388",$F208,0)</f>
        <v>0</v>
      </c>
      <c r="T208" s="292">
        <f t="shared" si="176"/>
        <v>0</v>
      </c>
      <c r="U208" s="292">
        <f t="shared" si="177"/>
        <v>0</v>
      </c>
      <c r="V208" s="292">
        <f t="shared" ref="V208:V271" si="199">IF($G208="331",$F208,0)</f>
        <v>0</v>
      </c>
      <c r="W208" s="292">
        <f t="shared" ref="W208:W271" si="200">IF($H208="331",$F208,0)</f>
        <v>0</v>
      </c>
      <c r="X208" s="292">
        <f t="shared" ref="X208:X271" si="201">IF($G208="3334",$F208,0)</f>
        <v>0</v>
      </c>
      <c r="Y208" s="292">
        <f t="shared" ref="Y208:Y271" si="202">IF($H208="3334",$F208,0)</f>
        <v>0</v>
      </c>
      <c r="Z208" s="292">
        <f t="shared" si="183"/>
        <v>0</v>
      </c>
      <c r="AA208" s="292">
        <f t="shared" si="184"/>
        <v>0</v>
      </c>
      <c r="AB208" s="292">
        <f t="shared" ref="AB208:AB271" si="203">IF($G208="3388",$F208,0)</f>
        <v>0</v>
      </c>
      <c r="AC208" s="292">
        <f t="shared" ref="AC208:AC271" si="204">IF($H208="3388",$F208,0)</f>
        <v>0</v>
      </c>
      <c r="AD208" s="292">
        <f t="shared" si="185"/>
        <v>0</v>
      </c>
      <c r="AE208" s="292">
        <f t="shared" si="186"/>
        <v>0</v>
      </c>
      <c r="AF208" s="292">
        <f t="shared" si="178"/>
        <v>0</v>
      </c>
      <c r="AG208" s="292">
        <f t="shared" si="179"/>
        <v>0</v>
      </c>
      <c r="AH208" s="292">
        <f t="shared" ref="AH208:AH271" si="205">IF($G208="4111",$F208,0)</f>
        <v>0</v>
      </c>
      <c r="AI208" s="292">
        <f t="shared" ref="AI208:AI271" si="206">IF($H208="4111",$F208,0)</f>
        <v>0</v>
      </c>
      <c r="AJ208" s="292">
        <f t="shared" ref="AJ208:AJ271" si="207">IF($G208="4211",$F208,0)</f>
        <v>0</v>
      </c>
      <c r="AK208" s="292">
        <f t="shared" ref="AK208:AK271" si="208">IF($H208="4211",$F208,0)</f>
        <v>0</v>
      </c>
      <c r="AL208" s="292">
        <f t="shared" ref="AL208:AL271" si="209">IF($G208="4212",$F208,0)</f>
        <v>0</v>
      </c>
      <c r="AM208" s="292">
        <f t="shared" ref="AM208:AM271" si="210">IF($H208="4212",$F208,0)</f>
        <v>0</v>
      </c>
      <c r="AN208" s="292">
        <f t="shared" ref="AN208:AN271" si="211">IF($G208="515",$F208,0)</f>
        <v>0</v>
      </c>
      <c r="AO208" s="292">
        <f t="shared" ref="AO208:AO271" si="212">IF($H208="515",$F208,0)</f>
        <v>0</v>
      </c>
      <c r="AP208" s="292">
        <f t="shared" ref="AP208:AP271" si="213">IF($G208="635",$F208,0)</f>
        <v>0</v>
      </c>
      <c r="AQ208" s="292">
        <f t="shared" ref="AQ208:AQ271" si="214">IF($H208="635",$F208,0)</f>
        <v>0</v>
      </c>
      <c r="AR208" s="292">
        <f t="shared" si="187"/>
        <v>0</v>
      </c>
      <c r="AS208" s="292">
        <f t="shared" si="188"/>
        <v>0</v>
      </c>
      <c r="AT208" s="292">
        <f t="shared" ref="AT208:AT271" si="215">IF($G208="711",$F208,0)</f>
        <v>0</v>
      </c>
      <c r="AU208" s="292">
        <f t="shared" ref="AU208:AU271" si="216">IF($H208="711",$F208,0)</f>
        <v>0</v>
      </c>
      <c r="AV208" s="292">
        <f t="shared" ref="AV208:AV271" si="217">IF($G208="811",$F208,0)</f>
        <v>0</v>
      </c>
      <c r="AW208" s="292">
        <f t="shared" ref="AW208:AW271" si="218">IF($H208="811",$F208,0)</f>
        <v>0</v>
      </c>
      <c r="AX208" s="292">
        <f t="shared" si="189"/>
        <v>0</v>
      </c>
      <c r="AY208" s="292">
        <f t="shared" si="190"/>
        <v>0</v>
      </c>
      <c r="AZ208" s="292">
        <f t="shared" si="191"/>
        <v>0</v>
      </c>
      <c r="BA208" s="292">
        <f t="shared" si="192"/>
        <v>0</v>
      </c>
    </row>
    <row r="209" spans="1:53" s="289" customFormat="1" ht="16.5" customHeight="1">
      <c r="A209" s="63" t="str">
        <f t="array" ref="A209">IF(C209&lt;&gt;0,SUM(($C$11:C209&lt;&gt;0)*1),"")</f>
        <v/>
      </c>
      <c r="B209" s="290"/>
      <c r="C209" s="290"/>
      <c r="D209" s="290"/>
      <c r="E209" s="396"/>
      <c r="F209" s="345"/>
      <c r="G209" s="347"/>
      <c r="H209" s="347"/>
      <c r="I209" s="63" t="str">
        <f t="shared" si="180"/>
        <v/>
      </c>
      <c r="J209" s="292">
        <f t="shared" si="181"/>
        <v>0</v>
      </c>
      <c r="K209" s="292">
        <f t="shared" si="182"/>
        <v>0</v>
      </c>
      <c r="L209" s="292">
        <f t="shared" si="193"/>
        <v>0</v>
      </c>
      <c r="M209" s="292">
        <f t="shared" si="194"/>
        <v>0</v>
      </c>
      <c r="N209" s="292">
        <f t="shared" si="174"/>
        <v>0</v>
      </c>
      <c r="O209" s="292">
        <f t="shared" si="175"/>
        <v>0</v>
      </c>
      <c r="P209" s="292">
        <f t="shared" si="195"/>
        <v>0</v>
      </c>
      <c r="Q209" s="292">
        <f t="shared" si="196"/>
        <v>0</v>
      </c>
      <c r="R209" s="292">
        <f t="shared" si="197"/>
        <v>0</v>
      </c>
      <c r="S209" s="292">
        <f t="shared" si="198"/>
        <v>0</v>
      </c>
      <c r="T209" s="292">
        <f t="shared" si="176"/>
        <v>0</v>
      </c>
      <c r="U209" s="292">
        <f t="shared" si="177"/>
        <v>0</v>
      </c>
      <c r="V209" s="292">
        <f t="shared" si="199"/>
        <v>0</v>
      </c>
      <c r="W209" s="292">
        <f t="shared" si="200"/>
        <v>0</v>
      </c>
      <c r="X209" s="292">
        <f t="shared" si="201"/>
        <v>0</v>
      </c>
      <c r="Y209" s="292">
        <f t="shared" si="202"/>
        <v>0</v>
      </c>
      <c r="Z209" s="292">
        <f t="shared" si="183"/>
        <v>0</v>
      </c>
      <c r="AA209" s="292">
        <f t="shared" si="184"/>
        <v>0</v>
      </c>
      <c r="AB209" s="292">
        <f t="shared" si="203"/>
        <v>0</v>
      </c>
      <c r="AC209" s="292">
        <f t="shared" si="204"/>
        <v>0</v>
      </c>
      <c r="AD209" s="292">
        <f t="shared" si="185"/>
        <v>0</v>
      </c>
      <c r="AE209" s="292">
        <f t="shared" si="186"/>
        <v>0</v>
      </c>
      <c r="AF209" s="292">
        <f t="shared" si="178"/>
        <v>0</v>
      </c>
      <c r="AG209" s="292">
        <f t="shared" si="179"/>
        <v>0</v>
      </c>
      <c r="AH209" s="292">
        <f t="shared" si="205"/>
        <v>0</v>
      </c>
      <c r="AI209" s="292">
        <f t="shared" si="206"/>
        <v>0</v>
      </c>
      <c r="AJ209" s="292">
        <f t="shared" si="207"/>
        <v>0</v>
      </c>
      <c r="AK209" s="292">
        <f t="shared" si="208"/>
        <v>0</v>
      </c>
      <c r="AL209" s="292">
        <f t="shared" si="209"/>
        <v>0</v>
      </c>
      <c r="AM209" s="292">
        <f t="shared" si="210"/>
        <v>0</v>
      </c>
      <c r="AN209" s="292">
        <f t="shared" si="211"/>
        <v>0</v>
      </c>
      <c r="AO209" s="292">
        <f t="shared" si="212"/>
        <v>0</v>
      </c>
      <c r="AP209" s="292">
        <f t="shared" si="213"/>
        <v>0</v>
      </c>
      <c r="AQ209" s="292">
        <f t="shared" si="214"/>
        <v>0</v>
      </c>
      <c r="AR209" s="292">
        <f t="shared" si="187"/>
        <v>0</v>
      </c>
      <c r="AS209" s="292">
        <f t="shared" si="188"/>
        <v>0</v>
      </c>
      <c r="AT209" s="292">
        <f t="shared" si="215"/>
        <v>0</v>
      </c>
      <c r="AU209" s="292">
        <f t="shared" si="216"/>
        <v>0</v>
      </c>
      <c r="AV209" s="292">
        <f t="shared" si="217"/>
        <v>0</v>
      </c>
      <c r="AW209" s="292">
        <f t="shared" si="218"/>
        <v>0</v>
      </c>
      <c r="AX209" s="292">
        <f t="shared" si="189"/>
        <v>0</v>
      </c>
      <c r="AY209" s="292">
        <f t="shared" si="190"/>
        <v>0</v>
      </c>
      <c r="AZ209" s="292">
        <f t="shared" si="191"/>
        <v>0</v>
      </c>
      <c r="BA209" s="292">
        <f t="shared" si="192"/>
        <v>0</v>
      </c>
    </row>
    <row r="210" spans="1:53" s="289" customFormat="1" ht="16.5" customHeight="1">
      <c r="A210" s="63" t="str">
        <f t="array" ref="A210">IF(C210&lt;&gt;0,SUM(($C$11:C210&lt;&gt;0)*1),"")</f>
        <v/>
      </c>
      <c r="B210" s="290"/>
      <c r="C210" s="290"/>
      <c r="D210" s="290"/>
      <c r="E210" s="396"/>
      <c r="F210" s="345"/>
      <c r="G210" s="347"/>
      <c r="H210" s="347"/>
      <c r="I210" s="63" t="str">
        <f t="shared" si="180"/>
        <v/>
      </c>
      <c r="J210" s="292">
        <f t="shared" si="181"/>
        <v>0</v>
      </c>
      <c r="K210" s="292">
        <f t="shared" si="182"/>
        <v>0</v>
      </c>
      <c r="L210" s="292">
        <f t="shared" si="193"/>
        <v>0</v>
      </c>
      <c r="M210" s="292">
        <f t="shared" si="194"/>
        <v>0</v>
      </c>
      <c r="N210" s="292">
        <f t="shared" si="174"/>
        <v>0</v>
      </c>
      <c r="O210" s="292">
        <f t="shared" si="175"/>
        <v>0</v>
      </c>
      <c r="P210" s="292">
        <f t="shared" si="195"/>
        <v>0</v>
      </c>
      <c r="Q210" s="292">
        <f t="shared" si="196"/>
        <v>0</v>
      </c>
      <c r="R210" s="292">
        <f t="shared" si="197"/>
        <v>0</v>
      </c>
      <c r="S210" s="292">
        <f t="shared" si="198"/>
        <v>0</v>
      </c>
      <c r="T210" s="292">
        <f t="shared" si="176"/>
        <v>0</v>
      </c>
      <c r="U210" s="292">
        <f t="shared" si="177"/>
        <v>0</v>
      </c>
      <c r="V210" s="292">
        <f t="shared" si="199"/>
        <v>0</v>
      </c>
      <c r="W210" s="292">
        <f t="shared" si="200"/>
        <v>0</v>
      </c>
      <c r="X210" s="292">
        <f t="shared" si="201"/>
        <v>0</v>
      </c>
      <c r="Y210" s="292">
        <f t="shared" si="202"/>
        <v>0</v>
      </c>
      <c r="Z210" s="292">
        <f t="shared" si="183"/>
        <v>0</v>
      </c>
      <c r="AA210" s="292">
        <f t="shared" si="184"/>
        <v>0</v>
      </c>
      <c r="AB210" s="292">
        <f t="shared" si="203"/>
        <v>0</v>
      </c>
      <c r="AC210" s="292">
        <f t="shared" si="204"/>
        <v>0</v>
      </c>
      <c r="AD210" s="292">
        <f t="shared" si="185"/>
        <v>0</v>
      </c>
      <c r="AE210" s="292">
        <f t="shared" si="186"/>
        <v>0</v>
      </c>
      <c r="AF210" s="292">
        <f t="shared" si="178"/>
        <v>0</v>
      </c>
      <c r="AG210" s="292">
        <f t="shared" si="179"/>
        <v>0</v>
      </c>
      <c r="AH210" s="292">
        <f t="shared" si="205"/>
        <v>0</v>
      </c>
      <c r="AI210" s="292">
        <f t="shared" si="206"/>
        <v>0</v>
      </c>
      <c r="AJ210" s="292">
        <f t="shared" si="207"/>
        <v>0</v>
      </c>
      <c r="AK210" s="292">
        <f t="shared" si="208"/>
        <v>0</v>
      </c>
      <c r="AL210" s="292">
        <f t="shared" si="209"/>
        <v>0</v>
      </c>
      <c r="AM210" s="292">
        <f t="shared" si="210"/>
        <v>0</v>
      </c>
      <c r="AN210" s="292">
        <f t="shared" si="211"/>
        <v>0</v>
      </c>
      <c r="AO210" s="292">
        <f t="shared" si="212"/>
        <v>0</v>
      </c>
      <c r="AP210" s="292">
        <f t="shared" si="213"/>
        <v>0</v>
      </c>
      <c r="AQ210" s="292">
        <f t="shared" si="214"/>
        <v>0</v>
      </c>
      <c r="AR210" s="292">
        <f t="shared" si="187"/>
        <v>0</v>
      </c>
      <c r="AS210" s="292">
        <f t="shared" si="188"/>
        <v>0</v>
      </c>
      <c r="AT210" s="292">
        <f t="shared" si="215"/>
        <v>0</v>
      </c>
      <c r="AU210" s="292">
        <f t="shared" si="216"/>
        <v>0</v>
      </c>
      <c r="AV210" s="292">
        <f t="shared" si="217"/>
        <v>0</v>
      </c>
      <c r="AW210" s="292">
        <f t="shared" si="218"/>
        <v>0</v>
      </c>
      <c r="AX210" s="292">
        <f t="shared" si="189"/>
        <v>0</v>
      </c>
      <c r="AY210" s="292">
        <f t="shared" si="190"/>
        <v>0</v>
      </c>
      <c r="AZ210" s="292">
        <f t="shared" si="191"/>
        <v>0</v>
      </c>
      <c r="BA210" s="292">
        <f t="shared" si="192"/>
        <v>0</v>
      </c>
    </row>
    <row r="211" spans="1:53" s="289" customFormat="1" ht="16.5" customHeight="1">
      <c r="A211" s="63" t="str">
        <f t="array" ref="A211">IF(C211&lt;&gt;0,SUM(($C$11:C211&lt;&gt;0)*1),"")</f>
        <v/>
      </c>
      <c r="B211" s="290"/>
      <c r="C211" s="290"/>
      <c r="D211" s="290"/>
      <c r="E211" s="396"/>
      <c r="F211" s="345"/>
      <c r="G211" s="347"/>
      <c r="H211" s="347"/>
      <c r="I211" s="63" t="str">
        <f t="shared" si="180"/>
        <v/>
      </c>
      <c r="J211" s="292">
        <f t="shared" si="181"/>
        <v>0</v>
      </c>
      <c r="K211" s="292">
        <f t="shared" si="182"/>
        <v>0</v>
      </c>
      <c r="L211" s="292">
        <f t="shared" si="193"/>
        <v>0</v>
      </c>
      <c r="M211" s="292">
        <f t="shared" si="194"/>
        <v>0</v>
      </c>
      <c r="N211" s="292">
        <f t="shared" si="174"/>
        <v>0</v>
      </c>
      <c r="O211" s="292">
        <f t="shared" si="175"/>
        <v>0</v>
      </c>
      <c r="P211" s="292">
        <f t="shared" si="195"/>
        <v>0</v>
      </c>
      <c r="Q211" s="292">
        <f t="shared" si="196"/>
        <v>0</v>
      </c>
      <c r="R211" s="292">
        <f t="shared" si="197"/>
        <v>0</v>
      </c>
      <c r="S211" s="292">
        <f t="shared" si="198"/>
        <v>0</v>
      </c>
      <c r="T211" s="292">
        <f t="shared" si="176"/>
        <v>0</v>
      </c>
      <c r="U211" s="292">
        <f t="shared" si="177"/>
        <v>0</v>
      </c>
      <c r="V211" s="292">
        <f t="shared" si="199"/>
        <v>0</v>
      </c>
      <c r="W211" s="292">
        <f t="shared" si="200"/>
        <v>0</v>
      </c>
      <c r="X211" s="292">
        <f t="shared" si="201"/>
        <v>0</v>
      </c>
      <c r="Y211" s="292">
        <f t="shared" si="202"/>
        <v>0</v>
      </c>
      <c r="Z211" s="292">
        <f t="shared" si="183"/>
        <v>0</v>
      </c>
      <c r="AA211" s="292">
        <f t="shared" si="184"/>
        <v>0</v>
      </c>
      <c r="AB211" s="292">
        <f t="shared" si="203"/>
        <v>0</v>
      </c>
      <c r="AC211" s="292">
        <f t="shared" si="204"/>
        <v>0</v>
      </c>
      <c r="AD211" s="292">
        <f t="shared" si="185"/>
        <v>0</v>
      </c>
      <c r="AE211" s="292">
        <f t="shared" si="186"/>
        <v>0</v>
      </c>
      <c r="AF211" s="292">
        <f t="shared" si="178"/>
        <v>0</v>
      </c>
      <c r="AG211" s="292">
        <f t="shared" si="179"/>
        <v>0</v>
      </c>
      <c r="AH211" s="292">
        <f t="shared" si="205"/>
        <v>0</v>
      </c>
      <c r="AI211" s="292">
        <f t="shared" si="206"/>
        <v>0</v>
      </c>
      <c r="AJ211" s="292">
        <f t="shared" si="207"/>
        <v>0</v>
      </c>
      <c r="AK211" s="292">
        <f t="shared" si="208"/>
        <v>0</v>
      </c>
      <c r="AL211" s="292">
        <f t="shared" si="209"/>
        <v>0</v>
      </c>
      <c r="AM211" s="292">
        <f t="shared" si="210"/>
        <v>0</v>
      </c>
      <c r="AN211" s="292">
        <f t="shared" si="211"/>
        <v>0</v>
      </c>
      <c r="AO211" s="292">
        <f t="shared" si="212"/>
        <v>0</v>
      </c>
      <c r="AP211" s="292">
        <f t="shared" si="213"/>
        <v>0</v>
      </c>
      <c r="AQ211" s="292">
        <f t="shared" si="214"/>
        <v>0</v>
      </c>
      <c r="AR211" s="292">
        <f t="shared" si="187"/>
        <v>0</v>
      </c>
      <c r="AS211" s="292">
        <f t="shared" si="188"/>
        <v>0</v>
      </c>
      <c r="AT211" s="292">
        <f t="shared" si="215"/>
        <v>0</v>
      </c>
      <c r="AU211" s="292">
        <f t="shared" si="216"/>
        <v>0</v>
      </c>
      <c r="AV211" s="292">
        <f t="shared" si="217"/>
        <v>0</v>
      </c>
      <c r="AW211" s="292">
        <f t="shared" si="218"/>
        <v>0</v>
      </c>
      <c r="AX211" s="292">
        <f t="shared" si="189"/>
        <v>0</v>
      </c>
      <c r="AY211" s="292">
        <f t="shared" si="190"/>
        <v>0</v>
      </c>
      <c r="AZ211" s="292">
        <f t="shared" si="191"/>
        <v>0</v>
      </c>
      <c r="BA211" s="292">
        <f t="shared" si="192"/>
        <v>0</v>
      </c>
    </row>
    <row r="212" spans="1:53" s="289" customFormat="1" ht="16.5" customHeight="1">
      <c r="A212" s="63" t="str">
        <f t="array" ref="A212">IF(C212&lt;&gt;0,SUM(($C$11:C212&lt;&gt;0)*1),"")</f>
        <v/>
      </c>
      <c r="B212" s="290"/>
      <c r="C212" s="290"/>
      <c r="D212" s="290"/>
      <c r="E212" s="396"/>
      <c r="F212" s="345"/>
      <c r="G212" s="347"/>
      <c r="H212" s="347"/>
      <c r="I212" s="63" t="str">
        <f t="shared" si="180"/>
        <v/>
      </c>
      <c r="J212" s="292">
        <f t="shared" si="181"/>
        <v>0</v>
      </c>
      <c r="K212" s="292">
        <f t="shared" si="182"/>
        <v>0</v>
      </c>
      <c r="L212" s="292">
        <f t="shared" si="193"/>
        <v>0</v>
      </c>
      <c r="M212" s="292">
        <f t="shared" si="194"/>
        <v>0</v>
      </c>
      <c r="N212" s="292">
        <f t="shared" si="174"/>
        <v>0</v>
      </c>
      <c r="O212" s="292">
        <f t="shared" si="175"/>
        <v>0</v>
      </c>
      <c r="P212" s="292">
        <f t="shared" si="195"/>
        <v>0</v>
      </c>
      <c r="Q212" s="292">
        <f t="shared" si="196"/>
        <v>0</v>
      </c>
      <c r="R212" s="292">
        <f t="shared" si="197"/>
        <v>0</v>
      </c>
      <c r="S212" s="292">
        <f t="shared" si="198"/>
        <v>0</v>
      </c>
      <c r="T212" s="292">
        <f t="shared" si="176"/>
        <v>0</v>
      </c>
      <c r="U212" s="292">
        <f t="shared" si="177"/>
        <v>0</v>
      </c>
      <c r="V212" s="292">
        <f t="shared" si="199"/>
        <v>0</v>
      </c>
      <c r="W212" s="292">
        <f t="shared" si="200"/>
        <v>0</v>
      </c>
      <c r="X212" s="292">
        <f t="shared" si="201"/>
        <v>0</v>
      </c>
      <c r="Y212" s="292">
        <f t="shared" si="202"/>
        <v>0</v>
      </c>
      <c r="Z212" s="292">
        <f t="shared" si="183"/>
        <v>0</v>
      </c>
      <c r="AA212" s="292">
        <f t="shared" si="184"/>
        <v>0</v>
      </c>
      <c r="AB212" s="292">
        <f t="shared" si="203"/>
        <v>0</v>
      </c>
      <c r="AC212" s="292">
        <f t="shared" si="204"/>
        <v>0</v>
      </c>
      <c r="AD212" s="292">
        <f t="shared" si="185"/>
        <v>0</v>
      </c>
      <c r="AE212" s="292">
        <f t="shared" si="186"/>
        <v>0</v>
      </c>
      <c r="AF212" s="292">
        <f t="shared" si="178"/>
        <v>0</v>
      </c>
      <c r="AG212" s="292">
        <f t="shared" si="179"/>
        <v>0</v>
      </c>
      <c r="AH212" s="292">
        <f t="shared" si="205"/>
        <v>0</v>
      </c>
      <c r="AI212" s="292">
        <f t="shared" si="206"/>
        <v>0</v>
      </c>
      <c r="AJ212" s="292">
        <f t="shared" si="207"/>
        <v>0</v>
      </c>
      <c r="AK212" s="292">
        <f t="shared" si="208"/>
        <v>0</v>
      </c>
      <c r="AL212" s="292">
        <f t="shared" si="209"/>
        <v>0</v>
      </c>
      <c r="AM212" s="292">
        <f t="shared" si="210"/>
        <v>0</v>
      </c>
      <c r="AN212" s="292">
        <f t="shared" si="211"/>
        <v>0</v>
      </c>
      <c r="AO212" s="292">
        <f t="shared" si="212"/>
        <v>0</v>
      </c>
      <c r="AP212" s="292">
        <f t="shared" si="213"/>
        <v>0</v>
      </c>
      <c r="AQ212" s="292">
        <f t="shared" si="214"/>
        <v>0</v>
      </c>
      <c r="AR212" s="292">
        <f t="shared" si="187"/>
        <v>0</v>
      </c>
      <c r="AS212" s="292">
        <f t="shared" si="188"/>
        <v>0</v>
      </c>
      <c r="AT212" s="292">
        <f t="shared" si="215"/>
        <v>0</v>
      </c>
      <c r="AU212" s="292">
        <f t="shared" si="216"/>
        <v>0</v>
      </c>
      <c r="AV212" s="292">
        <f t="shared" si="217"/>
        <v>0</v>
      </c>
      <c r="AW212" s="292">
        <f t="shared" si="218"/>
        <v>0</v>
      </c>
      <c r="AX212" s="292">
        <f t="shared" si="189"/>
        <v>0</v>
      </c>
      <c r="AY212" s="292">
        <f t="shared" si="190"/>
        <v>0</v>
      </c>
      <c r="AZ212" s="292">
        <f t="shared" si="191"/>
        <v>0</v>
      </c>
      <c r="BA212" s="292">
        <f t="shared" si="192"/>
        <v>0</v>
      </c>
    </row>
    <row r="213" spans="1:53" s="289" customFormat="1" ht="16.5" customHeight="1">
      <c r="A213" s="63" t="str">
        <f t="array" ref="A213">IF(C213&lt;&gt;0,SUM(($C$11:C213&lt;&gt;0)*1),"")</f>
        <v/>
      </c>
      <c r="B213" s="290"/>
      <c r="C213" s="290"/>
      <c r="D213" s="290"/>
      <c r="E213" s="396"/>
      <c r="F213" s="345"/>
      <c r="G213" s="347"/>
      <c r="H213" s="347"/>
      <c r="I213" s="63" t="str">
        <f t="shared" si="180"/>
        <v/>
      </c>
      <c r="J213" s="292">
        <f t="shared" si="181"/>
        <v>0</v>
      </c>
      <c r="K213" s="292">
        <f t="shared" si="182"/>
        <v>0</v>
      </c>
      <c r="L213" s="292">
        <f t="shared" si="193"/>
        <v>0</v>
      </c>
      <c r="M213" s="292">
        <f t="shared" si="194"/>
        <v>0</v>
      </c>
      <c r="N213" s="292">
        <f t="shared" si="174"/>
        <v>0</v>
      </c>
      <c r="O213" s="292">
        <f t="shared" si="175"/>
        <v>0</v>
      </c>
      <c r="P213" s="292">
        <f t="shared" si="195"/>
        <v>0</v>
      </c>
      <c r="Q213" s="292">
        <f t="shared" si="196"/>
        <v>0</v>
      </c>
      <c r="R213" s="292">
        <f t="shared" si="197"/>
        <v>0</v>
      </c>
      <c r="S213" s="292">
        <f t="shared" si="198"/>
        <v>0</v>
      </c>
      <c r="T213" s="292">
        <f t="shared" si="176"/>
        <v>0</v>
      </c>
      <c r="U213" s="292">
        <f t="shared" si="177"/>
        <v>0</v>
      </c>
      <c r="V213" s="292">
        <f t="shared" si="199"/>
        <v>0</v>
      </c>
      <c r="W213" s="292">
        <f t="shared" si="200"/>
        <v>0</v>
      </c>
      <c r="X213" s="292">
        <f t="shared" si="201"/>
        <v>0</v>
      </c>
      <c r="Y213" s="292">
        <f t="shared" si="202"/>
        <v>0</v>
      </c>
      <c r="Z213" s="292">
        <f t="shared" si="183"/>
        <v>0</v>
      </c>
      <c r="AA213" s="292">
        <f t="shared" si="184"/>
        <v>0</v>
      </c>
      <c r="AB213" s="292">
        <f t="shared" si="203"/>
        <v>0</v>
      </c>
      <c r="AC213" s="292">
        <f t="shared" si="204"/>
        <v>0</v>
      </c>
      <c r="AD213" s="292">
        <f t="shared" si="185"/>
        <v>0</v>
      </c>
      <c r="AE213" s="292">
        <f t="shared" si="186"/>
        <v>0</v>
      </c>
      <c r="AF213" s="292">
        <f t="shared" si="178"/>
        <v>0</v>
      </c>
      <c r="AG213" s="292">
        <f t="shared" si="179"/>
        <v>0</v>
      </c>
      <c r="AH213" s="292">
        <f t="shared" si="205"/>
        <v>0</v>
      </c>
      <c r="AI213" s="292">
        <f t="shared" si="206"/>
        <v>0</v>
      </c>
      <c r="AJ213" s="292">
        <f t="shared" si="207"/>
        <v>0</v>
      </c>
      <c r="AK213" s="292">
        <f t="shared" si="208"/>
        <v>0</v>
      </c>
      <c r="AL213" s="292">
        <f t="shared" si="209"/>
        <v>0</v>
      </c>
      <c r="AM213" s="292">
        <f t="shared" si="210"/>
        <v>0</v>
      </c>
      <c r="AN213" s="292">
        <f t="shared" si="211"/>
        <v>0</v>
      </c>
      <c r="AO213" s="292">
        <f t="shared" si="212"/>
        <v>0</v>
      </c>
      <c r="AP213" s="292">
        <f t="shared" si="213"/>
        <v>0</v>
      </c>
      <c r="AQ213" s="292">
        <f t="shared" si="214"/>
        <v>0</v>
      </c>
      <c r="AR213" s="292">
        <f t="shared" si="187"/>
        <v>0</v>
      </c>
      <c r="AS213" s="292">
        <f t="shared" si="188"/>
        <v>0</v>
      </c>
      <c r="AT213" s="292">
        <f t="shared" si="215"/>
        <v>0</v>
      </c>
      <c r="AU213" s="292">
        <f t="shared" si="216"/>
        <v>0</v>
      </c>
      <c r="AV213" s="292">
        <f t="shared" si="217"/>
        <v>0</v>
      </c>
      <c r="AW213" s="292">
        <f t="shared" si="218"/>
        <v>0</v>
      </c>
      <c r="AX213" s="292">
        <f t="shared" si="189"/>
        <v>0</v>
      </c>
      <c r="AY213" s="292">
        <f t="shared" si="190"/>
        <v>0</v>
      </c>
      <c r="AZ213" s="292">
        <f t="shared" si="191"/>
        <v>0</v>
      </c>
      <c r="BA213" s="292">
        <f t="shared" si="192"/>
        <v>0</v>
      </c>
    </row>
    <row r="214" spans="1:53" s="289" customFormat="1" ht="16.5" customHeight="1">
      <c r="A214" s="63" t="str">
        <f t="array" ref="A214">IF(C214&lt;&gt;0,SUM(($C$11:C214&lt;&gt;0)*1),"")</f>
        <v/>
      </c>
      <c r="B214" s="290"/>
      <c r="C214" s="290"/>
      <c r="D214" s="290"/>
      <c r="E214" s="396"/>
      <c r="F214" s="345"/>
      <c r="G214" s="347"/>
      <c r="H214" s="347"/>
      <c r="I214" s="63" t="str">
        <f t="shared" si="180"/>
        <v/>
      </c>
      <c r="J214" s="292">
        <f t="shared" si="181"/>
        <v>0</v>
      </c>
      <c r="K214" s="292">
        <f t="shared" si="182"/>
        <v>0</v>
      </c>
      <c r="L214" s="292">
        <f t="shared" si="193"/>
        <v>0</v>
      </c>
      <c r="M214" s="292">
        <f t="shared" si="194"/>
        <v>0</v>
      </c>
      <c r="N214" s="292">
        <f t="shared" si="174"/>
        <v>0</v>
      </c>
      <c r="O214" s="292">
        <f t="shared" si="175"/>
        <v>0</v>
      </c>
      <c r="P214" s="292">
        <f t="shared" si="195"/>
        <v>0</v>
      </c>
      <c r="Q214" s="292">
        <f t="shared" si="196"/>
        <v>0</v>
      </c>
      <c r="R214" s="292">
        <f t="shared" si="197"/>
        <v>0</v>
      </c>
      <c r="S214" s="292">
        <f t="shared" si="198"/>
        <v>0</v>
      </c>
      <c r="T214" s="292">
        <f t="shared" si="176"/>
        <v>0</v>
      </c>
      <c r="U214" s="292">
        <f t="shared" si="177"/>
        <v>0</v>
      </c>
      <c r="V214" s="292">
        <f t="shared" si="199"/>
        <v>0</v>
      </c>
      <c r="W214" s="292">
        <f t="shared" si="200"/>
        <v>0</v>
      </c>
      <c r="X214" s="292">
        <f t="shared" si="201"/>
        <v>0</v>
      </c>
      <c r="Y214" s="292">
        <f t="shared" si="202"/>
        <v>0</v>
      </c>
      <c r="Z214" s="292">
        <f t="shared" si="183"/>
        <v>0</v>
      </c>
      <c r="AA214" s="292">
        <f t="shared" si="184"/>
        <v>0</v>
      </c>
      <c r="AB214" s="292">
        <f t="shared" si="203"/>
        <v>0</v>
      </c>
      <c r="AC214" s="292">
        <f t="shared" si="204"/>
        <v>0</v>
      </c>
      <c r="AD214" s="292">
        <f t="shared" si="185"/>
        <v>0</v>
      </c>
      <c r="AE214" s="292">
        <f t="shared" si="186"/>
        <v>0</v>
      </c>
      <c r="AF214" s="292">
        <f t="shared" si="178"/>
        <v>0</v>
      </c>
      <c r="AG214" s="292">
        <f t="shared" si="179"/>
        <v>0</v>
      </c>
      <c r="AH214" s="292">
        <f t="shared" si="205"/>
        <v>0</v>
      </c>
      <c r="AI214" s="292">
        <f t="shared" si="206"/>
        <v>0</v>
      </c>
      <c r="AJ214" s="292">
        <f t="shared" si="207"/>
        <v>0</v>
      </c>
      <c r="AK214" s="292">
        <f t="shared" si="208"/>
        <v>0</v>
      </c>
      <c r="AL214" s="292">
        <f t="shared" si="209"/>
        <v>0</v>
      </c>
      <c r="AM214" s="292">
        <f t="shared" si="210"/>
        <v>0</v>
      </c>
      <c r="AN214" s="292">
        <f t="shared" si="211"/>
        <v>0</v>
      </c>
      <c r="AO214" s="292">
        <f t="shared" si="212"/>
        <v>0</v>
      </c>
      <c r="AP214" s="292">
        <f t="shared" si="213"/>
        <v>0</v>
      </c>
      <c r="AQ214" s="292">
        <f t="shared" si="214"/>
        <v>0</v>
      </c>
      <c r="AR214" s="292">
        <f t="shared" si="187"/>
        <v>0</v>
      </c>
      <c r="AS214" s="292">
        <f t="shared" si="188"/>
        <v>0</v>
      </c>
      <c r="AT214" s="292">
        <f t="shared" si="215"/>
        <v>0</v>
      </c>
      <c r="AU214" s="292">
        <f t="shared" si="216"/>
        <v>0</v>
      </c>
      <c r="AV214" s="292">
        <f t="shared" si="217"/>
        <v>0</v>
      </c>
      <c r="AW214" s="292">
        <f t="shared" si="218"/>
        <v>0</v>
      </c>
      <c r="AX214" s="292">
        <f t="shared" si="189"/>
        <v>0</v>
      </c>
      <c r="AY214" s="292">
        <f t="shared" si="190"/>
        <v>0</v>
      </c>
      <c r="AZ214" s="292">
        <f t="shared" si="191"/>
        <v>0</v>
      </c>
      <c r="BA214" s="292">
        <f t="shared" si="192"/>
        <v>0</v>
      </c>
    </row>
    <row r="215" spans="1:53" s="289" customFormat="1" ht="16.5" customHeight="1">
      <c r="A215" s="63" t="str">
        <f t="array" ref="A215">IF(C215&lt;&gt;0,SUM(($C$11:C215&lt;&gt;0)*1),"")</f>
        <v/>
      </c>
      <c r="B215" s="290"/>
      <c r="C215" s="290"/>
      <c r="D215" s="290"/>
      <c r="E215" s="396"/>
      <c r="F215" s="345"/>
      <c r="G215" s="347"/>
      <c r="H215" s="347"/>
      <c r="I215" s="63" t="str">
        <f t="shared" si="180"/>
        <v/>
      </c>
      <c r="J215" s="292">
        <f t="shared" si="181"/>
        <v>0</v>
      </c>
      <c r="K215" s="292">
        <f t="shared" si="182"/>
        <v>0</v>
      </c>
      <c r="L215" s="292">
        <f t="shared" si="193"/>
        <v>0</v>
      </c>
      <c r="M215" s="292">
        <f t="shared" si="194"/>
        <v>0</v>
      </c>
      <c r="N215" s="292">
        <f t="shared" si="174"/>
        <v>0</v>
      </c>
      <c r="O215" s="292">
        <f t="shared" si="175"/>
        <v>0</v>
      </c>
      <c r="P215" s="292">
        <f t="shared" si="195"/>
        <v>0</v>
      </c>
      <c r="Q215" s="292">
        <f t="shared" si="196"/>
        <v>0</v>
      </c>
      <c r="R215" s="292">
        <f t="shared" si="197"/>
        <v>0</v>
      </c>
      <c r="S215" s="292">
        <f t="shared" si="198"/>
        <v>0</v>
      </c>
      <c r="T215" s="292">
        <f t="shared" si="176"/>
        <v>0</v>
      </c>
      <c r="U215" s="292">
        <f t="shared" si="177"/>
        <v>0</v>
      </c>
      <c r="V215" s="292">
        <f t="shared" si="199"/>
        <v>0</v>
      </c>
      <c r="W215" s="292">
        <f t="shared" si="200"/>
        <v>0</v>
      </c>
      <c r="X215" s="292">
        <f t="shared" si="201"/>
        <v>0</v>
      </c>
      <c r="Y215" s="292">
        <f t="shared" si="202"/>
        <v>0</v>
      </c>
      <c r="Z215" s="292">
        <f t="shared" si="183"/>
        <v>0</v>
      </c>
      <c r="AA215" s="292">
        <f t="shared" si="184"/>
        <v>0</v>
      </c>
      <c r="AB215" s="292">
        <f t="shared" si="203"/>
        <v>0</v>
      </c>
      <c r="AC215" s="292">
        <f t="shared" si="204"/>
        <v>0</v>
      </c>
      <c r="AD215" s="292">
        <f t="shared" si="185"/>
        <v>0</v>
      </c>
      <c r="AE215" s="292">
        <f t="shared" si="186"/>
        <v>0</v>
      </c>
      <c r="AF215" s="292">
        <f t="shared" si="178"/>
        <v>0</v>
      </c>
      <c r="AG215" s="292">
        <f t="shared" si="179"/>
        <v>0</v>
      </c>
      <c r="AH215" s="292">
        <f t="shared" si="205"/>
        <v>0</v>
      </c>
      <c r="AI215" s="292">
        <f t="shared" si="206"/>
        <v>0</v>
      </c>
      <c r="AJ215" s="292">
        <f t="shared" si="207"/>
        <v>0</v>
      </c>
      <c r="AK215" s="292">
        <f t="shared" si="208"/>
        <v>0</v>
      </c>
      <c r="AL215" s="292">
        <f t="shared" si="209"/>
        <v>0</v>
      </c>
      <c r="AM215" s="292">
        <f t="shared" si="210"/>
        <v>0</v>
      </c>
      <c r="AN215" s="292">
        <f t="shared" si="211"/>
        <v>0</v>
      </c>
      <c r="AO215" s="292">
        <f t="shared" si="212"/>
        <v>0</v>
      </c>
      <c r="AP215" s="292">
        <f t="shared" si="213"/>
        <v>0</v>
      </c>
      <c r="AQ215" s="292">
        <f t="shared" si="214"/>
        <v>0</v>
      </c>
      <c r="AR215" s="292">
        <f t="shared" si="187"/>
        <v>0</v>
      </c>
      <c r="AS215" s="292">
        <f t="shared" si="188"/>
        <v>0</v>
      </c>
      <c r="AT215" s="292">
        <f t="shared" si="215"/>
        <v>0</v>
      </c>
      <c r="AU215" s="292">
        <f t="shared" si="216"/>
        <v>0</v>
      </c>
      <c r="AV215" s="292">
        <f t="shared" si="217"/>
        <v>0</v>
      </c>
      <c r="AW215" s="292">
        <f t="shared" si="218"/>
        <v>0</v>
      </c>
      <c r="AX215" s="292">
        <f t="shared" si="189"/>
        <v>0</v>
      </c>
      <c r="AY215" s="292">
        <f t="shared" si="190"/>
        <v>0</v>
      </c>
      <c r="AZ215" s="292">
        <f t="shared" si="191"/>
        <v>0</v>
      </c>
      <c r="BA215" s="292">
        <f t="shared" si="192"/>
        <v>0</v>
      </c>
    </row>
    <row r="216" spans="1:53" s="289" customFormat="1" ht="16.5" customHeight="1">
      <c r="A216" s="63" t="str">
        <f t="array" ref="A216">IF(C216&lt;&gt;0,SUM(($C$11:C216&lt;&gt;0)*1),"")</f>
        <v/>
      </c>
      <c r="B216" s="290"/>
      <c r="C216" s="290"/>
      <c r="D216" s="290"/>
      <c r="E216" s="396"/>
      <c r="F216" s="345"/>
      <c r="G216" s="347"/>
      <c r="H216" s="347"/>
      <c r="I216" s="63" t="str">
        <f t="shared" si="180"/>
        <v/>
      </c>
      <c r="J216" s="292">
        <f t="shared" si="181"/>
        <v>0</v>
      </c>
      <c r="K216" s="292">
        <f t="shared" si="182"/>
        <v>0</v>
      </c>
      <c r="L216" s="292">
        <f t="shared" si="193"/>
        <v>0</v>
      </c>
      <c r="M216" s="292">
        <f t="shared" si="194"/>
        <v>0</v>
      </c>
      <c r="N216" s="292">
        <f t="shared" si="174"/>
        <v>0</v>
      </c>
      <c r="O216" s="292">
        <f t="shared" si="175"/>
        <v>0</v>
      </c>
      <c r="P216" s="292">
        <f t="shared" si="195"/>
        <v>0</v>
      </c>
      <c r="Q216" s="292">
        <f t="shared" si="196"/>
        <v>0</v>
      </c>
      <c r="R216" s="292">
        <f t="shared" si="197"/>
        <v>0</v>
      </c>
      <c r="S216" s="292">
        <f t="shared" si="198"/>
        <v>0</v>
      </c>
      <c r="T216" s="292">
        <f t="shared" si="176"/>
        <v>0</v>
      </c>
      <c r="U216" s="292">
        <f t="shared" si="177"/>
        <v>0</v>
      </c>
      <c r="V216" s="292">
        <f t="shared" si="199"/>
        <v>0</v>
      </c>
      <c r="W216" s="292">
        <f t="shared" si="200"/>
        <v>0</v>
      </c>
      <c r="X216" s="292">
        <f t="shared" si="201"/>
        <v>0</v>
      </c>
      <c r="Y216" s="292">
        <f t="shared" si="202"/>
        <v>0</v>
      </c>
      <c r="Z216" s="292">
        <f t="shared" si="183"/>
        <v>0</v>
      </c>
      <c r="AA216" s="292">
        <f t="shared" si="184"/>
        <v>0</v>
      </c>
      <c r="AB216" s="292">
        <f t="shared" si="203"/>
        <v>0</v>
      </c>
      <c r="AC216" s="292">
        <f t="shared" si="204"/>
        <v>0</v>
      </c>
      <c r="AD216" s="292">
        <f t="shared" si="185"/>
        <v>0</v>
      </c>
      <c r="AE216" s="292">
        <f t="shared" si="186"/>
        <v>0</v>
      </c>
      <c r="AF216" s="292">
        <f t="shared" si="178"/>
        <v>0</v>
      </c>
      <c r="AG216" s="292">
        <f t="shared" si="179"/>
        <v>0</v>
      </c>
      <c r="AH216" s="292">
        <f t="shared" si="205"/>
        <v>0</v>
      </c>
      <c r="AI216" s="292">
        <f t="shared" si="206"/>
        <v>0</v>
      </c>
      <c r="AJ216" s="292">
        <f t="shared" si="207"/>
        <v>0</v>
      </c>
      <c r="AK216" s="292">
        <f t="shared" si="208"/>
        <v>0</v>
      </c>
      <c r="AL216" s="292">
        <f t="shared" si="209"/>
        <v>0</v>
      </c>
      <c r="AM216" s="292">
        <f t="shared" si="210"/>
        <v>0</v>
      </c>
      <c r="AN216" s="292">
        <f t="shared" si="211"/>
        <v>0</v>
      </c>
      <c r="AO216" s="292">
        <f t="shared" si="212"/>
        <v>0</v>
      </c>
      <c r="AP216" s="292">
        <f t="shared" si="213"/>
        <v>0</v>
      </c>
      <c r="AQ216" s="292">
        <f t="shared" si="214"/>
        <v>0</v>
      </c>
      <c r="AR216" s="292">
        <f t="shared" si="187"/>
        <v>0</v>
      </c>
      <c r="AS216" s="292">
        <f t="shared" si="188"/>
        <v>0</v>
      </c>
      <c r="AT216" s="292">
        <f t="shared" si="215"/>
        <v>0</v>
      </c>
      <c r="AU216" s="292">
        <f t="shared" si="216"/>
        <v>0</v>
      </c>
      <c r="AV216" s="292">
        <f t="shared" si="217"/>
        <v>0</v>
      </c>
      <c r="AW216" s="292">
        <f t="shared" si="218"/>
        <v>0</v>
      </c>
      <c r="AX216" s="292">
        <f t="shared" si="189"/>
        <v>0</v>
      </c>
      <c r="AY216" s="292">
        <f t="shared" si="190"/>
        <v>0</v>
      </c>
      <c r="AZ216" s="292">
        <f t="shared" si="191"/>
        <v>0</v>
      </c>
      <c r="BA216" s="292">
        <f t="shared" si="192"/>
        <v>0</v>
      </c>
    </row>
    <row r="217" spans="1:53" s="289" customFormat="1" ht="16.5" customHeight="1">
      <c r="A217" s="63" t="str">
        <f t="array" ref="A217">IF(C217&lt;&gt;0,SUM(($C$11:C217&lt;&gt;0)*1),"")</f>
        <v/>
      </c>
      <c r="B217" s="290"/>
      <c r="C217" s="290"/>
      <c r="D217" s="290"/>
      <c r="E217" s="396"/>
      <c r="F217" s="345"/>
      <c r="G217" s="347"/>
      <c r="H217" s="347"/>
      <c r="I217" s="63" t="str">
        <f t="shared" si="180"/>
        <v/>
      </c>
      <c r="J217" s="292">
        <f t="shared" si="181"/>
        <v>0</v>
      </c>
      <c r="K217" s="292">
        <f t="shared" si="182"/>
        <v>0</v>
      </c>
      <c r="L217" s="292">
        <f t="shared" si="193"/>
        <v>0</v>
      </c>
      <c r="M217" s="292">
        <f t="shared" si="194"/>
        <v>0</v>
      </c>
      <c r="N217" s="292">
        <f t="shared" si="174"/>
        <v>0</v>
      </c>
      <c r="O217" s="292">
        <f t="shared" si="175"/>
        <v>0</v>
      </c>
      <c r="P217" s="292">
        <f t="shared" si="195"/>
        <v>0</v>
      </c>
      <c r="Q217" s="292">
        <f t="shared" si="196"/>
        <v>0</v>
      </c>
      <c r="R217" s="292">
        <f t="shared" si="197"/>
        <v>0</v>
      </c>
      <c r="S217" s="292">
        <f t="shared" si="198"/>
        <v>0</v>
      </c>
      <c r="T217" s="292">
        <f t="shared" si="176"/>
        <v>0</v>
      </c>
      <c r="U217" s="292">
        <f t="shared" si="177"/>
        <v>0</v>
      </c>
      <c r="V217" s="292">
        <f t="shared" si="199"/>
        <v>0</v>
      </c>
      <c r="W217" s="292">
        <f t="shared" si="200"/>
        <v>0</v>
      </c>
      <c r="X217" s="292">
        <f t="shared" si="201"/>
        <v>0</v>
      </c>
      <c r="Y217" s="292">
        <f t="shared" si="202"/>
        <v>0</v>
      </c>
      <c r="Z217" s="292">
        <f t="shared" si="183"/>
        <v>0</v>
      </c>
      <c r="AA217" s="292">
        <f t="shared" si="184"/>
        <v>0</v>
      </c>
      <c r="AB217" s="292">
        <f t="shared" si="203"/>
        <v>0</v>
      </c>
      <c r="AC217" s="292">
        <f t="shared" si="204"/>
        <v>0</v>
      </c>
      <c r="AD217" s="292">
        <f t="shared" si="185"/>
        <v>0</v>
      </c>
      <c r="AE217" s="292">
        <f t="shared" si="186"/>
        <v>0</v>
      </c>
      <c r="AF217" s="292">
        <f t="shared" si="178"/>
        <v>0</v>
      </c>
      <c r="AG217" s="292">
        <f t="shared" si="179"/>
        <v>0</v>
      </c>
      <c r="AH217" s="292">
        <f t="shared" si="205"/>
        <v>0</v>
      </c>
      <c r="AI217" s="292">
        <f t="shared" si="206"/>
        <v>0</v>
      </c>
      <c r="AJ217" s="292">
        <f t="shared" si="207"/>
        <v>0</v>
      </c>
      <c r="AK217" s="292">
        <f t="shared" si="208"/>
        <v>0</v>
      </c>
      <c r="AL217" s="292">
        <f t="shared" si="209"/>
        <v>0</v>
      </c>
      <c r="AM217" s="292">
        <f t="shared" si="210"/>
        <v>0</v>
      </c>
      <c r="AN217" s="292">
        <f t="shared" si="211"/>
        <v>0</v>
      </c>
      <c r="AO217" s="292">
        <f t="shared" si="212"/>
        <v>0</v>
      </c>
      <c r="AP217" s="292">
        <f t="shared" si="213"/>
        <v>0</v>
      </c>
      <c r="AQ217" s="292">
        <f t="shared" si="214"/>
        <v>0</v>
      </c>
      <c r="AR217" s="292">
        <f t="shared" si="187"/>
        <v>0</v>
      </c>
      <c r="AS217" s="292">
        <f t="shared" si="188"/>
        <v>0</v>
      </c>
      <c r="AT217" s="292">
        <f t="shared" si="215"/>
        <v>0</v>
      </c>
      <c r="AU217" s="292">
        <f t="shared" si="216"/>
        <v>0</v>
      </c>
      <c r="AV217" s="292">
        <f t="shared" si="217"/>
        <v>0</v>
      </c>
      <c r="AW217" s="292">
        <f t="shared" si="218"/>
        <v>0</v>
      </c>
      <c r="AX217" s="292">
        <f t="shared" si="189"/>
        <v>0</v>
      </c>
      <c r="AY217" s="292">
        <f t="shared" si="190"/>
        <v>0</v>
      </c>
      <c r="AZ217" s="292">
        <f t="shared" si="191"/>
        <v>0</v>
      </c>
      <c r="BA217" s="292">
        <f t="shared" si="192"/>
        <v>0</v>
      </c>
    </row>
    <row r="218" spans="1:53" s="289" customFormat="1" ht="16.5" customHeight="1">
      <c r="A218" s="63" t="str">
        <f t="array" ref="A218">IF(C218&lt;&gt;0,SUM(($C$11:C218&lt;&gt;0)*1),"")</f>
        <v/>
      </c>
      <c r="B218" s="290"/>
      <c r="C218" s="290"/>
      <c r="D218" s="290"/>
      <c r="E218" s="396"/>
      <c r="F218" s="345"/>
      <c r="G218" s="347"/>
      <c r="H218" s="347"/>
      <c r="I218" s="63" t="str">
        <f t="shared" si="180"/>
        <v/>
      </c>
      <c r="J218" s="292">
        <f t="shared" si="181"/>
        <v>0</v>
      </c>
      <c r="K218" s="292">
        <f t="shared" si="182"/>
        <v>0</v>
      </c>
      <c r="L218" s="292">
        <f t="shared" si="193"/>
        <v>0</v>
      </c>
      <c r="M218" s="292">
        <f t="shared" si="194"/>
        <v>0</v>
      </c>
      <c r="N218" s="292">
        <f t="shared" si="174"/>
        <v>0</v>
      </c>
      <c r="O218" s="292">
        <f t="shared" si="175"/>
        <v>0</v>
      </c>
      <c r="P218" s="292">
        <f t="shared" si="195"/>
        <v>0</v>
      </c>
      <c r="Q218" s="292">
        <f t="shared" si="196"/>
        <v>0</v>
      </c>
      <c r="R218" s="292">
        <f t="shared" si="197"/>
        <v>0</v>
      </c>
      <c r="S218" s="292">
        <f t="shared" si="198"/>
        <v>0</v>
      </c>
      <c r="T218" s="292">
        <f t="shared" si="176"/>
        <v>0</v>
      </c>
      <c r="U218" s="292">
        <f t="shared" si="177"/>
        <v>0</v>
      </c>
      <c r="V218" s="292">
        <f t="shared" si="199"/>
        <v>0</v>
      </c>
      <c r="W218" s="292">
        <f t="shared" si="200"/>
        <v>0</v>
      </c>
      <c r="X218" s="292">
        <f t="shared" si="201"/>
        <v>0</v>
      </c>
      <c r="Y218" s="292">
        <f t="shared" si="202"/>
        <v>0</v>
      </c>
      <c r="Z218" s="292">
        <f t="shared" si="183"/>
        <v>0</v>
      </c>
      <c r="AA218" s="292">
        <f t="shared" si="184"/>
        <v>0</v>
      </c>
      <c r="AB218" s="292">
        <f t="shared" si="203"/>
        <v>0</v>
      </c>
      <c r="AC218" s="292">
        <f t="shared" si="204"/>
        <v>0</v>
      </c>
      <c r="AD218" s="292">
        <f t="shared" si="185"/>
        <v>0</v>
      </c>
      <c r="AE218" s="292">
        <f t="shared" si="186"/>
        <v>0</v>
      </c>
      <c r="AF218" s="292">
        <f t="shared" si="178"/>
        <v>0</v>
      </c>
      <c r="AG218" s="292">
        <f t="shared" si="179"/>
        <v>0</v>
      </c>
      <c r="AH218" s="292">
        <f t="shared" si="205"/>
        <v>0</v>
      </c>
      <c r="AI218" s="292">
        <f t="shared" si="206"/>
        <v>0</v>
      </c>
      <c r="AJ218" s="292">
        <f t="shared" si="207"/>
        <v>0</v>
      </c>
      <c r="AK218" s="292">
        <f t="shared" si="208"/>
        <v>0</v>
      </c>
      <c r="AL218" s="292">
        <f t="shared" si="209"/>
        <v>0</v>
      </c>
      <c r="AM218" s="292">
        <f t="shared" si="210"/>
        <v>0</v>
      </c>
      <c r="AN218" s="292">
        <f t="shared" si="211"/>
        <v>0</v>
      </c>
      <c r="AO218" s="292">
        <f t="shared" si="212"/>
        <v>0</v>
      </c>
      <c r="AP218" s="292">
        <f t="shared" si="213"/>
        <v>0</v>
      </c>
      <c r="AQ218" s="292">
        <f t="shared" si="214"/>
        <v>0</v>
      </c>
      <c r="AR218" s="292">
        <f t="shared" si="187"/>
        <v>0</v>
      </c>
      <c r="AS218" s="292">
        <f t="shared" si="188"/>
        <v>0</v>
      </c>
      <c r="AT218" s="292">
        <f t="shared" si="215"/>
        <v>0</v>
      </c>
      <c r="AU218" s="292">
        <f t="shared" si="216"/>
        <v>0</v>
      </c>
      <c r="AV218" s="292">
        <f t="shared" si="217"/>
        <v>0</v>
      </c>
      <c r="AW218" s="292">
        <f t="shared" si="218"/>
        <v>0</v>
      </c>
      <c r="AX218" s="292">
        <f t="shared" si="189"/>
        <v>0</v>
      </c>
      <c r="AY218" s="292">
        <f t="shared" si="190"/>
        <v>0</v>
      </c>
      <c r="AZ218" s="292">
        <f t="shared" si="191"/>
        <v>0</v>
      </c>
      <c r="BA218" s="292">
        <f t="shared" si="192"/>
        <v>0</v>
      </c>
    </row>
    <row r="219" spans="1:53" s="289" customFormat="1" ht="16.5" customHeight="1">
      <c r="A219" s="63" t="str">
        <f t="array" ref="A219">IF(C219&lt;&gt;0,SUM(($C$11:C219&lt;&gt;0)*1),"")</f>
        <v/>
      </c>
      <c r="B219" s="290"/>
      <c r="C219" s="290"/>
      <c r="D219" s="290"/>
      <c r="E219" s="396"/>
      <c r="F219" s="345"/>
      <c r="G219" s="347"/>
      <c r="H219" s="347"/>
      <c r="I219" s="63" t="str">
        <f t="shared" si="180"/>
        <v/>
      </c>
      <c r="J219" s="292">
        <f t="shared" si="181"/>
        <v>0</v>
      </c>
      <c r="K219" s="292">
        <f t="shared" si="182"/>
        <v>0</v>
      </c>
      <c r="L219" s="292">
        <f t="shared" si="193"/>
        <v>0</v>
      </c>
      <c r="M219" s="292">
        <f t="shared" si="194"/>
        <v>0</v>
      </c>
      <c r="N219" s="292">
        <f t="shared" si="174"/>
        <v>0</v>
      </c>
      <c r="O219" s="292">
        <f t="shared" si="175"/>
        <v>0</v>
      </c>
      <c r="P219" s="292">
        <f t="shared" si="195"/>
        <v>0</v>
      </c>
      <c r="Q219" s="292">
        <f t="shared" si="196"/>
        <v>0</v>
      </c>
      <c r="R219" s="292">
        <f t="shared" si="197"/>
        <v>0</v>
      </c>
      <c r="S219" s="292">
        <f t="shared" si="198"/>
        <v>0</v>
      </c>
      <c r="T219" s="292">
        <f t="shared" si="176"/>
        <v>0</v>
      </c>
      <c r="U219" s="292">
        <f t="shared" si="177"/>
        <v>0</v>
      </c>
      <c r="V219" s="292">
        <f t="shared" si="199"/>
        <v>0</v>
      </c>
      <c r="W219" s="292">
        <f t="shared" si="200"/>
        <v>0</v>
      </c>
      <c r="X219" s="292">
        <f t="shared" si="201"/>
        <v>0</v>
      </c>
      <c r="Y219" s="292">
        <f t="shared" si="202"/>
        <v>0</v>
      </c>
      <c r="Z219" s="292">
        <f t="shared" si="183"/>
        <v>0</v>
      </c>
      <c r="AA219" s="292">
        <f t="shared" si="184"/>
        <v>0</v>
      </c>
      <c r="AB219" s="292">
        <f t="shared" si="203"/>
        <v>0</v>
      </c>
      <c r="AC219" s="292">
        <f t="shared" si="204"/>
        <v>0</v>
      </c>
      <c r="AD219" s="292">
        <f t="shared" si="185"/>
        <v>0</v>
      </c>
      <c r="AE219" s="292">
        <f t="shared" si="186"/>
        <v>0</v>
      </c>
      <c r="AF219" s="292">
        <f t="shared" si="178"/>
        <v>0</v>
      </c>
      <c r="AG219" s="292">
        <f t="shared" si="179"/>
        <v>0</v>
      </c>
      <c r="AH219" s="292">
        <f t="shared" si="205"/>
        <v>0</v>
      </c>
      <c r="AI219" s="292">
        <f t="shared" si="206"/>
        <v>0</v>
      </c>
      <c r="AJ219" s="292">
        <f t="shared" si="207"/>
        <v>0</v>
      </c>
      <c r="AK219" s="292">
        <f t="shared" si="208"/>
        <v>0</v>
      </c>
      <c r="AL219" s="292">
        <f t="shared" si="209"/>
        <v>0</v>
      </c>
      <c r="AM219" s="292">
        <f t="shared" si="210"/>
        <v>0</v>
      </c>
      <c r="AN219" s="292">
        <f t="shared" si="211"/>
        <v>0</v>
      </c>
      <c r="AO219" s="292">
        <f t="shared" si="212"/>
        <v>0</v>
      </c>
      <c r="AP219" s="292">
        <f t="shared" si="213"/>
        <v>0</v>
      </c>
      <c r="AQ219" s="292">
        <f t="shared" si="214"/>
        <v>0</v>
      </c>
      <c r="AR219" s="292">
        <f t="shared" si="187"/>
        <v>0</v>
      </c>
      <c r="AS219" s="292">
        <f t="shared" si="188"/>
        <v>0</v>
      </c>
      <c r="AT219" s="292">
        <f t="shared" si="215"/>
        <v>0</v>
      </c>
      <c r="AU219" s="292">
        <f t="shared" si="216"/>
        <v>0</v>
      </c>
      <c r="AV219" s="292">
        <f t="shared" si="217"/>
        <v>0</v>
      </c>
      <c r="AW219" s="292">
        <f t="shared" si="218"/>
        <v>0</v>
      </c>
      <c r="AX219" s="292">
        <f t="shared" si="189"/>
        <v>0</v>
      </c>
      <c r="AY219" s="292">
        <f t="shared" si="190"/>
        <v>0</v>
      </c>
      <c r="AZ219" s="292">
        <f t="shared" si="191"/>
        <v>0</v>
      </c>
      <c r="BA219" s="292">
        <f t="shared" si="192"/>
        <v>0</v>
      </c>
    </row>
    <row r="220" spans="1:53" s="289" customFormat="1" ht="16.5" customHeight="1">
      <c r="A220" s="63" t="str">
        <f t="array" ref="A220">IF(C220&lt;&gt;0,SUM(($C$11:C220&lt;&gt;0)*1),"")</f>
        <v/>
      </c>
      <c r="B220" s="290"/>
      <c r="C220" s="290"/>
      <c r="D220" s="290"/>
      <c r="E220" s="396"/>
      <c r="F220" s="345"/>
      <c r="G220" s="347"/>
      <c r="H220" s="347"/>
      <c r="I220" s="63" t="str">
        <f t="shared" si="180"/>
        <v/>
      </c>
      <c r="J220" s="292">
        <f t="shared" si="181"/>
        <v>0</v>
      </c>
      <c r="K220" s="292">
        <f t="shared" si="182"/>
        <v>0</v>
      </c>
      <c r="L220" s="292">
        <f t="shared" si="193"/>
        <v>0</v>
      </c>
      <c r="M220" s="292">
        <f t="shared" si="194"/>
        <v>0</v>
      </c>
      <c r="N220" s="292">
        <f t="shared" si="174"/>
        <v>0</v>
      </c>
      <c r="O220" s="292">
        <f t="shared" si="175"/>
        <v>0</v>
      </c>
      <c r="P220" s="292">
        <f t="shared" si="195"/>
        <v>0</v>
      </c>
      <c r="Q220" s="292">
        <f t="shared" si="196"/>
        <v>0</v>
      </c>
      <c r="R220" s="292">
        <f t="shared" si="197"/>
        <v>0</v>
      </c>
      <c r="S220" s="292">
        <f t="shared" si="198"/>
        <v>0</v>
      </c>
      <c r="T220" s="292">
        <f t="shared" si="176"/>
        <v>0</v>
      </c>
      <c r="U220" s="292">
        <f t="shared" si="177"/>
        <v>0</v>
      </c>
      <c r="V220" s="292">
        <f t="shared" si="199"/>
        <v>0</v>
      </c>
      <c r="W220" s="292">
        <f t="shared" si="200"/>
        <v>0</v>
      </c>
      <c r="X220" s="292">
        <f t="shared" si="201"/>
        <v>0</v>
      </c>
      <c r="Y220" s="292">
        <f t="shared" si="202"/>
        <v>0</v>
      </c>
      <c r="Z220" s="292">
        <f t="shared" si="183"/>
        <v>0</v>
      </c>
      <c r="AA220" s="292">
        <f t="shared" si="184"/>
        <v>0</v>
      </c>
      <c r="AB220" s="292">
        <f t="shared" si="203"/>
        <v>0</v>
      </c>
      <c r="AC220" s="292">
        <f t="shared" si="204"/>
        <v>0</v>
      </c>
      <c r="AD220" s="292">
        <f t="shared" si="185"/>
        <v>0</v>
      </c>
      <c r="AE220" s="292">
        <f t="shared" si="186"/>
        <v>0</v>
      </c>
      <c r="AF220" s="292">
        <f t="shared" si="178"/>
        <v>0</v>
      </c>
      <c r="AG220" s="292">
        <f t="shared" si="179"/>
        <v>0</v>
      </c>
      <c r="AH220" s="292">
        <f t="shared" si="205"/>
        <v>0</v>
      </c>
      <c r="AI220" s="292">
        <f t="shared" si="206"/>
        <v>0</v>
      </c>
      <c r="AJ220" s="292">
        <f t="shared" si="207"/>
        <v>0</v>
      </c>
      <c r="AK220" s="292">
        <f t="shared" si="208"/>
        <v>0</v>
      </c>
      <c r="AL220" s="292">
        <f t="shared" si="209"/>
        <v>0</v>
      </c>
      <c r="AM220" s="292">
        <f t="shared" si="210"/>
        <v>0</v>
      </c>
      <c r="AN220" s="292">
        <f t="shared" si="211"/>
        <v>0</v>
      </c>
      <c r="AO220" s="292">
        <f t="shared" si="212"/>
        <v>0</v>
      </c>
      <c r="AP220" s="292">
        <f t="shared" si="213"/>
        <v>0</v>
      </c>
      <c r="AQ220" s="292">
        <f t="shared" si="214"/>
        <v>0</v>
      </c>
      <c r="AR220" s="292">
        <f t="shared" si="187"/>
        <v>0</v>
      </c>
      <c r="AS220" s="292">
        <f t="shared" si="188"/>
        <v>0</v>
      </c>
      <c r="AT220" s="292">
        <f t="shared" si="215"/>
        <v>0</v>
      </c>
      <c r="AU220" s="292">
        <f t="shared" si="216"/>
        <v>0</v>
      </c>
      <c r="AV220" s="292">
        <f t="shared" si="217"/>
        <v>0</v>
      </c>
      <c r="AW220" s="292">
        <f t="shared" si="218"/>
        <v>0</v>
      </c>
      <c r="AX220" s="292">
        <f t="shared" si="189"/>
        <v>0</v>
      </c>
      <c r="AY220" s="292">
        <f t="shared" si="190"/>
        <v>0</v>
      </c>
      <c r="AZ220" s="292">
        <f t="shared" si="191"/>
        <v>0</v>
      </c>
      <c r="BA220" s="292">
        <f t="shared" si="192"/>
        <v>0</v>
      </c>
    </row>
    <row r="221" spans="1:53" s="289" customFormat="1" ht="16.5" customHeight="1">
      <c r="A221" s="63" t="str">
        <f t="array" ref="A221">IF(C221&lt;&gt;0,SUM(($C$11:C221&lt;&gt;0)*1),"")</f>
        <v/>
      </c>
      <c r="B221" s="290"/>
      <c r="C221" s="290"/>
      <c r="D221" s="290"/>
      <c r="E221" s="396"/>
      <c r="F221" s="345"/>
      <c r="G221" s="347"/>
      <c r="H221" s="347"/>
      <c r="I221" s="63" t="str">
        <f t="shared" si="180"/>
        <v/>
      </c>
      <c r="J221" s="292">
        <f t="shared" si="181"/>
        <v>0</v>
      </c>
      <c r="K221" s="292">
        <f t="shared" si="182"/>
        <v>0</v>
      </c>
      <c r="L221" s="292">
        <f t="shared" si="193"/>
        <v>0</v>
      </c>
      <c r="M221" s="292">
        <f t="shared" si="194"/>
        <v>0</v>
      </c>
      <c r="N221" s="292">
        <f t="shared" si="174"/>
        <v>0</v>
      </c>
      <c r="O221" s="292">
        <f t="shared" si="175"/>
        <v>0</v>
      </c>
      <c r="P221" s="292">
        <f t="shared" si="195"/>
        <v>0</v>
      </c>
      <c r="Q221" s="292">
        <f t="shared" si="196"/>
        <v>0</v>
      </c>
      <c r="R221" s="292">
        <f t="shared" si="197"/>
        <v>0</v>
      </c>
      <c r="S221" s="292">
        <f t="shared" si="198"/>
        <v>0</v>
      </c>
      <c r="T221" s="292">
        <f t="shared" si="176"/>
        <v>0</v>
      </c>
      <c r="U221" s="292">
        <f t="shared" si="177"/>
        <v>0</v>
      </c>
      <c r="V221" s="292">
        <f t="shared" si="199"/>
        <v>0</v>
      </c>
      <c r="W221" s="292">
        <f t="shared" si="200"/>
        <v>0</v>
      </c>
      <c r="X221" s="292">
        <f t="shared" si="201"/>
        <v>0</v>
      </c>
      <c r="Y221" s="292">
        <f t="shared" si="202"/>
        <v>0</v>
      </c>
      <c r="Z221" s="292">
        <f t="shared" si="183"/>
        <v>0</v>
      </c>
      <c r="AA221" s="292">
        <f t="shared" si="184"/>
        <v>0</v>
      </c>
      <c r="AB221" s="292">
        <f t="shared" si="203"/>
        <v>0</v>
      </c>
      <c r="AC221" s="292">
        <f t="shared" si="204"/>
        <v>0</v>
      </c>
      <c r="AD221" s="292">
        <f t="shared" si="185"/>
        <v>0</v>
      </c>
      <c r="AE221" s="292">
        <f t="shared" si="186"/>
        <v>0</v>
      </c>
      <c r="AF221" s="292">
        <f t="shared" si="178"/>
        <v>0</v>
      </c>
      <c r="AG221" s="292">
        <f t="shared" si="179"/>
        <v>0</v>
      </c>
      <c r="AH221" s="292">
        <f t="shared" si="205"/>
        <v>0</v>
      </c>
      <c r="AI221" s="292">
        <f t="shared" si="206"/>
        <v>0</v>
      </c>
      <c r="AJ221" s="292">
        <f t="shared" si="207"/>
        <v>0</v>
      </c>
      <c r="AK221" s="292">
        <f t="shared" si="208"/>
        <v>0</v>
      </c>
      <c r="AL221" s="292">
        <f t="shared" si="209"/>
        <v>0</v>
      </c>
      <c r="AM221" s="292">
        <f t="shared" si="210"/>
        <v>0</v>
      </c>
      <c r="AN221" s="292">
        <f t="shared" si="211"/>
        <v>0</v>
      </c>
      <c r="AO221" s="292">
        <f t="shared" si="212"/>
        <v>0</v>
      </c>
      <c r="AP221" s="292">
        <f t="shared" si="213"/>
        <v>0</v>
      </c>
      <c r="AQ221" s="292">
        <f t="shared" si="214"/>
        <v>0</v>
      </c>
      <c r="AR221" s="292">
        <f t="shared" si="187"/>
        <v>0</v>
      </c>
      <c r="AS221" s="292">
        <f t="shared" si="188"/>
        <v>0</v>
      </c>
      <c r="AT221" s="292">
        <f t="shared" si="215"/>
        <v>0</v>
      </c>
      <c r="AU221" s="292">
        <f t="shared" si="216"/>
        <v>0</v>
      </c>
      <c r="AV221" s="292">
        <f t="shared" si="217"/>
        <v>0</v>
      </c>
      <c r="AW221" s="292">
        <f t="shared" si="218"/>
        <v>0</v>
      </c>
      <c r="AX221" s="292">
        <f t="shared" si="189"/>
        <v>0</v>
      </c>
      <c r="AY221" s="292">
        <f t="shared" si="190"/>
        <v>0</v>
      </c>
      <c r="AZ221" s="292">
        <f t="shared" si="191"/>
        <v>0</v>
      </c>
      <c r="BA221" s="292">
        <f t="shared" si="192"/>
        <v>0</v>
      </c>
    </row>
    <row r="222" spans="1:53" s="289" customFormat="1" ht="16.5" customHeight="1">
      <c r="A222" s="63" t="str">
        <f t="array" ref="A222">IF(C222&lt;&gt;0,SUM(($C$11:C222&lt;&gt;0)*1),"")</f>
        <v/>
      </c>
      <c r="B222" s="290"/>
      <c r="C222" s="290"/>
      <c r="D222" s="290"/>
      <c r="E222" s="396"/>
      <c r="F222" s="345"/>
      <c r="G222" s="347"/>
      <c r="H222" s="347"/>
      <c r="I222" s="63" t="str">
        <f t="shared" si="180"/>
        <v/>
      </c>
      <c r="J222" s="292">
        <f t="shared" si="181"/>
        <v>0</v>
      </c>
      <c r="K222" s="292">
        <f t="shared" si="182"/>
        <v>0</v>
      </c>
      <c r="L222" s="292">
        <f t="shared" si="193"/>
        <v>0</v>
      </c>
      <c r="M222" s="292">
        <f t="shared" si="194"/>
        <v>0</v>
      </c>
      <c r="N222" s="292">
        <f t="shared" si="174"/>
        <v>0</v>
      </c>
      <c r="O222" s="292">
        <f t="shared" si="175"/>
        <v>0</v>
      </c>
      <c r="P222" s="292">
        <f t="shared" si="195"/>
        <v>0</v>
      </c>
      <c r="Q222" s="292">
        <f t="shared" si="196"/>
        <v>0</v>
      </c>
      <c r="R222" s="292">
        <f t="shared" si="197"/>
        <v>0</v>
      </c>
      <c r="S222" s="292">
        <f t="shared" si="198"/>
        <v>0</v>
      </c>
      <c r="T222" s="292">
        <f t="shared" si="176"/>
        <v>0</v>
      </c>
      <c r="U222" s="292">
        <f t="shared" si="177"/>
        <v>0</v>
      </c>
      <c r="V222" s="292">
        <f t="shared" si="199"/>
        <v>0</v>
      </c>
      <c r="W222" s="292">
        <f t="shared" si="200"/>
        <v>0</v>
      </c>
      <c r="X222" s="292">
        <f t="shared" si="201"/>
        <v>0</v>
      </c>
      <c r="Y222" s="292">
        <f t="shared" si="202"/>
        <v>0</v>
      </c>
      <c r="Z222" s="292">
        <f t="shared" si="183"/>
        <v>0</v>
      </c>
      <c r="AA222" s="292">
        <f t="shared" si="184"/>
        <v>0</v>
      </c>
      <c r="AB222" s="292">
        <f t="shared" si="203"/>
        <v>0</v>
      </c>
      <c r="AC222" s="292">
        <f t="shared" si="204"/>
        <v>0</v>
      </c>
      <c r="AD222" s="292">
        <f t="shared" si="185"/>
        <v>0</v>
      </c>
      <c r="AE222" s="292">
        <f t="shared" si="186"/>
        <v>0</v>
      </c>
      <c r="AF222" s="292">
        <f t="shared" si="178"/>
        <v>0</v>
      </c>
      <c r="AG222" s="292">
        <f t="shared" si="179"/>
        <v>0</v>
      </c>
      <c r="AH222" s="292">
        <f t="shared" si="205"/>
        <v>0</v>
      </c>
      <c r="AI222" s="292">
        <f t="shared" si="206"/>
        <v>0</v>
      </c>
      <c r="AJ222" s="292">
        <f t="shared" si="207"/>
        <v>0</v>
      </c>
      <c r="AK222" s="292">
        <f t="shared" si="208"/>
        <v>0</v>
      </c>
      <c r="AL222" s="292">
        <f t="shared" si="209"/>
        <v>0</v>
      </c>
      <c r="AM222" s="292">
        <f t="shared" si="210"/>
        <v>0</v>
      </c>
      <c r="AN222" s="292">
        <f t="shared" si="211"/>
        <v>0</v>
      </c>
      <c r="AO222" s="292">
        <f t="shared" si="212"/>
        <v>0</v>
      </c>
      <c r="AP222" s="292">
        <f t="shared" si="213"/>
        <v>0</v>
      </c>
      <c r="AQ222" s="292">
        <f t="shared" si="214"/>
        <v>0</v>
      </c>
      <c r="AR222" s="292">
        <f t="shared" si="187"/>
        <v>0</v>
      </c>
      <c r="AS222" s="292">
        <f t="shared" si="188"/>
        <v>0</v>
      </c>
      <c r="AT222" s="292">
        <f t="shared" si="215"/>
        <v>0</v>
      </c>
      <c r="AU222" s="292">
        <f t="shared" si="216"/>
        <v>0</v>
      </c>
      <c r="AV222" s="292">
        <f t="shared" si="217"/>
        <v>0</v>
      </c>
      <c r="AW222" s="292">
        <f t="shared" si="218"/>
        <v>0</v>
      </c>
      <c r="AX222" s="292">
        <f t="shared" si="189"/>
        <v>0</v>
      </c>
      <c r="AY222" s="292">
        <f t="shared" si="190"/>
        <v>0</v>
      </c>
      <c r="AZ222" s="292">
        <f t="shared" si="191"/>
        <v>0</v>
      </c>
      <c r="BA222" s="292">
        <f t="shared" si="192"/>
        <v>0</v>
      </c>
    </row>
    <row r="223" spans="1:53" s="289" customFormat="1" ht="16.5" customHeight="1">
      <c r="A223" s="63" t="str">
        <f t="array" ref="A223">IF(C223&lt;&gt;0,SUM(($C$11:C223&lt;&gt;0)*1),"")</f>
        <v/>
      </c>
      <c r="B223" s="290"/>
      <c r="C223" s="290"/>
      <c r="D223" s="290"/>
      <c r="E223" s="396"/>
      <c r="F223" s="345"/>
      <c r="G223" s="347"/>
      <c r="H223" s="347"/>
      <c r="I223" s="63" t="str">
        <f t="shared" si="180"/>
        <v/>
      </c>
      <c r="J223" s="292">
        <f t="shared" si="181"/>
        <v>0</v>
      </c>
      <c r="K223" s="292">
        <f t="shared" si="182"/>
        <v>0</v>
      </c>
      <c r="L223" s="292">
        <f t="shared" si="193"/>
        <v>0</v>
      </c>
      <c r="M223" s="292">
        <f t="shared" si="194"/>
        <v>0</v>
      </c>
      <c r="N223" s="292">
        <f t="shared" si="174"/>
        <v>0</v>
      </c>
      <c r="O223" s="292">
        <f t="shared" si="175"/>
        <v>0</v>
      </c>
      <c r="P223" s="292">
        <f t="shared" si="195"/>
        <v>0</v>
      </c>
      <c r="Q223" s="292">
        <f t="shared" si="196"/>
        <v>0</v>
      </c>
      <c r="R223" s="292">
        <f t="shared" si="197"/>
        <v>0</v>
      </c>
      <c r="S223" s="292">
        <f t="shared" si="198"/>
        <v>0</v>
      </c>
      <c r="T223" s="292">
        <f t="shared" si="176"/>
        <v>0</v>
      </c>
      <c r="U223" s="292">
        <f t="shared" si="177"/>
        <v>0</v>
      </c>
      <c r="V223" s="292">
        <f t="shared" si="199"/>
        <v>0</v>
      </c>
      <c r="W223" s="292">
        <f t="shared" si="200"/>
        <v>0</v>
      </c>
      <c r="X223" s="292">
        <f t="shared" si="201"/>
        <v>0</v>
      </c>
      <c r="Y223" s="292">
        <f t="shared" si="202"/>
        <v>0</v>
      </c>
      <c r="Z223" s="292">
        <f t="shared" si="183"/>
        <v>0</v>
      </c>
      <c r="AA223" s="292">
        <f t="shared" si="184"/>
        <v>0</v>
      </c>
      <c r="AB223" s="292">
        <f t="shared" si="203"/>
        <v>0</v>
      </c>
      <c r="AC223" s="292">
        <f t="shared" si="204"/>
        <v>0</v>
      </c>
      <c r="AD223" s="292">
        <f t="shared" si="185"/>
        <v>0</v>
      </c>
      <c r="AE223" s="292">
        <f t="shared" si="186"/>
        <v>0</v>
      </c>
      <c r="AF223" s="292">
        <f t="shared" si="178"/>
        <v>0</v>
      </c>
      <c r="AG223" s="292">
        <f t="shared" si="179"/>
        <v>0</v>
      </c>
      <c r="AH223" s="292">
        <f t="shared" si="205"/>
        <v>0</v>
      </c>
      <c r="AI223" s="292">
        <f t="shared" si="206"/>
        <v>0</v>
      </c>
      <c r="AJ223" s="292">
        <f t="shared" si="207"/>
        <v>0</v>
      </c>
      <c r="AK223" s="292">
        <f t="shared" si="208"/>
        <v>0</v>
      </c>
      <c r="AL223" s="292">
        <f t="shared" si="209"/>
        <v>0</v>
      </c>
      <c r="AM223" s="292">
        <f t="shared" si="210"/>
        <v>0</v>
      </c>
      <c r="AN223" s="292">
        <f t="shared" si="211"/>
        <v>0</v>
      </c>
      <c r="AO223" s="292">
        <f t="shared" si="212"/>
        <v>0</v>
      </c>
      <c r="AP223" s="292">
        <f t="shared" si="213"/>
        <v>0</v>
      </c>
      <c r="AQ223" s="292">
        <f t="shared" si="214"/>
        <v>0</v>
      </c>
      <c r="AR223" s="292">
        <f t="shared" si="187"/>
        <v>0</v>
      </c>
      <c r="AS223" s="292">
        <f t="shared" si="188"/>
        <v>0</v>
      </c>
      <c r="AT223" s="292">
        <f t="shared" si="215"/>
        <v>0</v>
      </c>
      <c r="AU223" s="292">
        <f t="shared" si="216"/>
        <v>0</v>
      </c>
      <c r="AV223" s="292">
        <f t="shared" si="217"/>
        <v>0</v>
      </c>
      <c r="AW223" s="292">
        <f t="shared" si="218"/>
        <v>0</v>
      </c>
      <c r="AX223" s="292">
        <f t="shared" si="189"/>
        <v>0</v>
      </c>
      <c r="AY223" s="292">
        <f t="shared" si="190"/>
        <v>0</v>
      </c>
      <c r="AZ223" s="292">
        <f t="shared" si="191"/>
        <v>0</v>
      </c>
      <c r="BA223" s="292">
        <f t="shared" si="192"/>
        <v>0</v>
      </c>
    </row>
    <row r="224" spans="1:53" s="289" customFormat="1" ht="16.5" customHeight="1">
      <c r="A224" s="63" t="str">
        <f t="array" ref="A224">IF(C224&lt;&gt;0,SUM(($C$11:C224&lt;&gt;0)*1),"")</f>
        <v/>
      </c>
      <c r="B224" s="290"/>
      <c r="C224" s="290"/>
      <c r="D224" s="290"/>
      <c r="E224" s="396"/>
      <c r="F224" s="345"/>
      <c r="G224" s="347"/>
      <c r="H224" s="347"/>
      <c r="I224" s="63" t="str">
        <f t="shared" si="180"/>
        <v/>
      </c>
      <c r="J224" s="292">
        <f t="shared" si="181"/>
        <v>0</v>
      </c>
      <c r="K224" s="292">
        <f t="shared" si="182"/>
        <v>0</v>
      </c>
      <c r="L224" s="292">
        <f t="shared" si="193"/>
        <v>0</v>
      </c>
      <c r="M224" s="292">
        <f t="shared" si="194"/>
        <v>0</v>
      </c>
      <c r="N224" s="292">
        <f t="shared" si="174"/>
        <v>0</v>
      </c>
      <c r="O224" s="292">
        <f t="shared" si="175"/>
        <v>0</v>
      </c>
      <c r="P224" s="292">
        <f t="shared" si="195"/>
        <v>0</v>
      </c>
      <c r="Q224" s="292">
        <f t="shared" si="196"/>
        <v>0</v>
      </c>
      <c r="R224" s="292">
        <f t="shared" si="197"/>
        <v>0</v>
      </c>
      <c r="S224" s="292">
        <f t="shared" si="198"/>
        <v>0</v>
      </c>
      <c r="T224" s="292">
        <f t="shared" si="176"/>
        <v>0</v>
      </c>
      <c r="U224" s="292">
        <f t="shared" si="177"/>
        <v>0</v>
      </c>
      <c r="V224" s="292">
        <f t="shared" si="199"/>
        <v>0</v>
      </c>
      <c r="W224" s="292">
        <f t="shared" si="200"/>
        <v>0</v>
      </c>
      <c r="X224" s="292">
        <f t="shared" si="201"/>
        <v>0</v>
      </c>
      <c r="Y224" s="292">
        <f t="shared" si="202"/>
        <v>0</v>
      </c>
      <c r="Z224" s="292">
        <f t="shared" si="183"/>
        <v>0</v>
      </c>
      <c r="AA224" s="292">
        <f t="shared" si="184"/>
        <v>0</v>
      </c>
      <c r="AB224" s="292">
        <f t="shared" si="203"/>
        <v>0</v>
      </c>
      <c r="AC224" s="292">
        <f t="shared" si="204"/>
        <v>0</v>
      </c>
      <c r="AD224" s="292">
        <f t="shared" si="185"/>
        <v>0</v>
      </c>
      <c r="AE224" s="292">
        <f t="shared" si="186"/>
        <v>0</v>
      </c>
      <c r="AF224" s="292">
        <f t="shared" si="178"/>
        <v>0</v>
      </c>
      <c r="AG224" s="292">
        <f t="shared" si="179"/>
        <v>0</v>
      </c>
      <c r="AH224" s="292">
        <f t="shared" si="205"/>
        <v>0</v>
      </c>
      <c r="AI224" s="292">
        <f t="shared" si="206"/>
        <v>0</v>
      </c>
      <c r="AJ224" s="292">
        <f t="shared" si="207"/>
        <v>0</v>
      </c>
      <c r="AK224" s="292">
        <f t="shared" si="208"/>
        <v>0</v>
      </c>
      <c r="AL224" s="292">
        <f t="shared" si="209"/>
        <v>0</v>
      </c>
      <c r="AM224" s="292">
        <f t="shared" si="210"/>
        <v>0</v>
      </c>
      <c r="AN224" s="292">
        <f t="shared" si="211"/>
        <v>0</v>
      </c>
      <c r="AO224" s="292">
        <f t="shared" si="212"/>
        <v>0</v>
      </c>
      <c r="AP224" s="292">
        <f t="shared" si="213"/>
        <v>0</v>
      </c>
      <c r="AQ224" s="292">
        <f t="shared" si="214"/>
        <v>0</v>
      </c>
      <c r="AR224" s="292">
        <f t="shared" si="187"/>
        <v>0</v>
      </c>
      <c r="AS224" s="292">
        <f t="shared" si="188"/>
        <v>0</v>
      </c>
      <c r="AT224" s="292">
        <f t="shared" si="215"/>
        <v>0</v>
      </c>
      <c r="AU224" s="292">
        <f t="shared" si="216"/>
        <v>0</v>
      </c>
      <c r="AV224" s="292">
        <f t="shared" si="217"/>
        <v>0</v>
      </c>
      <c r="AW224" s="292">
        <f t="shared" si="218"/>
        <v>0</v>
      </c>
      <c r="AX224" s="292">
        <f t="shared" si="189"/>
        <v>0</v>
      </c>
      <c r="AY224" s="292">
        <f t="shared" si="190"/>
        <v>0</v>
      </c>
      <c r="AZ224" s="292">
        <f t="shared" si="191"/>
        <v>0</v>
      </c>
      <c r="BA224" s="292">
        <f t="shared" si="192"/>
        <v>0</v>
      </c>
    </row>
    <row r="225" spans="1:53" s="289" customFormat="1" ht="16.5" customHeight="1">
      <c r="A225" s="63" t="str">
        <f t="array" ref="A225">IF(C225&lt;&gt;0,SUM(($C$11:C225&lt;&gt;0)*1),"")</f>
        <v/>
      </c>
      <c r="B225" s="290"/>
      <c r="C225" s="290"/>
      <c r="D225" s="290"/>
      <c r="E225" s="396"/>
      <c r="F225" s="345"/>
      <c r="G225" s="347"/>
      <c r="H225" s="347"/>
      <c r="I225" s="63" t="str">
        <f t="shared" si="180"/>
        <v/>
      </c>
      <c r="J225" s="292">
        <f t="shared" si="181"/>
        <v>0</v>
      </c>
      <c r="K225" s="292">
        <f t="shared" si="182"/>
        <v>0</v>
      </c>
      <c r="L225" s="292">
        <f t="shared" si="193"/>
        <v>0</v>
      </c>
      <c r="M225" s="292">
        <f t="shared" si="194"/>
        <v>0</v>
      </c>
      <c r="N225" s="292">
        <f t="shared" si="174"/>
        <v>0</v>
      </c>
      <c r="O225" s="292">
        <f t="shared" si="175"/>
        <v>0</v>
      </c>
      <c r="P225" s="292">
        <f t="shared" si="195"/>
        <v>0</v>
      </c>
      <c r="Q225" s="292">
        <f t="shared" si="196"/>
        <v>0</v>
      </c>
      <c r="R225" s="292">
        <f t="shared" si="197"/>
        <v>0</v>
      </c>
      <c r="S225" s="292">
        <f t="shared" si="198"/>
        <v>0</v>
      </c>
      <c r="T225" s="292">
        <f t="shared" si="176"/>
        <v>0</v>
      </c>
      <c r="U225" s="292">
        <f t="shared" si="177"/>
        <v>0</v>
      </c>
      <c r="V225" s="292">
        <f t="shared" si="199"/>
        <v>0</v>
      </c>
      <c r="W225" s="292">
        <f t="shared" si="200"/>
        <v>0</v>
      </c>
      <c r="X225" s="292">
        <f t="shared" si="201"/>
        <v>0</v>
      </c>
      <c r="Y225" s="292">
        <f t="shared" si="202"/>
        <v>0</v>
      </c>
      <c r="Z225" s="292">
        <f t="shared" si="183"/>
        <v>0</v>
      </c>
      <c r="AA225" s="292">
        <f t="shared" si="184"/>
        <v>0</v>
      </c>
      <c r="AB225" s="292">
        <f t="shared" si="203"/>
        <v>0</v>
      </c>
      <c r="AC225" s="292">
        <f t="shared" si="204"/>
        <v>0</v>
      </c>
      <c r="AD225" s="292">
        <f t="shared" si="185"/>
        <v>0</v>
      </c>
      <c r="AE225" s="292">
        <f t="shared" si="186"/>
        <v>0</v>
      </c>
      <c r="AF225" s="292">
        <f t="shared" si="178"/>
        <v>0</v>
      </c>
      <c r="AG225" s="292">
        <f t="shared" si="179"/>
        <v>0</v>
      </c>
      <c r="AH225" s="292">
        <f t="shared" si="205"/>
        <v>0</v>
      </c>
      <c r="AI225" s="292">
        <f t="shared" si="206"/>
        <v>0</v>
      </c>
      <c r="AJ225" s="292">
        <f t="shared" si="207"/>
        <v>0</v>
      </c>
      <c r="AK225" s="292">
        <f t="shared" si="208"/>
        <v>0</v>
      </c>
      <c r="AL225" s="292">
        <f t="shared" si="209"/>
        <v>0</v>
      </c>
      <c r="AM225" s="292">
        <f t="shared" si="210"/>
        <v>0</v>
      </c>
      <c r="AN225" s="292">
        <f t="shared" si="211"/>
        <v>0</v>
      </c>
      <c r="AO225" s="292">
        <f t="shared" si="212"/>
        <v>0</v>
      </c>
      <c r="AP225" s="292">
        <f t="shared" si="213"/>
        <v>0</v>
      </c>
      <c r="AQ225" s="292">
        <f t="shared" si="214"/>
        <v>0</v>
      </c>
      <c r="AR225" s="292">
        <f t="shared" si="187"/>
        <v>0</v>
      </c>
      <c r="AS225" s="292">
        <f t="shared" si="188"/>
        <v>0</v>
      </c>
      <c r="AT225" s="292">
        <f t="shared" si="215"/>
        <v>0</v>
      </c>
      <c r="AU225" s="292">
        <f t="shared" si="216"/>
        <v>0</v>
      </c>
      <c r="AV225" s="292">
        <f t="shared" si="217"/>
        <v>0</v>
      </c>
      <c r="AW225" s="292">
        <f t="shared" si="218"/>
        <v>0</v>
      </c>
      <c r="AX225" s="292">
        <f t="shared" si="189"/>
        <v>0</v>
      </c>
      <c r="AY225" s="292">
        <f t="shared" si="190"/>
        <v>0</v>
      </c>
      <c r="AZ225" s="292">
        <f t="shared" si="191"/>
        <v>0</v>
      </c>
      <c r="BA225" s="292">
        <f t="shared" si="192"/>
        <v>0</v>
      </c>
    </row>
    <row r="226" spans="1:53" s="289" customFormat="1" ht="16.5" customHeight="1">
      <c r="A226" s="63" t="str">
        <f t="array" ref="A226">IF(C226&lt;&gt;0,SUM(($C$11:C226&lt;&gt;0)*1),"")</f>
        <v/>
      </c>
      <c r="B226" s="290"/>
      <c r="C226" s="290"/>
      <c r="D226" s="290"/>
      <c r="E226" s="396"/>
      <c r="F226" s="345"/>
      <c r="G226" s="347"/>
      <c r="H226" s="347"/>
      <c r="I226" s="63" t="str">
        <f t="shared" si="180"/>
        <v/>
      </c>
      <c r="J226" s="292">
        <f t="shared" si="181"/>
        <v>0</v>
      </c>
      <c r="K226" s="292">
        <f t="shared" si="182"/>
        <v>0</v>
      </c>
      <c r="L226" s="292">
        <f t="shared" si="193"/>
        <v>0</v>
      </c>
      <c r="M226" s="292">
        <f t="shared" si="194"/>
        <v>0</v>
      </c>
      <c r="N226" s="292">
        <f t="shared" si="174"/>
        <v>0</v>
      </c>
      <c r="O226" s="292">
        <f t="shared" si="175"/>
        <v>0</v>
      </c>
      <c r="P226" s="292">
        <f t="shared" si="195"/>
        <v>0</v>
      </c>
      <c r="Q226" s="292">
        <f t="shared" si="196"/>
        <v>0</v>
      </c>
      <c r="R226" s="292">
        <f t="shared" si="197"/>
        <v>0</v>
      </c>
      <c r="S226" s="292">
        <f t="shared" si="198"/>
        <v>0</v>
      </c>
      <c r="T226" s="292">
        <f t="shared" si="176"/>
        <v>0</v>
      </c>
      <c r="U226" s="292">
        <f t="shared" si="177"/>
        <v>0</v>
      </c>
      <c r="V226" s="292">
        <f t="shared" si="199"/>
        <v>0</v>
      </c>
      <c r="W226" s="292">
        <f t="shared" si="200"/>
        <v>0</v>
      </c>
      <c r="X226" s="292">
        <f t="shared" si="201"/>
        <v>0</v>
      </c>
      <c r="Y226" s="292">
        <f t="shared" si="202"/>
        <v>0</v>
      </c>
      <c r="Z226" s="292">
        <f t="shared" si="183"/>
        <v>0</v>
      </c>
      <c r="AA226" s="292">
        <f t="shared" si="184"/>
        <v>0</v>
      </c>
      <c r="AB226" s="292">
        <f t="shared" si="203"/>
        <v>0</v>
      </c>
      <c r="AC226" s="292">
        <f t="shared" si="204"/>
        <v>0</v>
      </c>
      <c r="AD226" s="292">
        <f t="shared" si="185"/>
        <v>0</v>
      </c>
      <c r="AE226" s="292">
        <f t="shared" si="186"/>
        <v>0</v>
      </c>
      <c r="AF226" s="292">
        <f t="shared" si="178"/>
        <v>0</v>
      </c>
      <c r="AG226" s="292">
        <f t="shared" si="179"/>
        <v>0</v>
      </c>
      <c r="AH226" s="292">
        <f t="shared" si="205"/>
        <v>0</v>
      </c>
      <c r="AI226" s="292">
        <f t="shared" si="206"/>
        <v>0</v>
      </c>
      <c r="AJ226" s="292">
        <f t="shared" si="207"/>
        <v>0</v>
      </c>
      <c r="AK226" s="292">
        <f t="shared" si="208"/>
        <v>0</v>
      </c>
      <c r="AL226" s="292">
        <f t="shared" si="209"/>
        <v>0</v>
      </c>
      <c r="AM226" s="292">
        <f t="shared" si="210"/>
        <v>0</v>
      </c>
      <c r="AN226" s="292">
        <f t="shared" si="211"/>
        <v>0</v>
      </c>
      <c r="AO226" s="292">
        <f t="shared" si="212"/>
        <v>0</v>
      </c>
      <c r="AP226" s="292">
        <f t="shared" si="213"/>
        <v>0</v>
      </c>
      <c r="AQ226" s="292">
        <f t="shared" si="214"/>
        <v>0</v>
      </c>
      <c r="AR226" s="292">
        <f t="shared" si="187"/>
        <v>0</v>
      </c>
      <c r="AS226" s="292">
        <f t="shared" si="188"/>
        <v>0</v>
      </c>
      <c r="AT226" s="292">
        <f t="shared" si="215"/>
        <v>0</v>
      </c>
      <c r="AU226" s="292">
        <f t="shared" si="216"/>
        <v>0</v>
      </c>
      <c r="AV226" s="292">
        <f t="shared" si="217"/>
        <v>0</v>
      </c>
      <c r="AW226" s="292">
        <f t="shared" si="218"/>
        <v>0</v>
      </c>
      <c r="AX226" s="292">
        <f t="shared" si="189"/>
        <v>0</v>
      </c>
      <c r="AY226" s="292">
        <f t="shared" si="190"/>
        <v>0</v>
      </c>
      <c r="AZ226" s="292">
        <f t="shared" si="191"/>
        <v>0</v>
      </c>
      <c r="BA226" s="292">
        <f t="shared" si="192"/>
        <v>0</v>
      </c>
    </row>
    <row r="227" spans="1:53" s="289" customFormat="1" ht="16.5" customHeight="1">
      <c r="A227" s="63" t="str">
        <f t="array" ref="A227">IF(C227&lt;&gt;0,SUM(($C$11:C227&lt;&gt;0)*1),"")</f>
        <v/>
      </c>
      <c r="B227" s="290"/>
      <c r="C227" s="290"/>
      <c r="D227" s="290"/>
      <c r="E227" s="396"/>
      <c r="F227" s="345"/>
      <c r="G227" s="347"/>
      <c r="H227" s="347"/>
      <c r="I227" s="63" t="str">
        <f t="shared" si="180"/>
        <v/>
      </c>
      <c r="J227" s="292">
        <f t="shared" si="181"/>
        <v>0</v>
      </c>
      <c r="K227" s="292">
        <f t="shared" si="182"/>
        <v>0</v>
      </c>
      <c r="L227" s="292">
        <f t="shared" si="193"/>
        <v>0</v>
      </c>
      <c r="M227" s="292">
        <f t="shared" si="194"/>
        <v>0</v>
      </c>
      <c r="N227" s="292">
        <f t="shared" si="174"/>
        <v>0</v>
      </c>
      <c r="O227" s="292">
        <f t="shared" si="175"/>
        <v>0</v>
      </c>
      <c r="P227" s="292">
        <f t="shared" si="195"/>
        <v>0</v>
      </c>
      <c r="Q227" s="292">
        <f t="shared" si="196"/>
        <v>0</v>
      </c>
      <c r="R227" s="292">
        <f t="shared" si="197"/>
        <v>0</v>
      </c>
      <c r="S227" s="292">
        <f t="shared" si="198"/>
        <v>0</v>
      </c>
      <c r="T227" s="292">
        <f t="shared" si="176"/>
        <v>0</v>
      </c>
      <c r="U227" s="292">
        <f t="shared" si="177"/>
        <v>0</v>
      </c>
      <c r="V227" s="292">
        <f t="shared" si="199"/>
        <v>0</v>
      </c>
      <c r="W227" s="292">
        <f t="shared" si="200"/>
        <v>0</v>
      </c>
      <c r="X227" s="292">
        <f t="shared" si="201"/>
        <v>0</v>
      </c>
      <c r="Y227" s="292">
        <f t="shared" si="202"/>
        <v>0</v>
      </c>
      <c r="Z227" s="292">
        <f t="shared" si="183"/>
        <v>0</v>
      </c>
      <c r="AA227" s="292">
        <f t="shared" si="184"/>
        <v>0</v>
      </c>
      <c r="AB227" s="292">
        <f t="shared" si="203"/>
        <v>0</v>
      </c>
      <c r="AC227" s="292">
        <f t="shared" si="204"/>
        <v>0</v>
      </c>
      <c r="AD227" s="292">
        <f t="shared" si="185"/>
        <v>0</v>
      </c>
      <c r="AE227" s="292">
        <f t="shared" si="186"/>
        <v>0</v>
      </c>
      <c r="AF227" s="292">
        <f t="shared" si="178"/>
        <v>0</v>
      </c>
      <c r="AG227" s="292">
        <f t="shared" si="179"/>
        <v>0</v>
      </c>
      <c r="AH227" s="292">
        <f t="shared" si="205"/>
        <v>0</v>
      </c>
      <c r="AI227" s="292">
        <f t="shared" si="206"/>
        <v>0</v>
      </c>
      <c r="AJ227" s="292">
        <f t="shared" si="207"/>
        <v>0</v>
      </c>
      <c r="AK227" s="292">
        <f t="shared" si="208"/>
        <v>0</v>
      </c>
      <c r="AL227" s="292">
        <f t="shared" si="209"/>
        <v>0</v>
      </c>
      <c r="AM227" s="292">
        <f t="shared" si="210"/>
        <v>0</v>
      </c>
      <c r="AN227" s="292">
        <f t="shared" si="211"/>
        <v>0</v>
      </c>
      <c r="AO227" s="292">
        <f t="shared" si="212"/>
        <v>0</v>
      </c>
      <c r="AP227" s="292">
        <f t="shared" si="213"/>
        <v>0</v>
      </c>
      <c r="AQ227" s="292">
        <f t="shared" si="214"/>
        <v>0</v>
      </c>
      <c r="AR227" s="292">
        <f t="shared" si="187"/>
        <v>0</v>
      </c>
      <c r="AS227" s="292">
        <f t="shared" si="188"/>
        <v>0</v>
      </c>
      <c r="AT227" s="292">
        <f t="shared" si="215"/>
        <v>0</v>
      </c>
      <c r="AU227" s="292">
        <f t="shared" si="216"/>
        <v>0</v>
      </c>
      <c r="AV227" s="292">
        <f t="shared" si="217"/>
        <v>0</v>
      </c>
      <c r="AW227" s="292">
        <f t="shared" si="218"/>
        <v>0</v>
      </c>
      <c r="AX227" s="292">
        <f t="shared" si="189"/>
        <v>0</v>
      </c>
      <c r="AY227" s="292">
        <f t="shared" si="190"/>
        <v>0</v>
      </c>
      <c r="AZ227" s="292">
        <f t="shared" si="191"/>
        <v>0</v>
      </c>
      <c r="BA227" s="292">
        <f t="shared" si="192"/>
        <v>0</v>
      </c>
    </row>
    <row r="228" spans="1:53" s="289" customFormat="1" ht="16.5" customHeight="1">
      <c r="A228" s="63" t="str">
        <f t="array" ref="A228">IF(C228&lt;&gt;0,SUM(($C$11:C228&lt;&gt;0)*1),"")</f>
        <v/>
      </c>
      <c r="B228" s="290"/>
      <c r="C228" s="290"/>
      <c r="D228" s="290"/>
      <c r="E228" s="396"/>
      <c r="F228" s="345"/>
      <c r="G228" s="347"/>
      <c r="H228" s="347"/>
      <c r="I228" s="63" t="str">
        <f t="shared" si="180"/>
        <v/>
      </c>
      <c r="J228" s="292">
        <f t="shared" si="181"/>
        <v>0</v>
      </c>
      <c r="K228" s="292">
        <f t="shared" si="182"/>
        <v>0</v>
      </c>
      <c r="L228" s="292">
        <f t="shared" si="193"/>
        <v>0</v>
      </c>
      <c r="M228" s="292">
        <f t="shared" si="194"/>
        <v>0</v>
      </c>
      <c r="N228" s="292">
        <f t="shared" si="174"/>
        <v>0</v>
      </c>
      <c r="O228" s="292">
        <f t="shared" si="175"/>
        <v>0</v>
      </c>
      <c r="P228" s="292">
        <f t="shared" si="195"/>
        <v>0</v>
      </c>
      <c r="Q228" s="292">
        <f t="shared" si="196"/>
        <v>0</v>
      </c>
      <c r="R228" s="292">
        <f t="shared" si="197"/>
        <v>0</v>
      </c>
      <c r="S228" s="292">
        <f t="shared" si="198"/>
        <v>0</v>
      </c>
      <c r="T228" s="292">
        <f t="shared" si="176"/>
        <v>0</v>
      </c>
      <c r="U228" s="292">
        <f t="shared" si="177"/>
        <v>0</v>
      </c>
      <c r="V228" s="292">
        <f t="shared" si="199"/>
        <v>0</v>
      </c>
      <c r="W228" s="292">
        <f t="shared" si="200"/>
        <v>0</v>
      </c>
      <c r="X228" s="292">
        <f t="shared" si="201"/>
        <v>0</v>
      </c>
      <c r="Y228" s="292">
        <f t="shared" si="202"/>
        <v>0</v>
      </c>
      <c r="Z228" s="292">
        <f t="shared" si="183"/>
        <v>0</v>
      </c>
      <c r="AA228" s="292">
        <f t="shared" si="184"/>
        <v>0</v>
      </c>
      <c r="AB228" s="292">
        <f t="shared" si="203"/>
        <v>0</v>
      </c>
      <c r="AC228" s="292">
        <f t="shared" si="204"/>
        <v>0</v>
      </c>
      <c r="AD228" s="292">
        <f t="shared" si="185"/>
        <v>0</v>
      </c>
      <c r="AE228" s="292">
        <f t="shared" si="186"/>
        <v>0</v>
      </c>
      <c r="AF228" s="292">
        <f t="shared" si="178"/>
        <v>0</v>
      </c>
      <c r="AG228" s="292">
        <f t="shared" si="179"/>
        <v>0</v>
      </c>
      <c r="AH228" s="292">
        <f t="shared" si="205"/>
        <v>0</v>
      </c>
      <c r="AI228" s="292">
        <f t="shared" si="206"/>
        <v>0</v>
      </c>
      <c r="AJ228" s="292">
        <f t="shared" si="207"/>
        <v>0</v>
      </c>
      <c r="AK228" s="292">
        <f t="shared" si="208"/>
        <v>0</v>
      </c>
      <c r="AL228" s="292">
        <f t="shared" si="209"/>
        <v>0</v>
      </c>
      <c r="AM228" s="292">
        <f t="shared" si="210"/>
        <v>0</v>
      </c>
      <c r="AN228" s="292">
        <f t="shared" si="211"/>
        <v>0</v>
      </c>
      <c r="AO228" s="292">
        <f t="shared" si="212"/>
        <v>0</v>
      </c>
      <c r="AP228" s="292">
        <f t="shared" si="213"/>
        <v>0</v>
      </c>
      <c r="AQ228" s="292">
        <f t="shared" si="214"/>
        <v>0</v>
      </c>
      <c r="AR228" s="292">
        <f t="shared" si="187"/>
        <v>0</v>
      </c>
      <c r="AS228" s="292">
        <f t="shared" si="188"/>
        <v>0</v>
      </c>
      <c r="AT228" s="292">
        <f t="shared" si="215"/>
        <v>0</v>
      </c>
      <c r="AU228" s="292">
        <f t="shared" si="216"/>
        <v>0</v>
      </c>
      <c r="AV228" s="292">
        <f t="shared" si="217"/>
        <v>0</v>
      </c>
      <c r="AW228" s="292">
        <f t="shared" si="218"/>
        <v>0</v>
      </c>
      <c r="AX228" s="292">
        <f t="shared" si="189"/>
        <v>0</v>
      </c>
      <c r="AY228" s="292">
        <f t="shared" si="190"/>
        <v>0</v>
      </c>
      <c r="AZ228" s="292">
        <f t="shared" si="191"/>
        <v>0</v>
      </c>
      <c r="BA228" s="292">
        <f t="shared" si="192"/>
        <v>0</v>
      </c>
    </row>
    <row r="229" spans="1:53" s="289" customFormat="1" ht="16.5" customHeight="1">
      <c r="A229" s="63" t="str">
        <f t="array" ref="A229">IF(C229&lt;&gt;0,SUM(($C$11:C229&lt;&gt;0)*1),"")</f>
        <v/>
      </c>
      <c r="B229" s="290"/>
      <c r="C229" s="290"/>
      <c r="D229" s="290"/>
      <c r="E229" s="396"/>
      <c r="F229" s="345"/>
      <c r="G229" s="347"/>
      <c r="H229" s="347"/>
      <c r="I229" s="63" t="str">
        <f t="shared" si="180"/>
        <v/>
      </c>
      <c r="J229" s="292">
        <f t="shared" si="181"/>
        <v>0</v>
      </c>
      <c r="K229" s="292">
        <f t="shared" si="182"/>
        <v>0</v>
      </c>
      <c r="L229" s="292">
        <f t="shared" si="193"/>
        <v>0</v>
      </c>
      <c r="M229" s="292">
        <f t="shared" si="194"/>
        <v>0</v>
      </c>
      <c r="N229" s="292">
        <f t="shared" si="174"/>
        <v>0</v>
      </c>
      <c r="O229" s="292">
        <f t="shared" si="175"/>
        <v>0</v>
      </c>
      <c r="P229" s="292">
        <f t="shared" si="195"/>
        <v>0</v>
      </c>
      <c r="Q229" s="292">
        <f t="shared" si="196"/>
        <v>0</v>
      </c>
      <c r="R229" s="292">
        <f t="shared" si="197"/>
        <v>0</v>
      </c>
      <c r="S229" s="292">
        <f t="shared" si="198"/>
        <v>0</v>
      </c>
      <c r="T229" s="292">
        <f t="shared" si="176"/>
        <v>0</v>
      </c>
      <c r="U229" s="292">
        <f t="shared" si="177"/>
        <v>0</v>
      </c>
      <c r="V229" s="292">
        <f t="shared" si="199"/>
        <v>0</v>
      </c>
      <c r="W229" s="292">
        <f t="shared" si="200"/>
        <v>0</v>
      </c>
      <c r="X229" s="292">
        <f t="shared" si="201"/>
        <v>0</v>
      </c>
      <c r="Y229" s="292">
        <f t="shared" si="202"/>
        <v>0</v>
      </c>
      <c r="Z229" s="292">
        <f t="shared" si="183"/>
        <v>0</v>
      </c>
      <c r="AA229" s="292">
        <f t="shared" si="184"/>
        <v>0</v>
      </c>
      <c r="AB229" s="292">
        <f t="shared" si="203"/>
        <v>0</v>
      </c>
      <c r="AC229" s="292">
        <f t="shared" si="204"/>
        <v>0</v>
      </c>
      <c r="AD229" s="292">
        <f t="shared" si="185"/>
        <v>0</v>
      </c>
      <c r="AE229" s="292">
        <f t="shared" si="186"/>
        <v>0</v>
      </c>
      <c r="AF229" s="292">
        <f t="shared" si="178"/>
        <v>0</v>
      </c>
      <c r="AG229" s="292">
        <f t="shared" si="179"/>
        <v>0</v>
      </c>
      <c r="AH229" s="292">
        <f t="shared" si="205"/>
        <v>0</v>
      </c>
      <c r="AI229" s="292">
        <f t="shared" si="206"/>
        <v>0</v>
      </c>
      <c r="AJ229" s="292">
        <f t="shared" si="207"/>
        <v>0</v>
      </c>
      <c r="AK229" s="292">
        <f t="shared" si="208"/>
        <v>0</v>
      </c>
      <c r="AL229" s="292">
        <f t="shared" si="209"/>
        <v>0</v>
      </c>
      <c r="AM229" s="292">
        <f t="shared" si="210"/>
        <v>0</v>
      </c>
      <c r="AN229" s="292">
        <f t="shared" si="211"/>
        <v>0</v>
      </c>
      <c r="AO229" s="292">
        <f t="shared" si="212"/>
        <v>0</v>
      </c>
      <c r="AP229" s="292">
        <f t="shared" si="213"/>
        <v>0</v>
      </c>
      <c r="AQ229" s="292">
        <f t="shared" si="214"/>
        <v>0</v>
      </c>
      <c r="AR229" s="292">
        <f t="shared" si="187"/>
        <v>0</v>
      </c>
      <c r="AS229" s="292">
        <f t="shared" si="188"/>
        <v>0</v>
      </c>
      <c r="AT229" s="292">
        <f t="shared" si="215"/>
        <v>0</v>
      </c>
      <c r="AU229" s="292">
        <f t="shared" si="216"/>
        <v>0</v>
      </c>
      <c r="AV229" s="292">
        <f t="shared" si="217"/>
        <v>0</v>
      </c>
      <c r="AW229" s="292">
        <f t="shared" si="218"/>
        <v>0</v>
      </c>
      <c r="AX229" s="292">
        <f t="shared" si="189"/>
        <v>0</v>
      </c>
      <c r="AY229" s="292">
        <f t="shared" si="190"/>
        <v>0</v>
      </c>
      <c r="AZ229" s="292">
        <f t="shared" si="191"/>
        <v>0</v>
      </c>
      <c r="BA229" s="292">
        <f t="shared" si="192"/>
        <v>0</v>
      </c>
    </row>
    <row r="230" spans="1:53" s="289" customFormat="1" ht="16.5" customHeight="1">
      <c r="A230" s="63" t="str">
        <f t="array" ref="A230">IF(C230&lt;&gt;0,SUM(($C$11:C230&lt;&gt;0)*1),"")</f>
        <v/>
      </c>
      <c r="B230" s="290"/>
      <c r="C230" s="290"/>
      <c r="D230" s="290"/>
      <c r="E230" s="396"/>
      <c r="F230" s="345"/>
      <c r="G230" s="347"/>
      <c r="H230" s="347"/>
      <c r="I230" s="63" t="str">
        <f t="shared" si="180"/>
        <v/>
      </c>
      <c r="J230" s="292">
        <f t="shared" si="181"/>
        <v>0</v>
      </c>
      <c r="K230" s="292">
        <f t="shared" si="182"/>
        <v>0</v>
      </c>
      <c r="L230" s="292">
        <f t="shared" si="193"/>
        <v>0</v>
      </c>
      <c r="M230" s="292">
        <f t="shared" si="194"/>
        <v>0</v>
      </c>
      <c r="N230" s="292">
        <f t="shared" si="174"/>
        <v>0</v>
      </c>
      <c r="O230" s="292">
        <f t="shared" si="175"/>
        <v>0</v>
      </c>
      <c r="P230" s="292">
        <f t="shared" si="195"/>
        <v>0</v>
      </c>
      <c r="Q230" s="292">
        <f t="shared" si="196"/>
        <v>0</v>
      </c>
      <c r="R230" s="292">
        <f t="shared" si="197"/>
        <v>0</v>
      </c>
      <c r="S230" s="292">
        <f t="shared" si="198"/>
        <v>0</v>
      </c>
      <c r="T230" s="292">
        <f t="shared" si="176"/>
        <v>0</v>
      </c>
      <c r="U230" s="292">
        <f t="shared" si="177"/>
        <v>0</v>
      </c>
      <c r="V230" s="292">
        <f t="shared" si="199"/>
        <v>0</v>
      </c>
      <c r="W230" s="292">
        <f t="shared" si="200"/>
        <v>0</v>
      </c>
      <c r="X230" s="292">
        <f t="shared" si="201"/>
        <v>0</v>
      </c>
      <c r="Y230" s="292">
        <f t="shared" si="202"/>
        <v>0</v>
      </c>
      <c r="Z230" s="292">
        <f t="shared" si="183"/>
        <v>0</v>
      </c>
      <c r="AA230" s="292">
        <f t="shared" si="184"/>
        <v>0</v>
      </c>
      <c r="AB230" s="292">
        <f t="shared" si="203"/>
        <v>0</v>
      </c>
      <c r="AC230" s="292">
        <f t="shared" si="204"/>
        <v>0</v>
      </c>
      <c r="AD230" s="292">
        <f t="shared" si="185"/>
        <v>0</v>
      </c>
      <c r="AE230" s="292">
        <f t="shared" si="186"/>
        <v>0</v>
      </c>
      <c r="AF230" s="292">
        <f t="shared" si="178"/>
        <v>0</v>
      </c>
      <c r="AG230" s="292">
        <f t="shared" si="179"/>
        <v>0</v>
      </c>
      <c r="AH230" s="292">
        <f t="shared" si="205"/>
        <v>0</v>
      </c>
      <c r="AI230" s="292">
        <f t="shared" si="206"/>
        <v>0</v>
      </c>
      <c r="AJ230" s="292">
        <f t="shared" si="207"/>
        <v>0</v>
      </c>
      <c r="AK230" s="292">
        <f t="shared" si="208"/>
        <v>0</v>
      </c>
      <c r="AL230" s="292">
        <f t="shared" si="209"/>
        <v>0</v>
      </c>
      <c r="AM230" s="292">
        <f t="shared" si="210"/>
        <v>0</v>
      </c>
      <c r="AN230" s="292">
        <f t="shared" si="211"/>
        <v>0</v>
      </c>
      <c r="AO230" s="292">
        <f t="shared" si="212"/>
        <v>0</v>
      </c>
      <c r="AP230" s="292">
        <f t="shared" si="213"/>
        <v>0</v>
      </c>
      <c r="AQ230" s="292">
        <f t="shared" si="214"/>
        <v>0</v>
      </c>
      <c r="AR230" s="292">
        <f t="shared" si="187"/>
        <v>0</v>
      </c>
      <c r="AS230" s="292">
        <f t="shared" si="188"/>
        <v>0</v>
      </c>
      <c r="AT230" s="292">
        <f t="shared" si="215"/>
        <v>0</v>
      </c>
      <c r="AU230" s="292">
        <f t="shared" si="216"/>
        <v>0</v>
      </c>
      <c r="AV230" s="292">
        <f t="shared" si="217"/>
        <v>0</v>
      </c>
      <c r="AW230" s="292">
        <f t="shared" si="218"/>
        <v>0</v>
      </c>
      <c r="AX230" s="292">
        <f t="shared" si="189"/>
        <v>0</v>
      </c>
      <c r="AY230" s="292">
        <f t="shared" si="190"/>
        <v>0</v>
      </c>
      <c r="AZ230" s="292">
        <f t="shared" si="191"/>
        <v>0</v>
      </c>
      <c r="BA230" s="292">
        <f t="shared" si="192"/>
        <v>0</v>
      </c>
    </row>
    <row r="231" spans="1:53" s="289" customFormat="1" ht="16.5" customHeight="1">
      <c r="A231" s="63" t="str">
        <f t="array" ref="A231">IF(C231&lt;&gt;0,SUM(($C$11:C231&lt;&gt;0)*1),"")</f>
        <v/>
      </c>
      <c r="B231" s="290"/>
      <c r="C231" s="290"/>
      <c r="D231" s="290"/>
      <c r="E231" s="396"/>
      <c r="F231" s="345"/>
      <c r="G231" s="347"/>
      <c r="H231" s="347"/>
      <c r="I231" s="63" t="str">
        <f t="shared" si="180"/>
        <v/>
      </c>
      <c r="J231" s="292">
        <f t="shared" si="181"/>
        <v>0</v>
      </c>
      <c r="K231" s="292">
        <f t="shared" si="182"/>
        <v>0</v>
      </c>
      <c r="L231" s="292">
        <f t="shared" si="193"/>
        <v>0</v>
      </c>
      <c r="M231" s="292">
        <f t="shared" si="194"/>
        <v>0</v>
      </c>
      <c r="N231" s="292">
        <f t="shared" si="174"/>
        <v>0</v>
      </c>
      <c r="O231" s="292">
        <f t="shared" si="175"/>
        <v>0</v>
      </c>
      <c r="P231" s="292">
        <f t="shared" si="195"/>
        <v>0</v>
      </c>
      <c r="Q231" s="292">
        <f t="shared" si="196"/>
        <v>0</v>
      </c>
      <c r="R231" s="292">
        <f t="shared" si="197"/>
        <v>0</v>
      </c>
      <c r="S231" s="292">
        <f t="shared" si="198"/>
        <v>0</v>
      </c>
      <c r="T231" s="292">
        <f t="shared" si="176"/>
        <v>0</v>
      </c>
      <c r="U231" s="292">
        <f t="shared" si="177"/>
        <v>0</v>
      </c>
      <c r="V231" s="292">
        <f t="shared" si="199"/>
        <v>0</v>
      </c>
      <c r="W231" s="292">
        <f t="shared" si="200"/>
        <v>0</v>
      </c>
      <c r="X231" s="292">
        <f t="shared" si="201"/>
        <v>0</v>
      </c>
      <c r="Y231" s="292">
        <f t="shared" si="202"/>
        <v>0</v>
      </c>
      <c r="Z231" s="292">
        <f t="shared" si="183"/>
        <v>0</v>
      </c>
      <c r="AA231" s="292">
        <f t="shared" si="184"/>
        <v>0</v>
      </c>
      <c r="AB231" s="292">
        <f t="shared" si="203"/>
        <v>0</v>
      </c>
      <c r="AC231" s="292">
        <f t="shared" si="204"/>
        <v>0</v>
      </c>
      <c r="AD231" s="292">
        <f t="shared" si="185"/>
        <v>0</v>
      </c>
      <c r="AE231" s="292">
        <f t="shared" si="186"/>
        <v>0</v>
      </c>
      <c r="AF231" s="292">
        <f t="shared" si="178"/>
        <v>0</v>
      </c>
      <c r="AG231" s="292">
        <f t="shared" si="179"/>
        <v>0</v>
      </c>
      <c r="AH231" s="292">
        <f t="shared" si="205"/>
        <v>0</v>
      </c>
      <c r="AI231" s="292">
        <f t="shared" si="206"/>
        <v>0</v>
      </c>
      <c r="AJ231" s="292">
        <f t="shared" si="207"/>
        <v>0</v>
      </c>
      <c r="AK231" s="292">
        <f t="shared" si="208"/>
        <v>0</v>
      </c>
      <c r="AL231" s="292">
        <f t="shared" si="209"/>
        <v>0</v>
      </c>
      <c r="AM231" s="292">
        <f t="shared" si="210"/>
        <v>0</v>
      </c>
      <c r="AN231" s="292">
        <f t="shared" si="211"/>
        <v>0</v>
      </c>
      <c r="AO231" s="292">
        <f t="shared" si="212"/>
        <v>0</v>
      </c>
      <c r="AP231" s="292">
        <f t="shared" si="213"/>
        <v>0</v>
      </c>
      <c r="AQ231" s="292">
        <f t="shared" si="214"/>
        <v>0</v>
      </c>
      <c r="AR231" s="292">
        <f t="shared" si="187"/>
        <v>0</v>
      </c>
      <c r="AS231" s="292">
        <f t="shared" si="188"/>
        <v>0</v>
      </c>
      <c r="AT231" s="292">
        <f t="shared" si="215"/>
        <v>0</v>
      </c>
      <c r="AU231" s="292">
        <f t="shared" si="216"/>
        <v>0</v>
      </c>
      <c r="AV231" s="292">
        <f t="shared" si="217"/>
        <v>0</v>
      </c>
      <c r="AW231" s="292">
        <f t="shared" si="218"/>
        <v>0</v>
      </c>
      <c r="AX231" s="292">
        <f t="shared" si="189"/>
        <v>0</v>
      </c>
      <c r="AY231" s="292">
        <f t="shared" si="190"/>
        <v>0</v>
      </c>
      <c r="AZ231" s="292">
        <f t="shared" si="191"/>
        <v>0</v>
      </c>
      <c r="BA231" s="292">
        <f t="shared" si="192"/>
        <v>0</v>
      </c>
    </row>
    <row r="232" spans="1:53" s="289" customFormat="1" ht="16.5" customHeight="1">
      <c r="A232" s="63" t="str">
        <f t="array" ref="A232">IF(C232&lt;&gt;0,SUM(($C$11:C232&lt;&gt;0)*1),"")</f>
        <v/>
      </c>
      <c r="B232" s="290"/>
      <c r="C232" s="290"/>
      <c r="D232" s="290"/>
      <c r="E232" s="396"/>
      <c r="F232" s="345"/>
      <c r="G232" s="347"/>
      <c r="H232" s="347"/>
      <c r="I232" s="63" t="str">
        <f t="shared" si="180"/>
        <v/>
      </c>
      <c r="J232" s="292">
        <f t="shared" si="181"/>
        <v>0</v>
      </c>
      <c r="K232" s="292">
        <f t="shared" si="182"/>
        <v>0</v>
      </c>
      <c r="L232" s="292">
        <f t="shared" si="193"/>
        <v>0</v>
      </c>
      <c r="M232" s="292">
        <f t="shared" si="194"/>
        <v>0</v>
      </c>
      <c r="N232" s="292">
        <f t="shared" si="174"/>
        <v>0</v>
      </c>
      <c r="O232" s="292">
        <f t="shared" si="175"/>
        <v>0</v>
      </c>
      <c r="P232" s="292">
        <f t="shared" si="195"/>
        <v>0</v>
      </c>
      <c r="Q232" s="292">
        <f t="shared" si="196"/>
        <v>0</v>
      </c>
      <c r="R232" s="292">
        <f t="shared" si="197"/>
        <v>0</v>
      </c>
      <c r="S232" s="292">
        <f t="shared" si="198"/>
        <v>0</v>
      </c>
      <c r="T232" s="292">
        <f t="shared" si="176"/>
        <v>0</v>
      </c>
      <c r="U232" s="292">
        <f t="shared" si="177"/>
        <v>0</v>
      </c>
      <c r="V232" s="292">
        <f t="shared" si="199"/>
        <v>0</v>
      </c>
      <c r="W232" s="292">
        <f t="shared" si="200"/>
        <v>0</v>
      </c>
      <c r="X232" s="292">
        <f t="shared" si="201"/>
        <v>0</v>
      </c>
      <c r="Y232" s="292">
        <f t="shared" si="202"/>
        <v>0</v>
      </c>
      <c r="Z232" s="292">
        <f t="shared" si="183"/>
        <v>0</v>
      </c>
      <c r="AA232" s="292">
        <f t="shared" si="184"/>
        <v>0</v>
      </c>
      <c r="AB232" s="292">
        <f t="shared" si="203"/>
        <v>0</v>
      </c>
      <c r="AC232" s="292">
        <f t="shared" si="204"/>
        <v>0</v>
      </c>
      <c r="AD232" s="292">
        <f t="shared" si="185"/>
        <v>0</v>
      </c>
      <c r="AE232" s="292">
        <f t="shared" si="186"/>
        <v>0</v>
      </c>
      <c r="AF232" s="292">
        <f t="shared" si="178"/>
        <v>0</v>
      </c>
      <c r="AG232" s="292">
        <f t="shared" si="179"/>
        <v>0</v>
      </c>
      <c r="AH232" s="292">
        <f t="shared" si="205"/>
        <v>0</v>
      </c>
      <c r="AI232" s="292">
        <f t="shared" si="206"/>
        <v>0</v>
      </c>
      <c r="AJ232" s="292">
        <f t="shared" si="207"/>
        <v>0</v>
      </c>
      <c r="AK232" s="292">
        <f t="shared" si="208"/>
        <v>0</v>
      </c>
      <c r="AL232" s="292">
        <f t="shared" si="209"/>
        <v>0</v>
      </c>
      <c r="AM232" s="292">
        <f t="shared" si="210"/>
        <v>0</v>
      </c>
      <c r="AN232" s="292">
        <f t="shared" si="211"/>
        <v>0</v>
      </c>
      <c r="AO232" s="292">
        <f t="shared" si="212"/>
        <v>0</v>
      </c>
      <c r="AP232" s="292">
        <f t="shared" si="213"/>
        <v>0</v>
      </c>
      <c r="AQ232" s="292">
        <f t="shared" si="214"/>
        <v>0</v>
      </c>
      <c r="AR232" s="292">
        <f t="shared" si="187"/>
        <v>0</v>
      </c>
      <c r="AS232" s="292">
        <f t="shared" si="188"/>
        <v>0</v>
      </c>
      <c r="AT232" s="292">
        <f t="shared" si="215"/>
        <v>0</v>
      </c>
      <c r="AU232" s="292">
        <f t="shared" si="216"/>
        <v>0</v>
      </c>
      <c r="AV232" s="292">
        <f t="shared" si="217"/>
        <v>0</v>
      </c>
      <c r="AW232" s="292">
        <f t="shared" si="218"/>
        <v>0</v>
      </c>
      <c r="AX232" s="292">
        <f t="shared" si="189"/>
        <v>0</v>
      </c>
      <c r="AY232" s="292">
        <f t="shared" si="190"/>
        <v>0</v>
      </c>
      <c r="AZ232" s="292">
        <f t="shared" si="191"/>
        <v>0</v>
      </c>
      <c r="BA232" s="292">
        <f t="shared" si="192"/>
        <v>0</v>
      </c>
    </row>
    <row r="233" spans="1:53" s="289" customFormat="1" ht="16.5" customHeight="1">
      <c r="A233" s="63" t="str">
        <f t="array" ref="A233">IF(C233&lt;&gt;0,SUM(($C$11:C233&lt;&gt;0)*1),"")</f>
        <v/>
      </c>
      <c r="B233" s="290"/>
      <c r="C233" s="290"/>
      <c r="D233" s="290"/>
      <c r="E233" s="396"/>
      <c r="F233" s="345"/>
      <c r="G233" s="347"/>
      <c r="H233" s="347"/>
      <c r="I233" s="63" t="str">
        <f t="shared" si="180"/>
        <v/>
      </c>
      <c r="J233" s="292">
        <f t="shared" si="181"/>
        <v>0</v>
      </c>
      <c r="K233" s="292">
        <f t="shared" si="182"/>
        <v>0</v>
      </c>
      <c r="L233" s="292">
        <f t="shared" si="193"/>
        <v>0</v>
      </c>
      <c r="M233" s="292">
        <f t="shared" si="194"/>
        <v>0</v>
      </c>
      <c r="N233" s="292">
        <f t="shared" si="174"/>
        <v>0</v>
      </c>
      <c r="O233" s="292">
        <f t="shared" si="175"/>
        <v>0</v>
      </c>
      <c r="P233" s="292">
        <f t="shared" si="195"/>
        <v>0</v>
      </c>
      <c r="Q233" s="292">
        <f t="shared" si="196"/>
        <v>0</v>
      </c>
      <c r="R233" s="292">
        <f t="shared" si="197"/>
        <v>0</v>
      </c>
      <c r="S233" s="292">
        <f t="shared" si="198"/>
        <v>0</v>
      </c>
      <c r="T233" s="292">
        <f t="shared" si="176"/>
        <v>0</v>
      </c>
      <c r="U233" s="292">
        <f t="shared" si="177"/>
        <v>0</v>
      </c>
      <c r="V233" s="292">
        <f t="shared" si="199"/>
        <v>0</v>
      </c>
      <c r="W233" s="292">
        <f t="shared" si="200"/>
        <v>0</v>
      </c>
      <c r="X233" s="292">
        <f t="shared" si="201"/>
        <v>0</v>
      </c>
      <c r="Y233" s="292">
        <f t="shared" si="202"/>
        <v>0</v>
      </c>
      <c r="Z233" s="292">
        <f t="shared" si="183"/>
        <v>0</v>
      </c>
      <c r="AA233" s="292">
        <f t="shared" si="184"/>
        <v>0</v>
      </c>
      <c r="AB233" s="292">
        <f t="shared" si="203"/>
        <v>0</v>
      </c>
      <c r="AC233" s="292">
        <f t="shared" si="204"/>
        <v>0</v>
      </c>
      <c r="AD233" s="292">
        <f t="shared" si="185"/>
        <v>0</v>
      </c>
      <c r="AE233" s="292">
        <f t="shared" si="186"/>
        <v>0</v>
      </c>
      <c r="AF233" s="292">
        <f t="shared" si="178"/>
        <v>0</v>
      </c>
      <c r="AG233" s="292">
        <f t="shared" si="179"/>
        <v>0</v>
      </c>
      <c r="AH233" s="292">
        <f t="shared" si="205"/>
        <v>0</v>
      </c>
      <c r="AI233" s="292">
        <f t="shared" si="206"/>
        <v>0</v>
      </c>
      <c r="AJ233" s="292">
        <f t="shared" si="207"/>
        <v>0</v>
      </c>
      <c r="AK233" s="292">
        <f t="shared" si="208"/>
        <v>0</v>
      </c>
      <c r="AL233" s="292">
        <f t="shared" si="209"/>
        <v>0</v>
      </c>
      <c r="AM233" s="292">
        <f t="shared" si="210"/>
        <v>0</v>
      </c>
      <c r="AN233" s="292">
        <f t="shared" si="211"/>
        <v>0</v>
      </c>
      <c r="AO233" s="292">
        <f t="shared" si="212"/>
        <v>0</v>
      </c>
      <c r="AP233" s="292">
        <f t="shared" si="213"/>
        <v>0</v>
      </c>
      <c r="AQ233" s="292">
        <f t="shared" si="214"/>
        <v>0</v>
      </c>
      <c r="AR233" s="292">
        <f t="shared" si="187"/>
        <v>0</v>
      </c>
      <c r="AS233" s="292">
        <f t="shared" si="188"/>
        <v>0</v>
      </c>
      <c r="AT233" s="292">
        <f t="shared" si="215"/>
        <v>0</v>
      </c>
      <c r="AU233" s="292">
        <f t="shared" si="216"/>
        <v>0</v>
      </c>
      <c r="AV233" s="292">
        <f t="shared" si="217"/>
        <v>0</v>
      </c>
      <c r="AW233" s="292">
        <f t="shared" si="218"/>
        <v>0</v>
      </c>
      <c r="AX233" s="292">
        <f t="shared" si="189"/>
        <v>0</v>
      </c>
      <c r="AY233" s="292">
        <f t="shared" si="190"/>
        <v>0</v>
      </c>
      <c r="AZ233" s="292">
        <f t="shared" si="191"/>
        <v>0</v>
      </c>
      <c r="BA233" s="292">
        <f t="shared" si="192"/>
        <v>0</v>
      </c>
    </row>
    <row r="234" spans="1:53" s="289" customFormat="1" ht="16.5" customHeight="1">
      <c r="A234" s="63" t="str">
        <f t="array" ref="A234">IF(C234&lt;&gt;0,SUM(($C$11:C234&lt;&gt;0)*1),"")</f>
        <v/>
      </c>
      <c r="B234" s="290"/>
      <c r="C234" s="290"/>
      <c r="D234" s="290"/>
      <c r="E234" s="396"/>
      <c r="F234" s="345"/>
      <c r="G234" s="347"/>
      <c r="H234" s="347"/>
      <c r="I234" s="63" t="str">
        <f t="shared" si="180"/>
        <v/>
      </c>
      <c r="J234" s="292">
        <f t="shared" si="181"/>
        <v>0</v>
      </c>
      <c r="K234" s="292">
        <f t="shared" si="182"/>
        <v>0</v>
      </c>
      <c r="L234" s="292">
        <f t="shared" si="193"/>
        <v>0</v>
      </c>
      <c r="M234" s="292">
        <f t="shared" si="194"/>
        <v>0</v>
      </c>
      <c r="N234" s="292">
        <f t="shared" si="174"/>
        <v>0</v>
      </c>
      <c r="O234" s="292">
        <f t="shared" si="175"/>
        <v>0</v>
      </c>
      <c r="P234" s="292">
        <f t="shared" si="195"/>
        <v>0</v>
      </c>
      <c r="Q234" s="292">
        <f t="shared" si="196"/>
        <v>0</v>
      </c>
      <c r="R234" s="292">
        <f t="shared" si="197"/>
        <v>0</v>
      </c>
      <c r="S234" s="292">
        <f t="shared" si="198"/>
        <v>0</v>
      </c>
      <c r="T234" s="292">
        <f t="shared" si="176"/>
        <v>0</v>
      </c>
      <c r="U234" s="292">
        <f t="shared" si="177"/>
        <v>0</v>
      </c>
      <c r="V234" s="292">
        <f t="shared" si="199"/>
        <v>0</v>
      </c>
      <c r="W234" s="292">
        <f t="shared" si="200"/>
        <v>0</v>
      </c>
      <c r="X234" s="292">
        <f t="shared" si="201"/>
        <v>0</v>
      </c>
      <c r="Y234" s="292">
        <f t="shared" si="202"/>
        <v>0</v>
      </c>
      <c r="Z234" s="292">
        <f t="shared" si="183"/>
        <v>0</v>
      </c>
      <c r="AA234" s="292">
        <f t="shared" si="184"/>
        <v>0</v>
      </c>
      <c r="AB234" s="292">
        <f t="shared" si="203"/>
        <v>0</v>
      </c>
      <c r="AC234" s="292">
        <f t="shared" si="204"/>
        <v>0</v>
      </c>
      <c r="AD234" s="292">
        <f t="shared" si="185"/>
        <v>0</v>
      </c>
      <c r="AE234" s="292">
        <f t="shared" si="186"/>
        <v>0</v>
      </c>
      <c r="AF234" s="292">
        <f t="shared" si="178"/>
        <v>0</v>
      </c>
      <c r="AG234" s="292">
        <f t="shared" si="179"/>
        <v>0</v>
      </c>
      <c r="AH234" s="292">
        <f t="shared" si="205"/>
        <v>0</v>
      </c>
      <c r="AI234" s="292">
        <f t="shared" si="206"/>
        <v>0</v>
      </c>
      <c r="AJ234" s="292">
        <f t="shared" si="207"/>
        <v>0</v>
      </c>
      <c r="AK234" s="292">
        <f t="shared" si="208"/>
        <v>0</v>
      </c>
      <c r="AL234" s="292">
        <f t="shared" si="209"/>
        <v>0</v>
      </c>
      <c r="AM234" s="292">
        <f t="shared" si="210"/>
        <v>0</v>
      </c>
      <c r="AN234" s="292">
        <f t="shared" si="211"/>
        <v>0</v>
      </c>
      <c r="AO234" s="292">
        <f t="shared" si="212"/>
        <v>0</v>
      </c>
      <c r="AP234" s="292">
        <f t="shared" si="213"/>
        <v>0</v>
      </c>
      <c r="AQ234" s="292">
        <f t="shared" si="214"/>
        <v>0</v>
      </c>
      <c r="AR234" s="292">
        <f t="shared" si="187"/>
        <v>0</v>
      </c>
      <c r="AS234" s="292">
        <f t="shared" si="188"/>
        <v>0</v>
      </c>
      <c r="AT234" s="292">
        <f t="shared" si="215"/>
        <v>0</v>
      </c>
      <c r="AU234" s="292">
        <f t="shared" si="216"/>
        <v>0</v>
      </c>
      <c r="AV234" s="292">
        <f t="shared" si="217"/>
        <v>0</v>
      </c>
      <c r="AW234" s="292">
        <f t="shared" si="218"/>
        <v>0</v>
      </c>
      <c r="AX234" s="292">
        <f t="shared" si="189"/>
        <v>0</v>
      </c>
      <c r="AY234" s="292">
        <f t="shared" si="190"/>
        <v>0</v>
      </c>
      <c r="AZ234" s="292">
        <f t="shared" si="191"/>
        <v>0</v>
      </c>
      <c r="BA234" s="292">
        <f t="shared" si="192"/>
        <v>0</v>
      </c>
    </row>
    <row r="235" spans="1:53" s="289" customFormat="1" ht="16.5" customHeight="1">
      <c r="A235" s="63" t="str">
        <f t="array" ref="A235">IF(C235&lt;&gt;0,SUM(($C$11:C235&lt;&gt;0)*1),"")</f>
        <v/>
      </c>
      <c r="B235" s="290"/>
      <c r="C235" s="290"/>
      <c r="D235" s="290"/>
      <c r="E235" s="396"/>
      <c r="F235" s="345"/>
      <c r="G235" s="347"/>
      <c r="H235" s="347"/>
      <c r="I235" s="63" t="str">
        <f t="shared" si="180"/>
        <v/>
      </c>
      <c r="J235" s="292">
        <f t="shared" si="181"/>
        <v>0</v>
      </c>
      <c r="K235" s="292">
        <f t="shared" si="182"/>
        <v>0</v>
      </c>
      <c r="L235" s="292">
        <f t="shared" si="193"/>
        <v>0</v>
      </c>
      <c r="M235" s="292">
        <f t="shared" si="194"/>
        <v>0</v>
      </c>
      <c r="N235" s="292">
        <f t="shared" si="174"/>
        <v>0</v>
      </c>
      <c r="O235" s="292">
        <f t="shared" si="175"/>
        <v>0</v>
      </c>
      <c r="P235" s="292">
        <f t="shared" si="195"/>
        <v>0</v>
      </c>
      <c r="Q235" s="292">
        <f t="shared" si="196"/>
        <v>0</v>
      </c>
      <c r="R235" s="292">
        <f t="shared" si="197"/>
        <v>0</v>
      </c>
      <c r="S235" s="292">
        <f t="shared" si="198"/>
        <v>0</v>
      </c>
      <c r="T235" s="292">
        <f t="shared" si="176"/>
        <v>0</v>
      </c>
      <c r="U235" s="292">
        <f t="shared" si="177"/>
        <v>0</v>
      </c>
      <c r="V235" s="292">
        <f t="shared" si="199"/>
        <v>0</v>
      </c>
      <c r="W235" s="292">
        <f t="shared" si="200"/>
        <v>0</v>
      </c>
      <c r="X235" s="292">
        <f t="shared" si="201"/>
        <v>0</v>
      </c>
      <c r="Y235" s="292">
        <f t="shared" si="202"/>
        <v>0</v>
      </c>
      <c r="Z235" s="292">
        <f t="shared" si="183"/>
        <v>0</v>
      </c>
      <c r="AA235" s="292">
        <f t="shared" si="184"/>
        <v>0</v>
      </c>
      <c r="AB235" s="292">
        <f t="shared" si="203"/>
        <v>0</v>
      </c>
      <c r="AC235" s="292">
        <f t="shared" si="204"/>
        <v>0</v>
      </c>
      <c r="AD235" s="292">
        <f t="shared" si="185"/>
        <v>0</v>
      </c>
      <c r="AE235" s="292">
        <f t="shared" si="186"/>
        <v>0</v>
      </c>
      <c r="AF235" s="292">
        <f t="shared" si="178"/>
        <v>0</v>
      </c>
      <c r="AG235" s="292">
        <f t="shared" si="179"/>
        <v>0</v>
      </c>
      <c r="AH235" s="292">
        <f t="shared" si="205"/>
        <v>0</v>
      </c>
      <c r="AI235" s="292">
        <f t="shared" si="206"/>
        <v>0</v>
      </c>
      <c r="AJ235" s="292">
        <f t="shared" si="207"/>
        <v>0</v>
      </c>
      <c r="AK235" s="292">
        <f t="shared" si="208"/>
        <v>0</v>
      </c>
      <c r="AL235" s="292">
        <f t="shared" si="209"/>
        <v>0</v>
      </c>
      <c r="AM235" s="292">
        <f t="shared" si="210"/>
        <v>0</v>
      </c>
      <c r="AN235" s="292">
        <f t="shared" si="211"/>
        <v>0</v>
      </c>
      <c r="AO235" s="292">
        <f t="shared" si="212"/>
        <v>0</v>
      </c>
      <c r="AP235" s="292">
        <f t="shared" si="213"/>
        <v>0</v>
      </c>
      <c r="AQ235" s="292">
        <f t="shared" si="214"/>
        <v>0</v>
      </c>
      <c r="AR235" s="292">
        <f t="shared" si="187"/>
        <v>0</v>
      </c>
      <c r="AS235" s="292">
        <f t="shared" si="188"/>
        <v>0</v>
      </c>
      <c r="AT235" s="292">
        <f t="shared" si="215"/>
        <v>0</v>
      </c>
      <c r="AU235" s="292">
        <f t="shared" si="216"/>
        <v>0</v>
      </c>
      <c r="AV235" s="292">
        <f t="shared" si="217"/>
        <v>0</v>
      </c>
      <c r="AW235" s="292">
        <f t="shared" si="218"/>
        <v>0</v>
      </c>
      <c r="AX235" s="292">
        <f t="shared" si="189"/>
        <v>0</v>
      </c>
      <c r="AY235" s="292">
        <f t="shared" si="190"/>
        <v>0</v>
      </c>
      <c r="AZ235" s="292">
        <f t="shared" si="191"/>
        <v>0</v>
      </c>
      <c r="BA235" s="292">
        <f t="shared" si="192"/>
        <v>0</v>
      </c>
    </row>
    <row r="236" spans="1:53" s="289" customFormat="1" ht="16.5" customHeight="1">
      <c r="A236" s="63" t="str">
        <f t="array" ref="A236">IF(C236&lt;&gt;0,SUM(($C$11:C236&lt;&gt;0)*1),"")</f>
        <v/>
      </c>
      <c r="B236" s="290"/>
      <c r="C236" s="290"/>
      <c r="D236" s="290"/>
      <c r="E236" s="396"/>
      <c r="F236" s="345"/>
      <c r="G236" s="347"/>
      <c r="H236" s="347"/>
      <c r="I236" s="63" t="str">
        <f t="shared" si="180"/>
        <v/>
      </c>
      <c r="J236" s="292">
        <f t="shared" si="181"/>
        <v>0</v>
      </c>
      <c r="K236" s="292">
        <f t="shared" si="182"/>
        <v>0</v>
      </c>
      <c r="L236" s="292">
        <f t="shared" si="193"/>
        <v>0</v>
      </c>
      <c r="M236" s="292">
        <f t="shared" si="194"/>
        <v>0</v>
      </c>
      <c r="N236" s="292">
        <f t="shared" si="174"/>
        <v>0</v>
      </c>
      <c r="O236" s="292">
        <f t="shared" si="175"/>
        <v>0</v>
      </c>
      <c r="P236" s="292">
        <f t="shared" si="195"/>
        <v>0</v>
      </c>
      <c r="Q236" s="292">
        <f t="shared" si="196"/>
        <v>0</v>
      </c>
      <c r="R236" s="292">
        <f t="shared" si="197"/>
        <v>0</v>
      </c>
      <c r="S236" s="292">
        <f t="shared" si="198"/>
        <v>0</v>
      </c>
      <c r="T236" s="292">
        <f t="shared" si="176"/>
        <v>0</v>
      </c>
      <c r="U236" s="292">
        <f t="shared" si="177"/>
        <v>0</v>
      </c>
      <c r="V236" s="292">
        <f t="shared" si="199"/>
        <v>0</v>
      </c>
      <c r="W236" s="292">
        <f t="shared" si="200"/>
        <v>0</v>
      </c>
      <c r="X236" s="292">
        <f t="shared" si="201"/>
        <v>0</v>
      </c>
      <c r="Y236" s="292">
        <f t="shared" si="202"/>
        <v>0</v>
      </c>
      <c r="Z236" s="292">
        <f t="shared" si="183"/>
        <v>0</v>
      </c>
      <c r="AA236" s="292">
        <f t="shared" si="184"/>
        <v>0</v>
      </c>
      <c r="AB236" s="292">
        <f t="shared" si="203"/>
        <v>0</v>
      </c>
      <c r="AC236" s="292">
        <f t="shared" si="204"/>
        <v>0</v>
      </c>
      <c r="AD236" s="292">
        <f t="shared" si="185"/>
        <v>0</v>
      </c>
      <c r="AE236" s="292">
        <f t="shared" si="186"/>
        <v>0</v>
      </c>
      <c r="AF236" s="292">
        <f t="shared" si="178"/>
        <v>0</v>
      </c>
      <c r="AG236" s="292">
        <f t="shared" si="179"/>
        <v>0</v>
      </c>
      <c r="AH236" s="292">
        <f t="shared" si="205"/>
        <v>0</v>
      </c>
      <c r="AI236" s="292">
        <f t="shared" si="206"/>
        <v>0</v>
      </c>
      <c r="AJ236" s="292">
        <f t="shared" si="207"/>
        <v>0</v>
      </c>
      <c r="AK236" s="292">
        <f t="shared" si="208"/>
        <v>0</v>
      </c>
      <c r="AL236" s="292">
        <f t="shared" si="209"/>
        <v>0</v>
      </c>
      <c r="AM236" s="292">
        <f t="shared" si="210"/>
        <v>0</v>
      </c>
      <c r="AN236" s="292">
        <f t="shared" si="211"/>
        <v>0</v>
      </c>
      <c r="AO236" s="292">
        <f t="shared" si="212"/>
        <v>0</v>
      </c>
      <c r="AP236" s="292">
        <f t="shared" si="213"/>
        <v>0</v>
      </c>
      <c r="AQ236" s="292">
        <f t="shared" si="214"/>
        <v>0</v>
      </c>
      <c r="AR236" s="292">
        <f t="shared" si="187"/>
        <v>0</v>
      </c>
      <c r="AS236" s="292">
        <f t="shared" si="188"/>
        <v>0</v>
      </c>
      <c r="AT236" s="292">
        <f t="shared" si="215"/>
        <v>0</v>
      </c>
      <c r="AU236" s="292">
        <f t="shared" si="216"/>
        <v>0</v>
      </c>
      <c r="AV236" s="292">
        <f t="shared" si="217"/>
        <v>0</v>
      </c>
      <c r="AW236" s="292">
        <f t="shared" si="218"/>
        <v>0</v>
      </c>
      <c r="AX236" s="292">
        <f t="shared" si="189"/>
        <v>0</v>
      </c>
      <c r="AY236" s="292">
        <f t="shared" si="190"/>
        <v>0</v>
      </c>
      <c r="AZ236" s="292">
        <f t="shared" si="191"/>
        <v>0</v>
      </c>
      <c r="BA236" s="292">
        <f t="shared" si="192"/>
        <v>0</v>
      </c>
    </row>
    <row r="237" spans="1:53" s="289" customFormat="1" ht="16.5" customHeight="1">
      <c r="A237" s="63" t="str">
        <f t="array" ref="A237">IF(C237&lt;&gt;0,SUM(($C$11:C237&lt;&gt;0)*1),"")</f>
        <v/>
      </c>
      <c r="B237" s="290"/>
      <c r="C237" s="290"/>
      <c r="D237" s="290"/>
      <c r="E237" s="396"/>
      <c r="F237" s="345"/>
      <c r="G237" s="347"/>
      <c r="H237" s="347"/>
      <c r="I237" s="63" t="str">
        <f t="shared" si="180"/>
        <v/>
      </c>
      <c r="J237" s="292">
        <f t="shared" si="181"/>
        <v>0</v>
      </c>
      <c r="K237" s="292">
        <f t="shared" si="182"/>
        <v>0</v>
      </c>
      <c r="L237" s="292">
        <f t="shared" si="193"/>
        <v>0</v>
      </c>
      <c r="M237" s="292">
        <f t="shared" si="194"/>
        <v>0</v>
      </c>
      <c r="N237" s="292">
        <f t="shared" si="174"/>
        <v>0</v>
      </c>
      <c r="O237" s="292">
        <f t="shared" si="175"/>
        <v>0</v>
      </c>
      <c r="P237" s="292">
        <f t="shared" si="195"/>
        <v>0</v>
      </c>
      <c r="Q237" s="292">
        <f t="shared" si="196"/>
        <v>0</v>
      </c>
      <c r="R237" s="292">
        <f t="shared" si="197"/>
        <v>0</v>
      </c>
      <c r="S237" s="292">
        <f t="shared" si="198"/>
        <v>0</v>
      </c>
      <c r="T237" s="292">
        <f t="shared" si="176"/>
        <v>0</v>
      </c>
      <c r="U237" s="292">
        <f t="shared" si="177"/>
        <v>0</v>
      </c>
      <c r="V237" s="292">
        <f t="shared" si="199"/>
        <v>0</v>
      </c>
      <c r="W237" s="292">
        <f t="shared" si="200"/>
        <v>0</v>
      </c>
      <c r="X237" s="292">
        <f t="shared" si="201"/>
        <v>0</v>
      </c>
      <c r="Y237" s="292">
        <f t="shared" si="202"/>
        <v>0</v>
      </c>
      <c r="Z237" s="292">
        <f t="shared" si="183"/>
        <v>0</v>
      </c>
      <c r="AA237" s="292">
        <f t="shared" si="184"/>
        <v>0</v>
      </c>
      <c r="AB237" s="292">
        <f t="shared" si="203"/>
        <v>0</v>
      </c>
      <c r="AC237" s="292">
        <f t="shared" si="204"/>
        <v>0</v>
      </c>
      <c r="AD237" s="292">
        <f t="shared" si="185"/>
        <v>0</v>
      </c>
      <c r="AE237" s="292">
        <f t="shared" si="186"/>
        <v>0</v>
      </c>
      <c r="AF237" s="292">
        <f t="shared" si="178"/>
        <v>0</v>
      </c>
      <c r="AG237" s="292">
        <f t="shared" si="179"/>
        <v>0</v>
      </c>
      <c r="AH237" s="292">
        <f t="shared" si="205"/>
        <v>0</v>
      </c>
      <c r="AI237" s="292">
        <f t="shared" si="206"/>
        <v>0</v>
      </c>
      <c r="AJ237" s="292">
        <f t="shared" si="207"/>
        <v>0</v>
      </c>
      <c r="AK237" s="292">
        <f t="shared" si="208"/>
        <v>0</v>
      </c>
      <c r="AL237" s="292">
        <f t="shared" si="209"/>
        <v>0</v>
      </c>
      <c r="AM237" s="292">
        <f t="shared" si="210"/>
        <v>0</v>
      </c>
      <c r="AN237" s="292">
        <f t="shared" si="211"/>
        <v>0</v>
      </c>
      <c r="AO237" s="292">
        <f t="shared" si="212"/>
        <v>0</v>
      </c>
      <c r="AP237" s="292">
        <f t="shared" si="213"/>
        <v>0</v>
      </c>
      <c r="AQ237" s="292">
        <f t="shared" si="214"/>
        <v>0</v>
      </c>
      <c r="AR237" s="292">
        <f t="shared" si="187"/>
        <v>0</v>
      </c>
      <c r="AS237" s="292">
        <f t="shared" si="188"/>
        <v>0</v>
      </c>
      <c r="AT237" s="292">
        <f t="shared" si="215"/>
        <v>0</v>
      </c>
      <c r="AU237" s="292">
        <f t="shared" si="216"/>
        <v>0</v>
      </c>
      <c r="AV237" s="292">
        <f t="shared" si="217"/>
        <v>0</v>
      </c>
      <c r="AW237" s="292">
        <f t="shared" si="218"/>
        <v>0</v>
      </c>
      <c r="AX237" s="292">
        <f t="shared" si="189"/>
        <v>0</v>
      </c>
      <c r="AY237" s="292">
        <f t="shared" si="190"/>
        <v>0</v>
      </c>
      <c r="AZ237" s="292">
        <f t="shared" si="191"/>
        <v>0</v>
      </c>
      <c r="BA237" s="292">
        <f t="shared" si="192"/>
        <v>0</v>
      </c>
    </row>
    <row r="238" spans="1:53" s="289" customFormat="1" ht="16.5" customHeight="1">
      <c r="A238" s="63" t="str">
        <f t="array" ref="A238">IF(C238&lt;&gt;0,SUM(($C$11:C238&lt;&gt;0)*1),"")</f>
        <v/>
      </c>
      <c r="B238" s="290"/>
      <c r="C238" s="290"/>
      <c r="D238" s="290"/>
      <c r="E238" s="396"/>
      <c r="F238" s="345"/>
      <c r="G238" s="347"/>
      <c r="H238" s="347"/>
      <c r="I238" s="63" t="str">
        <f t="shared" si="180"/>
        <v/>
      </c>
      <c r="J238" s="292">
        <f t="shared" si="181"/>
        <v>0</v>
      </c>
      <c r="K238" s="292">
        <f t="shared" si="182"/>
        <v>0</v>
      </c>
      <c r="L238" s="292">
        <f t="shared" si="193"/>
        <v>0</v>
      </c>
      <c r="M238" s="292">
        <f t="shared" si="194"/>
        <v>0</v>
      </c>
      <c r="N238" s="292">
        <f t="shared" si="174"/>
        <v>0</v>
      </c>
      <c r="O238" s="292">
        <f t="shared" si="175"/>
        <v>0</v>
      </c>
      <c r="P238" s="292">
        <f t="shared" si="195"/>
        <v>0</v>
      </c>
      <c r="Q238" s="292">
        <f t="shared" si="196"/>
        <v>0</v>
      </c>
      <c r="R238" s="292">
        <f t="shared" si="197"/>
        <v>0</v>
      </c>
      <c r="S238" s="292">
        <f t="shared" si="198"/>
        <v>0</v>
      </c>
      <c r="T238" s="292">
        <f t="shared" si="176"/>
        <v>0</v>
      </c>
      <c r="U238" s="292">
        <f t="shared" si="177"/>
        <v>0</v>
      </c>
      <c r="V238" s="292">
        <f t="shared" si="199"/>
        <v>0</v>
      </c>
      <c r="W238" s="292">
        <f t="shared" si="200"/>
        <v>0</v>
      </c>
      <c r="X238" s="292">
        <f t="shared" si="201"/>
        <v>0</v>
      </c>
      <c r="Y238" s="292">
        <f t="shared" si="202"/>
        <v>0</v>
      </c>
      <c r="Z238" s="292">
        <f t="shared" si="183"/>
        <v>0</v>
      </c>
      <c r="AA238" s="292">
        <f t="shared" si="184"/>
        <v>0</v>
      </c>
      <c r="AB238" s="292">
        <f t="shared" si="203"/>
        <v>0</v>
      </c>
      <c r="AC238" s="292">
        <f t="shared" si="204"/>
        <v>0</v>
      </c>
      <c r="AD238" s="292">
        <f t="shared" si="185"/>
        <v>0</v>
      </c>
      <c r="AE238" s="292">
        <f t="shared" si="186"/>
        <v>0</v>
      </c>
      <c r="AF238" s="292">
        <f t="shared" si="178"/>
        <v>0</v>
      </c>
      <c r="AG238" s="292">
        <f t="shared" si="179"/>
        <v>0</v>
      </c>
      <c r="AH238" s="292">
        <f t="shared" si="205"/>
        <v>0</v>
      </c>
      <c r="AI238" s="292">
        <f t="shared" si="206"/>
        <v>0</v>
      </c>
      <c r="AJ238" s="292">
        <f t="shared" si="207"/>
        <v>0</v>
      </c>
      <c r="AK238" s="292">
        <f t="shared" si="208"/>
        <v>0</v>
      </c>
      <c r="AL238" s="292">
        <f t="shared" si="209"/>
        <v>0</v>
      </c>
      <c r="AM238" s="292">
        <f t="shared" si="210"/>
        <v>0</v>
      </c>
      <c r="AN238" s="292">
        <f t="shared" si="211"/>
        <v>0</v>
      </c>
      <c r="AO238" s="292">
        <f t="shared" si="212"/>
        <v>0</v>
      </c>
      <c r="AP238" s="292">
        <f t="shared" si="213"/>
        <v>0</v>
      </c>
      <c r="AQ238" s="292">
        <f t="shared" si="214"/>
        <v>0</v>
      </c>
      <c r="AR238" s="292">
        <f t="shared" si="187"/>
        <v>0</v>
      </c>
      <c r="AS238" s="292">
        <f t="shared" si="188"/>
        <v>0</v>
      </c>
      <c r="AT238" s="292">
        <f t="shared" si="215"/>
        <v>0</v>
      </c>
      <c r="AU238" s="292">
        <f t="shared" si="216"/>
        <v>0</v>
      </c>
      <c r="AV238" s="292">
        <f t="shared" si="217"/>
        <v>0</v>
      </c>
      <c r="AW238" s="292">
        <f t="shared" si="218"/>
        <v>0</v>
      </c>
      <c r="AX238" s="292">
        <f t="shared" si="189"/>
        <v>0</v>
      </c>
      <c r="AY238" s="292">
        <f t="shared" si="190"/>
        <v>0</v>
      </c>
      <c r="AZ238" s="292">
        <f t="shared" si="191"/>
        <v>0</v>
      </c>
      <c r="BA238" s="292">
        <f t="shared" si="192"/>
        <v>0</v>
      </c>
    </row>
    <row r="239" spans="1:53" s="289" customFormat="1" ht="16.5" customHeight="1">
      <c r="A239" s="63" t="str">
        <f t="array" ref="A239">IF(C239&lt;&gt;0,SUM(($C$11:C239&lt;&gt;0)*1),"")</f>
        <v/>
      </c>
      <c r="B239" s="290"/>
      <c r="C239" s="290"/>
      <c r="D239" s="290"/>
      <c r="E239" s="396"/>
      <c r="F239" s="345"/>
      <c r="G239" s="347"/>
      <c r="H239" s="347"/>
      <c r="I239" s="63" t="str">
        <f t="shared" si="180"/>
        <v/>
      </c>
      <c r="J239" s="292">
        <f t="shared" si="181"/>
        <v>0</v>
      </c>
      <c r="K239" s="292">
        <f t="shared" si="182"/>
        <v>0</v>
      </c>
      <c r="L239" s="292">
        <f t="shared" si="193"/>
        <v>0</v>
      </c>
      <c r="M239" s="292">
        <f t="shared" si="194"/>
        <v>0</v>
      </c>
      <c r="N239" s="292">
        <f t="shared" si="174"/>
        <v>0</v>
      </c>
      <c r="O239" s="292">
        <f t="shared" si="175"/>
        <v>0</v>
      </c>
      <c r="P239" s="292">
        <f t="shared" si="195"/>
        <v>0</v>
      </c>
      <c r="Q239" s="292">
        <f t="shared" si="196"/>
        <v>0</v>
      </c>
      <c r="R239" s="292">
        <f t="shared" si="197"/>
        <v>0</v>
      </c>
      <c r="S239" s="292">
        <f t="shared" si="198"/>
        <v>0</v>
      </c>
      <c r="T239" s="292">
        <f t="shared" si="176"/>
        <v>0</v>
      </c>
      <c r="U239" s="292">
        <f t="shared" si="177"/>
        <v>0</v>
      </c>
      <c r="V239" s="292">
        <f t="shared" si="199"/>
        <v>0</v>
      </c>
      <c r="W239" s="292">
        <f t="shared" si="200"/>
        <v>0</v>
      </c>
      <c r="X239" s="292">
        <f t="shared" si="201"/>
        <v>0</v>
      </c>
      <c r="Y239" s="292">
        <f t="shared" si="202"/>
        <v>0</v>
      </c>
      <c r="Z239" s="292">
        <f t="shared" si="183"/>
        <v>0</v>
      </c>
      <c r="AA239" s="292">
        <f t="shared" si="184"/>
        <v>0</v>
      </c>
      <c r="AB239" s="292">
        <f t="shared" si="203"/>
        <v>0</v>
      </c>
      <c r="AC239" s="292">
        <f t="shared" si="204"/>
        <v>0</v>
      </c>
      <c r="AD239" s="292">
        <f t="shared" si="185"/>
        <v>0</v>
      </c>
      <c r="AE239" s="292">
        <f t="shared" si="186"/>
        <v>0</v>
      </c>
      <c r="AF239" s="292">
        <f t="shared" si="178"/>
        <v>0</v>
      </c>
      <c r="AG239" s="292">
        <f t="shared" si="179"/>
        <v>0</v>
      </c>
      <c r="AH239" s="292">
        <f t="shared" si="205"/>
        <v>0</v>
      </c>
      <c r="AI239" s="292">
        <f t="shared" si="206"/>
        <v>0</v>
      </c>
      <c r="AJ239" s="292">
        <f t="shared" si="207"/>
        <v>0</v>
      </c>
      <c r="AK239" s="292">
        <f t="shared" si="208"/>
        <v>0</v>
      </c>
      <c r="AL239" s="292">
        <f t="shared" si="209"/>
        <v>0</v>
      </c>
      <c r="AM239" s="292">
        <f t="shared" si="210"/>
        <v>0</v>
      </c>
      <c r="AN239" s="292">
        <f t="shared" si="211"/>
        <v>0</v>
      </c>
      <c r="AO239" s="292">
        <f t="shared" si="212"/>
        <v>0</v>
      </c>
      <c r="AP239" s="292">
        <f t="shared" si="213"/>
        <v>0</v>
      </c>
      <c r="AQ239" s="292">
        <f t="shared" si="214"/>
        <v>0</v>
      </c>
      <c r="AR239" s="292">
        <f t="shared" si="187"/>
        <v>0</v>
      </c>
      <c r="AS239" s="292">
        <f t="shared" si="188"/>
        <v>0</v>
      </c>
      <c r="AT239" s="292">
        <f t="shared" si="215"/>
        <v>0</v>
      </c>
      <c r="AU239" s="292">
        <f t="shared" si="216"/>
        <v>0</v>
      </c>
      <c r="AV239" s="292">
        <f t="shared" si="217"/>
        <v>0</v>
      </c>
      <c r="AW239" s="292">
        <f t="shared" si="218"/>
        <v>0</v>
      </c>
      <c r="AX239" s="292">
        <f t="shared" si="189"/>
        <v>0</v>
      </c>
      <c r="AY239" s="292">
        <f t="shared" si="190"/>
        <v>0</v>
      </c>
      <c r="AZ239" s="292">
        <f t="shared" si="191"/>
        <v>0</v>
      </c>
      <c r="BA239" s="292">
        <f t="shared" si="192"/>
        <v>0</v>
      </c>
    </row>
    <row r="240" spans="1:53" s="289" customFormat="1" ht="16.5" customHeight="1">
      <c r="A240" s="63" t="str">
        <f t="array" ref="A240">IF(C240&lt;&gt;0,SUM(($C$11:C240&lt;&gt;0)*1),"")</f>
        <v/>
      </c>
      <c r="B240" s="290"/>
      <c r="C240" s="290"/>
      <c r="D240" s="290"/>
      <c r="E240" s="396"/>
      <c r="F240" s="345"/>
      <c r="G240" s="347"/>
      <c r="H240" s="347"/>
      <c r="I240" s="63" t="str">
        <f t="shared" si="180"/>
        <v/>
      </c>
      <c r="J240" s="292">
        <f t="shared" si="181"/>
        <v>0</v>
      </c>
      <c r="K240" s="292">
        <f t="shared" si="182"/>
        <v>0</v>
      </c>
      <c r="L240" s="292">
        <f t="shared" si="193"/>
        <v>0</v>
      </c>
      <c r="M240" s="292">
        <f t="shared" si="194"/>
        <v>0</v>
      </c>
      <c r="N240" s="292">
        <f t="shared" si="174"/>
        <v>0</v>
      </c>
      <c r="O240" s="292">
        <f t="shared" si="175"/>
        <v>0</v>
      </c>
      <c r="P240" s="292">
        <f t="shared" si="195"/>
        <v>0</v>
      </c>
      <c r="Q240" s="292">
        <f t="shared" si="196"/>
        <v>0</v>
      </c>
      <c r="R240" s="292">
        <f t="shared" si="197"/>
        <v>0</v>
      </c>
      <c r="S240" s="292">
        <f t="shared" si="198"/>
        <v>0</v>
      </c>
      <c r="T240" s="292">
        <f t="shared" si="176"/>
        <v>0</v>
      </c>
      <c r="U240" s="292">
        <f t="shared" si="177"/>
        <v>0</v>
      </c>
      <c r="V240" s="292">
        <f t="shared" si="199"/>
        <v>0</v>
      </c>
      <c r="W240" s="292">
        <f t="shared" si="200"/>
        <v>0</v>
      </c>
      <c r="X240" s="292">
        <f t="shared" si="201"/>
        <v>0</v>
      </c>
      <c r="Y240" s="292">
        <f t="shared" si="202"/>
        <v>0</v>
      </c>
      <c r="Z240" s="292">
        <f t="shared" si="183"/>
        <v>0</v>
      </c>
      <c r="AA240" s="292">
        <f t="shared" si="184"/>
        <v>0</v>
      </c>
      <c r="AB240" s="292">
        <f t="shared" si="203"/>
        <v>0</v>
      </c>
      <c r="AC240" s="292">
        <f t="shared" si="204"/>
        <v>0</v>
      </c>
      <c r="AD240" s="292">
        <f t="shared" si="185"/>
        <v>0</v>
      </c>
      <c r="AE240" s="292">
        <f t="shared" si="186"/>
        <v>0</v>
      </c>
      <c r="AF240" s="292">
        <f t="shared" si="178"/>
        <v>0</v>
      </c>
      <c r="AG240" s="292">
        <f t="shared" si="179"/>
        <v>0</v>
      </c>
      <c r="AH240" s="292">
        <f t="shared" si="205"/>
        <v>0</v>
      </c>
      <c r="AI240" s="292">
        <f t="shared" si="206"/>
        <v>0</v>
      </c>
      <c r="AJ240" s="292">
        <f t="shared" si="207"/>
        <v>0</v>
      </c>
      <c r="AK240" s="292">
        <f t="shared" si="208"/>
        <v>0</v>
      </c>
      <c r="AL240" s="292">
        <f t="shared" si="209"/>
        <v>0</v>
      </c>
      <c r="AM240" s="292">
        <f t="shared" si="210"/>
        <v>0</v>
      </c>
      <c r="AN240" s="292">
        <f t="shared" si="211"/>
        <v>0</v>
      </c>
      <c r="AO240" s="292">
        <f t="shared" si="212"/>
        <v>0</v>
      </c>
      <c r="AP240" s="292">
        <f t="shared" si="213"/>
        <v>0</v>
      </c>
      <c r="AQ240" s="292">
        <f t="shared" si="214"/>
        <v>0</v>
      </c>
      <c r="AR240" s="292">
        <f t="shared" si="187"/>
        <v>0</v>
      </c>
      <c r="AS240" s="292">
        <f t="shared" si="188"/>
        <v>0</v>
      </c>
      <c r="AT240" s="292">
        <f t="shared" si="215"/>
        <v>0</v>
      </c>
      <c r="AU240" s="292">
        <f t="shared" si="216"/>
        <v>0</v>
      </c>
      <c r="AV240" s="292">
        <f t="shared" si="217"/>
        <v>0</v>
      </c>
      <c r="AW240" s="292">
        <f t="shared" si="218"/>
        <v>0</v>
      </c>
      <c r="AX240" s="292">
        <f t="shared" si="189"/>
        <v>0</v>
      </c>
      <c r="AY240" s="292">
        <f t="shared" si="190"/>
        <v>0</v>
      </c>
      <c r="AZ240" s="292">
        <f t="shared" si="191"/>
        <v>0</v>
      </c>
      <c r="BA240" s="292">
        <f t="shared" si="192"/>
        <v>0</v>
      </c>
    </row>
    <row r="241" spans="1:53" s="289" customFormat="1" ht="16.5" customHeight="1">
      <c r="A241" s="63" t="str">
        <f t="array" ref="A241">IF(C241&lt;&gt;0,SUM(($C$11:C241&lt;&gt;0)*1),"")</f>
        <v/>
      </c>
      <c r="B241" s="290"/>
      <c r="C241" s="290"/>
      <c r="D241" s="290"/>
      <c r="E241" s="396"/>
      <c r="F241" s="345"/>
      <c r="G241" s="347"/>
      <c r="H241" s="347"/>
      <c r="I241" s="63" t="str">
        <f t="shared" ref="I241:I304" si="219">A241</f>
        <v/>
      </c>
      <c r="J241" s="292">
        <f t="shared" si="181"/>
        <v>0</v>
      </c>
      <c r="K241" s="292">
        <f t="shared" si="182"/>
        <v>0</v>
      </c>
      <c r="L241" s="292">
        <f t="shared" si="193"/>
        <v>0</v>
      </c>
      <c r="M241" s="292">
        <f t="shared" si="194"/>
        <v>0</v>
      </c>
      <c r="N241" s="292">
        <f t="shared" si="174"/>
        <v>0</v>
      </c>
      <c r="O241" s="292">
        <f t="shared" si="175"/>
        <v>0</v>
      </c>
      <c r="P241" s="292">
        <f t="shared" si="195"/>
        <v>0</v>
      </c>
      <c r="Q241" s="292">
        <f t="shared" si="196"/>
        <v>0</v>
      </c>
      <c r="R241" s="292">
        <f t="shared" si="197"/>
        <v>0</v>
      </c>
      <c r="S241" s="292">
        <f t="shared" si="198"/>
        <v>0</v>
      </c>
      <c r="T241" s="292">
        <f t="shared" si="176"/>
        <v>0</v>
      </c>
      <c r="U241" s="292">
        <f t="shared" si="177"/>
        <v>0</v>
      </c>
      <c r="V241" s="292">
        <f t="shared" si="199"/>
        <v>0</v>
      </c>
      <c r="W241" s="292">
        <f t="shared" si="200"/>
        <v>0</v>
      </c>
      <c r="X241" s="292">
        <f t="shared" si="201"/>
        <v>0</v>
      </c>
      <c r="Y241" s="292">
        <f t="shared" si="202"/>
        <v>0</v>
      </c>
      <c r="Z241" s="292">
        <f t="shared" si="183"/>
        <v>0</v>
      </c>
      <c r="AA241" s="292">
        <f t="shared" si="184"/>
        <v>0</v>
      </c>
      <c r="AB241" s="292">
        <f t="shared" si="203"/>
        <v>0</v>
      </c>
      <c r="AC241" s="292">
        <f t="shared" si="204"/>
        <v>0</v>
      </c>
      <c r="AD241" s="292">
        <f t="shared" si="185"/>
        <v>0</v>
      </c>
      <c r="AE241" s="292">
        <f t="shared" si="186"/>
        <v>0</v>
      </c>
      <c r="AF241" s="292">
        <f t="shared" si="178"/>
        <v>0</v>
      </c>
      <c r="AG241" s="292">
        <f t="shared" si="179"/>
        <v>0</v>
      </c>
      <c r="AH241" s="292">
        <f t="shared" si="205"/>
        <v>0</v>
      </c>
      <c r="AI241" s="292">
        <f t="shared" si="206"/>
        <v>0</v>
      </c>
      <c r="AJ241" s="292">
        <f t="shared" si="207"/>
        <v>0</v>
      </c>
      <c r="AK241" s="292">
        <f t="shared" si="208"/>
        <v>0</v>
      </c>
      <c r="AL241" s="292">
        <f t="shared" si="209"/>
        <v>0</v>
      </c>
      <c r="AM241" s="292">
        <f t="shared" si="210"/>
        <v>0</v>
      </c>
      <c r="AN241" s="292">
        <f t="shared" si="211"/>
        <v>0</v>
      </c>
      <c r="AO241" s="292">
        <f t="shared" si="212"/>
        <v>0</v>
      </c>
      <c r="AP241" s="292">
        <f t="shared" si="213"/>
        <v>0</v>
      </c>
      <c r="AQ241" s="292">
        <f t="shared" si="214"/>
        <v>0</v>
      </c>
      <c r="AR241" s="292">
        <f t="shared" si="187"/>
        <v>0</v>
      </c>
      <c r="AS241" s="292">
        <f t="shared" si="188"/>
        <v>0</v>
      </c>
      <c r="AT241" s="292">
        <f t="shared" si="215"/>
        <v>0</v>
      </c>
      <c r="AU241" s="292">
        <f t="shared" si="216"/>
        <v>0</v>
      </c>
      <c r="AV241" s="292">
        <f t="shared" si="217"/>
        <v>0</v>
      </c>
      <c r="AW241" s="292">
        <f t="shared" si="218"/>
        <v>0</v>
      </c>
      <c r="AX241" s="292">
        <f t="shared" si="189"/>
        <v>0</v>
      </c>
      <c r="AY241" s="292">
        <f t="shared" si="190"/>
        <v>0</v>
      </c>
      <c r="AZ241" s="292">
        <f t="shared" si="191"/>
        <v>0</v>
      </c>
      <c r="BA241" s="292">
        <f t="shared" si="192"/>
        <v>0</v>
      </c>
    </row>
    <row r="242" spans="1:53" s="289" customFormat="1" ht="16.5" customHeight="1">
      <c r="A242" s="63" t="str">
        <f t="array" ref="A242">IF(C242&lt;&gt;0,SUM(($C$11:C242&lt;&gt;0)*1),"")</f>
        <v/>
      </c>
      <c r="B242" s="290"/>
      <c r="C242" s="290"/>
      <c r="D242" s="290"/>
      <c r="E242" s="396"/>
      <c r="F242" s="345"/>
      <c r="G242" s="347"/>
      <c r="H242" s="347"/>
      <c r="I242" s="63" t="str">
        <f t="shared" si="219"/>
        <v/>
      </c>
      <c r="J242" s="292">
        <f t="shared" si="181"/>
        <v>0</v>
      </c>
      <c r="K242" s="292">
        <f t="shared" si="182"/>
        <v>0</v>
      </c>
      <c r="L242" s="292">
        <f t="shared" si="193"/>
        <v>0</v>
      </c>
      <c r="M242" s="292">
        <f t="shared" si="194"/>
        <v>0</v>
      </c>
      <c r="N242" s="292">
        <f t="shared" si="174"/>
        <v>0</v>
      </c>
      <c r="O242" s="292">
        <f t="shared" si="175"/>
        <v>0</v>
      </c>
      <c r="P242" s="292">
        <f t="shared" si="195"/>
        <v>0</v>
      </c>
      <c r="Q242" s="292">
        <f t="shared" si="196"/>
        <v>0</v>
      </c>
      <c r="R242" s="292">
        <f t="shared" si="197"/>
        <v>0</v>
      </c>
      <c r="S242" s="292">
        <f t="shared" si="198"/>
        <v>0</v>
      </c>
      <c r="T242" s="292">
        <f t="shared" si="176"/>
        <v>0</v>
      </c>
      <c r="U242" s="292">
        <f t="shared" si="177"/>
        <v>0</v>
      </c>
      <c r="V242" s="292">
        <f t="shared" si="199"/>
        <v>0</v>
      </c>
      <c r="W242" s="292">
        <f t="shared" si="200"/>
        <v>0</v>
      </c>
      <c r="X242" s="292">
        <f t="shared" si="201"/>
        <v>0</v>
      </c>
      <c r="Y242" s="292">
        <f t="shared" si="202"/>
        <v>0</v>
      </c>
      <c r="Z242" s="292">
        <f t="shared" si="183"/>
        <v>0</v>
      </c>
      <c r="AA242" s="292">
        <f t="shared" si="184"/>
        <v>0</v>
      </c>
      <c r="AB242" s="292">
        <f t="shared" si="203"/>
        <v>0</v>
      </c>
      <c r="AC242" s="292">
        <f t="shared" si="204"/>
        <v>0</v>
      </c>
      <c r="AD242" s="292">
        <f t="shared" si="185"/>
        <v>0</v>
      </c>
      <c r="AE242" s="292">
        <f t="shared" si="186"/>
        <v>0</v>
      </c>
      <c r="AF242" s="292">
        <f t="shared" si="178"/>
        <v>0</v>
      </c>
      <c r="AG242" s="292">
        <f t="shared" si="179"/>
        <v>0</v>
      </c>
      <c r="AH242" s="292">
        <f t="shared" si="205"/>
        <v>0</v>
      </c>
      <c r="AI242" s="292">
        <f t="shared" si="206"/>
        <v>0</v>
      </c>
      <c r="AJ242" s="292">
        <f t="shared" si="207"/>
        <v>0</v>
      </c>
      <c r="AK242" s="292">
        <f t="shared" si="208"/>
        <v>0</v>
      </c>
      <c r="AL242" s="292">
        <f t="shared" si="209"/>
        <v>0</v>
      </c>
      <c r="AM242" s="292">
        <f t="shared" si="210"/>
        <v>0</v>
      </c>
      <c r="AN242" s="292">
        <f t="shared" si="211"/>
        <v>0</v>
      </c>
      <c r="AO242" s="292">
        <f t="shared" si="212"/>
        <v>0</v>
      </c>
      <c r="AP242" s="292">
        <f t="shared" si="213"/>
        <v>0</v>
      </c>
      <c r="AQ242" s="292">
        <f t="shared" si="214"/>
        <v>0</v>
      </c>
      <c r="AR242" s="292">
        <f t="shared" si="187"/>
        <v>0</v>
      </c>
      <c r="AS242" s="292">
        <f t="shared" si="188"/>
        <v>0</v>
      </c>
      <c r="AT242" s="292">
        <f t="shared" si="215"/>
        <v>0</v>
      </c>
      <c r="AU242" s="292">
        <f t="shared" si="216"/>
        <v>0</v>
      </c>
      <c r="AV242" s="292">
        <f t="shared" si="217"/>
        <v>0</v>
      </c>
      <c r="AW242" s="292">
        <f t="shared" si="218"/>
        <v>0</v>
      </c>
      <c r="AX242" s="292">
        <f t="shared" si="189"/>
        <v>0</v>
      </c>
      <c r="AY242" s="292">
        <f t="shared" si="190"/>
        <v>0</v>
      </c>
      <c r="AZ242" s="292">
        <f t="shared" si="191"/>
        <v>0</v>
      </c>
      <c r="BA242" s="292">
        <f t="shared" si="192"/>
        <v>0</v>
      </c>
    </row>
    <row r="243" spans="1:53" s="289" customFormat="1" ht="16.5" customHeight="1">
      <c r="A243" s="63" t="str">
        <f t="array" ref="A243">IF(C243&lt;&gt;0,SUM(($C$11:C243&lt;&gt;0)*1),"")</f>
        <v/>
      </c>
      <c r="B243" s="290"/>
      <c r="C243" s="290"/>
      <c r="D243" s="290"/>
      <c r="E243" s="396"/>
      <c r="F243" s="345"/>
      <c r="G243" s="347"/>
      <c r="H243" s="347"/>
      <c r="I243" s="63" t="str">
        <f t="shared" si="219"/>
        <v/>
      </c>
      <c r="J243" s="292">
        <f t="shared" si="181"/>
        <v>0</v>
      </c>
      <c r="K243" s="292">
        <f t="shared" si="182"/>
        <v>0</v>
      </c>
      <c r="L243" s="292">
        <f t="shared" si="193"/>
        <v>0</v>
      </c>
      <c r="M243" s="292">
        <f t="shared" si="194"/>
        <v>0</v>
      </c>
      <c r="N243" s="292">
        <f t="shared" si="174"/>
        <v>0</v>
      </c>
      <c r="O243" s="292">
        <f t="shared" si="175"/>
        <v>0</v>
      </c>
      <c r="P243" s="292">
        <f t="shared" si="195"/>
        <v>0</v>
      </c>
      <c r="Q243" s="292">
        <f t="shared" si="196"/>
        <v>0</v>
      </c>
      <c r="R243" s="292">
        <f t="shared" si="197"/>
        <v>0</v>
      </c>
      <c r="S243" s="292">
        <f t="shared" si="198"/>
        <v>0</v>
      </c>
      <c r="T243" s="292">
        <f t="shared" si="176"/>
        <v>0</v>
      </c>
      <c r="U243" s="292">
        <f t="shared" si="177"/>
        <v>0</v>
      </c>
      <c r="V243" s="292">
        <f t="shared" si="199"/>
        <v>0</v>
      </c>
      <c r="W243" s="292">
        <f t="shared" si="200"/>
        <v>0</v>
      </c>
      <c r="X243" s="292">
        <f t="shared" si="201"/>
        <v>0</v>
      </c>
      <c r="Y243" s="292">
        <f t="shared" si="202"/>
        <v>0</v>
      </c>
      <c r="Z243" s="292">
        <f t="shared" si="183"/>
        <v>0</v>
      </c>
      <c r="AA243" s="292">
        <f t="shared" si="184"/>
        <v>0</v>
      </c>
      <c r="AB243" s="292">
        <f t="shared" si="203"/>
        <v>0</v>
      </c>
      <c r="AC243" s="292">
        <f t="shared" si="204"/>
        <v>0</v>
      </c>
      <c r="AD243" s="292">
        <f t="shared" si="185"/>
        <v>0</v>
      </c>
      <c r="AE243" s="292">
        <f t="shared" si="186"/>
        <v>0</v>
      </c>
      <c r="AF243" s="292">
        <f t="shared" si="178"/>
        <v>0</v>
      </c>
      <c r="AG243" s="292">
        <f t="shared" si="179"/>
        <v>0</v>
      </c>
      <c r="AH243" s="292">
        <f t="shared" si="205"/>
        <v>0</v>
      </c>
      <c r="AI243" s="292">
        <f t="shared" si="206"/>
        <v>0</v>
      </c>
      <c r="AJ243" s="292">
        <f t="shared" si="207"/>
        <v>0</v>
      </c>
      <c r="AK243" s="292">
        <f t="shared" si="208"/>
        <v>0</v>
      </c>
      <c r="AL243" s="292">
        <f t="shared" si="209"/>
        <v>0</v>
      </c>
      <c r="AM243" s="292">
        <f t="shared" si="210"/>
        <v>0</v>
      </c>
      <c r="AN243" s="292">
        <f t="shared" si="211"/>
        <v>0</v>
      </c>
      <c r="AO243" s="292">
        <f t="shared" si="212"/>
        <v>0</v>
      </c>
      <c r="AP243" s="292">
        <f t="shared" si="213"/>
        <v>0</v>
      </c>
      <c r="AQ243" s="292">
        <f t="shared" si="214"/>
        <v>0</v>
      </c>
      <c r="AR243" s="292">
        <f t="shared" si="187"/>
        <v>0</v>
      </c>
      <c r="AS243" s="292">
        <f t="shared" si="188"/>
        <v>0</v>
      </c>
      <c r="AT243" s="292">
        <f t="shared" si="215"/>
        <v>0</v>
      </c>
      <c r="AU243" s="292">
        <f t="shared" si="216"/>
        <v>0</v>
      </c>
      <c r="AV243" s="292">
        <f t="shared" si="217"/>
        <v>0</v>
      </c>
      <c r="AW243" s="292">
        <f t="shared" si="218"/>
        <v>0</v>
      </c>
      <c r="AX243" s="292">
        <f t="shared" si="189"/>
        <v>0</v>
      </c>
      <c r="AY243" s="292">
        <f t="shared" si="190"/>
        <v>0</v>
      </c>
      <c r="AZ243" s="292">
        <f t="shared" si="191"/>
        <v>0</v>
      </c>
      <c r="BA243" s="292">
        <f t="shared" si="192"/>
        <v>0</v>
      </c>
    </row>
    <row r="244" spans="1:53" s="289" customFormat="1" ht="16.5" customHeight="1">
      <c r="A244" s="63" t="str">
        <f t="array" ref="A244">IF(C244&lt;&gt;0,SUM(($C$11:C244&lt;&gt;0)*1),"")</f>
        <v/>
      </c>
      <c r="B244" s="290"/>
      <c r="C244" s="290"/>
      <c r="D244" s="290"/>
      <c r="E244" s="396"/>
      <c r="F244" s="345"/>
      <c r="G244" s="347"/>
      <c r="H244" s="347"/>
      <c r="I244" s="63" t="str">
        <f t="shared" si="219"/>
        <v/>
      </c>
      <c r="J244" s="292">
        <f t="shared" si="181"/>
        <v>0</v>
      </c>
      <c r="K244" s="292">
        <f t="shared" si="182"/>
        <v>0</v>
      </c>
      <c r="L244" s="292">
        <f t="shared" si="193"/>
        <v>0</v>
      </c>
      <c r="M244" s="292">
        <f t="shared" si="194"/>
        <v>0</v>
      </c>
      <c r="N244" s="292">
        <f t="shared" si="174"/>
        <v>0</v>
      </c>
      <c r="O244" s="292">
        <f t="shared" si="175"/>
        <v>0</v>
      </c>
      <c r="P244" s="292">
        <f t="shared" si="195"/>
        <v>0</v>
      </c>
      <c r="Q244" s="292">
        <f t="shared" si="196"/>
        <v>0</v>
      </c>
      <c r="R244" s="292">
        <f t="shared" si="197"/>
        <v>0</v>
      </c>
      <c r="S244" s="292">
        <f t="shared" si="198"/>
        <v>0</v>
      </c>
      <c r="T244" s="292">
        <f t="shared" si="176"/>
        <v>0</v>
      </c>
      <c r="U244" s="292">
        <f t="shared" si="177"/>
        <v>0</v>
      </c>
      <c r="V244" s="292">
        <f t="shared" si="199"/>
        <v>0</v>
      </c>
      <c r="W244" s="292">
        <f t="shared" si="200"/>
        <v>0</v>
      </c>
      <c r="X244" s="292">
        <f t="shared" si="201"/>
        <v>0</v>
      </c>
      <c r="Y244" s="292">
        <f t="shared" si="202"/>
        <v>0</v>
      </c>
      <c r="Z244" s="292">
        <f t="shared" si="183"/>
        <v>0</v>
      </c>
      <c r="AA244" s="292">
        <f t="shared" si="184"/>
        <v>0</v>
      </c>
      <c r="AB244" s="292">
        <f t="shared" si="203"/>
        <v>0</v>
      </c>
      <c r="AC244" s="292">
        <f t="shared" si="204"/>
        <v>0</v>
      </c>
      <c r="AD244" s="292">
        <f t="shared" si="185"/>
        <v>0</v>
      </c>
      <c r="AE244" s="292">
        <f t="shared" si="186"/>
        <v>0</v>
      </c>
      <c r="AF244" s="292">
        <f t="shared" si="178"/>
        <v>0</v>
      </c>
      <c r="AG244" s="292">
        <f t="shared" si="179"/>
        <v>0</v>
      </c>
      <c r="AH244" s="292">
        <f t="shared" si="205"/>
        <v>0</v>
      </c>
      <c r="AI244" s="292">
        <f t="shared" si="206"/>
        <v>0</v>
      </c>
      <c r="AJ244" s="292">
        <f t="shared" si="207"/>
        <v>0</v>
      </c>
      <c r="AK244" s="292">
        <f t="shared" si="208"/>
        <v>0</v>
      </c>
      <c r="AL244" s="292">
        <f t="shared" si="209"/>
        <v>0</v>
      </c>
      <c r="AM244" s="292">
        <f t="shared" si="210"/>
        <v>0</v>
      </c>
      <c r="AN244" s="292">
        <f t="shared" si="211"/>
        <v>0</v>
      </c>
      <c r="AO244" s="292">
        <f t="shared" si="212"/>
        <v>0</v>
      </c>
      <c r="AP244" s="292">
        <f t="shared" si="213"/>
        <v>0</v>
      </c>
      <c r="AQ244" s="292">
        <f t="shared" si="214"/>
        <v>0</v>
      </c>
      <c r="AR244" s="292">
        <f t="shared" si="187"/>
        <v>0</v>
      </c>
      <c r="AS244" s="292">
        <f t="shared" si="188"/>
        <v>0</v>
      </c>
      <c r="AT244" s="292">
        <f t="shared" si="215"/>
        <v>0</v>
      </c>
      <c r="AU244" s="292">
        <f t="shared" si="216"/>
        <v>0</v>
      </c>
      <c r="AV244" s="292">
        <f t="shared" si="217"/>
        <v>0</v>
      </c>
      <c r="AW244" s="292">
        <f t="shared" si="218"/>
        <v>0</v>
      </c>
      <c r="AX244" s="292">
        <f t="shared" si="189"/>
        <v>0</v>
      </c>
      <c r="AY244" s="292">
        <f t="shared" si="190"/>
        <v>0</v>
      </c>
      <c r="AZ244" s="292">
        <f t="shared" si="191"/>
        <v>0</v>
      </c>
      <c r="BA244" s="292">
        <f t="shared" si="192"/>
        <v>0</v>
      </c>
    </row>
    <row r="245" spans="1:53" s="289" customFormat="1" ht="16.5" customHeight="1">
      <c r="A245" s="63" t="str">
        <f t="array" ref="A245">IF(C245&lt;&gt;0,SUM(($C$11:C245&lt;&gt;0)*1),"")</f>
        <v/>
      </c>
      <c r="B245" s="290"/>
      <c r="C245" s="290"/>
      <c r="D245" s="290"/>
      <c r="E245" s="396"/>
      <c r="F245" s="345"/>
      <c r="G245" s="347"/>
      <c r="H245" s="347"/>
      <c r="I245" s="63" t="str">
        <f t="shared" si="219"/>
        <v/>
      </c>
      <c r="J245" s="292">
        <f t="shared" si="181"/>
        <v>0</v>
      </c>
      <c r="K245" s="292">
        <f t="shared" si="182"/>
        <v>0</v>
      </c>
      <c r="L245" s="292">
        <f t="shared" si="193"/>
        <v>0</v>
      </c>
      <c r="M245" s="292">
        <f t="shared" si="194"/>
        <v>0</v>
      </c>
      <c r="N245" s="292">
        <f t="shared" si="174"/>
        <v>0</v>
      </c>
      <c r="O245" s="292">
        <f t="shared" si="175"/>
        <v>0</v>
      </c>
      <c r="P245" s="292">
        <f t="shared" si="195"/>
        <v>0</v>
      </c>
      <c r="Q245" s="292">
        <f t="shared" si="196"/>
        <v>0</v>
      </c>
      <c r="R245" s="292">
        <f t="shared" si="197"/>
        <v>0</v>
      </c>
      <c r="S245" s="292">
        <f t="shared" si="198"/>
        <v>0</v>
      </c>
      <c r="T245" s="292">
        <f t="shared" si="176"/>
        <v>0</v>
      </c>
      <c r="U245" s="292">
        <f t="shared" si="177"/>
        <v>0</v>
      </c>
      <c r="V245" s="292">
        <f t="shared" si="199"/>
        <v>0</v>
      </c>
      <c r="W245" s="292">
        <f t="shared" si="200"/>
        <v>0</v>
      </c>
      <c r="X245" s="292">
        <f t="shared" si="201"/>
        <v>0</v>
      </c>
      <c r="Y245" s="292">
        <f t="shared" si="202"/>
        <v>0</v>
      </c>
      <c r="Z245" s="292">
        <f t="shared" si="183"/>
        <v>0</v>
      </c>
      <c r="AA245" s="292">
        <f t="shared" si="184"/>
        <v>0</v>
      </c>
      <c r="AB245" s="292">
        <f t="shared" si="203"/>
        <v>0</v>
      </c>
      <c r="AC245" s="292">
        <f t="shared" si="204"/>
        <v>0</v>
      </c>
      <c r="AD245" s="292">
        <f t="shared" si="185"/>
        <v>0</v>
      </c>
      <c r="AE245" s="292">
        <f t="shared" si="186"/>
        <v>0</v>
      </c>
      <c r="AF245" s="292">
        <f t="shared" si="178"/>
        <v>0</v>
      </c>
      <c r="AG245" s="292">
        <f t="shared" si="179"/>
        <v>0</v>
      </c>
      <c r="AH245" s="292">
        <f t="shared" si="205"/>
        <v>0</v>
      </c>
      <c r="AI245" s="292">
        <f t="shared" si="206"/>
        <v>0</v>
      </c>
      <c r="AJ245" s="292">
        <f t="shared" si="207"/>
        <v>0</v>
      </c>
      <c r="AK245" s="292">
        <f t="shared" si="208"/>
        <v>0</v>
      </c>
      <c r="AL245" s="292">
        <f t="shared" si="209"/>
        <v>0</v>
      </c>
      <c r="AM245" s="292">
        <f t="shared" si="210"/>
        <v>0</v>
      </c>
      <c r="AN245" s="292">
        <f t="shared" si="211"/>
        <v>0</v>
      </c>
      <c r="AO245" s="292">
        <f t="shared" si="212"/>
        <v>0</v>
      </c>
      <c r="AP245" s="292">
        <f t="shared" si="213"/>
        <v>0</v>
      </c>
      <c r="AQ245" s="292">
        <f t="shared" si="214"/>
        <v>0</v>
      </c>
      <c r="AR245" s="292">
        <f t="shared" si="187"/>
        <v>0</v>
      </c>
      <c r="AS245" s="292">
        <f t="shared" si="188"/>
        <v>0</v>
      </c>
      <c r="AT245" s="292">
        <f t="shared" si="215"/>
        <v>0</v>
      </c>
      <c r="AU245" s="292">
        <f t="shared" si="216"/>
        <v>0</v>
      </c>
      <c r="AV245" s="292">
        <f t="shared" si="217"/>
        <v>0</v>
      </c>
      <c r="AW245" s="292">
        <f t="shared" si="218"/>
        <v>0</v>
      </c>
      <c r="AX245" s="292">
        <f t="shared" si="189"/>
        <v>0</v>
      </c>
      <c r="AY245" s="292">
        <f t="shared" si="190"/>
        <v>0</v>
      </c>
      <c r="AZ245" s="292">
        <f t="shared" si="191"/>
        <v>0</v>
      </c>
      <c r="BA245" s="292">
        <f t="shared" si="192"/>
        <v>0</v>
      </c>
    </row>
    <row r="246" spans="1:53" s="289" customFormat="1" ht="16.5" customHeight="1">
      <c r="A246" s="63" t="str">
        <f t="array" ref="A246">IF(C246&lt;&gt;0,SUM(($C$11:C246&lt;&gt;0)*1),"")</f>
        <v/>
      </c>
      <c r="B246" s="290"/>
      <c r="C246" s="290"/>
      <c r="D246" s="290"/>
      <c r="E246" s="396"/>
      <c r="F246" s="345"/>
      <c r="G246" s="347"/>
      <c r="H246" s="347"/>
      <c r="I246" s="63" t="str">
        <f t="shared" si="219"/>
        <v/>
      </c>
      <c r="J246" s="292">
        <f t="shared" si="181"/>
        <v>0</v>
      </c>
      <c r="K246" s="292">
        <f t="shared" si="182"/>
        <v>0</v>
      </c>
      <c r="L246" s="292">
        <f t="shared" si="193"/>
        <v>0</v>
      </c>
      <c r="M246" s="292">
        <f t="shared" si="194"/>
        <v>0</v>
      </c>
      <c r="N246" s="292">
        <f t="shared" si="174"/>
        <v>0</v>
      </c>
      <c r="O246" s="292">
        <f t="shared" si="175"/>
        <v>0</v>
      </c>
      <c r="P246" s="292">
        <f t="shared" si="195"/>
        <v>0</v>
      </c>
      <c r="Q246" s="292">
        <f t="shared" si="196"/>
        <v>0</v>
      </c>
      <c r="R246" s="292">
        <f t="shared" si="197"/>
        <v>0</v>
      </c>
      <c r="S246" s="292">
        <f t="shared" si="198"/>
        <v>0</v>
      </c>
      <c r="T246" s="292">
        <f t="shared" si="176"/>
        <v>0</v>
      </c>
      <c r="U246" s="292">
        <f t="shared" si="177"/>
        <v>0</v>
      </c>
      <c r="V246" s="292">
        <f t="shared" si="199"/>
        <v>0</v>
      </c>
      <c r="W246" s="292">
        <f t="shared" si="200"/>
        <v>0</v>
      </c>
      <c r="X246" s="292">
        <f t="shared" si="201"/>
        <v>0</v>
      </c>
      <c r="Y246" s="292">
        <f t="shared" si="202"/>
        <v>0</v>
      </c>
      <c r="Z246" s="292">
        <f t="shared" si="183"/>
        <v>0</v>
      </c>
      <c r="AA246" s="292">
        <f t="shared" si="184"/>
        <v>0</v>
      </c>
      <c r="AB246" s="292">
        <f t="shared" si="203"/>
        <v>0</v>
      </c>
      <c r="AC246" s="292">
        <f t="shared" si="204"/>
        <v>0</v>
      </c>
      <c r="AD246" s="292">
        <f t="shared" si="185"/>
        <v>0</v>
      </c>
      <c r="AE246" s="292">
        <f t="shared" si="186"/>
        <v>0</v>
      </c>
      <c r="AF246" s="292">
        <f t="shared" si="178"/>
        <v>0</v>
      </c>
      <c r="AG246" s="292">
        <f t="shared" si="179"/>
        <v>0</v>
      </c>
      <c r="AH246" s="292">
        <f t="shared" si="205"/>
        <v>0</v>
      </c>
      <c r="AI246" s="292">
        <f t="shared" si="206"/>
        <v>0</v>
      </c>
      <c r="AJ246" s="292">
        <f t="shared" si="207"/>
        <v>0</v>
      </c>
      <c r="AK246" s="292">
        <f t="shared" si="208"/>
        <v>0</v>
      </c>
      <c r="AL246" s="292">
        <f t="shared" si="209"/>
        <v>0</v>
      </c>
      <c r="AM246" s="292">
        <f t="shared" si="210"/>
        <v>0</v>
      </c>
      <c r="AN246" s="292">
        <f t="shared" si="211"/>
        <v>0</v>
      </c>
      <c r="AO246" s="292">
        <f t="shared" si="212"/>
        <v>0</v>
      </c>
      <c r="AP246" s="292">
        <f t="shared" si="213"/>
        <v>0</v>
      </c>
      <c r="AQ246" s="292">
        <f t="shared" si="214"/>
        <v>0</v>
      </c>
      <c r="AR246" s="292">
        <f t="shared" si="187"/>
        <v>0</v>
      </c>
      <c r="AS246" s="292">
        <f t="shared" si="188"/>
        <v>0</v>
      </c>
      <c r="AT246" s="292">
        <f t="shared" si="215"/>
        <v>0</v>
      </c>
      <c r="AU246" s="292">
        <f t="shared" si="216"/>
        <v>0</v>
      </c>
      <c r="AV246" s="292">
        <f t="shared" si="217"/>
        <v>0</v>
      </c>
      <c r="AW246" s="292">
        <f t="shared" si="218"/>
        <v>0</v>
      </c>
      <c r="AX246" s="292">
        <f t="shared" si="189"/>
        <v>0</v>
      </c>
      <c r="AY246" s="292">
        <f t="shared" si="190"/>
        <v>0</v>
      </c>
      <c r="AZ246" s="292">
        <f t="shared" si="191"/>
        <v>0</v>
      </c>
      <c r="BA246" s="292">
        <f t="shared" si="192"/>
        <v>0</v>
      </c>
    </row>
    <row r="247" spans="1:53" s="289" customFormat="1" ht="16.5" customHeight="1">
      <c r="A247" s="63" t="str">
        <f t="array" ref="A247">IF(C247&lt;&gt;0,SUM(($C$11:C247&lt;&gt;0)*1),"")</f>
        <v/>
      </c>
      <c r="B247" s="290"/>
      <c r="C247" s="290"/>
      <c r="D247" s="290"/>
      <c r="E247" s="396"/>
      <c r="F247" s="345"/>
      <c r="G247" s="347"/>
      <c r="H247" s="347"/>
      <c r="I247" s="63" t="str">
        <f t="shared" si="219"/>
        <v/>
      </c>
      <c r="J247" s="292">
        <f t="shared" si="181"/>
        <v>0</v>
      </c>
      <c r="K247" s="292">
        <f t="shared" si="182"/>
        <v>0</v>
      </c>
      <c r="L247" s="292">
        <f t="shared" si="193"/>
        <v>0</v>
      </c>
      <c r="M247" s="292">
        <f t="shared" si="194"/>
        <v>0</v>
      </c>
      <c r="N247" s="292">
        <f t="shared" si="174"/>
        <v>0</v>
      </c>
      <c r="O247" s="292">
        <f t="shared" si="175"/>
        <v>0</v>
      </c>
      <c r="P247" s="292">
        <f t="shared" si="195"/>
        <v>0</v>
      </c>
      <c r="Q247" s="292">
        <f t="shared" si="196"/>
        <v>0</v>
      </c>
      <c r="R247" s="292">
        <f t="shared" si="197"/>
        <v>0</v>
      </c>
      <c r="S247" s="292">
        <f t="shared" si="198"/>
        <v>0</v>
      </c>
      <c r="T247" s="292">
        <f t="shared" si="176"/>
        <v>0</v>
      </c>
      <c r="U247" s="292">
        <f t="shared" si="177"/>
        <v>0</v>
      </c>
      <c r="V247" s="292">
        <f t="shared" si="199"/>
        <v>0</v>
      </c>
      <c r="W247" s="292">
        <f t="shared" si="200"/>
        <v>0</v>
      </c>
      <c r="X247" s="292">
        <f t="shared" si="201"/>
        <v>0</v>
      </c>
      <c r="Y247" s="292">
        <f t="shared" si="202"/>
        <v>0</v>
      </c>
      <c r="Z247" s="292">
        <f t="shared" si="183"/>
        <v>0</v>
      </c>
      <c r="AA247" s="292">
        <f t="shared" si="184"/>
        <v>0</v>
      </c>
      <c r="AB247" s="292">
        <f t="shared" si="203"/>
        <v>0</v>
      </c>
      <c r="AC247" s="292">
        <f t="shared" si="204"/>
        <v>0</v>
      </c>
      <c r="AD247" s="292">
        <f t="shared" si="185"/>
        <v>0</v>
      </c>
      <c r="AE247" s="292">
        <f t="shared" si="186"/>
        <v>0</v>
      </c>
      <c r="AF247" s="292">
        <f t="shared" si="178"/>
        <v>0</v>
      </c>
      <c r="AG247" s="292">
        <f t="shared" si="179"/>
        <v>0</v>
      </c>
      <c r="AH247" s="292">
        <f t="shared" si="205"/>
        <v>0</v>
      </c>
      <c r="AI247" s="292">
        <f t="shared" si="206"/>
        <v>0</v>
      </c>
      <c r="AJ247" s="292">
        <f t="shared" si="207"/>
        <v>0</v>
      </c>
      <c r="AK247" s="292">
        <f t="shared" si="208"/>
        <v>0</v>
      </c>
      <c r="AL247" s="292">
        <f t="shared" si="209"/>
        <v>0</v>
      </c>
      <c r="AM247" s="292">
        <f t="shared" si="210"/>
        <v>0</v>
      </c>
      <c r="AN247" s="292">
        <f t="shared" si="211"/>
        <v>0</v>
      </c>
      <c r="AO247" s="292">
        <f t="shared" si="212"/>
        <v>0</v>
      </c>
      <c r="AP247" s="292">
        <f t="shared" si="213"/>
        <v>0</v>
      </c>
      <c r="AQ247" s="292">
        <f t="shared" si="214"/>
        <v>0</v>
      </c>
      <c r="AR247" s="292">
        <f t="shared" si="187"/>
        <v>0</v>
      </c>
      <c r="AS247" s="292">
        <f t="shared" si="188"/>
        <v>0</v>
      </c>
      <c r="AT247" s="292">
        <f t="shared" si="215"/>
        <v>0</v>
      </c>
      <c r="AU247" s="292">
        <f t="shared" si="216"/>
        <v>0</v>
      </c>
      <c r="AV247" s="292">
        <f t="shared" si="217"/>
        <v>0</v>
      </c>
      <c r="AW247" s="292">
        <f t="shared" si="218"/>
        <v>0</v>
      </c>
      <c r="AX247" s="292">
        <f t="shared" si="189"/>
        <v>0</v>
      </c>
      <c r="AY247" s="292">
        <f t="shared" si="190"/>
        <v>0</v>
      </c>
      <c r="AZ247" s="292">
        <f t="shared" si="191"/>
        <v>0</v>
      </c>
      <c r="BA247" s="292">
        <f t="shared" si="192"/>
        <v>0</v>
      </c>
    </row>
    <row r="248" spans="1:53" s="289" customFormat="1" ht="16.5" customHeight="1">
      <c r="A248" s="63" t="str">
        <f t="array" ref="A248">IF(C248&lt;&gt;0,SUM(($C$11:C248&lt;&gt;0)*1),"")</f>
        <v/>
      </c>
      <c r="B248" s="290"/>
      <c r="C248" s="290"/>
      <c r="D248" s="290"/>
      <c r="E248" s="396"/>
      <c r="F248" s="345"/>
      <c r="G248" s="347"/>
      <c r="H248" s="347"/>
      <c r="I248" s="63" t="str">
        <f t="shared" si="219"/>
        <v/>
      </c>
      <c r="J248" s="292">
        <f t="shared" si="181"/>
        <v>0</v>
      </c>
      <c r="K248" s="292">
        <f t="shared" si="182"/>
        <v>0</v>
      </c>
      <c r="L248" s="292">
        <f t="shared" si="193"/>
        <v>0</v>
      </c>
      <c r="M248" s="292">
        <f t="shared" si="194"/>
        <v>0</v>
      </c>
      <c r="N248" s="292">
        <f t="shared" si="174"/>
        <v>0</v>
      </c>
      <c r="O248" s="292">
        <f t="shared" si="175"/>
        <v>0</v>
      </c>
      <c r="P248" s="292">
        <f t="shared" si="195"/>
        <v>0</v>
      </c>
      <c r="Q248" s="292">
        <f t="shared" si="196"/>
        <v>0</v>
      </c>
      <c r="R248" s="292">
        <f t="shared" si="197"/>
        <v>0</v>
      </c>
      <c r="S248" s="292">
        <f t="shared" si="198"/>
        <v>0</v>
      </c>
      <c r="T248" s="292">
        <f t="shared" si="176"/>
        <v>0</v>
      </c>
      <c r="U248" s="292">
        <f t="shared" si="177"/>
        <v>0</v>
      </c>
      <c r="V248" s="292">
        <f t="shared" si="199"/>
        <v>0</v>
      </c>
      <c r="W248" s="292">
        <f t="shared" si="200"/>
        <v>0</v>
      </c>
      <c r="X248" s="292">
        <f t="shared" si="201"/>
        <v>0</v>
      </c>
      <c r="Y248" s="292">
        <f t="shared" si="202"/>
        <v>0</v>
      </c>
      <c r="Z248" s="292">
        <f t="shared" si="183"/>
        <v>0</v>
      </c>
      <c r="AA248" s="292">
        <f t="shared" si="184"/>
        <v>0</v>
      </c>
      <c r="AB248" s="292">
        <f t="shared" si="203"/>
        <v>0</v>
      </c>
      <c r="AC248" s="292">
        <f t="shared" si="204"/>
        <v>0</v>
      </c>
      <c r="AD248" s="292">
        <f t="shared" si="185"/>
        <v>0</v>
      </c>
      <c r="AE248" s="292">
        <f t="shared" si="186"/>
        <v>0</v>
      </c>
      <c r="AF248" s="292">
        <f t="shared" si="178"/>
        <v>0</v>
      </c>
      <c r="AG248" s="292">
        <f t="shared" si="179"/>
        <v>0</v>
      </c>
      <c r="AH248" s="292">
        <f t="shared" si="205"/>
        <v>0</v>
      </c>
      <c r="AI248" s="292">
        <f t="shared" si="206"/>
        <v>0</v>
      </c>
      <c r="AJ248" s="292">
        <f t="shared" si="207"/>
        <v>0</v>
      </c>
      <c r="AK248" s="292">
        <f t="shared" si="208"/>
        <v>0</v>
      </c>
      <c r="AL248" s="292">
        <f t="shared" si="209"/>
        <v>0</v>
      </c>
      <c r="AM248" s="292">
        <f t="shared" si="210"/>
        <v>0</v>
      </c>
      <c r="AN248" s="292">
        <f t="shared" si="211"/>
        <v>0</v>
      </c>
      <c r="AO248" s="292">
        <f t="shared" si="212"/>
        <v>0</v>
      </c>
      <c r="AP248" s="292">
        <f t="shared" si="213"/>
        <v>0</v>
      </c>
      <c r="AQ248" s="292">
        <f t="shared" si="214"/>
        <v>0</v>
      </c>
      <c r="AR248" s="292">
        <f t="shared" si="187"/>
        <v>0</v>
      </c>
      <c r="AS248" s="292">
        <f t="shared" si="188"/>
        <v>0</v>
      </c>
      <c r="AT248" s="292">
        <f t="shared" si="215"/>
        <v>0</v>
      </c>
      <c r="AU248" s="292">
        <f t="shared" si="216"/>
        <v>0</v>
      </c>
      <c r="AV248" s="292">
        <f t="shared" si="217"/>
        <v>0</v>
      </c>
      <c r="AW248" s="292">
        <f t="shared" si="218"/>
        <v>0</v>
      </c>
      <c r="AX248" s="292">
        <f t="shared" si="189"/>
        <v>0</v>
      </c>
      <c r="AY248" s="292">
        <f t="shared" si="190"/>
        <v>0</v>
      </c>
      <c r="AZ248" s="292">
        <f t="shared" si="191"/>
        <v>0</v>
      </c>
      <c r="BA248" s="292">
        <f t="shared" si="192"/>
        <v>0</v>
      </c>
    </row>
    <row r="249" spans="1:53" s="289" customFormat="1" ht="16.5" customHeight="1">
      <c r="A249" s="63" t="str">
        <f t="array" ref="A249">IF(C249&lt;&gt;0,SUM(($C$11:C249&lt;&gt;0)*1),"")</f>
        <v/>
      </c>
      <c r="B249" s="290"/>
      <c r="C249" s="290"/>
      <c r="D249" s="290"/>
      <c r="E249" s="396"/>
      <c r="F249" s="345"/>
      <c r="G249" s="347"/>
      <c r="H249" s="347"/>
      <c r="I249" s="63" t="str">
        <f t="shared" si="219"/>
        <v/>
      </c>
      <c r="J249" s="292">
        <f t="shared" si="181"/>
        <v>0</v>
      </c>
      <c r="K249" s="292">
        <f t="shared" si="182"/>
        <v>0</v>
      </c>
      <c r="L249" s="292">
        <f t="shared" si="193"/>
        <v>0</v>
      </c>
      <c r="M249" s="292">
        <f t="shared" si="194"/>
        <v>0</v>
      </c>
      <c r="N249" s="292">
        <f t="shared" si="174"/>
        <v>0</v>
      </c>
      <c r="O249" s="292">
        <f t="shared" si="175"/>
        <v>0</v>
      </c>
      <c r="P249" s="292">
        <f t="shared" si="195"/>
        <v>0</v>
      </c>
      <c r="Q249" s="292">
        <f t="shared" si="196"/>
        <v>0</v>
      </c>
      <c r="R249" s="292">
        <f t="shared" si="197"/>
        <v>0</v>
      </c>
      <c r="S249" s="292">
        <f t="shared" si="198"/>
        <v>0</v>
      </c>
      <c r="T249" s="292">
        <f t="shared" si="176"/>
        <v>0</v>
      </c>
      <c r="U249" s="292">
        <f t="shared" si="177"/>
        <v>0</v>
      </c>
      <c r="V249" s="292">
        <f t="shared" si="199"/>
        <v>0</v>
      </c>
      <c r="W249" s="292">
        <f t="shared" si="200"/>
        <v>0</v>
      </c>
      <c r="X249" s="292">
        <f t="shared" si="201"/>
        <v>0</v>
      </c>
      <c r="Y249" s="292">
        <f t="shared" si="202"/>
        <v>0</v>
      </c>
      <c r="Z249" s="292">
        <f t="shared" si="183"/>
        <v>0</v>
      </c>
      <c r="AA249" s="292">
        <f t="shared" si="184"/>
        <v>0</v>
      </c>
      <c r="AB249" s="292">
        <f t="shared" si="203"/>
        <v>0</v>
      </c>
      <c r="AC249" s="292">
        <f t="shared" si="204"/>
        <v>0</v>
      </c>
      <c r="AD249" s="292">
        <f t="shared" si="185"/>
        <v>0</v>
      </c>
      <c r="AE249" s="292">
        <f t="shared" si="186"/>
        <v>0</v>
      </c>
      <c r="AF249" s="292">
        <f t="shared" si="178"/>
        <v>0</v>
      </c>
      <c r="AG249" s="292">
        <f t="shared" si="179"/>
        <v>0</v>
      </c>
      <c r="AH249" s="292">
        <f t="shared" si="205"/>
        <v>0</v>
      </c>
      <c r="AI249" s="292">
        <f t="shared" si="206"/>
        <v>0</v>
      </c>
      <c r="AJ249" s="292">
        <f t="shared" si="207"/>
        <v>0</v>
      </c>
      <c r="AK249" s="292">
        <f t="shared" si="208"/>
        <v>0</v>
      </c>
      <c r="AL249" s="292">
        <f t="shared" si="209"/>
        <v>0</v>
      </c>
      <c r="AM249" s="292">
        <f t="shared" si="210"/>
        <v>0</v>
      </c>
      <c r="AN249" s="292">
        <f t="shared" si="211"/>
        <v>0</v>
      </c>
      <c r="AO249" s="292">
        <f t="shared" si="212"/>
        <v>0</v>
      </c>
      <c r="AP249" s="292">
        <f t="shared" si="213"/>
        <v>0</v>
      </c>
      <c r="AQ249" s="292">
        <f t="shared" si="214"/>
        <v>0</v>
      </c>
      <c r="AR249" s="292">
        <f t="shared" si="187"/>
        <v>0</v>
      </c>
      <c r="AS249" s="292">
        <f t="shared" si="188"/>
        <v>0</v>
      </c>
      <c r="AT249" s="292">
        <f t="shared" si="215"/>
        <v>0</v>
      </c>
      <c r="AU249" s="292">
        <f t="shared" si="216"/>
        <v>0</v>
      </c>
      <c r="AV249" s="292">
        <f t="shared" si="217"/>
        <v>0</v>
      </c>
      <c r="AW249" s="292">
        <f t="shared" si="218"/>
        <v>0</v>
      </c>
      <c r="AX249" s="292">
        <f t="shared" si="189"/>
        <v>0</v>
      </c>
      <c r="AY249" s="292">
        <f t="shared" si="190"/>
        <v>0</v>
      </c>
      <c r="AZ249" s="292">
        <f t="shared" si="191"/>
        <v>0</v>
      </c>
      <c r="BA249" s="292">
        <f t="shared" si="192"/>
        <v>0</v>
      </c>
    </row>
    <row r="250" spans="1:53" s="289" customFormat="1" ht="16.5" customHeight="1">
      <c r="A250" s="63" t="str">
        <f t="array" ref="A250">IF(C250&lt;&gt;0,SUM(($C$11:C250&lt;&gt;0)*1),"")</f>
        <v/>
      </c>
      <c r="B250" s="290"/>
      <c r="C250" s="290"/>
      <c r="D250" s="290"/>
      <c r="E250" s="396"/>
      <c r="F250" s="345"/>
      <c r="G250" s="347"/>
      <c r="H250" s="347"/>
      <c r="I250" s="63" t="str">
        <f t="shared" si="219"/>
        <v/>
      </c>
      <c r="J250" s="292">
        <f t="shared" si="181"/>
        <v>0</v>
      </c>
      <c r="K250" s="292">
        <f t="shared" si="182"/>
        <v>0</v>
      </c>
      <c r="L250" s="292">
        <f t="shared" si="193"/>
        <v>0</v>
      </c>
      <c r="M250" s="292">
        <f t="shared" si="194"/>
        <v>0</v>
      </c>
      <c r="N250" s="292">
        <f t="shared" si="174"/>
        <v>0</v>
      </c>
      <c r="O250" s="292">
        <f t="shared" si="175"/>
        <v>0</v>
      </c>
      <c r="P250" s="292">
        <f t="shared" si="195"/>
        <v>0</v>
      </c>
      <c r="Q250" s="292">
        <f t="shared" si="196"/>
        <v>0</v>
      </c>
      <c r="R250" s="292">
        <f t="shared" si="197"/>
        <v>0</v>
      </c>
      <c r="S250" s="292">
        <f t="shared" si="198"/>
        <v>0</v>
      </c>
      <c r="T250" s="292">
        <f t="shared" si="176"/>
        <v>0</v>
      </c>
      <c r="U250" s="292">
        <f t="shared" si="177"/>
        <v>0</v>
      </c>
      <c r="V250" s="292">
        <f t="shared" si="199"/>
        <v>0</v>
      </c>
      <c r="W250" s="292">
        <f t="shared" si="200"/>
        <v>0</v>
      </c>
      <c r="X250" s="292">
        <f t="shared" si="201"/>
        <v>0</v>
      </c>
      <c r="Y250" s="292">
        <f t="shared" si="202"/>
        <v>0</v>
      </c>
      <c r="Z250" s="292">
        <f t="shared" si="183"/>
        <v>0</v>
      </c>
      <c r="AA250" s="292">
        <f t="shared" si="184"/>
        <v>0</v>
      </c>
      <c r="AB250" s="292">
        <f t="shared" si="203"/>
        <v>0</v>
      </c>
      <c r="AC250" s="292">
        <f t="shared" si="204"/>
        <v>0</v>
      </c>
      <c r="AD250" s="292">
        <f t="shared" si="185"/>
        <v>0</v>
      </c>
      <c r="AE250" s="292">
        <f t="shared" si="186"/>
        <v>0</v>
      </c>
      <c r="AF250" s="292">
        <f t="shared" si="178"/>
        <v>0</v>
      </c>
      <c r="AG250" s="292">
        <f t="shared" si="179"/>
        <v>0</v>
      </c>
      <c r="AH250" s="292">
        <f t="shared" si="205"/>
        <v>0</v>
      </c>
      <c r="AI250" s="292">
        <f t="shared" si="206"/>
        <v>0</v>
      </c>
      <c r="AJ250" s="292">
        <f t="shared" si="207"/>
        <v>0</v>
      </c>
      <c r="AK250" s="292">
        <f t="shared" si="208"/>
        <v>0</v>
      </c>
      <c r="AL250" s="292">
        <f t="shared" si="209"/>
        <v>0</v>
      </c>
      <c r="AM250" s="292">
        <f t="shared" si="210"/>
        <v>0</v>
      </c>
      <c r="AN250" s="292">
        <f t="shared" si="211"/>
        <v>0</v>
      </c>
      <c r="AO250" s="292">
        <f t="shared" si="212"/>
        <v>0</v>
      </c>
      <c r="AP250" s="292">
        <f t="shared" si="213"/>
        <v>0</v>
      </c>
      <c r="AQ250" s="292">
        <f t="shared" si="214"/>
        <v>0</v>
      </c>
      <c r="AR250" s="292">
        <f t="shared" si="187"/>
        <v>0</v>
      </c>
      <c r="AS250" s="292">
        <f t="shared" si="188"/>
        <v>0</v>
      </c>
      <c r="AT250" s="292">
        <f t="shared" si="215"/>
        <v>0</v>
      </c>
      <c r="AU250" s="292">
        <f t="shared" si="216"/>
        <v>0</v>
      </c>
      <c r="AV250" s="292">
        <f t="shared" si="217"/>
        <v>0</v>
      </c>
      <c r="AW250" s="292">
        <f t="shared" si="218"/>
        <v>0</v>
      </c>
      <c r="AX250" s="292">
        <f t="shared" si="189"/>
        <v>0</v>
      </c>
      <c r="AY250" s="292">
        <f t="shared" si="190"/>
        <v>0</v>
      </c>
      <c r="AZ250" s="292">
        <f t="shared" si="191"/>
        <v>0</v>
      </c>
      <c r="BA250" s="292">
        <f t="shared" si="192"/>
        <v>0</v>
      </c>
    </row>
    <row r="251" spans="1:53" s="289" customFormat="1" ht="16.5" customHeight="1">
      <c r="A251" s="63" t="str">
        <f t="array" ref="A251">IF(C251&lt;&gt;0,SUM(($C$11:C251&lt;&gt;0)*1),"")</f>
        <v/>
      </c>
      <c r="B251" s="290"/>
      <c r="C251" s="290"/>
      <c r="D251" s="290"/>
      <c r="E251" s="396"/>
      <c r="F251" s="345"/>
      <c r="G251" s="347"/>
      <c r="H251" s="347"/>
      <c r="I251" s="63" t="str">
        <f t="shared" si="219"/>
        <v/>
      </c>
      <c r="J251" s="292">
        <f t="shared" si="181"/>
        <v>0</v>
      </c>
      <c r="K251" s="292">
        <f t="shared" si="182"/>
        <v>0</v>
      </c>
      <c r="L251" s="292">
        <f t="shared" si="193"/>
        <v>0</v>
      </c>
      <c r="M251" s="292">
        <f t="shared" si="194"/>
        <v>0</v>
      </c>
      <c r="N251" s="292">
        <f t="shared" si="174"/>
        <v>0</v>
      </c>
      <c r="O251" s="292">
        <f t="shared" si="175"/>
        <v>0</v>
      </c>
      <c r="P251" s="292">
        <f t="shared" si="195"/>
        <v>0</v>
      </c>
      <c r="Q251" s="292">
        <f t="shared" si="196"/>
        <v>0</v>
      </c>
      <c r="R251" s="292">
        <f t="shared" si="197"/>
        <v>0</v>
      </c>
      <c r="S251" s="292">
        <f t="shared" si="198"/>
        <v>0</v>
      </c>
      <c r="T251" s="292">
        <f t="shared" si="176"/>
        <v>0</v>
      </c>
      <c r="U251" s="292">
        <f t="shared" si="177"/>
        <v>0</v>
      </c>
      <c r="V251" s="292">
        <f t="shared" si="199"/>
        <v>0</v>
      </c>
      <c r="W251" s="292">
        <f t="shared" si="200"/>
        <v>0</v>
      </c>
      <c r="X251" s="292">
        <f t="shared" si="201"/>
        <v>0</v>
      </c>
      <c r="Y251" s="292">
        <f t="shared" si="202"/>
        <v>0</v>
      </c>
      <c r="Z251" s="292">
        <f t="shared" si="183"/>
        <v>0</v>
      </c>
      <c r="AA251" s="292">
        <f t="shared" si="184"/>
        <v>0</v>
      </c>
      <c r="AB251" s="292">
        <f t="shared" si="203"/>
        <v>0</v>
      </c>
      <c r="AC251" s="292">
        <f t="shared" si="204"/>
        <v>0</v>
      </c>
      <c r="AD251" s="292">
        <f t="shared" si="185"/>
        <v>0</v>
      </c>
      <c r="AE251" s="292">
        <f t="shared" si="186"/>
        <v>0</v>
      </c>
      <c r="AF251" s="292">
        <f t="shared" si="178"/>
        <v>0</v>
      </c>
      <c r="AG251" s="292">
        <f t="shared" si="179"/>
        <v>0</v>
      </c>
      <c r="AH251" s="292">
        <f t="shared" si="205"/>
        <v>0</v>
      </c>
      <c r="AI251" s="292">
        <f t="shared" si="206"/>
        <v>0</v>
      </c>
      <c r="AJ251" s="292">
        <f t="shared" si="207"/>
        <v>0</v>
      </c>
      <c r="AK251" s="292">
        <f t="shared" si="208"/>
        <v>0</v>
      </c>
      <c r="AL251" s="292">
        <f t="shared" si="209"/>
        <v>0</v>
      </c>
      <c r="AM251" s="292">
        <f t="shared" si="210"/>
        <v>0</v>
      </c>
      <c r="AN251" s="292">
        <f t="shared" si="211"/>
        <v>0</v>
      </c>
      <c r="AO251" s="292">
        <f t="shared" si="212"/>
        <v>0</v>
      </c>
      <c r="AP251" s="292">
        <f t="shared" si="213"/>
        <v>0</v>
      </c>
      <c r="AQ251" s="292">
        <f t="shared" si="214"/>
        <v>0</v>
      </c>
      <c r="AR251" s="292">
        <f t="shared" si="187"/>
        <v>0</v>
      </c>
      <c r="AS251" s="292">
        <f t="shared" si="188"/>
        <v>0</v>
      </c>
      <c r="AT251" s="292">
        <f t="shared" si="215"/>
        <v>0</v>
      </c>
      <c r="AU251" s="292">
        <f t="shared" si="216"/>
        <v>0</v>
      </c>
      <c r="AV251" s="292">
        <f t="shared" si="217"/>
        <v>0</v>
      </c>
      <c r="AW251" s="292">
        <f t="shared" si="218"/>
        <v>0</v>
      </c>
      <c r="AX251" s="292">
        <f t="shared" si="189"/>
        <v>0</v>
      </c>
      <c r="AY251" s="292">
        <f t="shared" si="190"/>
        <v>0</v>
      </c>
      <c r="AZ251" s="292">
        <f t="shared" si="191"/>
        <v>0</v>
      </c>
      <c r="BA251" s="292">
        <f t="shared" si="192"/>
        <v>0</v>
      </c>
    </row>
    <row r="252" spans="1:53" s="289" customFormat="1" ht="16.5" customHeight="1">
      <c r="A252" s="63" t="str">
        <f t="array" ref="A252">IF(C252&lt;&gt;0,SUM(($C$11:C252&lt;&gt;0)*1),"")</f>
        <v/>
      </c>
      <c r="B252" s="290"/>
      <c r="C252" s="290"/>
      <c r="D252" s="290"/>
      <c r="E252" s="396"/>
      <c r="F252" s="345"/>
      <c r="G252" s="347"/>
      <c r="H252" s="347"/>
      <c r="I252" s="63" t="str">
        <f t="shared" si="219"/>
        <v/>
      </c>
      <c r="J252" s="292">
        <f t="shared" si="181"/>
        <v>0</v>
      </c>
      <c r="K252" s="292">
        <f t="shared" si="182"/>
        <v>0</v>
      </c>
      <c r="L252" s="292">
        <f t="shared" si="193"/>
        <v>0</v>
      </c>
      <c r="M252" s="292">
        <f t="shared" si="194"/>
        <v>0</v>
      </c>
      <c r="N252" s="292">
        <f t="shared" si="174"/>
        <v>0</v>
      </c>
      <c r="O252" s="292">
        <f t="shared" si="175"/>
        <v>0</v>
      </c>
      <c r="P252" s="292">
        <f t="shared" si="195"/>
        <v>0</v>
      </c>
      <c r="Q252" s="292">
        <f t="shared" si="196"/>
        <v>0</v>
      </c>
      <c r="R252" s="292">
        <f t="shared" si="197"/>
        <v>0</v>
      </c>
      <c r="S252" s="292">
        <f t="shared" si="198"/>
        <v>0</v>
      </c>
      <c r="T252" s="292">
        <f t="shared" si="176"/>
        <v>0</v>
      </c>
      <c r="U252" s="292">
        <f t="shared" si="177"/>
        <v>0</v>
      </c>
      <c r="V252" s="292">
        <f t="shared" si="199"/>
        <v>0</v>
      </c>
      <c r="W252" s="292">
        <f t="shared" si="200"/>
        <v>0</v>
      </c>
      <c r="X252" s="292">
        <f t="shared" si="201"/>
        <v>0</v>
      </c>
      <c r="Y252" s="292">
        <f t="shared" si="202"/>
        <v>0</v>
      </c>
      <c r="Z252" s="292">
        <f t="shared" si="183"/>
        <v>0</v>
      </c>
      <c r="AA252" s="292">
        <f t="shared" si="184"/>
        <v>0</v>
      </c>
      <c r="AB252" s="292">
        <f t="shared" si="203"/>
        <v>0</v>
      </c>
      <c r="AC252" s="292">
        <f t="shared" si="204"/>
        <v>0</v>
      </c>
      <c r="AD252" s="292">
        <f t="shared" si="185"/>
        <v>0</v>
      </c>
      <c r="AE252" s="292">
        <f t="shared" si="186"/>
        <v>0</v>
      </c>
      <c r="AF252" s="292">
        <f t="shared" si="178"/>
        <v>0</v>
      </c>
      <c r="AG252" s="292">
        <f t="shared" si="179"/>
        <v>0</v>
      </c>
      <c r="AH252" s="292">
        <f t="shared" si="205"/>
        <v>0</v>
      </c>
      <c r="AI252" s="292">
        <f t="shared" si="206"/>
        <v>0</v>
      </c>
      <c r="AJ252" s="292">
        <f t="shared" si="207"/>
        <v>0</v>
      </c>
      <c r="AK252" s="292">
        <f t="shared" si="208"/>
        <v>0</v>
      </c>
      <c r="AL252" s="292">
        <f t="shared" si="209"/>
        <v>0</v>
      </c>
      <c r="AM252" s="292">
        <f t="shared" si="210"/>
        <v>0</v>
      </c>
      <c r="AN252" s="292">
        <f t="shared" si="211"/>
        <v>0</v>
      </c>
      <c r="AO252" s="292">
        <f t="shared" si="212"/>
        <v>0</v>
      </c>
      <c r="AP252" s="292">
        <f t="shared" si="213"/>
        <v>0</v>
      </c>
      <c r="AQ252" s="292">
        <f t="shared" si="214"/>
        <v>0</v>
      </c>
      <c r="AR252" s="292">
        <f t="shared" si="187"/>
        <v>0</v>
      </c>
      <c r="AS252" s="292">
        <f t="shared" si="188"/>
        <v>0</v>
      </c>
      <c r="AT252" s="292">
        <f t="shared" si="215"/>
        <v>0</v>
      </c>
      <c r="AU252" s="292">
        <f t="shared" si="216"/>
        <v>0</v>
      </c>
      <c r="AV252" s="292">
        <f t="shared" si="217"/>
        <v>0</v>
      </c>
      <c r="AW252" s="292">
        <f t="shared" si="218"/>
        <v>0</v>
      </c>
      <c r="AX252" s="292">
        <f t="shared" si="189"/>
        <v>0</v>
      </c>
      <c r="AY252" s="292">
        <f t="shared" si="190"/>
        <v>0</v>
      </c>
      <c r="AZ252" s="292">
        <f t="shared" si="191"/>
        <v>0</v>
      </c>
      <c r="BA252" s="292">
        <f t="shared" si="192"/>
        <v>0</v>
      </c>
    </row>
    <row r="253" spans="1:53" s="289" customFormat="1" ht="16.5" customHeight="1">
      <c r="A253" s="63" t="str">
        <f t="array" ref="A253">IF(C253&lt;&gt;0,SUM(($C$11:C253&lt;&gt;0)*1),"")</f>
        <v/>
      </c>
      <c r="B253" s="290"/>
      <c r="C253" s="290"/>
      <c r="D253" s="290"/>
      <c r="E253" s="396"/>
      <c r="F253" s="345"/>
      <c r="G253" s="347"/>
      <c r="H253" s="347"/>
      <c r="I253" s="63" t="str">
        <f t="shared" si="219"/>
        <v/>
      </c>
      <c r="J253" s="292">
        <f t="shared" si="181"/>
        <v>0</v>
      </c>
      <c r="K253" s="292">
        <f t="shared" si="182"/>
        <v>0</v>
      </c>
      <c r="L253" s="292">
        <f t="shared" si="193"/>
        <v>0</v>
      </c>
      <c r="M253" s="292">
        <f t="shared" si="194"/>
        <v>0</v>
      </c>
      <c r="N253" s="292">
        <f t="shared" si="174"/>
        <v>0</v>
      </c>
      <c r="O253" s="292">
        <f t="shared" si="175"/>
        <v>0</v>
      </c>
      <c r="P253" s="292">
        <f t="shared" si="195"/>
        <v>0</v>
      </c>
      <c r="Q253" s="292">
        <f t="shared" si="196"/>
        <v>0</v>
      </c>
      <c r="R253" s="292">
        <f t="shared" si="197"/>
        <v>0</v>
      </c>
      <c r="S253" s="292">
        <f t="shared" si="198"/>
        <v>0</v>
      </c>
      <c r="T253" s="292">
        <f t="shared" si="176"/>
        <v>0</v>
      </c>
      <c r="U253" s="292">
        <f t="shared" si="177"/>
        <v>0</v>
      </c>
      <c r="V253" s="292">
        <f t="shared" si="199"/>
        <v>0</v>
      </c>
      <c r="W253" s="292">
        <f t="shared" si="200"/>
        <v>0</v>
      </c>
      <c r="X253" s="292">
        <f t="shared" si="201"/>
        <v>0</v>
      </c>
      <c r="Y253" s="292">
        <f t="shared" si="202"/>
        <v>0</v>
      </c>
      <c r="Z253" s="292">
        <f t="shared" si="183"/>
        <v>0</v>
      </c>
      <c r="AA253" s="292">
        <f t="shared" si="184"/>
        <v>0</v>
      </c>
      <c r="AB253" s="292">
        <f t="shared" si="203"/>
        <v>0</v>
      </c>
      <c r="AC253" s="292">
        <f t="shared" si="204"/>
        <v>0</v>
      </c>
      <c r="AD253" s="292">
        <f t="shared" si="185"/>
        <v>0</v>
      </c>
      <c r="AE253" s="292">
        <f t="shared" si="186"/>
        <v>0</v>
      </c>
      <c r="AF253" s="292">
        <f t="shared" si="178"/>
        <v>0</v>
      </c>
      <c r="AG253" s="292">
        <f t="shared" si="179"/>
        <v>0</v>
      </c>
      <c r="AH253" s="292">
        <f t="shared" si="205"/>
        <v>0</v>
      </c>
      <c r="AI253" s="292">
        <f t="shared" si="206"/>
        <v>0</v>
      </c>
      <c r="AJ253" s="292">
        <f t="shared" si="207"/>
        <v>0</v>
      </c>
      <c r="AK253" s="292">
        <f t="shared" si="208"/>
        <v>0</v>
      </c>
      <c r="AL253" s="292">
        <f t="shared" si="209"/>
        <v>0</v>
      </c>
      <c r="AM253" s="292">
        <f t="shared" si="210"/>
        <v>0</v>
      </c>
      <c r="AN253" s="292">
        <f t="shared" si="211"/>
        <v>0</v>
      </c>
      <c r="AO253" s="292">
        <f t="shared" si="212"/>
        <v>0</v>
      </c>
      <c r="AP253" s="292">
        <f t="shared" si="213"/>
        <v>0</v>
      </c>
      <c r="AQ253" s="292">
        <f t="shared" si="214"/>
        <v>0</v>
      </c>
      <c r="AR253" s="292">
        <f t="shared" si="187"/>
        <v>0</v>
      </c>
      <c r="AS253" s="292">
        <f t="shared" si="188"/>
        <v>0</v>
      </c>
      <c r="AT253" s="292">
        <f t="shared" si="215"/>
        <v>0</v>
      </c>
      <c r="AU253" s="292">
        <f t="shared" si="216"/>
        <v>0</v>
      </c>
      <c r="AV253" s="292">
        <f t="shared" si="217"/>
        <v>0</v>
      </c>
      <c r="AW253" s="292">
        <f t="shared" si="218"/>
        <v>0</v>
      </c>
      <c r="AX253" s="292">
        <f t="shared" si="189"/>
        <v>0</v>
      </c>
      <c r="AY253" s="292">
        <f t="shared" si="190"/>
        <v>0</v>
      </c>
      <c r="AZ253" s="292">
        <f t="shared" si="191"/>
        <v>0</v>
      </c>
      <c r="BA253" s="292">
        <f t="shared" si="192"/>
        <v>0</v>
      </c>
    </row>
    <row r="254" spans="1:53" s="289" customFormat="1" ht="16.5" customHeight="1">
      <c r="A254" s="63" t="str">
        <f t="array" ref="A254">IF(C254&lt;&gt;0,SUM(($C$11:C254&lt;&gt;0)*1),"")</f>
        <v/>
      </c>
      <c r="B254" s="290"/>
      <c r="C254" s="290"/>
      <c r="D254" s="290"/>
      <c r="E254" s="396"/>
      <c r="F254" s="345"/>
      <c r="G254" s="347"/>
      <c r="H254" s="347"/>
      <c r="I254" s="63" t="str">
        <f t="shared" si="219"/>
        <v/>
      </c>
      <c r="J254" s="292">
        <f t="shared" si="181"/>
        <v>0</v>
      </c>
      <c r="K254" s="292">
        <f t="shared" si="182"/>
        <v>0</v>
      </c>
      <c r="L254" s="292">
        <f t="shared" si="193"/>
        <v>0</v>
      </c>
      <c r="M254" s="292">
        <f t="shared" si="194"/>
        <v>0</v>
      </c>
      <c r="N254" s="292">
        <f t="shared" si="174"/>
        <v>0</v>
      </c>
      <c r="O254" s="292">
        <f t="shared" si="175"/>
        <v>0</v>
      </c>
      <c r="P254" s="292">
        <f t="shared" si="195"/>
        <v>0</v>
      </c>
      <c r="Q254" s="292">
        <f t="shared" si="196"/>
        <v>0</v>
      </c>
      <c r="R254" s="292">
        <f t="shared" si="197"/>
        <v>0</v>
      </c>
      <c r="S254" s="292">
        <f t="shared" si="198"/>
        <v>0</v>
      </c>
      <c r="T254" s="292">
        <f t="shared" si="176"/>
        <v>0</v>
      </c>
      <c r="U254" s="292">
        <f t="shared" si="177"/>
        <v>0</v>
      </c>
      <c r="V254" s="292">
        <f t="shared" si="199"/>
        <v>0</v>
      </c>
      <c r="W254" s="292">
        <f t="shared" si="200"/>
        <v>0</v>
      </c>
      <c r="X254" s="292">
        <f t="shared" si="201"/>
        <v>0</v>
      </c>
      <c r="Y254" s="292">
        <f t="shared" si="202"/>
        <v>0</v>
      </c>
      <c r="Z254" s="292">
        <f t="shared" si="183"/>
        <v>0</v>
      </c>
      <c r="AA254" s="292">
        <f t="shared" si="184"/>
        <v>0</v>
      </c>
      <c r="AB254" s="292">
        <f t="shared" si="203"/>
        <v>0</v>
      </c>
      <c r="AC254" s="292">
        <f t="shared" si="204"/>
        <v>0</v>
      </c>
      <c r="AD254" s="292">
        <f t="shared" si="185"/>
        <v>0</v>
      </c>
      <c r="AE254" s="292">
        <f t="shared" si="186"/>
        <v>0</v>
      </c>
      <c r="AF254" s="292">
        <f t="shared" si="178"/>
        <v>0</v>
      </c>
      <c r="AG254" s="292">
        <f t="shared" si="179"/>
        <v>0</v>
      </c>
      <c r="AH254" s="292">
        <f t="shared" si="205"/>
        <v>0</v>
      </c>
      <c r="AI254" s="292">
        <f t="shared" si="206"/>
        <v>0</v>
      </c>
      <c r="AJ254" s="292">
        <f t="shared" si="207"/>
        <v>0</v>
      </c>
      <c r="AK254" s="292">
        <f t="shared" si="208"/>
        <v>0</v>
      </c>
      <c r="AL254" s="292">
        <f t="shared" si="209"/>
        <v>0</v>
      </c>
      <c r="AM254" s="292">
        <f t="shared" si="210"/>
        <v>0</v>
      </c>
      <c r="AN254" s="292">
        <f t="shared" si="211"/>
        <v>0</v>
      </c>
      <c r="AO254" s="292">
        <f t="shared" si="212"/>
        <v>0</v>
      </c>
      <c r="AP254" s="292">
        <f t="shared" si="213"/>
        <v>0</v>
      </c>
      <c r="AQ254" s="292">
        <f t="shared" si="214"/>
        <v>0</v>
      </c>
      <c r="AR254" s="292">
        <f t="shared" si="187"/>
        <v>0</v>
      </c>
      <c r="AS254" s="292">
        <f t="shared" si="188"/>
        <v>0</v>
      </c>
      <c r="AT254" s="292">
        <f t="shared" si="215"/>
        <v>0</v>
      </c>
      <c r="AU254" s="292">
        <f t="shared" si="216"/>
        <v>0</v>
      </c>
      <c r="AV254" s="292">
        <f t="shared" si="217"/>
        <v>0</v>
      </c>
      <c r="AW254" s="292">
        <f t="shared" si="218"/>
        <v>0</v>
      </c>
      <c r="AX254" s="292">
        <f t="shared" si="189"/>
        <v>0</v>
      </c>
      <c r="AY254" s="292">
        <f t="shared" si="190"/>
        <v>0</v>
      </c>
      <c r="AZ254" s="292">
        <f t="shared" si="191"/>
        <v>0</v>
      </c>
      <c r="BA254" s="292">
        <f t="shared" si="192"/>
        <v>0</v>
      </c>
    </row>
    <row r="255" spans="1:53" s="289" customFormat="1" ht="16.5" customHeight="1">
      <c r="A255" s="63" t="str">
        <f t="array" ref="A255">IF(C255&lt;&gt;0,SUM(($C$11:C255&lt;&gt;0)*1),"")</f>
        <v/>
      </c>
      <c r="B255" s="290"/>
      <c r="C255" s="290"/>
      <c r="D255" s="290"/>
      <c r="E255" s="396"/>
      <c r="F255" s="345"/>
      <c r="G255" s="347"/>
      <c r="H255" s="347"/>
      <c r="I255" s="63" t="str">
        <f t="shared" si="219"/>
        <v/>
      </c>
      <c r="J255" s="292">
        <f t="shared" si="181"/>
        <v>0</v>
      </c>
      <c r="K255" s="292">
        <f t="shared" si="182"/>
        <v>0</v>
      </c>
      <c r="L255" s="292">
        <f t="shared" si="193"/>
        <v>0</v>
      </c>
      <c r="M255" s="292">
        <f t="shared" si="194"/>
        <v>0</v>
      </c>
      <c r="N255" s="292">
        <f t="shared" si="174"/>
        <v>0</v>
      </c>
      <c r="O255" s="292">
        <f t="shared" si="175"/>
        <v>0</v>
      </c>
      <c r="P255" s="292">
        <f t="shared" si="195"/>
        <v>0</v>
      </c>
      <c r="Q255" s="292">
        <f t="shared" si="196"/>
        <v>0</v>
      </c>
      <c r="R255" s="292">
        <f t="shared" si="197"/>
        <v>0</v>
      </c>
      <c r="S255" s="292">
        <f t="shared" si="198"/>
        <v>0</v>
      </c>
      <c r="T255" s="292">
        <f t="shared" si="176"/>
        <v>0</v>
      </c>
      <c r="U255" s="292">
        <f t="shared" si="177"/>
        <v>0</v>
      </c>
      <c r="V255" s="292">
        <f t="shared" si="199"/>
        <v>0</v>
      </c>
      <c r="W255" s="292">
        <f t="shared" si="200"/>
        <v>0</v>
      </c>
      <c r="X255" s="292">
        <f t="shared" si="201"/>
        <v>0</v>
      </c>
      <c r="Y255" s="292">
        <f t="shared" si="202"/>
        <v>0</v>
      </c>
      <c r="Z255" s="292">
        <f t="shared" si="183"/>
        <v>0</v>
      </c>
      <c r="AA255" s="292">
        <f t="shared" si="184"/>
        <v>0</v>
      </c>
      <c r="AB255" s="292">
        <f t="shared" si="203"/>
        <v>0</v>
      </c>
      <c r="AC255" s="292">
        <f t="shared" si="204"/>
        <v>0</v>
      </c>
      <c r="AD255" s="292">
        <f t="shared" si="185"/>
        <v>0</v>
      </c>
      <c r="AE255" s="292">
        <f t="shared" si="186"/>
        <v>0</v>
      </c>
      <c r="AF255" s="292">
        <f t="shared" si="178"/>
        <v>0</v>
      </c>
      <c r="AG255" s="292">
        <f t="shared" si="179"/>
        <v>0</v>
      </c>
      <c r="AH255" s="292">
        <f t="shared" si="205"/>
        <v>0</v>
      </c>
      <c r="AI255" s="292">
        <f t="shared" si="206"/>
        <v>0</v>
      </c>
      <c r="AJ255" s="292">
        <f t="shared" si="207"/>
        <v>0</v>
      </c>
      <c r="AK255" s="292">
        <f t="shared" si="208"/>
        <v>0</v>
      </c>
      <c r="AL255" s="292">
        <f t="shared" si="209"/>
        <v>0</v>
      </c>
      <c r="AM255" s="292">
        <f t="shared" si="210"/>
        <v>0</v>
      </c>
      <c r="AN255" s="292">
        <f t="shared" si="211"/>
        <v>0</v>
      </c>
      <c r="AO255" s="292">
        <f t="shared" si="212"/>
        <v>0</v>
      </c>
      <c r="AP255" s="292">
        <f t="shared" si="213"/>
        <v>0</v>
      </c>
      <c r="AQ255" s="292">
        <f t="shared" si="214"/>
        <v>0</v>
      </c>
      <c r="AR255" s="292">
        <f t="shared" si="187"/>
        <v>0</v>
      </c>
      <c r="AS255" s="292">
        <f t="shared" si="188"/>
        <v>0</v>
      </c>
      <c r="AT255" s="292">
        <f t="shared" si="215"/>
        <v>0</v>
      </c>
      <c r="AU255" s="292">
        <f t="shared" si="216"/>
        <v>0</v>
      </c>
      <c r="AV255" s="292">
        <f t="shared" si="217"/>
        <v>0</v>
      </c>
      <c r="AW255" s="292">
        <f t="shared" si="218"/>
        <v>0</v>
      </c>
      <c r="AX255" s="292">
        <f t="shared" si="189"/>
        <v>0</v>
      </c>
      <c r="AY255" s="292">
        <f t="shared" si="190"/>
        <v>0</v>
      </c>
      <c r="AZ255" s="292">
        <f t="shared" si="191"/>
        <v>0</v>
      </c>
      <c r="BA255" s="292">
        <f t="shared" si="192"/>
        <v>0</v>
      </c>
    </row>
    <row r="256" spans="1:53" s="289" customFormat="1" ht="16.5" customHeight="1">
      <c r="A256" s="63" t="str">
        <f t="array" ref="A256">IF(C256&lt;&gt;0,SUM(($C$11:C256&lt;&gt;0)*1),"")</f>
        <v/>
      </c>
      <c r="B256" s="290"/>
      <c r="C256" s="290"/>
      <c r="D256" s="290"/>
      <c r="E256" s="396"/>
      <c r="F256" s="345"/>
      <c r="G256" s="347"/>
      <c r="H256" s="347"/>
      <c r="I256" s="63" t="str">
        <f t="shared" si="219"/>
        <v/>
      </c>
      <c r="J256" s="292">
        <f t="shared" si="181"/>
        <v>0</v>
      </c>
      <c r="K256" s="292">
        <f t="shared" si="182"/>
        <v>0</v>
      </c>
      <c r="L256" s="292">
        <f t="shared" si="193"/>
        <v>0</v>
      </c>
      <c r="M256" s="292">
        <f t="shared" si="194"/>
        <v>0</v>
      </c>
      <c r="N256" s="292">
        <f t="shared" si="174"/>
        <v>0</v>
      </c>
      <c r="O256" s="292">
        <f t="shared" si="175"/>
        <v>0</v>
      </c>
      <c r="P256" s="292">
        <f t="shared" si="195"/>
        <v>0</v>
      </c>
      <c r="Q256" s="292">
        <f t="shared" si="196"/>
        <v>0</v>
      </c>
      <c r="R256" s="292">
        <f t="shared" si="197"/>
        <v>0</v>
      </c>
      <c r="S256" s="292">
        <f t="shared" si="198"/>
        <v>0</v>
      </c>
      <c r="T256" s="292">
        <f t="shared" si="176"/>
        <v>0</v>
      </c>
      <c r="U256" s="292">
        <f t="shared" si="177"/>
        <v>0</v>
      </c>
      <c r="V256" s="292">
        <f t="shared" si="199"/>
        <v>0</v>
      </c>
      <c r="W256" s="292">
        <f t="shared" si="200"/>
        <v>0</v>
      </c>
      <c r="X256" s="292">
        <f t="shared" si="201"/>
        <v>0</v>
      </c>
      <c r="Y256" s="292">
        <f t="shared" si="202"/>
        <v>0</v>
      </c>
      <c r="Z256" s="292">
        <f t="shared" si="183"/>
        <v>0</v>
      </c>
      <c r="AA256" s="292">
        <f t="shared" si="184"/>
        <v>0</v>
      </c>
      <c r="AB256" s="292">
        <f t="shared" si="203"/>
        <v>0</v>
      </c>
      <c r="AC256" s="292">
        <f t="shared" si="204"/>
        <v>0</v>
      </c>
      <c r="AD256" s="292">
        <f t="shared" si="185"/>
        <v>0</v>
      </c>
      <c r="AE256" s="292">
        <f t="shared" si="186"/>
        <v>0</v>
      </c>
      <c r="AF256" s="292">
        <f t="shared" si="178"/>
        <v>0</v>
      </c>
      <c r="AG256" s="292">
        <f t="shared" si="179"/>
        <v>0</v>
      </c>
      <c r="AH256" s="292">
        <f t="shared" si="205"/>
        <v>0</v>
      </c>
      <c r="AI256" s="292">
        <f t="shared" si="206"/>
        <v>0</v>
      </c>
      <c r="AJ256" s="292">
        <f t="shared" si="207"/>
        <v>0</v>
      </c>
      <c r="AK256" s="292">
        <f t="shared" si="208"/>
        <v>0</v>
      </c>
      <c r="AL256" s="292">
        <f t="shared" si="209"/>
        <v>0</v>
      </c>
      <c r="AM256" s="292">
        <f t="shared" si="210"/>
        <v>0</v>
      </c>
      <c r="AN256" s="292">
        <f t="shared" si="211"/>
        <v>0</v>
      </c>
      <c r="AO256" s="292">
        <f t="shared" si="212"/>
        <v>0</v>
      </c>
      <c r="AP256" s="292">
        <f t="shared" si="213"/>
        <v>0</v>
      </c>
      <c r="AQ256" s="292">
        <f t="shared" si="214"/>
        <v>0</v>
      </c>
      <c r="AR256" s="292">
        <f t="shared" si="187"/>
        <v>0</v>
      </c>
      <c r="AS256" s="292">
        <f t="shared" si="188"/>
        <v>0</v>
      </c>
      <c r="AT256" s="292">
        <f t="shared" si="215"/>
        <v>0</v>
      </c>
      <c r="AU256" s="292">
        <f t="shared" si="216"/>
        <v>0</v>
      </c>
      <c r="AV256" s="292">
        <f t="shared" si="217"/>
        <v>0</v>
      </c>
      <c r="AW256" s="292">
        <f t="shared" si="218"/>
        <v>0</v>
      </c>
      <c r="AX256" s="292">
        <f t="shared" si="189"/>
        <v>0</v>
      </c>
      <c r="AY256" s="292">
        <f t="shared" si="190"/>
        <v>0</v>
      </c>
      <c r="AZ256" s="292">
        <f t="shared" si="191"/>
        <v>0</v>
      </c>
      <c r="BA256" s="292">
        <f t="shared" si="192"/>
        <v>0</v>
      </c>
    </row>
    <row r="257" spans="1:53" s="289" customFormat="1" ht="16.5" customHeight="1">
      <c r="A257" s="63" t="str">
        <f t="array" ref="A257">IF(C257&lt;&gt;0,SUM(($C$11:C257&lt;&gt;0)*1),"")</f>
        <v/>
      </c>
      <c r="B257" s="290"/>
      <c r="C257" s="290"/>
      <c r="D257" s="290"/>
      <c r="E257" s="396"/>
      <c r="F257" s="345"/>
      <c r="G257" s="347"/>
      <c r="H257" s="347"/>
      <c r="I257" s="63" t="str">
        <f t="shared" si="219"/>
        <v/>
      </c>
      <c r="J257" s="292">
        <f t="shared" si="181"/>
        <v>0</v>
      </c>
      <c r="K257" s="292">
        <f t="shared" si="182"/>
        <v>0</v>
      </c>
      <c r="L257" s="292">
        <f t="shared" si="193"/>
        <v>0</v>
      </c>
      <c r="M257" s="292">
        <f t="shared" si="194"/>
        <v>0</v>
      </c>
      <c r="N257" s="292">
        <f t="shared" si="174"/>
        <v>0</v>
      </c>
      <c r="O257" s="292">
        <f t="shared" si="175"/>
        <v>0</v>
      </c>
      <c r="P257" s="292">
        <f t="shared" si="195"/>
        <v>0</v>
      </c>
      <c r="Q257" s="292">
        <f t="shared" si="196"/>
        <v>0</v>
      </c>
      <c r="R257" s="292">
        <f t="shared" si="197"/>
        <v>0</v>
      </c>
      <c r="S257" s="292">
        <f t="shared" si="198"/>
        <v>0</v>
      </c>
      <c r="T257" s="292">
        <f t="shared" si="176"/>
        <v>0</v>
      </c>
      <c r="U257" s="292">
        <f t="shared" si="177"/>
        <v>0</v>
      </c>
      <c r="V257" s="292">
        <f t="shared" si="199"/>
        <v>0</v>
      </c>
      <c r="W257" s="292">
        <f t="shared" si="200"/>
        <v>0</v>
      </c>
      <c r="X257" s="292">
        <f t="shared" si="201"/>
        <v>0</v>
      </c>
      <c r="Y257" s="292">
        <f t="shared" si="202"/>
        <v>0</v>
      </c>
      <c r="Z257" s="292">
        <f t="shared" si="183"/>
        <v>0</v>
      </c>
      <c r="AA257" s="292">
        <f t="shared" si="184"/>
        <v>0</v>
      </c>
      <c r="AB257" s="292">
        <f t="shared" si="203"/>
        <v>0</v>
      </c>
      <c r="AC257" s="292">
        <f t="shared" si="204"/>
        <v>0</v>
      </c>
      <c r="AD257" s="292">
        <f t="shared" si="185"/>
        <v>0</v>
      </c>
      <c r="AE257" s="292">
        <f t="shared" si="186"/>
        <v>0</v>
      </c>
      <c r="AF257" s="292">
        <f t="shared" si="178"/>
        <v>0</v>
      </c>
      <c r="AG257" s="292">
        <f t="shared" si="179"/>
        <v>0</v>
      </c>
      <c r="AH257" s="292">
        <f t="shared" si="205"/>
        <v>0</v>
      </c>
      <c r="AI257" s="292">
        <f t="shared" si="206"/>
        <v>0</v>
      </c>
      <c r="AJ257" s="292">
        <f t="shared" si="207"/>
        <v>0</v>
      </c>
      <c r="AK257" s="292">
        <f t="shared" si="208"/>
        <v>0</v>
      </c>
      <c r="AL257" s="292">
        <f t="shared" si="209"/>
        <v>0</v>
      </c>
      <c r="AM257" s="292">
        <f t="shared" si="210"/>
        <v>0</v>
      </c>
      <c r="AN257" s="292">
        <f t="shared" si="211"/>
        <v>0</v>
      </c>
      <c r="AO257" s="292">
        <f t="shared" si="212"/>
        <v>0</v>
      </c>
      <c r="AP257" s="292">
        <f t="shared" si="213"/>
        <v>0</v>
      </c>
      <c r="AQ257" s="292">
        <f t="shared" si="214"/>
        <v>0</v>
      </c>
      <c r="AR257" s="292">
        <f t="shared" si="187"/>
        <v>0</v>
      </c>
      <c r="AS257" s="292">
        <f t="shared" si="188"/>
        <v>0</v>
      </c>
      <c r="AT257" s="292">
        <f t="shared" si="215"/>
        <v>0</v>
      </c>
      <c r="AU257" s="292">
        <f t="shared" si="216"/>
        <v>0</v>
      </c>
      <c r="AV257" s="292">
        <f t="shared" si="217"/>
        <v>0</v>
      </c>
      <c r="AW257" s="292">
        <f t="shared" si="218"/>
        <v>0</v>
      </c>
      <c r="AX257" s="292">
        <f t="shared" si="189"/>
        <v>0</v>
      </c>
      <c r="AY257" s="292">
        <f t="shared" si="190"/>
        <v>0</v>
      </c>
      <c r="AZ257" s="292">
        <f t="shared" si="191"/>
        <v>0</v>
      </c>
      <c r="BA257" s="292">
        <f t="shared" si="192"/>
        <v>0</v>
      </c>
    </row>
    <row r="258" spans="1:53" s="289" customFormat="1" ht="16.5" customHeight="1">
      <c r="A258" s="63" t="str">
        <f t="array" ref="A258">IF(C258&lt;&gt;0,SUM(($C$11:C258&lt;&gt;0)*1),"")</f>
        <v/>
      </c>
      <c r="B258" s="290"/>
      <c r="C258" s="290"/>
      <c r="D258" s="290"/>
      <c r="E258" s="396"/>
      <c r="F258" s="345"/>
      <c r="G258" s="347"/>
      <c r="H258" s="347"/>
      <c r="I258" s="63" t="str">
        <f t="shared" si="219"/>
        <v/>
      </c>
      <c r="J258" s="292">
        <f t="shared" si="181"/>
        <v>0</v>
      </c>
      <c r="K258" s="292">
        <f t="shared" si="182"/>
        <v>0</v>
      </c>
      <c r="L258" s="292">
        <f t="shared" si="193"/>
        <v>0</v>
      </c>
      <c r="M258" s="292">
        <f t="shared" si="194"/>
        <v>0</v>
      </c>
      <c r="N258" s="292">
        <f t="shared" si="174"/>
        <v>0</v>
      </c>
      <c r="O258" s="292">
        <f t="shared" si="175"/>
        <v>0</v>
      </c>
      <c r="P258" s="292">
        <f t="shared" si="195"/>
        <v>0</v>
      </c>
      <c r="Q258" s="292">
        <f t="shared" si="196"/>
        <v>0</v>
      </c>
      <c r="R258" s="292">
        <f t="shared" si="197"/>
        <v>0</v>
      </c>
      <c r="S258" s="292">
        <f t="shared" si="198"/>
        <v>0</v>
      </c>
      <c r="T258" s="292">
        <f t="shared" si="176"/>
        <v>0</v>
      </c>
      <c r="U258" s="292">
        <f t="shared" si="177"/>
        <v>0</v>
      </c>
      <c r="V258" s="292">
        <f t="shared" si="199"/>
        <v>0</v>
      </c>
      <c r="W258" s="292">
        <f t="shared" si="200"/>
        <v>0</v>
      </c>
      <c r="X258" s="292">
        <f t="shared" si="201"/>
        <v>0</v>
      </c>
      <c r="Y258" s="292">
        <f t="shared" si="202"/>
        <v>0</v>
      </c>
      <c r="Z258" s="292">
        <f t="shared" si="183"/>
        <v>0</v>
      </c>
      <c r="AA258" s="292">
        <f t="shared" si="184"/>
        <v>0</v>
      </c>
      <c r="AB258" s="292">
        <f t="shared" si="203"/>
        <v>0</v>
      </c>
      <c r="AC258" s="292">
        <f t="shared" si="204"/>
        <v>0</v>
      </c>
      <c r="AD258" s="292">
        <f t="shared" si="185"/>
        <v>0</v>
      </c>
      <c r="AE258" s="292">
        <f t="shared" si="186"/>
        <v>0</v>
      </c>
      <c r="AF258" s="292">
        <f t="shared" si="178"/>
        <v>0</v>
      </c>
      <c r="AG258" s="292">
        <f t="shared" si="179"/>
        <v>0</v>
      </c>
      <c r="AH258" s="292">
        <f t="shared" si="205"/>
        <v>0</v>
      </c>
      <c r="AI258" s="292">
        <f t="shared" si="206"/>
        <v>0</v>
      </c>
      <c r="AJ258" s="292">
        <f t="shared" si="207"/>
        <v>0</v>
      </c>
      <c r="AK258" s="292">
        <f t="shared" si="208"/>
        <v>0</v>
      </c>
      <c r="AL258" s="292">
        <f t="shared" si="209"/>
        <v>0</v>
      </c>
      <c r="AM258" s="292">
        <f t="shared" si="210"/>
        <v>0</v>
      </c>
      <c r="AN258" s="292">
        <f t="shared" si="211"/>
        <v>0</v>
      </c>
      <c r="AO258" s="292">
        <f t="shared" si="212"/>
        <v>0</v>
      </c>
      <c r="AP258" s="292">
        <f t="shared" si="213"/>
        <v>0</v>
      </c>
      <c r="AQ258" s="292">
        <f t="shared" si="214"/>
        <v>0</v>
      </c>
      <c r="AR258" s="292">
        <f t="shared" si="187"/>
        <v>0</v>
      </c>
      <c r="AS258" s="292">
        <f t="shared" si="188"/>
        <v>0</v>
      </c>
      <c r="AT258" s="292">
        <f t="shared" si="215"/>
        <v>0</v>
      </c>
      <c r="AU258" s="292">
        <f t="shared" si="216"/>
        <v>0</v>
      </c>
      <c r="AV258" s="292">
        <f t="shared" si="217"/>
        <v>0</v>
      </c>
      <c r="AW258" s="292">
        <f t="shared" si="218"/>
        <v>0</v>
      </c>
      <c r="AX258" s="292">
        <f t="shared" si="189"/>
        <v>0</v>
      </c>
      <c r="AY258" s="292">
        <f t="shared" si="190"/>
        <v>0</v>
      </c>
      <c r="AZ258" s="292">
        <f t="shared" si="191"/>
        <v>0</v>
      </c>
      <c r="BA258" s="292">
        <f t="shared" si="192"/>
        <v>0</v>
      </c>
    </row>
    <row r="259" spans="1:53" s="289" customFormat="1" ht="16.5" customHeight="1">
      <c r="A259" s="63" t="str">
        <f t="array" ref="A259">IF(C259&lt;&gt;0,SUM(($C$11:C259&lt;&gt;0)*1),"")</f>
        <v/>
      </c>
      <c r="B259" s="290"/>
      <c r="C259" s="290"/>
      <c r="D259" s="290"/>
      <c r="E259" s="396"/>
      <c r="F259" s="345"/>
      <c r="G259" s="347"/>
      <c r="H259" s="347"/>
      <c r="I259" s="63" t="str">
        <f t="shared" si="219"/>
        <v/>
      </c>
      <c r="J259" s="292">
        <f t="shared" si="181"/>
        <v>0</v>
      </c>
      <c r="K259" s="292">
        <f t="shared" si="182"/>
        <v>0</v>
      </c>
      <c r="L259" s="292">
        <f t="shared" si="193"/>
        <v>0</v>
      </c>
      <c r="M259" s="292">
        <f t="shared" si="194"/>
        <v>0</v>
      </c>
      <c r="N259" s="292">
        <f t="shared" si="174"/>
        <v>0</v>
      </c>
      <c r="O259" s="292">
        <f t="shared" si="175"/>
        <v>0</v>
      </c>
      <c r="P259" s="292">
        <f t="shared" si="195"/>
        <v>0</v>
      </c>
      <c r="Q259" s="292">
        <f t="shared" si="196"/>
        <v>0</v>
      </c>
      <c r="R259" s="292">
        <f t="shared" si="197"/>
        <v>0</v>
      </c>
      <c r="S259" s="292">
        <f t="shared" si="198"/>
        <v>0</v>
      </c>
      <c r="T259" s="292">
        <f t="shared" si="176"/>
        <v>0</v>
      </c>
      <c r="U259" s="292">
        <f t="shared" si="177"/>
        <v>0</v>
      </c>
      <c r="V259" s="292">
        <f t="shared" si="199"/>
        <v>0</v>
      </c>
      <c r="W259" s="292">
        <f t="shared" si="200"/>
        <v>0</v>
      </c>
      <c r="X259" s="292">
        <f t="shared" si="201"/>
        <v>0</v>
      </c>
      <c r="Y259" s="292">
        <f t="shared" si="202"/>
        <v>0</v>
      </c>
      <c r="Z259" s="292">
        <f t="shared" si="183"/>
        <v>0</v>
      </c>
      <c r="AA259" s="292">
        <f t="shared" si="184"/>
        <v>0</v>
      </c>
      <c r="AB259" s="292">
        <f t="shared" si="203"/>
        <v>0</v>
      </c>
      <c r="AC259" s="292">
        <f t="shared" si="204"/>
        <v>0</v>
      </c>
      <c r="AD259" s="292">
        <f t="shared" si="185"/>
        <v>0</v>
      </c>
      <c r="AE259" s="292">
        <f t="shared" si="186"/>
        <v>0</v>
      </c>
      <c r="AF259" s="292">
        <f t="shared" si="178"/>
        <v>0</v>
      </c>
      <c r="AG259" s="292">
        <f t="shared" si="179"/>
        <v>0</v>
      </c>
      <c r="AH259" s="292">
        <f t="shared" si="205"/>
        <v>0</v>
      </c>
      <c r="AI259" s="292">
        <f t="shared" si="206"/>
        <v>0</v>
      </c>
      <c r="AJ259" s="292">
        <f t="shared" si="207"/>
        <v>0</v>
      </c>
      <c r="AK259" s="292">
        <f t="shared" si="208"/>
        <v>0</v>
      </c>
      <c r="AL259" s="292">
        <f t="shared" si="209"/>
        <v>0</v>
      </c>
      <c r="AM259" s="292">
        <f t="shared" si="210"/>
        <v>0</v>
      </c>
      <c r="AN259" s="292">
        <f t="shared" si="211"/>
        <v>0</v>
      </c>
      <c r="AO259" s="292">
        <f t="shared" si="212"/>
        <v>0</v>
      </c>
      <c r="AP259" s="292">
        <f t="shared" si="213"/>
        <v>0</v>
      </c>
      <c r="AQ259" s="292">
        <f t="shared" si="214"/>
        <v>0</v>
      </c>
      <c r="AR259" s="292">
        <f t="shared" si="187"/>
        <v>0</v>
      </c>
      <c r="AS259" s="292">
        <f t="shared" si="188"/>
        <v>0</v>
      </c>
      <c r="AT259" s="292">
        <f t="shared" si="215"/>
        <v>0</v>
      </c>
      <c r="AU259" s="292">
        <f t="shared" si="216"/>
        <v>0</v>
      </c>
      <c r="AV259" s="292">
        <f t="shared" si="217"/>
        <v>0</v>
      </c>
      <c r="AW259" s="292">
        <f t="shared" si="218"/>
        <v>0</v>
      </c>
      <c r="AX259" s="292">
        <f t="shared" si="189"/>
        <v>0</v>
      </c>
      <c r="AY259" s="292">
        <f t="shared" si="190"/>
        <v>0</v>
      </c>
      <c r="AZ259" s="292">
        <f t="shared" si="191"/>
        <v>0</v>
      </c>
      <c r="BA259" s="292">
        <f t="shared" si="192"/>
        <v>0</v>
      </c>
    </row>
    <row r="260" spans="1:53" s="289" customFormat="1" ht="16.5" customHeight="1">
      <c r="A260" s="63" t="str">
        <f t="array" ref="A260">IF(C260&lt;&gt;0,SUM(($C$11:C260&lt;&gt;0)*1),"")</f>
        <v/>
      </c>
      <c r="B260" s="290"/>
      <c r="C260" s="290"/>
      <c r="D260" s="290"/>
      <c r="E260" s="396"/>
      <c r="F260" s="345"/>
      <c r="G260" s="347"/>
      <c r="H260" s="347"/>
      <c r="I260" s="63" t="str">
        <f t="shared" si="219"/>
        <v/>
      </c>
      <c r="J260" s="292">
        <f t="shared" si="181"/>
        <v>0</v>
      </c>
      <c r="K260" s="292">
        <f t="shared" si="182"/>
        <v>0</v>
      </c>
      <c r="L260" s="292">
        <f t="shared" si="193"/>
        <v>0</v>
      </c>
      <c r="M260" s="292">
        <f t="shared" si="194"/>
        <v>0</v>
      </c>
      <c r="N260" s="292">
        <f t="shared" si="174"/>
        <v>0</v>
      </c>
      <c r="O260" s="292">
        <f t="shared" si="175"/>
        <v>0</v>
      </c>
      <c r="P260" s="292">
        <f t="shared" si="195"/>
        <v>0</v>
      </c>
      <c r="Q260" s="292">
        <f t="shared" si="196"/>
        <v>0</v>
      </c>
      <c r="R260" s="292">
        <f t="shared" si="197"/>
        <v>0</v>
      </c>
      <c r="S260" s="292">
        <f t="shared" si="198"/>
        <v>0</v>
      </c>
      <c r="T260" s="292">
        <f t="shared" si="176"/>
        <v>0</v>
      </c>
      <c r="U260" s="292">
        <f t="shared" si="177"/>
        <v>0</v>
      </c>
      <c r="V260" s="292">
        <f t="shared" si="199"/>
        <v>0</v>
      </c>
      <c r="W260" s="292">
        <f t="shared" si="200"/>
        <v>0</v>
      </c>
      <c r="X260" s="292">
        <f t="shared" si="201"/>
        <v>0</v>
      </c>
      <c r="Y260" s="292">
        <f t="shared" si="202"/>
        <v>0</v>
      </c>
      <c r="Z260" s="292">
        <f t="shared" si="183"/>
        <v>0</v>
      </c>
      <c r="AA260" s="292">
        <f t="shared" si="184"/>
        <v>0</v>
      </c>
      <c r="AB260" s="292">
        <f t="shared" si="203"/>
        <v>0</v>
      </c>
      <c r="AC260" s="292">
        <f t="shared" si="204"/>
        <v>0</v>
      </c>
      <c r="AD260" s="292">
        <f t="shared" si="185"/>
        <v>0</v>
      </c>
      <c r="AE260" s="292">
        <f t="shared" si="186"/>
        <v>0</v>
      </c>
      <c r="AF260" s="292">
        <f t="shared" si="178"/>
        <v>0</v>
      </c>
      <c r="AG260" s="292">
        <f t="shared" si="179"/>
        <v>0</v>
      </c>
      <c r="AH260" s="292">
        <f t="shared" si="205"/>
        <v>0</v>
      </c>
      <c r="AI260" s="292">
        <f t="shared" si="206"/>
        <v>0</v>
      </c>
      <c r="AJ260" s="292">
        <f t="shared" si="207"/>
        <v>0</v>
      </c>
      <c r="AK260" s="292">
        <f t="shared" si="208"/>
        <v>0</v>
      </c>
      <c r="AL260" s="292">
        <f t="shared" si="209"/>
        <v>0</v>
      </c>
      <c r="AM260" s="292">
        <f t="shared" si="210"/>
        <v>0</v>
      </c>
      <c r="AN260" s="292">
        <f t="shared" si="211"/>
        <v>0</v>
      </c>
      <c r="AO260" s="292">
        <f t="shared" si="212"/>
        <v>0</v>
      </c>
      <c r="AP260" s="292">
        <f t="shared" si="213"/>
        <v>0</v>
      </c>
      <c r="AQ260" s="292">
        <f t="shared" si="214"/>
        <v>0</v>
      </c>
      <c r="AR260" s="292">
        <f t="shared" si="187"/>
        <v>0</v>
      </c>
      <c r="AS260" s="292">
        <f t="shared" si="188"/>
        <v>0</v>
      </c>
      <c r="AT260" s="292">
        <f t="shared" si="215"/>
        <v>0</v>
      </c>
      <c r="AU260" s="292">
        <f t="shared" si="216"/>
        <v>0</v>
      </c>
      <c r="AV260" s="292">
        <f t="shared" si="217"/>
        <v>0</v>
      </c>
      <c r="AW260" s="292">
        <f t="shared" si="218"/>
        <v>0</v>
      </c>
      <c r="AX260" s="292">
        <f t="shared" si="189"/>
        <v>0</v>
      </c>
      <c r="AY260" s="292">
        <f t="shared" si="190"/>
        <v>0</v>
      </c>
      <c r="AZ260" s="292">
        <f t="shared" si="191"/>
        <v>0</v>
      </c>
      <c r="BA260" s="292">
        <f t="shared" si="192"/>
        <v>0</v>
      </c>
    </row>
    <row r="261" spans="1:53" s="289" customFormat="1" ht="16.5" customHeight="1">
      <c r="A261" s="63" t="str">
        <f t="array" ref="A261">IF(C261&lt;&gt;0,SUM(($C$11:C261&lt;&gt;0)*1),"")</f>
        <v/>
      </c>
      <c r="B261" s="290"/>
      <c r="C261" s="290"/>
      <c r="D261" s="290"/>
      <c r="E261" s="396"/>
      <c r="F261" s="345"/>
      <c r="G261" s="347"/>
      <c r="H261" s="347"/>
      <c r="I261" s="63" t="str">
        <f t="shared" si="219"/>
        <v/>
      </c>
      <c r="J261" s="292">
        <f t="shared" si="181"/>
        <v>0</v>
      </c>
      <c r="K261" s="292">
        <f t="shared" si="182"/>
        <v>0</v>
      </c>
      <c r="L261" s="292">
        <f t="shared" si="193"/>
        <v>0</v>
      </c>
      <c r="M261" s="292">
        <f t="shared" si="194"/>
        <v>0</v>
      </c>
      <c r="N261" s="292">
        <f t="shared" si="174"/>
        <v>0</v>
      </c>
      <c r="O261" s="292">
        <f t="shared" si="175"/>
        <v>0</v>
      </c>
      <c r="P261" s="292">
        <f t="shared" si="195"/>
        <v>0</v>
      </c>
      <c r="Q261" s="292">
        <f t="shared" si="196"/>
        <v>0</v>
      </c>
      <c r="R261" s="292">
        <f t="shared" si="197"/>
        <v>0</v>
      </c>
      <c r="S261" s="292">
        <f t="shared" si="198"/>
        <v>0</v>
      </c>
      <c r="T261" s="292">
        <f t="shared" si="176"/>
        <v>0</v>
      </c>
      <c r="U261" s="292">
        <f t="shared" si="177"/>
        <v>0</v>
      </c>
      <c r="V261" s="292">
        <f t="shared" si="199"/>
        <v>0</v>
      </c>
      <c r="W261" s="292">
        <f t="shared" si="200"/>
        <v>0</v>
      </c>
      <c r="X261" s="292">
        <f t="shared" si="201"/>
        <v>0</v>
      </c>
      <c r="Y261" s="292">
        <f t="shared" si="202"/>
        <v>0</v>
      </c>
      <c r="Z261" s="292">
        <f t="shared" si="183"/>
        <v>0</v>
      </c>
      <c r="AA261" s="292">
        <f t="shared" si="184"/>
        <v>0</v>
      </c>
      <c r="AB261" s="292">
        <f t="shared" si="203"/>
        <v>0</v>
      </c>
      <c r="AC261" s="292">
        <f t="shared" si="204"/>
        <v>0</v>
      </c>
      <c r="AD261" s="292">
        <f t="shared" si="185"/>
        <v>0</v>
      </c>
      <c r="AE261" s="292">
        <f t="shared" si="186"/>
        <v>0</v>
      </c>
      <c r="AF261" s="292">
        <f t="shared" si="178"/>
        <v>0</v>
      </c>
      <c r="AG261" s="292">
        <f t="shared" si="179"/>
        <v>0</v>
      </c>
      <c r="AH261" s="292">
        <f t="shared" si="205"/>
        <v>0</v>
      </c>
      <c r="AI261" s="292">
        <f t="shared" si="206"/>
        <v>0</v>
      </c>
      <c r="AJ261" s="292">
        <f t="shared" si="207"/>
        <v>0</v>
      </c>
      <c r="AK261" s="292">
        <f t="shared" si="208"/>
        <v>0</v>
      </c>
      <c r="AL261" s="292">
        <f t="shared" si="209"/>
        <v>0</v>
      </c>
      <c r="AM261" s="292">
        <f t="shared" si="210"/>
        <v>0</v>
      </c>
      <c r="AN261" s="292">
        <f t="shared" si="211"/>
        <v>0</v>
      </c>
      <c r="AO261" s="292">
        <f t="shared" si="212"/>
        <v>0</v>
      </c>
      <c r="AP261" s="292">
        <f t="shared" si="213"/>
        <v>0</v>
      </c>
      <c r="AQ261" s="292">
        <f t="shared" si="214"/>
        <v>0</v>
      </c>
      <c r="AR261" s="292">
        <f t="shared" si="187"/>
        <v>0</v>
      </c>
      <c r="AS261" s="292">
        <f t="shared" si="188"/>
        <v>0</v>
      </c>
      <c r="AT261" s="292">
        <f t="shared" si="215"/>
        <v>0</v>
      </c>
      <c r="AU261" s="292">
        <f t="shared" si="216"/>
        <v>0</v>
      </c>
      <c r="AV261" s="292">
        <f t="shared" si="217"/>
        <v>0</v>
      </c>
      <c r="AW261" s="292">
        <f t="shared" si="218"/>
        <v>0</v>
      </c>
      <c r="AX261" s="292">
        <f t="shared" si="189"/>
        <v>0</v>
      </c>
      <c r="AY261" s="292">
        <f t="shared" si="190"/>
        <v>0</v>
      </c>
      <c r="AZ261" s="292">
        <f t="shared" si="191"/>
        <v>0</v>
      </c>
      <c r="BA261" s="292">
        <f t="shared" si="192"/>
        <v>0</v>
      </c>
    </row>
    <row r="262" spans="1:53" s="289" customFormat="1" ht="16.5" customHeight="1">
      <c r="A262" s="63" t="str">
        <f t="array" ref="A262">IF(C262&lt;&gt;0,SUM(($C$11:C262&lt;&gt;0)*1),"")</f>
        <v/>
      </c>
      <c r="B262" s="290"/>
      <c r="C262" s="290"/>
      <c r="D262" s="290"/>
      <c r="E262" s="396"/>
      <c r="F262" s="345"/>
      <c r="G262" s="347"/>
      <c r="H262" s="347"/>
      <c r="I262" s="63" t="str">
        <f t="shared" si="219"/>
        <v/>
      </c>
      <c r="J262" s="292">
        <f t="shared" si="181"/>
        <v>0</v>
      </c>
      <c r="K262" s="292">
        <f t="shared" si="182"/>
        <v>0</v>
      </c>
      <c r="L262" s="292">
        <f t="shared" si="193"/>
        <v>0</v>
      </c>
      <c r="M262" s="292">
        <f t="shared" si="194"/>
        <v>0</v>
      </c>
      <c r="N262" s="292">
        <f t="shared" si="174"/>
        <v>0</v>
      </c>
      <c r="O262" s="292">
        <f t="shared" si="175"/>
        <v>0</v>
      </c>
      <c r="P262" s="292">
        <f t="shared" si="195"/>
        <v>0</v>
      </c>
      <c r="Q262" s="292">
        <f t="shared" si="196"/>
        <v>0</v>
      </c>
      <c r="R262" s="292">
        <f t="shared" si="197"/>
        <v>0</v>
      </c>
      <c r="S262" s="292">
        <f t="shared" si="198"/>
        <v>0</v>
      </c>
      <c r="T262" s="292">
        <f t="shared" si="176"/>
        <v>0</v>
      </c>
      <c r="U262" s="292">
        <f t="shared" si="177"/>
        <v>0</v>
      </c>
      <c r="V262" s="292">
        <f t="shared" si="199"/>
        <v>0</v>
      </c>
      <c r="W262" s="292">
        <f t="shared" si="200"/>
        <v>0</v>
      </c>
      <c r="X262" s="292">
        <f t="shared" si="201"/>
        <v>0</v>
      </c>
      <c r="Y262" s="292">
        <f t="shared" si="202"/>
        <v>0</v>
      </c>
      <c r="Z262" s="292">
        <f t="shared" si="183"/>
        <v>0</v>
      </c>
      <c r="AA262" s="292">
        <f t="shared" si="184"/>
        <v>0</v>
      </c>
      <c r="AB262" s="292">
        <f t="shared" si="203"/>
        <v>0</v>
      </c>
      <c r="AC262" s="292">
        <f t="shared" si="204"/>
        <v>0</v>
      </c>
      <c r="AD262" s="292">
        <f t="shared" si="185"/>
        <v>0</v>
      </c>
      <c r="AE262" s="292">
        <f t="shared" si="186"/>
        <v>0</v>
      </c>
      <c r="AF262" s="292">
        <f t="shared" si="178"/>
        <v>0</v>
      </c>
      <c r="AG262" s="292">
        <f t="shared" si="179"/>
        <v>0</v>
      </c>
      <c r="AH262" s="292">
        <f t="shared" si="205"/>
        <v>0</v>
      </c>
      <c r="AI262" s="292">
        <f t="shared" si="206"/>
        <v>0</v>
      </c>
      <c r="AJ262" s="292">
        <f t="shared" si="207"/>
        <v>0</v>
      </c>
      <c r="AK262" s="292">
        <f t="shared" si="208"/>
        <v>0</v>
      </c>
      <c r="AL262" s="292">
        <f t="shared" si="209"/>
        <v>0</v>
      </c>
      <c r="AM262" s="292">
        <f t="shared" si="210"/>
        <v>0</v>
      </c>
      <c r="AN262" s="292">
        <f t="shared" si="211"/>
        <v>0</v>
      </c>
      <c r="AO262" s="292">
        <f t="shared" si="212"/>
        <v>0</v>
      </c>
      <c r="AP262" s="292">
        <f t="shared" si="213"/>
        <v>0</v>
      </c>
      <c r="AQ262" s="292">
        <f t="shared" si="214"/>
        <v>0</v>
      </c>
      <c r="AR262" s="292">
        <f t="shared" si="187"/>
        <v>0</v>
      </c>
      <c r="AS262" s="292">
        <f t="shared" si="188"/>
        <v>0</v>
      </c>
      <c r="AT262" s="292">
        <f t="shared" si="215"/>
        <v>0</v>
      </c>
      <c r="AU262" s="292">
        <f t="shared" si="216"/>
        <v>0</v>
      </c>
      <c r="AV262" s="292">
        <f t="shared" si="217"/>
        <v>0</v>
      </c>
      <c r="AW262" s="292">
        <f t="shared" si="218"/>
        <v>0</v>
      </c>
      <c r="AX262" s="292">
        <f t="shared" si="189"/>
        <v>0</v>
      </c>
      <c r="AY262" s="292">
        <f t="shared" si="190"/>
        <v>0</v>
      </c>
      <c r="AZ262" s="292">
        <f t="shared" si="191"/>
        <v>0</v>
      </c>
      <c r="BA262" s="292">
        <f t="shared" si="192"/>
        <v>0</v>
      </c>
    </row>
    <row r="263" spans="1:53" s="289" customFormat="1" ht="16.5" customHeight="1">
      <c r="A263" s="63" t="str">
        <f t="array" ref="A263">IF(C263&lt;&gt;0,SUM(($C$11:C263&lt;&gt;0)*1),"")</f>
        <v/>
      </c>
      <c r="B263" s="290"/>
      <c r="C263" s="290"/>
      <c r="D263" s="290"/>
      <c r="E263" s="396"/>
      <c r="F263" s="345"/>
      <c r="G263" s="347"/>
      <c r="H263" s="347"/>
      <c r="I263" s="63" t="str">
        <f t="shared" si="219"/>
        <v/>
      </c>
      <c r="J263" s="292">
        <f t="shared" si="181"/>
        <v>0</v>
      </c>
      <c r="K263" s="292">
        <f t="shared" si="182"/>
        <v>0</v>
      </c>
      <c r="L263" s="292">
        <f t="shared" si="193"/>
        <v>0</v>
      </c>
      <c r="M263" s="292">
        <f t="shared" si="194"/>
        <v>0</v>
      </c>
      <c r="N263" s="292">
        <f t="shared" si="174"/>
        <v>0</v>
      </c>
      <c r="O263" s="292">
        <f t="shared" si="175"/>
        <v>0</v>
      </c>
      <c r="P263" s="292">
        <f t="shared" si="195"/>
        <v>0</v>
      </c>
      <c r="Q263" s="292">
        <f t="shared" si="196"/>
        <v>0</v>
      </c>
      <c r="R263" s="292">
        <f t="shared" si="197"/>
        <v>0</v>
      </c>
      <c r="S263" s="292">
        <f t="shared" si="198"/>
        <v>0</v>
      </c>
      <c r="T263" s="292">
        <f t="shared" si="176"/>
        <v>0</v>
      </c>
      <c r="U263" s="292">
        <f t="shared" si="177"/>
        <v>0</v>
      </c>
      <c r="V263" s="292">
        <f t="shared" si="199"/>
        <v>0</v>
      </c>
      <c r="W263" s="292">
        <f t="shared" si="200"/>
        <v>0</v>
      </c>
      <c r="X263" s="292">
        <f t="shared" si="201"/>
        <v>0</v>
      </c>
      <c r="Y263" s="292">
        <f t="shared" si="202"/>
        <v>0</v>
      </c>
      <c r="Z263" s="292">
        <f t="shared" si="183"/>
        <v>0</v>
      </c>
      <c r="AA263" s="292">
        <f t="shared" si="184"/>
        <v>0</v>
      </c>
      <c r="AB263" s="292">
        <f t="shared" si="203"/>
        <v>0</v>
      </c>
      <c r="AC263" s="292">
        <f t="shared" si="204"/>
        <v>0</v>
      </c>
      <c r="AD263" s="292">
        <f t="shared" si="185"/>
        <v>0</v>
      </c>
      <c r="AE263" s="292">
        <f t="shared" si="186"/>
        <v>0</v>
      </c>
      <c r="AF263" s="292">
        <f t="shared" si="178"/>
        <v>0</v>
      </c>
      <c r="AG263" s="292">
        <f t="shared" si="179"/>
        <v>0</v>
      </c>
      <c r="AH263" s="292">
        <f t="shared" si="205"/>
        <v>0</v>
      </c>
      <c r="AI263" s="292">
        <f t="shared" si="206"/>
        <v>0</v>
      </c>
      <c r="AJ263" s="292">
        <f t="shared" si="207"/>
        <v>0</v>
      </c>
      <c r="AK263" s="292">
        <f t="shared" si="208"/>
        <v>0</v>
      </c>
      <c r="AL263" s="292">
        <f t="shared" si="209"/>
        <v>0</v>
      </c>
      <c r="AM263" s="292">
        <f t="shared" si="210"/>
        <v>0</v>
      </c>
      <c r="AN263" s="292">
        <f t="shared" si="211"/>
        <v>0</v>
      </c>
      <c r="AO263" s="292">
        <f t="shared" si="212"/>
        <v>0</v>
      </c>
      <c r="AP263" s="292">
        <f t="shared" si="213"/>
        <v>0</v>
      </c>
      <c r="AQ263" s="292">
        <f t="shared" si="214"/>
        <v>0</v>
      </c>
      <c r="AR263" s="292">
        <f t="shared" si="187"/>
        <v>0</v>
      </c>
      <c r="AS263" s="292">
        <f t="shared" si="188"/>
        <v>0</v>
      </c>
      <c r="AT263" s="292">
        <f t="shared" si="215"/>
        <v>0</v>
      </c>
      <c r="AU263" s="292">
        <f t="shared" si="216"/>
        <v>0</v>
      </c>
      <c r="AV263" s="292">
        <f t="shared" si="217"/>
        <v>0</v>
      </c>
      <c r="AW263" s="292">
        <f t="shared" si="218"/>
        <v>0</v>
      </c>
      <c r="AX263" s="292">
        <f t="shared" si="189"/>
        <v>0</v>
      </c>
      <c r="AY263" s="292">
        <f t="shared" si="190"/>
        <v>0</v>
      </c>
      <c r="AZ263" s="292">
        <f t="shared" si="191"/>
        <v>0</v>
      </c>
      <c r="BA263" s="292">
        <f t="shared" si="192"/>
        <v>0</v>
      </c>
    </row>
    <row r="264" spans="1:53" s="289" customFormat="1" ht="16.5" customHeight="1">
      <c r="A264" s="63" t="str">
        <f t="array" ref="A264">IF(C264&lt;&gt;0,SUM(($C$11:C264&lt;&gt;0)*1),"")</f>
        <v/>
      </c>
      <c r="B264" s="290"/>
      <c r="C264" s="290"/>
      <c r="D264" s="290"/>
      <c r="E264" s="396"/>
      <c r="F264" s="345"/>
      <c r="G264" s="347"/>
      <c r="H264" s="347"/>
      <c r="I264" s="63" t="str">
        <f t="shared" si="219"/>
        <v/>
      </c>
      <c r="J264" s="292">
        <f t="shared" si="181"/>
        <v>0</v>
      </c>
      <c r="K264" s="292">
        <f t="shared" si="182"/>
        <v>0</v>
      </c>
      <c r="L264" s="292">
        <f t="shared" si="193"/>
        <v>0</v>
      </c>
      <c r="M264" s="292">
        <f t="shared" si="194"/>
        <v>0</v>
      </c>
      <c r="N264" s="292">
        <f t="shared" si="174"/>
        <v>0</v>
      </c>
      <c r="O264" s="292">
        <f t="shared" si="175"/>
        <v>0</v>
      </c>
      <c r="P264" s="292">
        <f t="shared" si="195"/>
        <v>0</v>
      </c>
      <c r="Q264" s="292">
        <f t="shared" si="196"/>
        <v>0</v>
      </c>
      <c r="R264" s="292">
        <f t="shared" si="197"/>
        <v>0</v>
      </c>
      <c r="S264" s="292">
        <f t="shared" si="198"/>
        <v>0</v>
      </c>
      <c r="T264" s="292">
        <f t="shared" si="176"/>
        <v>0</v>
      </c>
      <c r="U264" s="292">
        <f t="shared" si="177"/>
        <v>0</v>
      </c>
      <c r="V264" s="292">
        <f t="shared" si="199"/>
        <v>0</v>
      </c>
      <c r="W264" s="292">
        <f t="shared" si="200"/>
        <v>0</v>
      </c>
      <c r="X264" s="292">
        <f t="shared" si="201"/>
        <v>0</v>
      </c>
      <c r="Y264" s="292">
        <f t="shared" si="202"/>
        <v>0</v>
      </c>
      <c r="Z264" s="292">
        <f t="shared" si="183"/>
        <v>0</v>
      </c>
      <c r="AA264" s="292">
        <f t="shared" si="184"/>
        <v>0</v>
      </c>
      <c r="AB264" s="292">
        <f t="shared" si="203"/>
        <v>0</v>
      </c>
      <c r="AC264" s="292">
        <f t="shared" si="204"/>
        <v>0</v>
      </c>
      <c r="AD264" s="292">
        <f t="shared" si="185"/>
        <v>0</v>
      </c>
      <c r="AE264" s="292">
        <f t="shared" si="186"/>
        <v>0</v>
      </c>
      <c r="AF264" s="292">
        <f t="shared" si="178"/>
        <v>0</v>
      </c>
      <c r="AG264" s="292">
        <f t="shared" si="179"/>
        <v>0</v>
      </c>
      <c r="AH264" s="292">
        <f t="shared" si="205"/>
        <v>0</v>
      </c>
      <c r="AI264" s="292">
        <f t="shared" si="206"/>
        <v>0</v>
      </c>
      <c r="AJ264" s="292">
        <f t="shared" si="207"/>
        <v>0</v>
      </c>
      <c r="AK264" s="292">
        <f t="shared" si="208"/>
        <v>0</v>
      </c>
      <c r="AL264" s="292">
        <f t="shared" si="209"/>
        <v>0</v>
      </c>
      <c r="AM264" s="292">
        <f t="shared" si="210"/>
        <v>0</v>
      </c>
      <c r="AN264" s="292">
        <f t="shared" si="211"/>
        <v>0</v>
      </c>
      <c r="AO264" s="292">
        <f t="shared" si="212"/>
        <v>0</v>
      </c>
      <c r="AP264" s="292">
        <f t="shared" si="213"/>
        <v>0</v>
      </c>
      <c r="AQ264" s="292">
        <f t="shared" si="214"/>
        <v>0</v>
      </c>
      <c r="AR264" s="292">
        <f t="shared" si="187"/>
        <v>0</v>
      </c>
      <c r="AS264" s="292">
        <f t="shared" si="188"/>
        <v>0</v>
      </c>
      <c r="AT264" s="292">
        <f t="shared" si="215"/>
        <v>0</v>
      </c>
      <c r="AU264" s="292">
        <f t="shared" si="216"/>
        <v>0</v>
      </c>
      <c r="AV264" s="292">
        <f t="shared" si="217"/>
        <v>0</v>
      </c>
      <c r="AW264" s="292">
        <f t="shared" si="218"/>
        <v>0</v>
      </c>
      <c r="AX264" s="292">
        <f t="shared" si="189"/>
        <v>0</v>
      </c>
      <c r="AY264" s="292">
        <f t="shared" si="190"/>
        <v>0</v>
      </c>
      <c r="AZ264" s="292">
        <f t="shared" si="191"/>
        <v>0</v>
      </c>
      <c r="BA264" s="292">
        <f t="shared" si="192"/>
        <v>0</v>
      </c>
    </row>
    <row r="265" spans="1:53" s="289" customFormat="1" ht="16.5" customHeight="1">
      <c r="A265" s="63" t="str">
        <f t="array" ref="A265">IF(C265&lt;&gt;0,SUM(($C$11:C265&lt;&gt;0)*1),"")</f>
        <v/>
      </c>
      <c r="B265" s="290"/>
      <c r="C265" s="290"/>
      <c r="D265" s="290"/>
      <c r="E265" s="396"/>
      <c r="F265" s="345"/>
      <c r="G265" s="347"/>
      <c r="H265" s="347"/>
      <c r="I265" s="63" t="str">
        <f t="shared" si="219"/>
        <v/>
      </c>
      <c r="J265" s="292">
        <f t="shared" si="181"/>
        <v>0</v>
      </c>
      <c r="K265" s="292">
        <f t="shared" si="182"/>
        <v>0</v>
      </c>
      <c r="L265" s="292">
        <f t="shared" si="193"/>
        <v>0</v>
      </c>
      <c r="M265" s="292">
        <f t="shared" si="194"/>
        <v>0</v>
      </c>
      <c r="N265" s="292">
        <f t="shared" si="174"/>
        <v>0</v>
      </c>
      <c r="O265" s="292">
        <f t="shared" si="175"/>
        <v>0</v>
      </c>
      <c r="P265" s="292">
        <f t="shared" si="195"/>
        <v>0</v>
      </c>
      <c r="Q265" s="292">
        <f t="shared" si="196"/>
        <v>0</v>
      </c>
      <c r="R265" s="292">
        <f t="shared" si="197"/>
        <v>0</v>
      </c>
      <c r="S265" s="292">
        <f t="shared" si="198"/>
        <v>0</v>
      </c>
      <c r="T265" s="292">
        <f t="shared" si="176"/>
        <v>0</v>
      </c>
      <c r="U265" s="292">
        <f t="shared" si="177"/>
        <v>0</v>
      </c>
      <c r="V265" s="292">
        <f t="shared" si="199"/>
        <v>0</v>
      </c>
      <c r="W265" s="292">
        <f t="shared" si="200"/>
        <v>0</v>
      </c>
      <c r="X265" s="292">
        <f t="shared" si="201"/>
        <v>0</v>
      </c>
      <c r="Y265" s="292">
        <f t="shared" si="202"/>
        <v>0</v>
      </c>
      <c r="Z265" s="292">
        <f t="shared" si="183"/>
        <v>0</v>
      </c>
      <c r="AA265" s="292">
        <f t="shared" si="184"/>
        <v>0</v>
      </c>
      <c r="AB265" s="292">
        <f t="shared" si="203"/>
        <v>0</v>
      </c>
      <c r="AC265" s="292">
        <f t="shared" si="204"/>
        <v>0</v>
      </c>
      <c r="AD265" s="292">
        <f t="shared" si="185"/>
        <v>0</v>
      </c>
      <c r="AE265" s="292">
        <f t="shared" si="186"/>
        <v>0</v>
      </c>
      <c r="AF265" s="292">
        <f t="shared" si="178"/>
        <v>0</v>
      </c>
      <c r="AG265" s="292">
        <f t="shared" si="179"/>
        <v>0</v>
      </c>
      <c r="AH265" s="292">
        <f t="shared" si="205"/>
        <v>0</v>
      </c>
      <c r="AI265" s="292">
        <f t="shared" si="206"/>
        <v>0</v>
      </c>
      <c r="AJ265" s="292">
        <f t="shared" si="207"/>
        <v>0</v>
      </c>
      <c r="AK265" s="292">
        <f t="shared" si="208"/>
        <v>0</v>
      </c>
      <c r="AL265" s="292">
        <f t="shared" si="209"/>
        <v>0</v>
      </c>
      <c r="AM265" s="292">
        <f t="shared" si="210"/>
        <v>0</v>
      </c>
      <c r="AN265" s="292">
        <f t="shared" si="211"/>
        <v>0</v>
      </c>
      <c r="AO265" s="292">
        <f t="shared" si="212"/>
        <v>0</v>
      </c>
      <c r="AP265" s="292">
        <f t="shared" si="213"/>
        <v>0</v>
      </c>
      <c r="AQ265" s="292">
        <f t="shared" si="214"/>
        <v>0</v>
      </c>
      <c r="AR265" s="292">
        <f t="shared" si="187"/>
        <v>0</v>
      </c>
      <c r="AS265" s="292">
        <f t="shared" si="188"/>
        <v>0</v>
      </c>
      <c r="AT265" s="292">
        <f t="shared" si="215"/>
        <v>0</v>
      </c>
      <c r="AU265" s="292">
        <f t="shared" si="216"/>
        <v>0</v>
      </c>
      <c r="AV265" s="292">
        <f t="shared" si="217"/>
        <v>0</v>
      </c>
      <c r="AW265" s="292">
        <f t="shared" si="218"/>
        <v>0</v>
      </c>
      <c r="AX265" s="292">
        <f t="shared" si="189"/>
        <v>0</v>
      </c>
      <c r="AY265" s="292">
        <f t="shared" si="190"/>
        <v>0</v>
      </c>
      <c r="AZ265" s="292">
        <f t="shared" si="191"/>
        <v>0</v>
      </c>
      <c r="BA265" s="292">
        <f t="shared" si="192"/>
        <v>0</v>
      </c>
    </row>
    <row r="266" spans="1:53" s="289" customFormat="1" ht="16.5" customHeight="1">
      <c r="A266" s="63" t="str">
        <f t="array" ref="A266">IF(C266&lt;&gt;0,SUM(($C$11:C266&lt;&gt;0)*1),"")</f>
        <v/>
      </c>
      <c r="B266" s="290"/>
      <c r="C266" s="290"/>
      <c r="D266" s="290"/>
      <c r="E266" s="396"/>
      <c r="F266" s="345"/>
      <c r="G266" s="347"/>
      <c r="H266" s="347"/>
      <c r="I266" s="63" t="str">
        <f t="shared" si="219"/>
        <v/>
      </c>
      <c r="J266" s="292">
        <f t="shared" si="181"/>
        <v>0</v>
      </c>
      <c r="K266" s="292">
        <f t="shared" si="182"/>
        <v>0</v>
      </c>
      <c r="L266" s="292">
        <f t="shared" si="193"/>
        <v>0</v>
      </c>
      <c r="M266" s="292">
        <f t="shared" si="194"/>
        <v>0</v>
      </c>
      <c r="N266" s="292">
        <f t="shared" si="174"/>
        <v>0</v>
      </c>
      <c r="O266" s="292">
        <f t="shared" si="175"/>
        <v>0</v>
      </c>
      <c r="P266" s="292">
        <f t="shared" si="195"/>
        <v>0</v>
      </c>
      <c r="Q266" s="292">
        <f t="shared" si="196"/>
        <v>0</v>
      </c>
      <c r="R266" s="292">
        <f t="shared" si="197"/>
        <v>0</v>
      </c>
      <c r="S266" s="292">
        <f t="shared" si="198"/>
        <v>0</v>
      </c>
      <c r="T266" s="292">
        <f t="shared" si="176"/>
        <v>0</v>
      </c>
      <c r="U266" s="292">
        <f t="shared" si="177"/>
        <v>0</v>
      </c>
      <c r="V266" s="292">
        <f t="shared" si="199"/>
        <v>0</v>
      </c>
      <c r="W266" s="292">
        <f t="shared" si="200"/>
        <v>0</v>
      </c>
      <c r="X266" s="292">
        <f t="shared" si="201"/>
        <v>0</v>
      </c>
      <c r="Y266" s="292">
        <f t="shared" si="202"/>
        <v>0</v>
      </c>
      <c r="Z266" s="292">
        <f t="shared" si="183"/>
        <v>0</v>
      </c>
      <c r="AA266" s="292">
        <f t="shared" si="184"/>
        <v>0</v>
      </c>
      <c r="AB266" s="292">
        <f t="shared" si="203"/>
        <v>0</v>
      </c>
      <c r="AC266" s="292">
        <f t="shared" si="204"/>
        <v>0</v>
      </c>
      <c r="AD266" s="292">
        <f t="shared" si="185"/>
        <v>0</v>
      </c>
      <c r="AE266" s="292">
        <f t="shared" si="186"/>
        <v>0</v>
      </c>
      <c r="AF266" s="292">
        <f t="shared" si="178"/>
        <v>0</v>
      </c>
      <c r="AG266" s="292">
        <f t="shared" si="179"/>
        <v>0</v>
      </c>
      <c r="AH266" s="292">
        <f t="shared" si="205"/>
        <v>0</v>
      </c>
      <c r="AI266" s="292">
        <f t="shared" si="206"/>
        <v>0</v>
      </c>
      <c r="AJ266" s="292">
        <f t="shared" si="207"/>
        <v>0</v>
      </c>
      <c r="AK266" s="292">
        <f t="shared" si="208"/>
        <v>0</v>
      </c>
      <c r="AL266" s="292">
        <f t="shared" si="209"/>
        <v>0</v>
      </c>
      <c r="AM266" s="292">
        <f t="shared" si="210"/>
        <v>0</v>
      </c>
      <c r="AN266" s="292">
        <f t="shared" si="211"/>
        <v>0</v>
      </c>
      <c r="AO266" s="292">
        <f t="shared" si="212"/>
        <v>0</v>
      </c>
      <c r="AP266" s="292">
        <f t="shared" si="213"/>
        <v>0</v>
      </c>
      <c r="AQ266" s="292">
        <f t="shared" si="214"/>
        <v>0</v>
      </c>
      <c r="AR266" s="292">
        <f t="shared" si="187"/>
        <v>0</v>
      </c>
      <c r="AS266" s="292">
        <f t="shared" si="188"/>
        <v>0</v>
      </c>
      <c r="AT266" s="292">
        <f t="shared" si="215"/>
        <v>0</v>
      </c>
      <c r="AU266" s="292">
        <f t="shared" si="216"/>
        <v>0</v>
      </c>
      <c r="AV266" s="292">
        <f t="shared" si="217"/>
        <v>0</v>
      </c>
      <c r="AW266" s="292">
        <f t="shared" si="218"/>
        <v>0</v>
      </c>
      <c r="AX266" s="292">
        <f t="shared" si="189"/>
        <v>0</v>
      </c>
      <c r="AY266" s="292">
        <f t="shared" si="190"/>
        <v>0</v>
      </c>
      <c r="AZ266" s="292">
        <f t="shared" si="191"/>
        <v>0</v>
      </c>
      <c r="BA266" s="292">
        <f t="shared" si="192"/>
        <v>0</v>
      </c>
    </row>
    <row r="267" spans="1:53" s="289" customFormat="1" ht="16.5" customHeight="1">
      <c r="A267" s="63" t="str">
        <f t="array" ref="A267">IF(C267&lt;&gt;0,SUM(($C$11:C267&lt;&gt;0)*1),"")</f>
        <v/>
      </c>
      <c r="B267" s="290"/>
      <c r="C267" s="290"/>
      <c r="D267" s="290"/>
      <c r="E267" s="396"/>
      <c r="F267" s="345"/>
      <c r="G267" s="347"/>
      <c r="H267" s="347"/>
      <c r="I267" s="63" t="str">
        <f t="shared" si="219"/>
        <v/>
      </c>
      <c r="J267" s="292">
        <f t="shared" si="181"/>
        <v>0</v>
      </c>
      <c r="K267" s="292">
        <f t="shared" si="182"/>
        <v>0</v>
      </c>
      <c r="L267" s="292">
        <f t="shared" si="193"/>
        <v>0</v>
      </c>
      <c r="M267" s="292">
        <f t="shared" si="194"/>
        <v>0</v>
      </c>
      <c r="N267" s="292">
        <f t="shared" si="174"/>
        <v>0</v>
      </c>
      <c r="O267" s="292">
        <f t="shared" si="175"/>
        <v>0</v>
      </c>
      <c r="P267" s="292">
        <f t="shared" si="195"/>
        <v>0</v>
      </c>
      <c r="Q267" s="292">
        <f t="shared" si="196"/>
        <v>0</v>
      </c>
      <c r="R267" s="292">
        <f t="shared" si="197"/>
        <v>0</v>
      </c>
      <c r="S267" s="292">
        <f t="shared" si="198"/>
        <v>0</v>
      </c>
      <c r="T267" s="292">
        <f t="shared" si="176"/>
        <v>0</v>
      </c>
      <c r="U267" s="292">
        <f t="shared" si="177"/>
        <v>0</v>
      </c>
      <c r="V267" s="292">
        <f t="shared" si="199"/>
        <v>0</v>
      </c>
      <c r="W267" s="292">
        <f t="shared" si="200"/>
        <v>0</v>
      </c>
      <c r="X267" s="292">
        <f t="shared" si="201"/>
        <v>0</v>
      </c>
      <c r="Y267" s="292">
        <f t="shared" si="202"/>
        <v>0</v>
      </c>
      <c r="Z267" s="292">
        <f t="shared" si="183"/>
        <v>0</v>
      </c>
      <c r="AA267" s="292">
        <f t="shared" si="184"/>
        <v>0</v>
      </c>
      <c r="AB267" s="292">
        <f t="shared" si="203"/>
        <v>0</v>
      </c>
      <c r="AC267" s="292">
        <f t="shared" si="204"/>
        <v>0</v>
      </c>
      <c r="AD267" s="292">
        <f t="shared" si="185"/>
        <v>0</v>
      </c>
      <c r="AE267" s="292">
        <f t="shared" si="186"/>
        <v>0</v>
      </c>
      <c r="AF267" s="292">
        <f t="shared" si="178"/>
        <v>0</v>
      </c>
      <c r="AG267" s="292">
        <f t="shared" si="179"/>
        <v>0</v>
      </c>
      <c r="AH267" s="292">
        <f t="shared" si="205"/>
        <v>0</v>
      </c>
      <c r="AI267" s="292">
        <f t="shared" si="206"/>
        <v>0</v>
      </c>
      <c r="AJ267" s="292">
        <f t="shared" si="207"/>
        <v>0</v>
      </c>
      <c r="AK267" s="292">
        <f t="shared" si="208"/>
        <v>0</v>
      </c>
      <c r="AL267" s="292">
        <f t="shared" si="209"/>
        <v>0</v>
      </c>
      <c r="AM267" s="292">
        <f t="shared" si="210"/>
        <v>0</v>
      </c>
      <c r="AN267" s="292">
        <f t="shared" si="211"/>
        <v>0</v>
      </c>
      <c r="AO267" s="292">
        <f t="shared" si="212"/>
        <v>0</v>
      </c>
      <c r="AP267" s="292">
        <f t="shared" si="213"/>
        <v>0</v>
      </c>
      <c r="AQ267" s="292">
        <f t="shared" si="214"/>
        <v>0</v>
      </c>
      <c r="AR267" s="292">
        <f t="shared" si="187"/>
        <v>0</v>
      </c>
      <c r="AS267" s="292">
        <f t="shared" si="188"/>
        <v>0</v>
      </c>
      <c r="AT267" s="292">
        <f t="shared" si="215"/>
        <v>0</v>
      </c>
      <c r="AU267" s="292">
        <f t="shared" si="216"/>
        <v>0</v>
      </c>
      <c r="AV267" s="292">
        <f t="shared" si="217"/>
        <v>0</v>
      </c>
      <c r="AW267" s="292">
        <f t="shared" si="218"/>
        <v>0</v>
      </c>
      <c r="AX267" s="292">
        <f t="shared" si="189"/>
        <v>0</v>
      </c>
      <c r="AY267" s="292">
        <f t="shared" si="190"/>
        <v>0</v>
      </c>
      <c r="AZ267" s="292">
        <f t="shared" si="191"/>
        <v>0</v>
      </c>
      <c r="BA267" s="292">
        <f t="shared" si="192"/>
        <v>0</v>
      </c>
    </row>
    <row r="268" spans="1:53" s="289" customFormat="1" ht="16.5" customHeight="1">
      <c r="A268" s="63" t="str">
        <f t="array" ref="A268">IF(C268&lt;&gt;0,SUM(($C$11:C268&lt;&gt;0)*1),"")</f>
        <v/>
      </c>
      <c r="B268" s="290"/>
      <c r="C268" s="290"/>
      <c r="D268" s="290"/>
      <c r="E268" s="396"/>
      <c r="F268" s="345"/>
      <c r="G268" s="347"/>
      <c r="H268" s="347"/>
      <c r="I268" s="63" t="str">
        <f t="shared" si="219"/>
        <v/>
      </c>
      <c r="J268" s="292">
        <f t="shared" si="181"/>
        <v>0</v>
      </c>
      <c r="K268" s="292">
        <f t="shared" si="182"/>
        <v>0</v>
      </c>
      <c r="L268" s="292">
        <f t="shared" si="193"/>
        <v>0</v>
      </c>
      <c r="M268" s="292">
        <f t="shared" si="194"/>
        <v>0</v>
      </c>
      <c r="N268" s="292">
        <f t="shared" ref="N268:N331" si="220">IF($G268="1122",$F268,0)</f>
        <v>0</v>
      </c>
      <c r="O268" s="292">
        <f t="shared" ref="O268:O331" si="221">IF($H268="1122",$F268,0)</f>
        <v>0</v>
      </c>
      <c r="P268" s="292">
        <f t="shared" si="195"/>
        <v>0</v>
      </c>
      <c r="Q268" s="292">
        <f t="shared" si="196"/>
        <v>0</v>
      </c>
      <c r="R268" s="292">
        <f t="shared" si="197"/>
        <v>0</v>
      </c>
      <c r="S268" s="292">
        <f t="shared" si="198"/>
        <v>0</v>
      </c>
      <c r="T268" s="292">
        <f t="shared" ref="T268:T348" si="222">IF($G268="2412",$F268,0)</f>
        <v>0</v>
      </c>
      <c r="U268" s="292">
        <f t="shared" ref="U268:U348" si="223">IF($H268="2412",$F268,0)</f>
        <v>0</v>
      </c>
      <c r="V268" s="292">
        <f t="shared" si="199"/>
        <v>0</v>
      </c>
      <c r="W268" s="292">
        <f t="shared" si="200"/>
        <v>0</v>
      </c>
      <c r="X268" s="292">
        <f t="shared" si="201"/>
        <v>0</v>
      </c>
      <c r="Y268" s="292">
        <f t="shared" si="202"/>
        <v>0</v>
      </c>
      <c r="Z268" s="292">
        <f t="shared" si="183"/>
        <v>0</v>
      </c>
      <c r="AA268" s="292">
        <f t="shared" si="184"/>
        <v>0</v>
      </c>
      <c r="AB268" s="292">
        <f t="shared" si="203"/>
        <v>0</v>
      </c>
      <c r="AC268" s="292">
        <f t="shared" si="204"/>
        <v>0</v>
      </c>
      <c r="AD268" s="292">
        <f t="shared" si="185"/>
        <v>0</v>
      </c>
      <c r="AE268" s="292">
        <f t="shared" si="186"/>
        <v>0</v>
      </c>
      <c r="AF268" s="292">
        <f t="shared" ref="AF268:AF331" si="224">IF($G268="3412",$F268,0)</f>
        <v>0</v>
      </c>
      <c r="AG268" s="292">
        <f t="shared" ref="AG268:AG331" si="225">IF($H268="3412",$F268,0)</f>
        <v>0</v>
      </c>
      <c r="AH268" s="292">
        <f t="shared" si="205"/>
        <v>0</v>
      </c>
      <c r="AI268" s="292">
        <f t="shared" si="206"/>
        <v>0</v>
      </c>
      <c r="AJ268" s="292">
        <f t="shared" si="207"/>
        <v>0</v>
      </c>
      <c r="AK268" s="292">
        <f t="shared" si="208"/>
        <v>0</v>
      </c>
      <c r="AL268" s="292">
        <f t="shared" si="209"/>
        <v>0</v>
      </c>
      <c r="AM268" s="292">
        <f t="shared" si="210"/>
        <v>0</v>
      </c>
      <c r="AN268" s="292">
        <f t="shared" si="211"/>
        <v>0</v>
      </c>
      <c r="AO268" s="292">
        <f t="shared" si="212"/>
        <v>0</v>
      </c>
      <c r="AP268" s="292">
        <f t="shared" si="213"/>
        <v>0</v>
      </c>
      <c r="AQ268" s="292">
        <f t="shared" si="214"/>
        <v>0</v>
      </c>
      <c r="AR268" s="292">
        <f t="shared" si="187"/>
        <v>0</v>
      </c>
      <c r="AS268" s="292">
        <f t="shared" si="188"/>
        <v>0</v>
      </c>
      <c r="AT268" s="292">
        <f t="shared" si="215"/>
        <v>0</v>
      </c>
      <c r="AU268" s="292">
        <f t="shared" si="216"/>
        <v>0</v>
      </c>
      <c r="AV268" s="292">
        <f t="shared" si="217"/>
        <v>0</v>
      </c>
      <c r="AW268" s="292">
        <f t="shared" si="218"/>
        <v>0</v>
      </c>
      <c r="AX268" s="292">
        <f t="shared" si="189"/>
        <v>0</v>
      </c>
      <c r="AY268" s="292">
        <f t="shared" si="190"/>
        <v>0</v>
      </c>
      <c r="AZ268" s="292">
        <f t="shared" si="191"/>
        <v>0</v>
      </c>
      <c r="BA268" s="292">
        <f t="shared" si="192"/>
        <v>0</v>
      </c>
    </row>
    <row r="269" spans="1:53" s="289" customFormat="1" ht="16.5" customHeight="1">
      <c r="A269" s="63" t="str">
        <f t="array" ref="A269">IF(C269&lt;&gt;0,SUM(($C$11:C269&lt;&gt;0)*1),"")</f>
        <v/>
      </c>
      <c r="B269" s="290"/>
      <c r="C269" s="290"/>
      <c r="D269" s="290"/>
      <c r="E269" s="396"/>
      <c r="F269" s="345"/>
      <c r="G269" s="347"/>
      <c r="H269" s="347"/>
      <c r="I269" s="63" t="str">
        <f t="shared" si="219"/>
        <v/>
      </c>
      <c r="J269" s="292">
        <f t="shared" si="181"/>
        <v>0</v>
      </c>
      <c r="K269" s="292">
        <f t="shared" si="182"/>
        <v>0</v>
      </c>
      <c r="L269" s="292">
        <f t="shared" si="193"/>
        <v>0</v>
      </c>
      <c r="M269" s="292">
        <f t="shared" si="194"/>
        <v>0</v>
      </c>
      <c r="N269" s="292">
        <f t="shared" si="220"/>
        <v>0</v>
      </c>
      <c r="O269" s="292">
        <f t="shared" si="221"/>
        <v>0</v>
      </c>
      <c r="P269" s="292">
        <f t="shared" si="195"/>
        <v>0</v>
      </c>
      <c r="Q269" s="292">
        <f t="shared" si="196"/>
        <v>0</v>
      </c>
      <c r="R269" s="292">
        <f t="shared" si="197"/>
        <v>0</v>
      </c>
      <c r="S269" s="292">
        <f t="shared" si="198"/>
        <v>0</v>
      </c>
      <c r="T269" s="292">
        <f t="shared" si="222"/>
        <v>0</v>
      </c>
      <c r="U269" s="292">
        <f t="shared" si="223"/>
        <v>0</v>
      </c>
      <c r="V269" s="292">
        <f t="shared" si="199"/>
        <v>0</v>
      </c>
      <c r="W269" s="292">
        <f t="shared" si="200"/>
        <v>0</v>
      </c>
      <c r="X269" s="292">
        <f t="shared" si="201"/>
        <v>0</v>
      </c>
      <c r="Y269" s="292">
        <f t="shared" si="202"/>
        <v>0</v>
      </c>
      <c r="Z269" s="292">
        <f t="shared" si="183"/>
        <v>0</v>
      </c>
      <c r="AA269" s="292">
        <f t="shared" si="184"/>
        <v>0</v>
      </c>
      <c r="AB269" s="292">
        <f t="shared" si="203"/>
        <v>0</v>
      </c>
      <c r="AC269" s="292">
        <f t="shared" si="204"/>
        <v>0</v>
      </c>
      <c r="AD269" s="292">
        <f t="shared" si="185"/>
        <v>0</v>
      </c>
      <c r="AE269" s="292">
        <f t="shared" si="186"/>
        <v>0</v>
      </c>
      <c r="AF269" s="292">
        <f t="shared" si="224"/>
        <v>0</v>
      </c>
      <c r="AG269" s="292">
        <f t="shared" si="225"/>
        <v>0</v>
      </c>
      <c r="AH269" s="292">
        <f t="shared" si="205"/>
        <v>0</v>
      </c>
      <c r="AI269" s="292">
        <f t="shared" si="206"/>
        <v>0</v>
      </c>
      <c r="AJ269" s="292">
        <f t="shared" si="207"/>
        <v>0</v>
      </c>
      <c r="AK269" s="292">
        <f t="shared" si="208"/>
        <v>0</v>
      </c>
      <c r="AL269" s="292">
        <f t="shared" si="209"/>
        <v>0</v>
      </c>
      <c r="AM269" s="292">
        <f t="shared" si="210"/>
        <v>0</v>
      </c>
      <c r="AN269" s="292">
        <f t="shared" si="211"/>
        <v>0</v>
      </c>
      <c r="AO269" s="292">
        <f t="shared" si="212"/>
        <v>0</v>
      </c>
      <c r="AP269" s="292">
        <f t="shared" si="213"/>
        <v>0</v>
      </c>
      <c r="AQ269" s="292">
        <f t="shared" si="214"/>
        <v>0</v>
      </c>
      <c r="AR269" s="292">
        <f t="shared" si="187"/>
        <v>0</v>
      </c>
      <c r="AS269" s="292">
        <f t="shared" si="188"/>
        <v>0</v>
      </c>
      <c r="AT269" s="292">
        <f t="shared" si="215"/>
        <v>0</v>
      </c>
      <c r="AU269" s="292">
        <f t="shared" si="216"/>
        <v>0</v>
      </c>
      <c r="AV269" s="292">
        <f t="shared" si="217"/>
        <v>0</v>
      </c>
      <c r="AW269" s="292">
        <f t="shared" si="218"/>
        <v>0</v>
      </c>
      <c r="AX269" s="292">
        <f t="shared" si="189"/>
        <v>0</v>
      </c>
      <c r="AY269" s="292">
        <f t="shared" si="190"/>
        <v>0</v>
      </c>
      <c r="AZ269" s="292">
        <f t="shared" si="191"/>
        <v>0</v>
      </c>
      <c r="BA269" s="292">
        <f t="shared" si="192"/>
        <v>0</v>
      </c>
    </row>
    <row r="270" spans="1:53" s="289" customFormat="1" ht="16.5" customHeight="1">
      <c r="A270" s="63" t="str">
        <f t="array" ref="A270">IF(C270&lt;&gt;0,SUM(($C$11:C270&lt;&gt;0)*1),"")</f>
        <v/>
      </c>
      <c r="B270" s="290"/>
      <c r="C270" s="290"/>
      <c r="D270" s="290"/>
      <c r="E270" s="396"/>
      <c r="F270" s="345"/>
      <c r="G270" s="347"/>
      <c r="H270" s="347"/>
      <c r="I270" s="63" t="str">
        <f t="shared" si="219"/>
        <v/>
      </c>
      <c r="J270" s="292">
        <f t="shared" si="181"/>
        <v>0</v>
      </c>
      <c r="K270" s="292">
        <f t="shared" si="182"/>
        <v>0</v>
      </c>
      <c r="L270" s="292">
        <f t="shared" si="193"/>
        <v>0</v>
      </c>
      <c r="M270" s="292">
        <f t="shared" si="194"/>
        <v>0</v>
      </c>
      <c r="N270" s="292">
        <f t="shared" si="220"/>
        <v>0</v>
      </c>
      <c r="O270" s="292">
        <f t="shared" si="221"/>
        <v>0</v>
      </c>
      <c r="P270" s="292">
        <f t="shared" si="195"/>
        <v>0</v>
      </c>
      <c r="Q270" s="292">
        <f t="shared" si="196"/>
        <v>0</v>
      </c>
      <c r="R270" s="292">
        <f t="shared" si="197"/>
        <v>0</v>
      </c>
      <c r="S270" s="292">
        <f t="shared" si="198"/>
        <v>0</v>
      </c>
      <c r="T270" s="292">
        <f t="shared" si="222"/>
        <v>0</v>
      </c>
      <c r="U270" s="292">
        <f t="shared" si="223"/>
        <v>0</v>
      </c>
      <c r="V270" s="292">
        <f t="shared" si="199"/>
        <v>0</v>
      </c>
      <c r="W270" s="292">
        <f t="shared" si="200"/>
        <v>0</v>
      </c>
      <c r="X270" s="292">
        <f t="shared" si="201"/>
        <v>0</v>
      </c>
      <c r="Y270" s="292">
        <f t="shared" si="202"/>
        <v>0</v>
      </c>
      <c r="Z270" s="292">
        <f t="shared" si="183"/>
        <v>0</v>
      </c>
      <c r="AA270" s="292">
        <f t="shared" si="184"/>
        <v>0</v>
      </c>
      <c r="AB270" s="292">
        <f t="shared" si="203"/>
        <v>0</v>
      </c>
      <c r="AC270" s="292">
        <f t="shared" si="204"/>
        <v>0</v>
      </c>
      <c r="AD270" s="292">
        <f t="shared" si="185"/>
        <v>0</v>
      </c>
      <c r="AE270" s="292">
        <f t="shared" si="186"/>
        <v>0</v>
      </c>
      <c r="AF270" s="292">
        <f t="shared" si="224"/>
        <v>0</v>
      </c>
      <c r="AG270" s="292">
        <f t="shared" si="225"/>
        <v>0</v>
      </c>
      <c r="AH270" s="292">
        <f t="shared" si="205"/>
        <v>0</v>
      </c>
      <c r="AI270" s="292">
        <f t="shared" si="206"/>
        <v>0</v>
      </c>
      <c r="AJ270" s="292">
        <f t="shared" si="207"/>
        <v>0</v>
      </c>
      <c r="AK270" s="292">
        <f t="shared" si="208"/>
        <v>0</v>
      </c>
      <c r="AL270" s="292">
        <f t="shared" si="209"/>
        <v>0</v>
      </c>
      <c r="AM270" s="292">
        <f t="shared" si="210"/>
        <v>0</v>
      </c>
      <c r="AN270" s="292">
        <f t="shared" si="211"/>
        <v>0</v>
      </c>
      <c r="AO270" s="292">
        <f t="shared" si="212"/>
        <v>0</v>
      </c>
      <c r="AP270" s="292">
        <f t="shared" si="213"/>
        <v>0</v>
      </c>
      <c r="AQ270" s="292">
        <f t="shared" si="214"/>
        <v>0</v>
      </c>
      <c r="AR270" s="292">
        <f t="shared" si="187"/>
        <v>0</v>
      </c>
      <c r="AS270" s="292">
        <f t="shared" si="188"/>
        <v>0</v>
      </c>
      <c r="AT270" s="292">
        <f t="shared" si="215"/>
        <v>0</v>
      </c>
      <c r="AU270" s="292">
        <f t="shared" si="216"/>
        <v>0</v>
      </c>
      <c r="AV270" s="292">
        <f t="shared" si="217"/>
        <v>0</v>
      </c>
      <c r="AW270" s="292">
        <f t="shared" si="218"/>
        <v>0</v>
      </c>
      <c r="AX270" s="292">
        <f t="shared" si="189"/>
        <v>0</v>
      </c>
      <c r="AY270" s="292">
        <f t="shared" si="190"/>
        <v>0</v>
      </c>
      <c r="AZ270" s="292">
        <f t="shared" si="191"/>
        <v>0</v>
      </c>
      <c r="BA270" s="292">
        <f t="shared" si="192"/>
        <v>0</v>
      </c>
    </row>
    <row r="271" spans="1:53" s="289" customFormat="1" ht="16.5" customHeight="1">
      <c r="A271" s="63" t="str">
        <f t="array" ref="A271">IF(C271&lt;&gt;0,SUM(($C$11:C271&lt;&gt;0)*1),"")</f>
        <v/>
      </c>
      <c r="B271" s="290"/>
      <c r="C271" s="290"/>
      <c r="D271" s="290"/>
      <c r="E271" s="396"/>
      <c r="F271" s="345"/>
      <c r="G271" s="347"/>
      <c r="H271" s="347"/>
      <c r="I271" s="63" t="str">
        <f t="shared" si="219"/>
        <v/>
      </c>
      <c r="J271" s="292">
        <f t="shared" ref="J271:J348" si="226">IF($G271="1111",$F271,0)</f>
        <v>0</v>
      </c>
      <c r="K271" s="292">
        <f t="shared" ref="K271:K348" si="227">IF($H271="1111",$F271,0)</f>
        <v>0</v>
      </c>
      <c r="L271" s="292">
        <f t="shared" si="193"/>
        <v>0</v>
      </c>
      <c r="M271" s="292">
        <f t="shared" si="194"/>
        <v>0</v>
      </c>
      <c r="N271" s="292">
        <f t="shared" si="220"/>
        <v>0</v>
      </c>
      <c r="O271" s="292">
        <f t="shared" si="221"/>
        <v>0</v>
      </c>
      <c r="P271" s="292">
        <f t="shared" si="195"/>
        <v>0</v>
      </c>
      <c r="Q271" s="292">
        <f t="shared" si="196"/>
        <v>0</v>
      </c>
      <c r="R271" s="292">
        <f t="shared" si="197"/>
        <v>0</v>
      </c>
      <c r="S271" s="292">
        <f t="shared" si="198"/>
        <v>0</v>
      </c>
      <c r="T271" s="292">
        <f t="shared" si="222"/>
        <v>0</v>
      </c>
      <c r="U271" s="292">
        <f t="shared" si="223"/>
        <v>0</v>
      </c>
      <c r="V271" s="292">
        <f t="shared" si="199"/>
        <v>0</v>
      </c>
      <c r="W271" s="292">
        <f t="shared" si="200"/>
        <v>0</v>
      </c>
      <c r="X271" s="292">
        <f t="shared" si="201"/>
        <v>0</v>
      </c>
      <c r="Y271" s="292">
        <f t="shared" si="202"/>
        <v>0</v>
      </c>
      <c r="Z271" s="292">
        <f t="shared" ref="Z271:Z348" si="228">IF($G271="33382",$F271,0)</f>
        <v>0</v>
      </c>
      <c r="AA271" s="292">
        <f t="shared" ref="AA271:AA348" si="229">IF($H271="33382",$F271,0)</f>
        <v>0</v>
      </c>
      <c r="AB271" s="292">
        <f t="shared" si="203"/>
        <v>0</v>
      </c>
      <c r="AC271" s="292">
        <f t="shared" si="204"/>
        <v>0</v>
      </c>
      <c r="AD271" s="292">
        <f t="shared" ref="AD271:AD348" si="230">IF($G271="3411",$F271,0)</f>
        <v>0</v>
      </c>
      <c r="AE271" s="292">
        <f t="shared" ref="AE271:AE348" si="231">IF($H271="3411",$F271,0)</f>
        <v>0</v>
      </c>
      <c r="AF271" s="292">
        <f t="shared" si="224"/>
        <v>0</v>
      </c>
      <c r="AG271" s="292">
        <f t="shared" si="225"/>
        <v>0</v>
      </c>
      <c r="AH271" s="292">
        <f t="shared" si="205"/>
        <v>0</v>
      </c>
      <c r="AI271" s="292">
        <f t="shared" si="206"/>
        <v>0</v>
      </c>
      <c r="AJ271" s="292">
        <f t="shared" si="207"/>
        <v>0</v>
      </c>
      <c r="AK271" s="292">
        <f t="shared" si="208"/>
        <v>0</v>
      </c>
      <c r="AL271" s="292">
        <f t="shared" si="209"/>
        <v>0</v>
      </c>
      <c r="AM271" s="292">
        <f t="shared" si="210"/>
        <v>0</v>
      </c>
      <c r="AN271" s="292">
        <f t="shared" si="211"/>
        <v>0</v>
      </c>
      <c r="AO271" s="292">
        <f t="shared" si="212"/>
        <v>0</v>
      </c>
      <c r="AP271" s="292">
        <f t="shared" si="213"/>
        <v>0</v>
      </c>
      <c r="AQ271" s="292">
        <f t="shared" si="214"/>
        <v>0</v>
      </c>
      <c r="AR271" s="292">
        <f t="shared" ref="AR271:AR348" si="232">IF($G271="642",$F271,0)</f>
        <v>0</v>
      </c>
      <c r="AS271" s="292">
        <f t="shared" ref="AS271:AS348" si="233">IF($H271="642",$F271,0)</f>
        <v>0</v>
      </c>
      <c r="AT271" s="292">
        <f t="shared" si="215"/>
        <v>0</v>
      </c>
      <c r="AU271" s="292">
        <f t="shared" si="216"/>
        <v>0</v>
      </c>
      <c r="AV271" s="292">
        <f t="shared" si="217"/>
        <v>0</v>
      </c>
      <c r="AW271" s="292">
        <f t="shared" si="218"/>
        <v>0</v>
      </c>
      <c r="AX271" s="292">
        <f t="shared" ref="AX271:AX348" si="234">IF($G271="821",$F271,0)</f>
        <v>0</v>
      </c>
      <c r="AY271" s="292">
        <f t="shared" ref="AY271:AY348" si="235">IF($H271="821",$F271,0)</f>
        <v>0</v>
      </c>
      <c r="AZ271" s="292">
        <f t="shared" ref="AZ271:AZ348" si="236">IF($G271="911",$F271,0)</f>
        <v>0</v>
      </c>
      <c r="BA271" s="292">
        <f t="shared" ref="BA271:BA348" si="237">IF($H271="911",$F271,0)</f>
        <v>0</v>
      </c>
    </row>
    <row r="272" spans="1:53" s="289" customFormat="1" ht="16.5" customHeight="1">
      <c r="A272" s="63" t="str">
        <f t="array" ref="A272">IF(C272&lt;&gt;0,SUM(($C$11:C272&lt;&gt;0)*1),"")</f>
        <v/>
      </c>
      <c r="B272" s="290"/>
      <c r="C272" s="290"/>
      <c r="D272" s="290"/>
      <c r="E272" s="396"/>
      <c r="F272" s="345"/>
      <c r="G272" s="347"/>
      <c r="H272" s="347"/>
      <c r="I272" s="63" t="str">
        <f t="shared" si="219"/>
        <v/>
      </c>
      <c r="J272" s="292">
        <f t="shared" si="226"/>
        <v>0</v>
      </c>
      <c r="K272" s="292">
        <f t="shared" si="227"/>
        <v>0</v>
      </c>
      <c r="L272" s="292">
        <f t="shared" ref="L272:L348" si="238">IF($G272="1121",$F272,0)</f>
        <v>0</v>
      </c>
      <c r="M272" s="292">
        <f t="shared" ref="M272:M348" si="239">IF($H272="1121",$F272,0)</f>
        <v>0</v>
      </c>
      <c r="N272" s="292">
        <f t="shared" si="220"/>
        <v>0</v>
      </c>
      <c r="O272" s="292">
        <f t="shared" si="221"/>
        <v>0</v>
      </c>
      <c r="P272" s="292">
        <f t="shared" ref="P272:P348" si="240">IF($G272="1331",$F272,0)</f>
        <v>0</v>
      </c>
      <c r="Q272" s="292">
        <f t="shared" ref="Q272:Q348" si="241">IF($H272="1331",$F272,0)</f>
        <v>0</v>
      </c>
      <c r="R272" s="292">
        <f t="shared" ref="R272:R348" si="242">IF($G272="1388",$F272,0)</f>
        <v>0</v>
      </c>
      <c r="S272" s="292">
        <f t="shared" ref="S272:S348" si="243">IF($H272="1388",$F272,0)</f>
        <v>0</v>
      </c>
      <c r="T272" s="292">
        <f t="shared" si="222"/>
        <v>0</v>
      </c>
      <c r="U272" s="292">
        <f t="shared" si="223"/>
        <v>0</v>
      </c>
      <c r="V272" s="292">
        <f t="shared" ref="V272:V348" si="244">IF($G272="331",$F272,0)</f>
        <v>0</v>
      </c>
      <c r="W272" s="292">
        <f t="shared" ref="W272:W348" si="245">IF($H272="331",$F272,0)</f>
        <v>0</v>
      </c>
      <c r="X272" s="292">
        <f t="shared" ref="X272:X348" si="246">IF($G272="3334",$F272,0)</f>
        <v>0</v>
      </c>
      <c r="Y272" s="292">
        <f t="shared" ref="Y272:Y348" si="247">IF($H272="3334",$F272,0)</f>
        <v>0</v>
      </c>
      <c r="Z272" s="292">
        <f t="shared" si="228"/>
        <v>0</v>
      </c>
      <c r="AA272" s="292">
        <f t="shared" si="229"/>
        <v>0</v>
      </c>
      <c r="AB272" s="292">
        <f t="shared" ref="AB272:AB348" si="248">IF($G272="3388",$F272,0)</f>
        <v>0</v>
      </c>
      <c r="AC272" s="292">
        <f t="shared" ref="AC272:AC348" si="249">IF($H272="3388",$F272,0)</f>
        <v>0</v>
      </c>
      <c r="AD272" s="292">
        <f t="shared" si="230"/>
        <v>0</v>
      </c>
      <c r="AE272" s="292">
        <f t="shared" si="231"/>
        <v>0</v>
      </c>
      <c r="AF272" s="292">
        <f t="shared" si="224"/>
        <v>0</v>
      </c>
      <c r="AG272" s="292">
        <f t="shared" si="225"/>
        <v>0</v>
      </c>
      <c r="AH272" s="292">
        <f t="shared" ref="AH272:AH348" si="250">IF($G272="4111",$F272,0)</f>
        <v>0</v>
      </c>
      <c r="AI272" s="292">
        <f t="shared" ref="AI272:AI348" si="251">IF($H272="4111",$F272,0)</f>
        <v>0</v>
      </c>
      <c r="AJ272" s="292">
        <f t="shared" ref="AJ272:AJ348" si="252">IF($G272="4211",$F272,0)</f>
        <v>0</v>
      </c>
      <c r="AK272" s="292">
        <f t="shared" ref="AK272:AK348" si="253">IF($H272="4211",$F272,0)</f>
        <v>0</v>
      </c>
      <c r="AL272" s="292">
        <f t="shared" ref="AL272:AL348" si="254">IF($G272="4212",$F272,0)</f>
        <v>0</v>
      </c>
      <c r="AM272" s="292">
        <f t="shared" ref="AM272:AM348" si="255">IF($H272="4212",$F272,0)</f>
        <v>0</v>
      </c>
      <c r="AN272" s="292">
        <f t="shared" ref="AN272:AN348" si="256">IF($G272="515",$F272,0)</f>
        <v>0</v>
      </c>
      <c r="AO272" s="292">
        <f t="shared" ref="AO272:AO348" si="257">IF($H272="515",$F272,0)</f>
        <v>0</v>
      </c>
      <c r="AP272" s="292">
        <f t="shared" ref="AP272:AP348" si="258">IF($G272="635",$F272,0)</f>
        <v>0</v>
      </c>
      <c r="AQ272" s="292">
        <f t="shared" ref="AQ272:AQ348" si="259">IF($H272="635",$F272,0)</f>
        <v>0</v>
      </c>
      <c r="AR272" s="292">
        <f t="shared" si="232"/>
        <v>0</v>
      </c>
      <c r="AS272" s="292">
        <f t="shared" si="233"/>
        <v>0</v>
      </c>
      <c r="AT272" s="292">
        <f t="shared" ref="AT272:AT348" si="260">IF($G272="711",$F272,0)</f>
        <v>0</v>
      </c>
      <c r="AU272" s="292">
        <f t="shared" ref="AU272:AU348" si="261">IF($H272="711",$F272,0)</f>
        <v>0</v>
      </c>
      <c r="AV272" s="292">
        <f t="shared" ref="AV272:AV348" si="262">IF($G272="811",$F272,0)</f>
        <v>0</v>
      </c>
      <c r="AW272" s="292">
        <f t="shared" ref="AW272:AW348" si="263">IF($H272="811",$F272,0)</f>
        <v>0</v>
      </c>
      <c r="AX272" s="292">
        <f t="shared" si="234"/>
        <v>0</v>
      </c>
      <c r="AY272" s="292">
        <f t="shared" si="235"/>
        <v>0</v>
      </c>
      <c r="AZ272" s="292">
        <f t="shared" si="236"/>
        <v>0</v>
      </c>
      <c r="BA272" s="292">
        <f t="shared" si="237"/>
        <v>0</v>
      </c>
    </row>
    <row r="273" spans="1:53" s="289" customFormat="1" ht="16.5" customHeight="1">
      <c r="A273" s="63" t="str">
        <f t="array" ref="A273">IF(C273&lt;&gt;0,SUM(($C$11:C273&lt;&gt;0)*1),"")</f>
        <v/>
      </c>
      <c r="B273" s="290"/>
      <c r="C273" s="290"/>
      <c r="D273" s="290"/>
      <c r="E273" s="396"/>
      <c r="F273" s="345"/>
      <c r="G273" s="347"/>
      <c r="H273" s="347"/>
      <c r="I273" s="63" t="str">
        <f t="shared" si="219"/>
        <v/>
      </c>
      <c r="J273" s="292">
        <f t="shared" si="226"/>
        <v>0</v>
      </c>
      <c r="K273" s="292">
        <f t="shared" si="227"/>
        <v>0</v>
      </c>
      <c r="L273" s="292">
        <f t="shared" si="238"/>
        <v>0</v>
      </c>
      <c r="M273" s="292">
        <f t="shared" si="239"/>
        <v>0</v>
      </c>
      <c r="N273" s="292">
        <f t="shared" si="220"/>
        <v>0</v>
      </c>
      <c r="O273" s="292">
        <f t="shared" si="221"/>
        <v>0</v>
      </c>
      <c r="P273" s="292">
        <f t="shared" si="240"/>
        <v>0</v>
      </c>
      <c r="Q273" s="292">
        <f t="shared" si="241"/>
        <v>0</v>
      </c>
      <c r="R273" s="292">
        <f t="shared" si="242"/>
        <v>0</v>
      </c>
      <c r="S273" s="292">
        <f t="shared" si="243"/>
        <v>0</v>
      </c>
      <c r="T273" s="292">
        <f t="shared" si="222"/>
        <v>0</v>
      </c>
      <c r="U273" s="292">
        <f t="shared" si="223"/>
        <v>0</v>
      </c>
      <c r="V273" s="292">
        <f t="shared" si="244"/>
        <v>0</v>
      </c>
      <c r="W273" s="292">
        <f t="shared" si="245"/>
        <v>0</v>
      </c>
      <c r="X273" s="292">
        <f t="shared" si="246"/>
        <v>0</v>
      </c>
      <c r="Y273" s="292">
        <f t="shared" si="247"/>
        <v>0</v>
      </c>
      <c r="Z273" s="292">
        <f t="shared" si="228"/>
        <v>0</v>
      </c>
      <c r="AA273" s="292">
        <f t="shared" si="229"/>
        <v>0</v>
      </c>
      <c r="AB273" s="292">
        <f t="shared" si="248"/>
        <v>0</v>
      </c>
      <c r="AC273" s="292">
        <f t="shared" si="249"/>
        <v>0</v>
      </c>
      <c r="AD273" s="292">
        <f t="shared" si="230"/>
        <v>0</v>
      </c>
      <c r="AE273" s="292">
        <f t="shared" si="231"/>
        <v>0</v>
      </c>
      <c r="AF273" s="292">
        <f t="shared" si="224"/>
        <v>0</v>
      </c>
      <c r="AG273" s="292">
        <f t="shared" si="225"/>
        <v>0</v>
      </c>
      <c r="AH273" s="292">
        <f t="shared" si="250"/>
        <v>0</v>
      </c>
      <c r="AI273" s="292">
        <f t="shared" si="251"/>
        <v>0</v>
      </c>
      <c r="AJ273" s="292">
        <f t="shared" si="252"/>
        <v>0</v>
      </c>
      <c r="AK273" s="292">
        <f t="shared" si="253"/>
        <v>0</v>
      </c>
      <c r="AL273" s="292">
        <f t="shared" si="254"/>
        <v>0</v>
      </c>
      <c r="AM273" s="292">
        <f t="shared" si="255"/>
        <v>0</v>
      </c>
      <c r="AN273" s="292">
        <f t="shared" si="256"/>
        <v>0</v>
      </c>
      <c r="AO273" s="292">
        <f t="shared" si="257"/>
        <v>0</v>
      </c>
      <c r="AP273" s="292">
        <f t="shared" si="258"/>
        <v>0</v>
      </c>
      <c r="AQ273" s="292">
        <f t="shared" si="259"/>
        <v>0</v>
      </c>
      <c r="AR273" s="292">
        <f t="shared" si="232"/>
        <v>0</v>
      </c>
      <c r="AS273" s="292">
        <f t="shared" si="233"/>
        <v>0</v>
      </c>
      <c r="AT273" s="292">
        <f t="shared" si="260"/>
        <v>0</v>
      </c>
      <c r="AU273" s="292">
        <f t="shared" si="261"/>
        <v>0</v>
      </c>
      <c r="AV273" s="292">
        <f t="shared" si="262"/>
        <v>0</v>
      </c>
      <c r="AW273" s="292">
        <f t="shared" si="263"/>
        <v>0</v>
      </c>
      <c r="AX273" s="292">
        <f t="shared" si="234"/>
        <v>0</v>
      </c>
      <c r="AY273" s="292">
        <f t="shared" si="235"/>
        <v>0</v>
      </c>
      <c r="AZ273" s="292">
        <f t="shared" si="236"/>
        <v>0</v>
      </c>
      <c r="BA273" s="292">
        <f t="shared" si="237"/>
        <v>0</v>
      </c>
    </row>
    <row r="274" spans="1:53" s="289" customFormat="1" ht="16.5" customHeight="1">
      <c r="A274" s="63" t="str">
        <f t="array" ref="A274">IF(C274&lt;&gt;0,SUM(($C$11:C274&lt;&gt;0)*1),"")</f>
        <v/>
      </c>
      <c r="B274" s="290"/>
      <c r="C274" s="290"/>
      <c r="D274" s="290"/>
      <c r="E274" s="396"/>
      <c r="F274" s="345"/>
      <c r="G274" s="347"/>
      <c r="H274" s="347"/>
      <c r="I274" s="63" t="str">
        <f t="shared" si="219"/>
        <v/>
      </c>
      <c r="J274" s="292">
        <f t="shared" si="226"/>
        <v>0</v>
      </c>
      <c r="K274" s="292">
        <f t="shared" si="227"/>
        <v>0</v>
      </c>
      <c r="L274" s="292">
        <f t="shared" si="238"/>
        <v>0</v>
      </c>
      <c r="M274" s="292">
        <f t="shared" si="239"/>
        <v>0</v>
      </c>
      <c r="N274" s="292">
        <f t="shared" si="220"/>
        <v>0</v>
      </c>
      <c r="O274" s="292">
        <f t="shared" si="221"/>
        <v>0</v>
      </c>
      <c r="P274" s="292">
        <f t="shared" si="240"/>
        <v>0</v>
      </c>
      <c r="Q274" s="292">
        <f t="shared" si="241"/>
        <v>0</v>
      </c>
      <c r="R274" s="292">
        <f t="shared" si="242"/>
        <v>0</v>
      </c>
      <c r="S274" s="292">
        <f t="shared" si="243"/>
        <v>0</v>
      </c>
      <c r="T274" s="292">
        <f t="shared" si="222"/>
        <v>0</v>
      </c>
      <c r="U274" s="292">
        <f t="shared" si="223"/>
        <v>0</v>
      </c>
      <c r="V274" s="292">
        <f t="shared" si="244"/>
        <v>0</v>
      </c>
      <c r="W274" s="292">
        <f t="shared" si="245"/>
        <v>0</v>
      </c>
      <c r="X274" s="292">
        <f t="shared" si="246"/>
        <v>0</v>
      </c>
      <c r="Y274" s="292">
        <f t="shared" si="247"/>
        <v>0</v>
      </c>
      <c r="Z274" s="292">
        <f t="shared" si="228"/>
        <v>0</v>
      </c>
      <c r="AA274" s="292">
        <f t="shared" si="229"/>
        <v>0</v>
      </c>
      <c r="AB274" s="292">
        <f t="shared" si="248"/>
        <v>0</v>
      </c>
      <c r="AC274" s="292">
        <f t="shared" si="249"/>
        <v>0</v>
      </c>
      <c r="AD274" s="292">
        <f t="shared" si="230"/>
        <v>0</v>
      </c>
      <c r="AE274" s="292">
        <f t="shared" si="231"/>
        <v>0</v>
      </c>
      <c r="AF274" s="292">
        <f t="shared" si="224"/>
        <v>0</v>
      </c>
      <c r="AG274" s="292">
        <f t="shared" si="225"/>
        <v>0</v>
      </c>
      <c r="AH274" s="292">
        <f t="shared" si="250"/>
        <v>0</v>
      </c>
      <c r="AI274" s="292">
        <f t="shared" si="251"/>
        <v>0</v>
      </c>
      <c r="AJ274" s="292">
        <f t="shared" si="252"/>
        <v>0</v>
      </c>
      <c r="AK274" s="292">
        <f t="shared" si="253"/>
        <v>0</v>
      </c>
      <c r="AL274" s="292">
        <f t="shared" si="254"/>
        <v>0</v>
      </c>
      <c r="AM274" s="292">
        <f t="shared" si="255"/>
        <v>0</v>
      </c>
      <c r="AN274" s="292">
        <f t="shared" si="256"/>
        <v>0</v>
      </c>
      <c r="AO274" s="292">
        <f t="shared" si="257"/>
        <v>0</v>
      </c>
      <c r="AP274" s="292">
        <f t="shared" si="258"/>
        <v>0</v>
      </c>
      <c r="AQ274" s="292">
        <f t="shared" si="259"/>
        <v>0</v>
      </c>
      <c r="AR274" s="292">
        <f t="shared" si="232"/>
        <v>0</v>
      </c>
      <c r="AS274" s="292">
        <f t="shared" si="233"/>
        <v>0</v>
      </c>
      <c r="AT274" s="292">
        <f t="shared" si="260"/>
        <v>0</v>
      </c>
      <c r="AU274" s="292">
        <f t="shared" si="261"/>
        <v>0</v>
      </c>
      <c r="AV274" s="292">
        <f t="shared" si="262"/>
        <v>0</v>
      </c>
      <c r="AW274" s="292">
        <f t="shared" si="263"/>
        <v>0</v>
      </c>
      <c r="AX274" s="292">
        <f t="shared" si="234"/>
        <v>0</v>
      </c>
      <c r="AY274" s="292">
        <f t="shared" si="235"/>
        <v>0</v>
      </c>
      <c r="AZ274" s="292">
        <f t="shared" si="236"/>
        <v>0</v>
      </c>
      <c r="BA274" s="292">
        <f t="shared" si="237"/>
        <v>0</v>
      </c>
    </row>
    <row r="275" spans="1:53" s="289" customFormat="1" ht="16.5" customHeight="1">
      <c r="A275" s="63" t="str">
        <f t="array" ref="A275">IF(C275&lt;&gt;0,SUM(($C$11:C275&lt;&gt;0)*1),"")</f>
        <v/>
      </c>
      <c r="B275" s="290"/>
      <c r="C275" s="290"/>
      <c r="D275" s="290"/>
      <c r="E275" s="396"/>
      <c r="F275" s="345"/>
      <c r="G275" s="347"/>
      <c r="H275" s="347"/>
      <c r="I275" s="63" t="str">
        <f t="shared" si="219"/>
        <v/>
      </c>
      <c r="J275" s="292">
        <f t="shared" si="226"/>
        <v>0</v>
      </c>
      <c r="K275" s="292">
        <f t="shared" si="227"/>
        <v>0</v>
      </c>
      <c r="L275" s="292">
        <f t="shared" si="238"/>
        <v>0</v>
      </c>
      <c r="M275" s="292">
        <f t="shared" si="239"/>
        <v>0</v>
      </c>
      <c r="N275" s="292">
        <f t="shared" si="220"/>
        <v>0</v>
      </c>
      <c r="O275" s="292">
        <f t="shared" si="221"/>
        <v>0</v>
      </c>
      <c r="P275" s="292">
        <f t="shared" si="240"/>
        <v>0</v>
      </c>
      <c r="Q275" s="292">
        <f t="shared" si="241"/>
        <v>0</v>
      </c>
      <c r="R275" s="292">
        <f t="shared" si="242"/>
        <v>0</v>
      </c>
      <c r="S275" s="292">
        <f t="shared" si="243"/>
        <v>0</v>
      </c>
      <c r="T275" s="292">
        <f t="shared" si="222"/>
        <v>0</v>
      </c>
      <c r="U275" s="292">
        <f t="shared" si="223"/>
        <v>0</v>
      </c>
      <c r="V275" s="292">
        <f t="shared" si="244"/>
        <v>0</v>
      </c>
      <c r="W275" s="292">
        <f t="shared" si="245"/>
        <v>0</v>
      </c>
      <c r="X275" s="292">
        <f t="shared" si="246"/>
        <v>0</v>
      </c>
      <c r="Y275" s="292">
        <f t="shared" si="247"/>
        <v>0</v>
      </c>
      <c r="Z275" s="292">
        <f t="shared" si="228"/>
        <v>0</v>
      </c>
      <c r="AA275" s="292">
        <f t="shared" si="229"/>
        <v>0</v>
      </c>
      <c r="AB275" s="292">
        <f t="shared" si="248"/>
        <v>0</v>
      </c>
      <c r="AC275" s="292">
        <f t="shared" si="249"/>
        <v>0</v>
      </c>
      <c r="AD275" s="292">
        <f t="shared" si="230"/>
        <v>0</v>
      </c>
      <c r="AE275" s="292">
        <f t="shared" si="231"/>
        <v>0</v>
      </c>
      <c r="AF275" s="292">
        <f t="shared" si="224"/>
        <v>0</v>
      </c>
      <c r="AG275" s="292">
        <f t="shared" si="225"/>
        <v>0</v>
      </c>
      <c r="AH275" s="292">
        <f t="shared" si="250"/>
        <v>0</v>
      </c>
      <c r="AI275" s="292">
        <f t="shared" si="251"/>
        <v>0</v>
      </c>
      <c r="AJ275" s="292">
        <f t="shared" si="252"/>
        <v>0</v>
      </c>
      <c r="AK275" s="292">
        <f t="shared" si="253"/>
        <v>0</v>
      </c>
      <c r="AL275" s="292">
        <f t="shared" si="254"/>
        <v>0</v>
      </c>
      <c r="AM275" s="292">
        <f t="shared" si="255"/>
        <v>0</v>
      </c>
      <c r="AN275" s="292">
        <f t="shared" si="256"/>
        <v>0</v>
      </c>
      <c r="AO275" s="292">
        <f t="shared" si="257"/>
        <v>0</v>
      </c>
      <c r="AP275" s="292">
        <f t="shared" si="258"/>
        <v>0</v>
      </c>
      <c r="AQ275" s="292">
        <f t="shared" si="259"/>
        <v>0</v>
      </c>
      <c r="AR275" s="292">
        <f t="shared" si="232"/>
        <v>0</v>
      </c>
      <c r="AS275" s="292">
        <f t="shared" si="233"/>
        <v>0</v>
      </c>
      <c r="AT275" s="292">
        <f t="shared" si="260"/>
        <v>0</v>
      </c>
      <c r="AU275" s="292">
        <f t="shared" si="261"/>
        <v>0</v>
      </c>
      <c r="AV275" s="292">
        <f t="shared" si="262"/>
        <v>0</v>
      </c>
      <c r="AW275" s="292">
        <f t="shared" si="263"/>
        <v>0</v>
      </c>
      <c r="AX275" s="292">
        <f t="shared" si="234"/>
        <v>0</v>
      </c>
      <c r="AY275" s="292">
        <f t="shared" si="235"/>
        <v>0</v>
      </c>
      <c r="AZ275" s="292">
        <f t="shared" si="236"/>
        <v>0</v>
      </c>
      <c r="BA275" s="292">
        <f t="shared" si="237"/>
        <v>0</v>
      </c>
    </row>
    <row r="276" spans="1:53" s="289" customFormat="1" ht="16.5" customHeight="1">
      <c r="A276" s="63" t="str">
        <f t="array" ref="A276">IF(C276&lt;&gt;0,SUM(($C$11:C276&lt;&gt;0)*1),"")</f>
        <v/>
      </c>
      <c r="B276" s="290"/>
      <c r="C276" s="290"/>
      <c r="D276" s="290"/>
      <c r="E276" s="396"/>
      <c r="F276" s="345"/>
      <c r="G276" s="347"/>
      <c r="H276" s="347"/>
      <c r="I276" s="63" t="str">
        <f t="shared" si="219"/>
        <v/>
      </c>
      <c r="J276" s="292">
        <f t="shared" si="226"/>
        <v>0</v>
      </c>
      <c r="K276" s="292">
        <f t="shared" si="227"/>
        <v>0</v>
      </c>
      <c r="L276" s="292">
        <f t="shared" si="238"/>
        <v>0</v>
      </c>
      <c r="M276" s="292">
        <f t="shared" si="239"/>
        <v>0</v>
      </c>
      <c r="N276" s="292">
        <f t="shared" si="220"/>
        <v>0</v>
      </c>
      <c r="O276" s="292">
        <f t="shared" si="221"/>
        <v>0</v>
      </c>
      <c r="P276" s="292">
        <f t="shared" si="240"/>
        <v>0</v>
      </c>
      <c r="Q276" s="292">
        <f t="shared" si="241"/>
        <v>0</v>
      </c>
      <c r="R276" s="292">
        <f t="shared" si="242"/>
        <v>0</v>
      </c>
      <c r="S276" s="292">
        <f t="shared" si="243"/>
        <v>0</v>
      </c>
      <c r="T276" s="292">
        <f t="shared" si="222"/>
        <v>0</v>
      </c>
      <c r="U276" s="292">
        <f t="shared" si="223"/>
        <v>0</v>
      </c>
      <c r="V276" s="292">
        <f t="shared" si="244"/>
        <v>0</v>
      </c>
      <c r="W276" s="292">
        <f t="shared" si="245"/>
        <v>0</v>
      </c>
      <c r="X276" s="292">
        <f t="shared" si="246"/>
        <v>0</v>
      </c>
      <c r="Y276" s="292">
        <f t="shared" si="247"/>
        <v>0</v>
      </c>
      <c r="Z276" s="292">
        <f t="shared" si="228"/>
        <v>0</v>
      </c>
      <c r="AA276" s="292">
        <f t="shared" si="229"/>
        <v>0</v>
      </c>
      <c r="AB276" s="292">
        <f t="shared" si="248"/>
        <v>0</v>
      </c>
      <c r="AC276" s="292">
        <f t="shared" si="249"/>
        <v>0</v>
      </c>
      <c r="AD276" s="292">
        <f t="shared" si="230"/>
        <v>0</v>
      </c>
      <c r="AE276" s="292">
        <f t="shared" si="231"/>
        <v>0</v>
      </c>
      <c r="AF276" s="292">
        <f t="shared" si="224"/>
        <v>0</v>
      </c>
      <c r="AG276" s="292">
        <f t="shared" si="225"/>
        <v>0</v>
      </c>
      <c r="AH276" s="292">
        <f t="shared" si="250"/>
        <v>0</v>
      </c>
      <c r="AI276" s="292">
        <f t="shared" si="251"/>
        <v>0</v>
      </c>
      <c r="AJ276" s="292">
        <f t="shared" si="252"/>
        <v>0</v>
      </c>
      <c r="AK276" s="292">
        <f t="shared" si="253"/>
        <v>0</v>
      </c>
      <c r="AL276" s="292">
        <f t="shared" si="254"/>
        <v>0</v>
      </c>
      <c r="AM276" s="292">
        <f t="shared" si="255"/>
        <v>0</v>
      </c>
      <c r="AN276" s="292">
        <f t="shared" si="256"/>
        <v>0</v>
      </c>
      <c r="AO276" s="292">
        <f t="shared" si="257"/>
        <v>0</v>
      </c>
      <c r="AP276" s="292">
        <f t="shared" si="258"/>
        <v>0</v>
      </c>
      <c r="AQ276" s="292">
        <f t="shared" si="259"/>
        <v>0</v>
      </c>
      <c r="AR276" s="292">
        <f t="shared" si="232"/>
        <v>0</v>
      </c>
      <c r="AS276" s="292">
        <f t="shared" si="233"/>
        <v>0</v>
      </c>
      <c r="AT276" s="292">
        <f t="shared" si="260"/>
        <v>0</v>
      </c>
      <c r="AU276" s="292">
        <f t="shared" si="261"/>
        <v>0</v>
      </c>
      <c r="AV276" s="292">
        <f t="shared" si="262"/>
        <v>0</v>
      </c>
      <c r="AW276" s="292">
        <f t="shared" si="263"/>
        <v>0</v>
      </c>
      <c r="AX276" s="292">
        <f t="shared" si="234"/>
        <v>0</v>
      </c>
      <c r="AY276" s="292">
        <f t="shared" si="235"/>
        <v>0</v>
      </c>
      <c r="AZ276" s="292">
        <f t="shared" si="236"/>
        <v>0</v>
      </c>
      <c r="BA276" s="292">
        <f t="shared" si="237"/>
        <v>0</v>
      </c>
    </row>
    <row r="277" spans="1:53" s="289" customFormat="1" ht="16.5" customHeight="1">
      <c r="A277" s="63" t="str">
        <f t="array" ref="A277">IF(C277&lt;&gt;0,SUM(($C$11:C277&lt;&gt;0)*1),"")</f>
        <v/>
      </c>
      <c r="B277" s="290"/>
      <c r="C277" s="290"/>
      <c r="D277" s="290"/>
      <c r="E277" s="396"/>
      <c r="F277" s="345"/>
      <c r="G277" s="347"/>
      <c r="H277" s="347"/>
      <c r="I277" s="63" t="str">
        <f t="shared" si="219"/>
        <v/>
      </c>
      <c r="J277" s="292">
        <f t="shared" si="226"/>
        <v>0</v>
      </c>
      <c r="K277" s="292">
        <f t="shared" si="227"/>
        <v>0</v>
      </c>
      <c r="L277" s="292">
        <f t="shared" si="238"/>
        <v>0</v>
      </c>
      <c r="M277" s="292">
        <f t="shared" si="239"/>
        <v>0</v>
      </c>
      <c r="N277" s="292">
        <f t="shared" si="220"/>
        <v>0</v>
      </c>
      <c r="O277" s="292">
        <f t="shared" si="221"/>
        <v>0</v>
      </c>
      <c r="P277" s="292">
        <f t="shared" si="240"/>
        <v>0</v>
      </c>
      <c r="Q277" s="292">
        <f t="shared" si="241"/>
        <v>0</v>
      </c>
      <c r="R277" s="292">
        <f t="shared" si="242"/>
        <v>0</v>
      </c>
      <c r="S277" s="292">
        <f t="shared" si="243"/>
        <v>0</v>
      </c>
      <c r="T277" s="292">
        <f t="shared" si="222"/>
        <v>0</v>
      </c>
      <c r="U277" s="292">
        <f t="shared" si="223"/>
        <v>0</v>
      </c>
      <c r="V277" s="292">
        <f t="shared" si="244"/>
        <v>0</v>
      </c>
      <c r="W277" s="292">
        <f t="shared" si="245"/>
        <v>0</v>
      </c>
      <c r="X277" s="292">
        <f t="shared" si="246"/>
        <v>0</v>
      </c>
      <c r="Y277" s="292">
        <f t="shared" si="247"/>
        <v>0</v>
      </c>
      <c r="Z277" s="292">
        <f t="shared" si="228"/>
        <v>0</v>
      </c>
      <c r="AA277" s="292">
        <f t="shared" si="229"/>
        <v>0</v>
      </c>
      <c r="AB277" s="292">
        <f t="shared" si="248"/>
        <v>0</v>
      </c>
      <c r="AC277" s="292">
        <f t="shared" si="249"/>
        <v>0</v>
      </c>
      <c r="AD277" s="292">
        <f t="shared" si="230"/>
        <v>0</v>
      </c>
      <c r="AE277" s="292">
        <f t="shared" si="231"/>
        <v>0</v>
      </c>
      <c r="AF277" s="292">
        <f t="shared" si="224"/>
        <v>0</v>
      </c>
      <c r="AG277" s="292">
        <f t="shared" si="225"/>
        <v>0</v>
      </c>
      <c r="AH277" s="292">
        <f t="shared" si="250"/>
        <v>0</v>
      </c>
      <c r="AI277" s="292">
        <f t="shared" si="251"/>
        <v>0</v>
      </c>
      <c r="AJ277" s="292">
        <f t="shared" si="252"/>
        <v>0</v>
      </c>
      <c r="AK277" s="292">
        <f t="shared" si="253"/>
        <v>0</v>
      </c>
      <c r="AL277" s="292">
        <f t="shared" si="254"/>
        <v>0</v>
      </c>
      <c r="AM277" s="292">
        <f t="shared" si="255"/>
        <v>0</v>
      </c>
      <c r="AN277" s="292">
        <f t="shared" si="256"/>
        <v>0</v>
      </c>
      <c r="AO277" s="292">
        <f t="shared" si="257"/>
        <v>0</v>
      </c>
      <c r="AP277" s="292">
        <f t="shared" si="258"/>
        <v>0</v>
      </c>
      <c r="AQ277" s="292">
        <f t="shared" si="259"/>
        <v>0</v>
      </c>
      <c r="AR277" s="292">
        <f t="shared" si="232"/>
        <v>0</v>
      </c>
      <c r="AS277" s="292">
        <f t="shared" si="233"/>
        <v>0</v>
      </c>
      <c r="AT277" s="292">
        <f t="shared" si="260"/>
        <v>0</v>
      </c>
      <c r="AU277" s="292">
        <f t="shared" si="261"/>
        <v>0</v>
      </c>
      <c r="AV277" s="292">
        <f t="shared" si="262"/>
        <v>0</v>
      </c>
      <c r="AW277" s="292">
        <f t="shared" si="263"/>
        <v>0</v>
      </c>
      <c r="AX277" s="292">
        <f t="shared" si="234"/>
        <v>0</v>
      </c>
      <c r="AY277" s="292">
        <f t="shared" si="235"/>
        <v>0</v>
      </c>
      <c r="AZ277" s="292">
        <f t="shared" si="236"/>
        <v>0</v>
      </c>
      <c r="BA277" s="292">
        <f t="shared" si="237"/>
        <v>0</v>
      </c>
    </row>
    <row r="278" spans="1:53" s="289" customFormat="1" ht="16.5" customHeight="1">
      <c r="A278" s="63" t="str">
        <f t="array" ref="A278">IF(C278&lt;&gt;0,SUM(($C$11:C278&lt;&gt;0)*1),"")</f>
        <v/>
      </c>
      <c r="B278" s="290"/>
      <c r="C278" s="290"/>
      <c r="D278" s="290"/>
      <c r="E278" s="396"/>
      <c r="F278" s="345"/>
      <c r="G278" s="347"/>
      <c r="H278" s="347"/>
      <c r="I278" s="63" t="str">
        <f t="shared" si="219"/>
        <v/>
      </c>
      <c r="J278" s="292">
        <f t="shared" si="226"/>
        <v>0</v>
      </c>
      <c r="K278" s="292">
        <f t="shared" si="227"/>
        <v>0</v>
      </c>
      <c r="L278" s="292">
        <f t="shared" si="238"/>
        <v>0</v>
      </c>
      <c r="M278" s="292">
        <f t="shared" si="239"/>
        <v>0</v>
      </c>
      <c r="N278" s="292">
        <f t="shared" si="220"/>
        <v>0</v>
      </c>
      <c r="O278" s="292">
        <f t="shared" si="221"/>
        <v>0</v>
      </c>
      <c r="P278" s="292">
        <f t="shared" si="240"/>
        <v>0</v>
      </c>
      <c r="Q278" s="292">
        <f t="shared" si="241"/>
        <v>0</v>
      </c>
      <c r="R278" s="292">
        <f t="shared" si="242"/>
        <v>0</v>
      </c>
      <c r="S278" s="292">
        <f t="shared" si="243"/>
        <v>0</v>
      </c>
      <c r="T278" s="292">
        <f t="shared" si="222"/>
        <v>0</v>
      </c>
      <c r="U278" s="292">
        <f t="shared" si="223"/>
        <v>0</v>
      </c>
      <c r="V278" s="292">
        <f t="shared" si="244"/>
        <v>0</v>
      </c>
      <c r="W278" s="292">
        <f t="shared" si="245"/>
        <v>0</v>
      </c>
      <c r="X278" s="292">
        <f t="shared" si="246"/>
        <v>0</v>
      </c>
      <c r="Y278" s="292">
        <f t="shared" si="247"/>
        <v>0</v>
      </c>
      <c r="Z278" s="292">
        <f t="shared" si="228"/>
        <v>0</v>
      </c>
      <c r="AA278" s="292">
        <f t="shared" si="229"/>
        <v>0</v>
      </c>
      <c r="AB278" s="292">
        <f t="shared" si="248"/>
        <v>0</v>
      </c>
      <c r="AC278" s="292">
        <f t="shared" si="249"/>
        <v>0</v>
      </c>
      <c r="AD278" s="292">
        <f t="shared" si="230"/>
        <v>0</v>
      </c>
      <c r="AE278" s="292">
        <f t="shared" si="231"/>
        <v>0</v>
      </c>
      <c r="AF278" s="292">
        <f t="shared" si="224"/>
        <v>0</v>
      </c>
      <c r="AG278" s="292">
        <f t="shared" si="225"/>
        <v>0</v>
      </c>
      <c r="AH278" s="292">
        <f t="shared" si="250"/>
        <v>0</v>
      </c>
      <c r="AI278" s="292">
        <f t="shared" si="251"/>
        <v>0</v>
      </c>
      <c r="AJ278" s="292">
        <f t="shared" si="252"/>
        <v>0</v>
      </c>
      <c r="AK278" s="292">
        <f t="shared" si="253"/>
        <v>0</v>
      </c>
      <c r="AL278" s="292">
        <f t="shared" si="254"/>
        <v>0</v>
      </c>
      <c r="AM278" s="292">
        <f t="shared" si="255"/>
        <v>0</v>
      </c>
      <c r="AN278" s="292">
        <f t="shared" si="256"/>
        <v>0</v>
      </c>
      <c r="AO278" s="292">
        <f t="shared" si="257"/>
        <v>0</v>
      </c>
      <c r="AP278" s="292">
        <f t="shared" si="258"/>
        <v>0</v>
      </c>
      <c r="AQ278" s="292">
        <f t="shared" si="259"/>
        <v>0</v>
      </c>
      <c r="AR278" s="292">
        <f t="shared" si="232"/>
        <v>0</v>
      </c>
      <c r="AS278" s="292">
        <f t="shared" si="233"/>
        <v>0</v>
      </c>
      <c r="AT278" s="292">
        <f t="shared" si="260"/>
        <v>0</v>
      </c>
      <c r="AU278" s="292">
        <f t="shared" si="261"/>
        <v>0</v>
      </c>
      <c r="AV278" s="292">
        <f t="shared" si="262"/>
        <v>0</v>
      </c>
      <c r="AW278" s="292">
        <f t="shared" si="263"/>
        <v>0</v>
      </c>
      <c r="AX278" s="292">
        <f t="shared" si="234"/>
        <v>0</v>
      </c>
      <c r="AY278" s="292">
        <f t="shared" si="235"/>
        <v>0</v>
      </c>
      <c r="AZ278" s="292">
        <f t="shared" si="236"/>
        <v>0</v>
      </c>
      <c r="BA278" s="292">
        <f t="shared" si="237"/>
        <v>0</v>
      </c>
    </row>
    <row r="279" spans="1:53" s="289" customFormat="1" ht="16.5" customHeight="1">
      <c r="A279" s="63" t="str">
        <f t="array" ref="A279">IF(C279&lt;&gt;0,SUM(($C$11:C279&lt;&gt;0)*1),"")</f>
        <v/>
      </c>
      <c r="B279" s="290"/>
      <c r="C279" s="290"/>
      <c r="D279" s="290"/>
      <c r="E279" s="396"/>
      <c r="F279" s="345"/>
      <c r="G279" s="347"/>
      <c r="H279" s="347"/>
      <c r="I279" s="63" t="str">
        <f t="shared" si="219"/>
        <v/>
      </c>
      <c r="J279" s="292">
        <f t="shared" si="226"/>
        <v>0</v>
      </c>
      <c r="K279" s="292">
        <f t="shared" si="227"/>
        <v>0</v>
      </c>
      <c r="L279" s="292">
        <f t="shared" si="238"/>
        <v>0</v>
      </c>
      <c r="M279" s="292">
        <f t="shared" si="239"/>
        <v>0</v>
      </c>
      <c r="N279" s="292">
        <f t="shared" si="220"/>
        <v>0</v>
      </c>
      <c r="O279" s="292">
        <f t="shared" si="221"/>
        <v>0</v>
      </c>
      <c r="P279" s="292">
        <f t="shared" si="240"/>
        <v>0</v>
      </c>
      <c r="Q279" s="292">
        <f t="shared" si="241"/>
        <v>0</v>
      </c>
      <c r="R279" s="292">
        <f t="shared" si="242"/>
        <v>0</v>
      </c>
      <c r="S279" s="292">
        <f t="shared" si="243"/>
        <v>0</v>
      </c>
      <c r="T279" s="292">
        <f t="shared" si="222"/>
        <v>0</v>
      </c>
      <c r="U279" s="292">
        <f t="shared" si="223"/>
        <v>0</v>
      </c>
      <c r="V279" s="292">
        <f t="shared" si="244"/>
        <v>0</v>
      </c>
      <c r="W279" s="292">
        <f t="shared" si="245"/>
        <v>0</v>
      </c>
      <c r="X279" s="292">
        <f t="shared" si="246"/>
        <v>0</v>
      </c>
      <c r="Y279" s="292">
        <f t="shared" si="247"/>
        <v>0</v>
      </c>
      <c r="Z279" s="292">
        <f t="shared" si="228"/>
        <v>0</v>
      </c>
      <c r="AA279" s="292">
        <f t="shared" si="229"/>
        <v>0</v>
      </c>
      <c r="AB279" s="292">
        <f t="shared" si="248"/>
        <v>0</v>
      </c>
      <c r="AC279" s="292">
        <f t="shared" si="249"/>
        <v>0</v>
      </c>
      <c r="AD279" s="292">
        <f t="shared" si="230"/>
        <v>0</v>
      </c>
      <c r="AE279" s="292">
        <f t="shared" si="231"/>
        <v>0</v>
      </c>
      <c r="AF279" s="292">
        <f t="shared" si="224"/>
        <v>0</v>
      </c>
      <c r="AG279" s="292">
        <f t="shared" si="225"/>
        <v>0</v>
      </c>
      <c r="AH279" s="292">
        <f t="shared" si="250"/>
        <v>0</v>
      </c>
      <c r="AI279" s="292">
        <f t="shared" si="251"/>
        <v>0</v>
      </c>
      <c r="AJ279" s="292">
        <f t="shared" si="252"/>
        <v>0</v>
      </c>
      <c r="AK279" s="292">
        <f t="shared" si="253"/>
        <v>0</v>
      </c>
      <c r="AL279" s="292">
        <f t="shared" si="254"/>
        <v>0</v>
      </c>
      <c r="AM279" s="292">
        <f t="shared" si="255"/>
        <v>0</v>
      </c>
      <c r="AN279" s="292">
        <f t="shared" si="256"/>
        <v>0</v>
      </c>
      <c r="AO279" s="292">
        <f t="shared" si="257"/>
        <v>0</v>
      </c>
      <c r="AP279" s="292">
        <f t="shared" si="258"/>
        <v>0</v>
      </c>
      <c r="AQ279" s="292">
        <f t="shared" si="259"/>
        <v>0</v>
      </c>
      <c r="AR279" s="292">
        <f t="shared" si="232"/>
        <v>0</v>
      </c>
      <c r="AS279" s="292">
        <f t="shared" si="233"/>
        <v>0</v>
      </c>
      <c r="AT279" s="292">
        <f t="shared" si="260"/>
        <v>0</v>
      </c>
      <c r="AU279" s="292">
        <f t="shared" si="261"/>
        <v>0</v>
      </c>
      <c r="AV279" s="292">
        <f t="shared" si="262"/>
        <v>0</v>
      </c>
      <c r="AW279" s="292">
        <f t="shared" si="263"/>
        <v>0</v>
      </c>
      <c r="AX279" s="292">
        <f t="shared" si="234"/>
        <v>0</v>
      </c>
      <c r="AY279" s="292">
        <f t="shared" si="235"/>
        <v>0</v>
      </c>
      <c r="AZ279" s="292">
        <f t="shared" si="236"/>
        <v>0</v>
      </c>
      <c r="BA279" s="292">
        <f t="shared" si="237"/>
        <v>0</v>
      </c>
    </row>
    <row r="280" spans="1:53" s="289" customFormat="1" ht="16.5" customHeight="1">
      <c r="A280" s="63" t="str">
        <f t="array" ref="A280">IF(C280&lt;&gt;0,SUM(($C$11:C280&lt;&gt;0)*1),"")</f>
        <v/>
      </c>
      <c r="B280" s="290"/>
      <c r="C280" s="290"/>
      <c r="D280" s="290"/>
      <c r="E280" s="396"/>
      <c r="F280" s="345"/>
      <c r="G280" s="347"/>
      <c r="H280" s="347"/>
      <c r="I280" s="63" t="str">
        <f t="shared" si="219"/>
        <v/>
      </c>
      <c r="J280" s="292">
        <f t="shared" si="226"/>
        <v>0</v>
      </c>
      <c r="K280" s="292">
        <f t="shared" si="227"/>
        <v>0</v>
      </c>
      <c r="L280" s="292">
        <f t="shared" si="238"/>
        <v>0</v>
      </c>
      <c r="M280" s="292">
        <f t="shared" si="239"/>
        <v>0</v>
      </c>
      <c r="N280" s="292">
        <f t="shared" si="220"/>
        <v>0</v>
      </c>
      <c r="O280" s="292">
        <f t="shared" si="221"/>
        <v>0</v>
      </c>
      <c r="P280" s="292">
        <f t="shared" si="240"/>
        <v>0</v>
      </c>
      <c r="Q280" s="292">
        <f t="shared" si="241"/>
        <v>0</v>
      </c>
      <c r="R280" s="292">
        <f t="shared" si="242"/>
        <v>0</v>
      </c>
      <c r="S280" s="292">
        <f t="shared" si="243"/>
        <v>0</v>
      </c>
      <c r="T280" s="292">
        <f t="shared" si="222"/>
        <v>0</v>
      </c>
      <c r="U280" s="292">
        <f t="shared" si="223"/>
        <v>0</v>
      </c>
      <c r="V280" s="292">
        <f t="shared" si="244"/>
        <v>0</v>
      </c>
      <c r="W280" s="292">
        <f t="shared" si="245"/>
        <v>0</v>
      </c>
      <c r="X280" s="292">
        <f t="shared" si="246"/>
        <v>0</v>
      </c>
      <c r="Y280" s="292">
        <f t="shared" si="247"/>
        <v>0</v>
      </c>
      <c r="Z280" s="292">
        <f t="shared" si="228"/>
        <v>0</v>
      </c>
      <c r="AA280" s="292">
        <f t="shared" si="229"/>
        <v>0</v>
      </c>
      <c r="AB280" s="292">
        <f t="shared" si="248"/>
        <v>0</v>
      </c>
      <c r="AC280" s="292">
        <f t="shared" si="249"/>
        <v>0</v>
      </c>
      <c r="AD280" s="292">
        <f t="shared" si="230"/>
        <v>0</v>
      </c>
      <c r="AE280" s="292">
        <f t="shared" si="231"/>
        <v>0</v>
      </c>
      <c r="AF280" s="292">
        <f t="shared" si="224"/>
        <v>0</v>
      </c>
      <c r="AG280" s="292">
        <f t="shared" si="225"/>
        <v>0</v>
      </c>
      <c r="AH280" s="292">
        <f t="shared" si="250"/>
        <v>0</v>
      </c>
      <c r="AI280" s="292">
        <f t="shared" si="251"/>
        <v>0</v>
      </c>
      <c r="AJ280" s="292">
        <f t="shared" si="252"/>
        <v>0</v>
      </c>
      <c r="AK280" s="292">
        <f t="shared" si="253"/>
        <v>0</v>
      </c>
      <c r="AL280" s="292">
        <f t="shared" si="254"/>
        <v>0</v>
      </c>
      <c r="AM280" s="292">
        <f t="shared" si="255"/>
        <v>0</v>
      </c>
      <c r="AN280" s="292">
        <f t="shared" si="256"/>
        <v>0</v>
      </c>
      <c r="AO280" s="292">
        <f t="shared" si="257"/>
        <v>0</v>
      </c>
      <c r="AP280" s="292">
        <f t="shared" si="258"/>
        <v>0</v>
      </c>
      <c r="AQ280" s="292">
        <f t="shared" si="259"/>
        <v>0</v>
      </c>
      <c r="AR280" s="292">
        <f t="shared" si="232"/>
        <v>0</v>
      </c>
      <c r="AS280" s="292">
        <f t="shared" si="233"/>
        <v>0</v>
      </c>
      <c r="AT280" s="292">
        <f t="shared" si="260"/>
        <v>0</v>
      </c>
      <c r="AU280" s="292">
        <f t="shared" si="261"/>
        <v>0</v>
      </c>
      <c r="AV280" s="292">
        <f t="shared" si="262"/>
        <v>0</v>
      </c>
      <c r="AW280" s="292">
        <f t="shared" si="263"/>
        <v>0</v>
      </c>
      <c r="AX280" s="292">
        <f t="shared" si="234"/>
        <v>0</v>
      </c>
      <c r="AY280" s="292">
        <f t="shared" si="235"/>
        <v>0</v>
      </c>
      <c r="AZ280" s="292">
        <f t="shared" si="236"/>
        <v>0</v>
      </c>
      <c r="BA280" s="292">
        <f t="shared" si="237"/>
        <v>0</v>
      </c>
    </row>
    <row r="281" spans="1:53" s="289" customFormat="1" ht="16.5" customHeight="1">
      <c r="A281" s="63" t="str">
        <f t="array" ref="A281">IF(C281&lt;&gt;0,SUM(($C$11:C281&lt;&gt;0)*1),"")</f>
        <v/>
      </c>
      <c r="B281" s="290"/>
      <c r="C281" s="290"/>
      <c r="D281" s="290"/>
      <c r="E281" s="396"/>
      <c r="F281" s="345"/>
      <c r="G281" s="347"/>
      <c r="H281" s="347"/>
      <c r="I281" s="63" t="str">
        <f t="shared" si="219"/>
        <v/>
      </c>
      <c r="J281" s="292">
        <f t="shared" si="226"/>
        <v>0</v>
      </c>
      <c r="K281" s="292">
        <f t="shared" si="227"/>
        <v>0</v>
      </c>
      <c r="L281" s="292">
        <f t="shared" si="238"/>
        <v>0</v>
      </c>
      <c r="M281" s="292">
        <f t="shared" si="239"/>
        <v>0</v>
      </c>
      <c r="N281" s="292">
        <f t="shared" si="220"/>
        <v>0</v>
      </c>
      <c r="O281" s="292">
        <f t="shared" si="221"/>
        <v>0</v>
      </c>
      <c r="P281" s="292">
        <f t="shared" si="240"/>
        <v>0</v>
      </c>
      <c r="Q281" s="292">
        <f t="shared" si="241"/>
        <v>0</v>
      </c>
      <c r="R281" s="292">
        <f t="shared" si="242"/>
        <v>0</v>
      </c>
      <c r="S281" s="292">
        <f t="shared" si="243"/>
        <v>0</v>
      </c>
      <c r="T281" s="292">
        <f t="shared" si="222"/>
        <v>0</v>
      </c>
      <c r="U281" s="292">
        <f t="shared" si="223"/>
        <v>0</v>
      </c>
      <c r="V281" s="292">
        <f t="shared" si="244"/>
        <v>0</v>
      </c>
      <c r="W281" s="292">
        <f t="shared" si="245"/>
        <v>0</v>
      </c>
      <c r="X281" s="292">
        <f t="shared" si="246"/>
        <v>0</v>
      </c>
      <c r="Y281" s="292">
        <f t="shared" si="247"/>
        <v>0</v>
      </c>
      <c r="Z281" s="292">
        <f t="shared" si="228"/>
        <v>0</v>
      </c>
      <c r="AA281" s="292">
        <f t="shared" si="229"/>
        <v>0</v>
      </c>
      <c r="AB281" s="292">
        <f t="shared" si="248"/>
        <v>0</v>
      </c>
      <c r="AC281" s="292">
        <f t="shared" si="249"/>
        <v>0</v>
      </c>
      <c r="AD281" s="292">
        <f t="shared" si="230"/>
        <v>0</v>
      </c>
      <c r="AE281" s="292">
        <f t="shared" si="231"/>
        <v>0</v>
      </c>
      <c r="AF281" s="292">
        <f t="shared" si="224"/>
        <v>0</v>
      </c>
      <c r="AG281" s="292">
        <f t="shared" si="225"/>
        <v>0</v>
      </c>
      <c r="AH281" s="292">
        <f t="shared" si="250"/>
        <v>0</v>
      </c>
      <c r="AI281" s="292">
        <f t="shared" si="251"/>
        <v>0</v>
      </c>
      <c r="AJ281" s="292">
        <f t="shared" si="252"/>
        <v>0</v>
      </c>
      <c r="AK281" s="292">
        <f t="shared" si="253"/>
        <v>0</v>
      </c>
      <c r="AL281" s="292">
        <f t="shared" si="254"/>
        <v>0</v>
      </c>
      <c r="AM281" s="292">
        <f t="shared" si="255"/>
        <v>0</v>
      </c>
      <c r="AN281" s="292">
        <f t="shared" si="256"/>
        <v>0</v>
      </c>
      <c r="AO281" s="292">
        <f t="shared" si="257"/>
        <v>0</v>
      </c>
      <c r="AP281" s="292">
        <f t="shared" si="258"/>
        <v>0</v>
      </c>
      <c r="AQ281" s="292">
        <f t="shared" si="259"/>
        <v>0</v>
      </c>
      <c r="AR281" s="292">
        <f t="shared" si="232"/>
        <v>0</v>
      </c>
      <c r="AS281" s="292">
        <f t="shared" si="233"/>
        <v>0</v>
      </c>
      <c r="AT281" s="292">
        <f t="shared" si="260"/>
        <v>0</v>
      </c>
      <c r="AU281" s="292">
        <f t="shared" si="261"/>
        <v>0</v>
      </c>
      <c r="AV281" s="292">
        <f t="shared" si="262"/>
        <v>0</v>
      </c>
      <c r="AW281" s="292">
        <f t="shared" si="263"/>
        <v>0</v>
      </c>
      <c r="AX281" s="292">
        <f t="shared" si="234"/>
        <v>0</v>
      </c>
      <c r="AY281" s="292">
        <f t="shared" si="235"/>
        <v>0</v>
      </c>
      <c r="AZ281" s="292">
        <f t="shared" si="236"/>
        <v>0</v>
      </c>
      <c r="BA281" s="292">
        <f t="shared" si="237"/>
        <v>0</v>
      </c>
    </row>
    <row r="282" spans="1:53" s="289" customFormat="1" ht="16.5" customHeight="1">
      <c r="A282" s="63" t="str">
        <f t="array" ref="A282">IF(C282&lt;&gt;0,SUM(($C$11:C282&lt;&gt;0)*1),"")</f>
        <v/>
      </c>
      <c r="B282" s="290"/>
      <c r="C282" s="290"/>
      <c r="D282" s="290"/>
      <c r="E282" s="396"/>
      <c r="F282" s="345"/>
      <c r="G282" s="347"/>
      <c r="H282" s="347"/>
      <c r="I282" s="63" t="str">
        <f t="shared" si="219"/>
        <v/>
      </c>
      <c r="J282" s="292">
        <f t="shared" si="226"/>
        <v>0</v>
      </c>
      <c r="K282" s="292">
        <f t="shared" si="227"/>
        <v>0</v>
      </c>
      <c r="L282" s="292">
        <f t="shared" si="238"/>
        <v>0</v>
      </c>
      <c r="M282" s="292">
        <f t="shared" si="239"/>
        <v>0</v>
      </c>
      <c r="N282" s="292">
        <f t="shared" si="220"/>
        <v>0</v>
      </c>
      <c r="O282" s="292">
        <f t="shared" si="221"/>
        <v>0</v>
      </c>
      <c r="P282" s="292">
        <f t="shared" si="240"/>
        <v>0</v>
      </c>
      <c r="Q282" s="292">
        <f t="shared" si="241"/>
        <v>0</v>
      </c>
      <c r="R282" s="292">
        <f t="shared" si="242"/>
        <v>0</v>
      </c>
      <c r="S282" s="292">
        <f t="shared" si="243"/>
        <v>0</v>
      </c>
      <c r="T282" s="292">
        <f t="shared" si="222"/>
        <v>0</v>
      </c>
      <c r="U282" s="292">
        <f t="shared" si="223"/>
        <v>0</v>
      </c>
      <c r="V282" s="292">
        <f t="shared" si="244"/>
        <v>0</v>
      </c>
      <c r="W282" s="292">
        <f t="shared" si="245"/>
        <v>0</v>
      </c>
      <c r="X282" s="292">
        <f t="shared" si="246"/>
        <v>0</v>
      </c>
      <c r="Y282" s="292">
        <f t="shared" si="247"/>
        <v>0</v>
      </c>
      <c r="Z282" s="292">
        <f t="shared" si="228"/>
        <v>0</v>
      </c>
      <c r="AA282" s="292">
        <f t="shared" si="229"/>
        <v>0</v>
      </c>
      <c r="AB282" s="292">
        <f t="shared" si="248"/>
        <v>0</v>
      </c>
      <c r="AC282" s="292">
        <f t="shared" si="249"/>
        <v>0</v>
      </c>
      <c r="AD282" s="292">
        <f t="shared" si="230"/>
        <v>0</v>
      </c>
      <c r="AE282" s="292">
        <f t="shared" si="231"/>
        <v>0</v>
      </c>
      <c r="AF282" s="292">
        <f t="shared" si="224"/>
        <v>0</v>
      </c>
      <c r="AG282" s="292">
        <f t="shared" si="225"/>
        <v>0</v>
      </c>
      <c r="AH282" s="292">
        <f t="shared" si="250"/>
        <v>0</v>
      </c>
      <c r="AI282" s="292">
        <f t="shared" si="251"/>
        <v>0</v>
      </c>
      <c r="AJ282" s="292">
        <f t="shared" si="252"/>
        <v>0</v>
      </c>
      <c r="AK282" s="292">
        <f t="shared" si="253"/>
        <v>0</v>
      </c>
      <c r="AL282" s="292">
        <f t="shared" si="254"/>
        <v>0</v>
      </c>
      <c r="AM282" s="292">
        <f t="shared" si="255"/>
        <v>0</v>
      </c>
      <c r="AN282" s="292">
        <f t="shared" si="256"/>
        <v>0</v>
      </c>
      <c r="AO282" s="292">
        <f t="shared" si="257"/>
        <v>0</v>
      </c>
      <c r="AP282" s="292">
        <f t="shared" si="258"/>
        <v>0</v>
      </c>
      <c r="AQ282" s="292">
        <f t="shared" si="259"/>
        <v>0</v>
      </c>
      <c r="AR282" s="292">
        <f t="shared" si="232"/>
        <v>0</v>
      </c>
      <c r="AS282" s="292">
        <f t="shared" si="233"/>
        <v>0</v>
      </c>
      <c r="AT282" s="292">
        <f t="shared" si="260"/>
        <v>0</v>
      </c>
      <c r="AU282" s="292">
        <f t="shared" si="261"/>
        <v>0</v>
      </c>
      <c r="AV282" s="292">
        <f t="shared" si="262"/>
        <v>0</v>
      </c>
      <c r="AW282" s="292">
        <f t="shared" si="263"/>
        <v>0</v>
      </c>
      <c r="AX282" s="292">
        <f t="shared" si="234"/>
        <v>0</v>
      </c>
      <c r="AY282" s="292">
        <f t="shared" si="235"/>
        <v>0</v>
      </c>
      <c r="AZ282" s="292">
        <f t="shared" si="236"/>
        <v>0</v>
      </c>
      <c r="BA282" s="292">
        <f t="shared" si="237"/>
        <v>0</v>
      </c>
    </row>
    <row r="283" spans="1:53" s="289" customFormat="1" ht="16.5" customHeight="1">
      <c r="A283" s="63" t="str">
        <f t="array" ref="A283">IF(C283&lt;&gt;0,SUM(($C$11:C283&lt;&gt;0)*1),"")</f>
        <v/>
      </c>
      <c r="B283" s="290"/>
      <c r="C283" s="290"/>
      <c r="D283" s="290"/>
      <c r="E283" s="396"/>
      <c r="F283" s="345"/>
      <c r="G283" s="347"/>
      <c r="H283" s="347"/>
      <c r="I283" s="63" t="str">
        <f t="shared" si="219"/>
        <v/>
      </c>
      <c r="J283" s="292">
        <f t="shared" si="226"/>
        <v>0</v>
      </c>
      <c r="K283" s="292">
        <f t="shared" si="227"/>
        <v>0</v>
      </c>
      <c r="L283" s="292">
        <f t="shared" si="238"/>
        <v>0</v>
      </c>
      <c r="M283" s="292">
        <f t="shared" si="239"/>
        <v>0</v>
      </c>
      <c r="N283" s="292">
        <f t="shared" si="220"/>
        <v>0</v>
      </c>
      <c r="O283" s="292">
        <f t="shared" si="221"/>
        <v>0</v>
      </c>
      <c r="P283" s="292">
        <f t="shared" si="240"/>
        <v>0</v>
      </c>
      <c r="Q283" s="292">
        <f t="shared" si="241"/>
        <v>0</v>
      </c>
      <c r="R283" s="292">
        <f t="shared" si="242"/>
        <v>0</v>
      </c>
      <c r="S283" s="292">
        <f t="shared" si="243"/>
        <v>0</v>
      </c>
      <c r="T283" s="292">
        <f t="shared" si="222"/>
        <v>0</v>
      </c>
      <c r="U283" s="292">
        <f t="shared" si="223"/>
        <v>0</v>
      </c>
      <c r="V283" s="292">
        <f t="shared" si="244"/>
        <v>0</v>
      </c>
      <c r="W283" s="292">
        <f t="shared" si="245"/>
        <v>0</v>
      </c>
      <c r="X283" s="292">
        <f t="shared" si="246"/>
        <v>0</v>
      </c>
      <c r="Y283" s="292">
        <f t="shared" si="247"/>
        <v>0</v>
      </c>
      <c r="Z283" s="292">
        <f t="shared" si="228"/>
        <v>0</v>
      </c>
      <c r="AA283" s="292">
        <f t="shared" si="229"/>
        <v>0</v>
      </c>
      <c r="AB283" s="292">
        <f t="shared" si="248"/>
        <v>0</v>
      </c>
      <c r="AC283" s="292">
        <f t="shared" si="249"/>
        <v>0</v>
      </c>
      <c r="AD283" s="292">
        <f t="shared" si="230"/>
        <v>0</v>
      </c>
      <c r="AE283" s="292">
        <f t="shared" si="231"/>
        <v>0</v>
      </c>
      <c r="AF283" s="292">
        <f t="shared" si="224"/>
        <v>0</v>
      </c>
      <c r="AG283" s="292">
        <f t="shared" si="225"/>
        <v>0</v>
      </c>
      <c r="AH283" s="292">
        <f t="shared" si="250"/>
        <v>0</v>
      </c>
      <c r="AI283" s="292">
        <f t="shared" si="251"/>
        <v>0</v>
      </c>
      <c r="AJ283" s="292">
        <f t="shared" si="252"/>
        <v>0</v>
      </c>
      <c r="AK283" s="292">
        <f t="shared" si="253"/>
        <v>0</v>
      </c>
      <c r="AL283" s="292">
        <f t="shared" si="254"/>
        <v>0</v>
      </c>
      <c r="AM283" s="292">
        <f t="shared" si="255"/>
        <v>0</v>
      </c>
      <c r="AN283" s="292">
        <f t="shared" si="256"/>
        <v>0</v>
      </c>
      <c r="AO283" s="292">
        <f t="shared" si="257"/>
        <v>0</v>
      </c>
      <c r="AP283" s="292">
        <f t="shared" si="258"/>
        <v>0</v>
      </c>
      <c r="AQ283" s="292">
        <f t="shared" si="259"/>
        <v>0</v>
      </c>
      <c r="AR283" s="292">
        <f t="shared" si="232"/>
        <v>0</v>
      </c>
      <c r="AS283" s="292">
        <f t="shared" si="233"/>
        <v>0</v>
      </c>
      <c r="AT283" s="292">
        <f t="shared" si="260"/>
        <v>0</v>
      </c>
      <c r="AU283" s="292">
        <f t="shared" si="261"/>
        <v>0</v>
      </c>
      <c r="AV283" s="292">
        <f t="shared" si="262"/>
        <v>0</v>
      </c>
      <c r="AW283" s="292">
        <f t="shared" si="263"/>
        <v>0</v>
      </c>
      <c r="AX283" s="292">
        <f t="shared" si="234"/>
        <v>0</v>
      </c>
      <c r="AY283" s="292">
        <f t="shared" si="235"/>
        <v>0</v>
      </c>
      <c r="AZ283" s="292">
        <f t="shared" si="236"/>
        <v>0</v>
      </c>
      <c r="BA283" s="292">
        <f t="shared" si="237"/>
        <v>0</v>
      </c>
    </row>
    <row r="284" spans="1:53" s="289" customFormat="1" ht="16.5" customHeight="1">
      <c r="A284" s="63" t="str">
        <f t="array" ref="A284">IF(C284&lt;&gt;0,SUM(($C$11:C284&lt;&gt;0)*1),"")</f>
        <v/>
      </c>
      <c r="B284" s="290"/>
      <c r="C284" s="290"/>
      <c r="D284" s="290"/>
      <c r="E284" s="396"/>
      <c r="F284" s="345"/>
      <c r="G284" s="347"/>
      <c r="H284" s="347"/>
      <c r="I284" s="63" t="str">
        <f t="shared" si="219"/>
        <v/>
      </c>
      <c r="J284" s="292">
        <f t="shared" si="226"/>
        <v>0</v>
      </c>
      <c r="K284" s="292">
        <f t="shared" si="227"/>
        <v>0</v>
      </c>
      <c r="L284" s="292">
        <f t="shared" si="238"/>
        <v>0</v>
      </c>
      <c r="M284" s="292">
        <f t="shared" si="239"/>
        <v>0</v>
      </c>
      <c r="N284" s="292">
        <f t="shared" si="220"/>
        <v>0</v>
      </c>
      <c r="O284" s="292">
        <f t="shared" si="221"/>
        <v>0</v>
      </c>
      <c r="P284" s="292">
        <f t="shared" si="240"/>
        <v>0</v>
      </c>
      <c r="Q284" s="292">
        <f t="shared" si="241"/>
        <v>0</v>
      </c>
      <c r="R284" s="292">
        <f t="shared" si="242"/>
        <v>0</v>
      </c>
      <c r="S284" s="292">
        <f t="shared" si="243"/>
        <v>0</v>
      </c>
      <c r="T284" s="292">
        <f t="shared" si="222"/>
        <v>0</v>
      </c>
      <c r="U284" s="292">
        <f t="shared" si="223"/>
        <v>0</v>
      </c>
      <c r="V284" s="292">
        <f t="shared" si="244"/>
        <v>0</v>
      </c>
      <c r="W284" s="292">
        <f t="shared" si="245"/>
        <v>0</v>
      </c>
      <c r="X284" s="292">
        <f t="shared" si="246"/>
        <v>0</v>
      </c>
      <c r="Y284" s="292">
        <f t="shared" si="247"/>
        <v>0</v>
      </c>
      <c r="Z284" s="292">
        <f t="shared" si="228"/>
        <v>0</v>
      </c>
      <c r="AA284" s="292">
        <f t="shared" si="229"/>
        <v>0</v>
      </c>
      <c r="AB284" s="292">
        <f t="shared" si="248"/>
        <v>0</v>
      </c>
      <c r="AC284" s="292">
        <f t="shared" si="249"/>
        <v>0</v>
      </c>
      <c r="AD284" s="292">
        <f t="shared" si="230"/>
        <v>0</v>
      </c>
      <c r="AE284" s="292">
        <f t="shared" si="231"/>
        <v>0</v>
      </c>
      <c r="AF284" s="292">
        <f t="shared" si="224"/>
        <v>0</v>
      </c>
      <c r="AG284" s="292">
        <f t="shared" si="225"/>
        <v>0</v>
      </c>
      <c r="AH284" s="292">
        <f t="shared" si="250"/>
        <v>0</v>
      </c>
      <c r="AI284" s="292">
        <f t="shared" si="251"/>
        <v>0</v>
      </c>
      <c r="AJ284" s="292">
        <f t="shared" si="252"/>
        <v>0</v>
      </c>
      <c r="AK284" s="292">
        <f t="shared" si="253"/>
        <v>0</v>
      </c>
      <c r="AL284" s="292">
        <f t="shared" si="254"/>
        <v>0</v>
      </c>
      <c r="AM284" s="292">
        <f t="shared" si="255"/>
        <v>0</v>
      </c>
      <c r="AN284" s="292">
        <f t="shared" si="256"/>
        <v>0</v>
      </c>
      <c r="AO284" s="292">
        <f t="shared" si="257"/>
        <v>0</v>
      </c>
      <c r="AP284" s="292">
        <f t="shared" si="258"/>
        <v>0</v>
      </c>
      <c r="AQ284" s="292">
        <f t="shared" si="259"/>
        <v>0</v>
      </c>
      <c r="AR284" s="292">
        <f t="shared" si="232"/>
        <v>0</v>
      </c>
      <c r="AS284" s="292">
        <f t="shared" si="233"/>
        <v>0</v>
      </c>
      <c r="AT284" s="292">
        <f t="shared" si="260"/>
        <v>0</v>
      </c>
      <c r="AU284" s="292">
        <f t="shared" si="261"/>
        <v>0</v>
      </c>
      <c r="AV284" s="292">
        <f t="shared" si="262"/>
        <v>0</v>
      </c>
      <c r="AW284" s="292">
        <f t="shared" si="263"/>
        <v>0</v>
      </c>
      <c r="AX284" s="292">
        <f t="shared" si="234"/>
        <v>0</v>
      </c>
      <c r="AY284" s="292">
        <f t="shared" si="235"/>
        <v>0</v>
      </c>
      <c r="AZ284" s="292">
        <f t="shared" si="236"/>
        <v>0</v>
      </c>
      <c r="BA284" s="292">
        <f t="shared" si="237"/>
        <v>0</v>
      </c>
    </row>
    <row r="285" spans="1:53" s="289" customFormat="1" ht="16.5" customHeight="1">
      <c r="A285" s="63" t="str">
        <f t="array" ref="A285">IF(C285&lt;&gt;0,SUM(($C$11:C285&lt;&gt;0)*1),"")</f>
        <v/>
      </c>
      <c r="B285" s="290"/>
      <c r="C285" s="290"/>
      <c r="D285" s="290"/>
      <c r="E285" s="396"/>
      <c r="F285" s="345"/>
      <c r="G285" s="347"/>
      <c r="H285" s="347"/>
      <c r="I285" s="63" t="str">
        <f t="shared" si="219"/>
        <v/>
      </c>
      <c r="J285" s="292">
        <f t="shared" si="226"/>
        <v>0</v>
      </c>
      <c r="K285" s="292">
        <f t="shared" si="227"/>
        <v>0</v>
      </c>
      <c r="L285" s="292">
        <f t="shared" si="238"/>
        <v>0</v>
      </c>
      <c r="M285" s="292">
        <f t="shared" si="239"/>
        <v>0</v>
      </c>
      <c r="N285" s="292">
        <f t="shared" si="220"/>
        <v>0</v>
      </c>
      <c r="O285" s="292">
        <f t="shared" si="221"/>
        <v>0</v>
      </c>
      <c r="P285" s="292">
        <f t="shared" si="240"/>
        <v>0</v>
      </c>
      <c r="Q285" s="292">
        <f t="shared" si="241"/>
        <v>0</v>
      </c>
      <c r="R285" s="292">
        <f t="shared" si="242"/>
        <v>0</v>
      </c>
      <c r="S285" s="292">
        <f t="shared" si="243"/>
        <v>0</v>
      </c>
      <c r="T285" s="292">
        <f t="shared" si="222"/>
        <v>0</v>
      </c>
      <c r="U285" s="292">
        <f t="shared" si="223"/>
        <v>0</v>
      </c>
      <c r="V285" s="292">
        <f t="shared" si="244"/>
        <v>0</v>
      </c>
      <c r="W285" s="292">
        <f t="shared" si="245"/>
        <v>0</v>
      </c>
      <c r="X285" s="292">
        <f t="shared" si="246"/>
        <v>0</v>
      </c>
      <c r="Y285" s="292">
        <f t="shared" si="247"/>
        <v>0</v>
      </c>
      <c r="Z285" s="292">
        <f t="shared" si="228"/>
        <v>0</v>
      </c>
      <c r="AA285" s="292">
        <f t="shared" si="229"/>
        <v>0</v>
      </c>
      <c r="AB285" s="292">
        <f t="shared" si="248"/>
        <v>0</v>
      </c>
      <c r="AC285" s="292">
        <f t="shared" si="249"/>
        <v>0</v>
      </c>
      <c r="AD285" s="292">
        <f t="shared" si="230"/>
        <v>0</v>
      </c>
      <c r="AE285" s="292">
        <f t="shared" si="231"/>
        <v>0</v>
      </c>
      <c r="AF285" s="292">
        <f t="shared" si="224"/>
        <v>0</v>
      </c>
      <c r="AG285" s="292">
        <f t="shared" si="225"/>
        <v>0</v>
      </c>
      <c r="AH285" s="292">
        <f t="shared" si="250"/>
        <v>0</v>
      </c>
      <c r="AI285" s="292">
        <f t="shared" si="251"/>
        <v>0</v>
      </c>
      <c r="AJ285" s="292">
        <f t="shared" si="252"/>
        <v>0</v>
      </c>
      <c r="AK285" s="292">
        <f t="shared" si="253"/>
        <v>0</v>
      </c>
      <c r="AL285" s="292">
        <f t="shared" si="254"/>
        <v>0</v>
      </c>
      <c r="AM285" s="292">
        <f t="shared" si="255"/>
        <v>0</v>
      </c>
      <c r="AN285" s="292">
        <f t="shared" si="256"/>
        <v>0</v>
      </c>
      <c r="AO285" s="292">
        <f t="shared" si="257"/>
        <v>0</v>
      </c>
      <c r="AP285" s="292">
        <f t="shared" si="258"/>
        <v>0</v>
      </c>
      <c r="AQ285" s="292">
        <f t="shared" si="259"/>
        <v>0</v>
      </c>
      <c r="AR285" s="292">
        <f t="shared" si="232"/>
        <v>0</v>
      </c>
      <c r="AS285" s="292">
        <f t="shared" si="233"/>
        <v>0</v>
      </c>
      <c r="AT285" s="292">
        <f t="shared" si="260"/>
        <v>0</v>
      </c>
      <c r="AU285" s="292">
        <f t="shared" si="261"/>
        <v>0</v>
      </c>
      <c r="AV285" s="292">
        <f t="shared" si="262"/>
        <v>0</v>
      </c>
      <c r="AW285" s="292">
        <f t="shared" si="263"/>
        <v>0</v>
      </c>
      <c r="AX285" s="292">
        <f t="shared" si="234"/>
        <v>0</v>
      </c>
      <c r="AY285" s="292">
        <f t="shared" si="235"/>
        <v>0</v>
      </c>
      <c r="AZ285" s="292">
        <f t="shared" si="236"/>
        <v>0</v>
      </c>
      <c r="BA285" s="292">
        <f t="shared" si="237"/>
        <v>0</v>
      </c>
    </row>
    <row r="286" spans="1:53" s="289" customFormat="1" ht="16.5" customHeight="1">
      <c r="A286" s="63" t="str">
        <f t="array" ref="A286">IF(C286&lt;&gt;0,SUM(($C$11:C286&lt;&gt;0)*1),"")</f>
        <v/>
      </c>
      <c r="B286" s="290"/>
      <c r="C286" s="290"/>
      <c r="D286" s="290"/>
      <c r="E286" s="396"/>
      <c r="F286" s="345"/>
      <c r="G286" s="347"/>
      <c r="H286" s="347"/>
      <c r="I286" s="63" t="str">
        <f t="shared" si="219"/>
        <v/>
      </c>
      <c r="J286" s="292">
        <f t="shared" si="226"/>
        <v>0</v>
      </c>
      <c r="K286" s="292">
        <f t="shared" si="227"/>
        <v>0</v>
      </c>
      <c r="L286" s="292">
        <f t="shared" si="238"/>
        <v>0</v>
      </c>
      <c r="M286" s="292">
        <f t="shared" si="239"/>
        <v>0</v>
      </c>
      <c r="N286" s="292">
        <f t="shared" si="220"/>
        <v>0</v>
      </c>
      <c r="O286" s="292">
        <f t="shared" si="221"/>
        <v>0</v>
      </c>
      <c r="P286" s="292">
        <f t="shared" si="240"/>
        <v>0</v>
      </c>
      <c r="Q286" s="292">
        <f t="shared" si="241"/>
        <v>0</v>
      </c>
      <c r="R286" s="292">
        <f t="shared" si="242"/>
        <v>0</v>
      </c>
      <c r="S286" s="292">
        <f t="shared" si="243"/>
        <v>0</v>
      </c>
      <c r="T286" s="292">
        <f t="shared" si="222"/>
        <v>0</v>
      </c>
      <c r="U286" s="292">
        <f t="shared" si="223"/>
        <v>0</v>
      </c>
      <c r="V286" s="292">
        <f t="shared" si="244"/>
        <v>0</v>
      </c>
      <c r="W286" s="292">
        <f t="shared" si="245"/>
        <v>0</v>
      </c>
      <c r="X286" s="292">
        <f t="shared" si="246"/>
        <v>0</v>
      </c>
      <c r="Y286" s="292">
        <f t="shared" si="247"/>
        <v>0</v>
      </c>
      <c r="Z286" s="292">
        <f t="shared" si="228"/>
        <v>0</v>
      </c>
      <c r="AA286" s="292">
        <f t="shared" si="229"/>
        <v>0</v>
      </c>
      <c r="AB286" s="292">
        <f t="shared" si="248"/>
        <v>0</v>
      </c>
      <c r="AC286" s="292">
        <f t="shared" si="249"/>
        <v>0</v>
      </c>
      <c r="AD286" s="292">
        <f t="shared" si="230"/>
        <v>0</v>
      </c>
      <c r="AE286" s="292">
        <f t="shared" si="231"/>
        <v>0</v>
      </c>
      <c r="AF286" s="292">
        <f t="shared" si="224"/>
        <v>0</v>
      </c>
      <c r="AG286" s="292">
        <f t="shared" si="225"/>
        <v>0</v>
      </c>
      <c r="AH286" s="292">
        <f t="shared" si="250"/>
        <v>0</v>
      </c>
      <c r="AI286" s="292">
        <f t="shared" si="251"/>
        <v>0</v>
      </c>
      <c r="AJ286" s="292">
        <f t="shared" si="252"/>
        <v>0</v>
      </c>
      <c r="AK286" s="292">
        <f t="shared" si="253"/>
        <v>0</v>
      </c>
      <c r="AL286" s="292">
        <f t="shared" si="254"/>
        <v>0</v>
      </c>
      <c r="AM286" s="292">
        <f t="shared" si="255"/>
        <v>0</v>
      </c>
      <c r="AN286" s="292">
        <f t="shared" si="256"/>
        <v>0</v>
      </c>
      <c r="AO286" s="292">
        <f t="shared" si="257"/>
        <v>0</v>
      </c>
      <c r="AP286" s="292">
        <f t="shared" si="258"/>
        <v>0</v>
      </c>
      <c r="AQ286" s="292">
        <f t="shared" si="259"/>
        <v>0</v>
      </c>
      <c r="AR286" s="292">
        <f t="shared" si="232"/>
        <v>0</v>
      </c>
      <c r="AS286" s="292">
        <f t="shared" si="233"/>
        <v>0</v>
      </c>
      <c r="AT286" s="292">
        <f t="shared" si="260"/>
        <v>0</v>
      </c>
      <c r="AU286" s="292">
        <f t="shared" si="261"/>
        <v>0</v>
      </c>
      <c r="AV286" s="292">
        <f t="shared" si="262"/>
        <v>0</v>
      </c>
      <c r="AW286" s="292">
        <f t="shared" si="263"/>
        <v>0</v>
      </c>
      <c r="AX286" s="292">
        <f t="shared" si="234"/>
        <v>0</v>
      </c>
      <c r="AY286" s="292">
        <f t="shared" si="235"/>
        <v>0</v>
      </c>
      <c r="AZ286" s="292">
        <f t="shared" si="236"/>
        <v>0</v>
      </c>
      <c r="BA286" s="292">
        <f t="shared" si="237"/>
        <v>0</v>
      </c>
    </row>
    <row r="287" spans="1:53" s="289" customFormat="1" ht="16.5" customHeight="1">
      <c r="A287" s="63" t="str">
        <f t="array" ref="A287">IF(C287&lt;&gt;0,SUM(($C$11:C287&lt;&gt;0)*1),"")</f>
        <v/>
      </c>
      <c r="B287" s="290"/>
      <c r="C287" s="290"/>
      <c r="D287" s="290"/>
      <c r="E287" s="396"/>
      <c r="F287" s="345"/>
      <c r="G287" s="347"/>
      <c r="H287" s="347"/>
      <c r="I287" s="63" t="str">
        <f t="shared" si="219"/>
        <v/>
      </c>
      <c r="J287" s="292">
        <f t="shared" si="226"/>
        <v>0</v>
      </c>
      <c r="K287" s="292">
        <f t="shared" si="227"/>
        <v>0</v>
      </c>
      <c r="L287" s="292">
        <f t="shared" si="238"/>
        <v>0</v>
      </c>
      <c r="M287" s="292">
        <f t="shared" si="239"/>
        <v>0</v>
      </c>
      <c r="N287" s="292">
        <f t="shared" si="220"/>
        <v>0</v>
      </c>
      <c r="O287" s="292">
        <f t="shared" si="221"/>
        <v>0</v>
      </c>
      <c r="P287" s="292">
        <f t="shared" si="240"/>
        <v>0</v>
      </c>
      <c r="Q287" s="292">
        <f t="shared" si="241"/>
        <v>0</v>
      </c>
      <c r="R287" s="292">
        <f t="shared" si="242"/>
        <v>0</v>
      </c>
      <c r="S287" s="292">
        <f t="shared" si="243"/>
        <v>0</v>
      </c>
      <c r="T287" s="292">
        <f t="shared" si="222"/>
        <v>0</v>
      </c>
      <c r="U287" s="292">
        <f t="shared" si="223"/>
        <v>0</v>
      </c>
      <c r="V287" s="292">
        <f t="shared" si="244"/>
        <v>0</v>
      </c>
      <c r="W287" s="292">
        <f t="shared" si="245"/>
        <v>0</v>
      </c>
      <c r="X287" s="292">
        <f t="shared" si="246"/>
        <v>0</v>
      </c>
      <c r="Y287" s="292">
        <f t="shared" si="247"/>
        <v>0</v>
      </c>
      <c r="Z287" s="292">
        <f t="shared" si="228"/>
        <v>0</v>
      </c>
      <c r="AA287" s="292">
        <f t="shared" si="229"/>
        <v>0</v>
      </c>
      <c r="AB287" s="292">
        <f t="shared" si="248"/>
        <v>0</v>
      </c>
      <c r="AC287" s="292">
        <f t="shared" si="249"/>
        <v>0</v>
      </c>
      <c r="AD287" s="292">
        <f t="shared" si="230"/>
        <v>0</v>
      </c>
      <c r="AE287" s="292">
        <f t="shared" si="231"/>
        <v>0</v>
      </c>
      <c r="AF287" s="292">
        <f t="shared" si="224"/>
        <v>0</v>
      </c>
      <c r="AG287" s="292">
        <f t="shared" si="225"/>
        <v>0</v>
      </c>
      <c r="AH287" s="292">
        <f t="shared" si="250"/>
        <v>0</v>
      </c>
      <c r="AI287" s="292">
        <f t="shared" si="251"/>
        <v>0</v>
      </c>
      <c r="AJ287" s="292">
        <f t="shared" si="252"/>
        <v>0</v>
      </c>
      <c r="AK287" s="292">
        <f t="shared" si="253"/>
        <v>0</v>
      </c>
      <c r="AL287" s="292">
        <f t="shared" si="254"/>
        <v>0</v>
      </c>
      <c r="AM287" s="292">
        <f t="shared" si="255"/>
        <v>0</v>
      </c>
      <c r="AN287" s="292">
        <f t="shared" si="256"/>
        <v>0</v>
      </c>
      <c r="AO287" s="292">
        <f t="shared" si="257"/>
        <v>0</v>
      </c>
      <c r="AP287" s="292">
        <f t="shared" si="258"/>
        <v>0</v>
      </c>
      <c r="AQ287" s="292">
        <f t="shared" si="259"/>
        <v>0</v>
      </c>
      <c r="AR287" s="292">
        <f t="shared" si="232"/>
        <v>0</v>
      </c>
      <c r="AS287" s="292">
        <f t="shared" si="233"/>
        <v>0</v>
      </c>
      <c r="AT287" s="292">
        <f t="shared" si="260"/>
        <v>0</v>
      </c>
      <c r="AU287" s="292">
        <f t="shared" si="261"/>
        <v>0</v>
      </c>
      <c r="AV287" s="292">
        <f t="shared" si="262"/>
        <v>0</v>
      </c>
      <c r="AW287" s="292">
        <f t="shared" si="263"/>
        <v>0</v>
      </c>
      <c r="AX287" s="292">
        <f t="shared" si="234"/>
        <v>0</v>
      </c>
      <c r="AY287" s="292">
        <f t="shared" si="235"/>
        <v>0</v>
      </c>
      <c r="AZ287" s="292">
        <f t="shared" si="236"/>
        <v>0</v>
      </c>
      <c r="BA287" s="292">
        <f t="shared" si="237"/>
        <v>0</v>
      </c>
    </row>
    <row r="288" spans="1:53" s="289" customFormat="1" ht="16.5" customHeight="1">
      <c r="A288" s="63" t="str">
        <f t="array" ref="A288">IF(C288&lt;&gt;0,SUM(($C$11:C288&lt;&gt;0)*1),"")</f>
        <v/>
      </c>
      <c r="B288" s="290"/>
      <c r="C288" s="290"/>
      <c r="D288" s="290"/>
      <c r="E288" s="396"/>
      <c r="F288" s="345"/>
      <c r="G288" s="347"/>
      <c r="H288" s="347"/>
      <c r="I288" s="63" t="str">
        <f t="shared" si="219"/>
        <v/>
      </c>
      <c r="J288" s="292">
        <f t="shared" si="226"/>
        <v>0</v>
      </c>
      <c r="K288" s="292">
        <f t="shared" si="227"/>
        <v>0</v>
      </c>
      <c r="L288" s="292">
        <f t="shared" si="238"/>
        <v>0</v>
      </c>
      <c r="M288" s="292">
        <f t="shared" si="239"/>
        <v>0</v>
      </c>
      <c r="N288" s="292">
        <f t="shared" si="220"/>
        <v>0</v>
      </c>
      <c r="O288" s="292">
        <f t="shared" si="221"/>
        <v>0</v>
      </c>
      <c r="P288" s="292">
        <f t="shared" si="240"/>
        <v>0</v>
      </c>
      <c r="Q288" s="292">
        <f t="shared" si="241"/>
        <v>0</v>
      </c>
      <c r="R288" s="292">
        <f t="shared" si="242"/>
        <v>0</v>
      </c>
      <c r="S288" s="292">
        <f t="shared" si="243"/>
        <v>0</v>
      </c>
      <c r="T288" s="292">
        <f t="shared" si="222"/>
        <v>0</v>
      </c>
      <c r="U288" s="292">
        <f t="shared" si="223"/>
        <v>0</v>
      </c>
      <c r="V288" s="292">
        <f t="shared" si="244"/>
        <v>0</v>
      </c>
      <c r="W288" s="292">
        <f t="shared" si="245"/>
        <v>0</v>
      </c>
      <c r="X288" s="292">
        <f t="shared" si="246"/>
        <v>0</v>
      </c>
      <c r="Y288" s="292">
        <f t="shared" si="247"/>
        <v>0</v>
      </c>
      <c r="Z288" s="292">
        <f t="shared" si="228"/>
        <v>0</v>
      </c>
      <c r="AA288" s="292">
        <f t="shared" si="229"/>
        <v>0</v>
      </c>
      <c r="AB288" s="292">
        <f t="shared" si="248"/>
        <v>0</v>
      </c>
      <c r="AC288" s="292">
        <f t="shared" si="249"/>
        <v>0</v>
      </c>
      <c r="AD288" s="292">
        <f t="shared" si="230"/>
        <v>0</v>
      </c>
      <c r="AE288" s="292">
        <f t="shared" si="231"/>
        <v>0</v>
      </c>
      <c r="AF288" s="292">
        <f t="shared" si="224"/>
        <v>0</v>
      </c>
      <c r="AG288" s="292">
        <f t="shared" si="225"/>
        <v>0</v>
      </c>
      <c r="AH288" s="292">
        <f t="shared" si="250"/>
        <v>0</v>
      </c>
      <c r="AI288" s="292">
        <f t="shared" si="251"/>
        <v>0</v>
      </c>
      <c r="AJ288" s="292">
        <f t="shared" si="252"/>
        <v>0</v>
      </c>
      <c r="AK288" s="292">
        <f t="shared" si="253"/>
        <v>0</v>
      </c>
      <c r="AL288" s="292">
        <f t="shared" si="254"/>
        <v>0</v>
      </c>
      <c r="AM288" s="292">
        <f t="shared" si="255"/>
        <v>0</v>
      </c>
      <c r="AN288" s="292">
        <f t="shared" si="256"/>
        <v>0</v>
      </c>
      <c r="AO288" s="292">
        <f t="shared" si="257"/>
        <v>0</v>
      </c>
      <c r="AP288" s="292">
        <f t="shared" si="258"/>
        <v>0</v>
      </c>
      <c r="AQ288" s="292">
        <f t="shared" si="259"/>
        <v>0</v>
      </c>
      <c r="AR288" s="292">
        <f t="shared" si="232"/>
        <v>0</v>
      </c>
      <c r="AS288" s="292">
        <f t="shared" si="233"/>
        <v>0</v>
      </c>
      <c r="AT288" s="292">
        <f t="shared" si="260"/>
        <v>0</v>
      </c>
      <c r="AU288" s="292">
        <f t="shared" si="261"/>
        <v>0</v>
      </c>
      <c r="AV288" s="292">
        <f t="shared" si="262"/>
        <v>0</v>
      </c>
      <c r="AW288" s="292">
        <f t="shared" si="263"/>
        <v>0</v>
      </c>
      <c r="AX288" s="292">
        <f t="shared" si="234"/>
        <v>0</v>
      </c>
      <c r="AY288" s="292">
        <f t="shared" si="235"/>
        <v>0</v>
      </c>
      <c r="AZ288" s="292">
        <f t="shared" si="236"/>
        <v>0</v>
      </c>
      <c r="BA288" s="292">
        <f t="shared" si="237"/>
        <v>0</v>
      </c>
    </row>
    <row r="289" spans="1:53" s="289" customFormat="1" ht="16.5" customHeight="1">
      <c r="A289" s="63" t="str">
        <f t="array" ref="A289">IF(C289&lt;&gt;0,SUM(($C$11:C289&lt;&gt;0)*1),"")</f>
        <v/>
      </c>
      <c r="B289" s="290"/>
      <c r="C289" s="290"/>
      <c r="D289" s="290"/>
      <c r="E289" s="396"/>
      <c r="F289" s="345"/>
      <c r="G289" s="347"/>
      <c r="H289" s="347"/>
      <c r="I289" s="63" t="str">
        <f t="shared" si="219"/>
        <v/>
      </c>
      <c r="J289" s="292">
        <f t="shared" si="226"/>
        <v>0</v>
      </c>
      <c r="K289" s="292">
        <f t="shared" si="227"/>
        <v>0</v>
      </c>
      <c r="L289" s="292">
        <f t="shared" si="238"/>
        <v>0</v>
      </c>
      <c r="M289" s="292">
        <f t="shared" si="239"/>
        <v>0</v>
      </c>
      <c r="N289" s="292">
        <f t="shared" si="220"/>
        <v>0</v>
      </c>
      <c r="O289" s="292">
        <f t="shared" si="221"/>
        <v>0</v>
      </c>
      <c r="P289" s="292">
        <f t="shared" si="240"/>
        <v>0</v>
      </c>
      <c r="Q289" s="292">
        <f t="shared" si="241"/>
        <v>0</v>
      </c>
      <c r="R289" s="292">
        <f t="shared" si="242"/>
        <v>0</v>
      </c>
      <c r="S289" s="292">
        <f t="shared" si="243"/>
        <v>0</v>
      </c>
      <c r="T289" s="292">
        <f t="shared" si="222"/>
        <v>0</v>
      </c>
      <c r="U289" s="292">
        <f t="shared" si="223"/>
        <v>0</v>
      </c>
      <c r="V289" s="292">
        <f t="shared" si="244"/>
        <v>0</v>
      </c>
      <c r="W289" s="292">
        <f t="shared" si="245"/>
        <v>0</v>
      </c>
      <c r="X289" s="292">
        <f t="shared" si="246"/>
        <v>0</v>
      </c>
      <c r="Y289" s="292">
        <f t="shared" si="247"/>
        <v>0</v>
      </c>
      <c r="Z289" s="292">
        <f t="shared" si="228"/>
        <v>0</v>
      </c>
      <c r="AA289" s="292">
        <f t="shared" si="229"/>
        <v>0</v>
      </c>
      <c r="AB289" s="292">
        <f t="shared" si="248"/>
        <v>0</v>
      </c>
      <c r="AC289" s="292">
        <f t="shared" si="249"/>
        <v>0</v>
      </c>
      <c r="AD289" s="292">
        <f t="shared" si="230"/>
        <v>0</v>
      </c>
      <c r="AE289" s="292">
        <f t="shared" si="231"/>
        <v>0</v>
      </c>
      <c r="AF289" s="292">
        <f t="shared" si="224"/>
        <v>0</v>
      </c>
      <c r="AG289" s="292">
        <f t="shared" si="225"/>
        <v>0</v>
      </c>
      <c r="AH289" s="292">
        <f t="shared" si="250"/>
        <v>0</v>
      </c>
      <c r="AI289" s="292">
        <f t="shared" si="251"/>
        <v>0</v>
      </c>
      <c r="AJ289" s="292">
        <f t="shared" si="252"/>
        <v>0</v>
      </c>
      <c r="AK289" s="292">
        <f t="shared" si="253"/>
        <v>0</v>
      </c>
      <c r="AL289" s="292">
        <f t="shared" si="254"/>
        <v>0</v>
      </c>
      <c r="AM289" s="292">
        <f t="shared" si="255"/>
        <v>0</v>
      </c>
      <c r="AN289" s="292">
        <f t="shared" si="256"/>
        <v>0</v>
      </c>
      <c r="AO289" s="292">
        <f t="shared" si="257"/>
        <v>0</v>
      </c>
      <c r="AP289" s="292">
        <f t="shared" si="258"/>
        <v>0</v>
      </c>
      <c r="AQ289" s="292">
        <f t="shared" si="259"/>
        <v>0</v>
      </c>
      <c r="AR289" s="292">
        <f t="shared" si="232"/>
        <v>0</v>
      </c>
      <c r="AS289" s="292">
        <f t="shared" si="233"/>
        <v>0</v>
      </c>
      <c r="AT289" s="292">
        <f t="shared" si="260"/>
        <v>0</v>
      </c>
      <c r="AU289" s="292">
        <f t="shared" si="261"/>
        <v>0</v>
      </c>
      <c r="AV289" s="292">
        <f t="shared" si="262"/>
        <v>0</v>
      </c>
      <c r="AW289" s="292">
        <f t="shared" si="263"/>
        <v>0</v>
      </c>
      <c r="AX289" s="292">
        <f t="shared" si="234"/>
        <v>0</v>
      </c>
      <c r="AY289" s="292">
        <f t="shared" si="235"/>
        <v>0</v>
      </c>
      <c r="AZ289" s="292">
        <f t="shared" si="236"/>
        <v>0</v>
      </c>
      <c r="BA289" s="292">
        <f t="shared" si="237"/>
        <v>0</v>
      </c>
    </row>
    <row r="290" spans="1:53" s="289" customFormat="1" ht="16.5" customHeight="1">
      <c r="A290" s="63" t="str">
        <f t="array" ref="A290">IF(C290&lt;&gt;0,SUM(($C$11:C290&lt;&gt;0)*1),"")</f>
        <v/>
      </c>
      <c r="B290" s="290"/>
      <c r="C290" s="290"/>
      <c r="D290" s="290"/>
      <c r="E290" s="396"/>
      <c r="F290" s="345"/>
      <c r="G290" s="347"/>
      <c r="H290" s="347"/>
      <c r="I290" s="63" t="str">
        <f t="shared" si="219"/>
        <v/>
      </c>
      <c r="J290" s="292">
        <f t="shared" si="226"/>
        <v>0</v>
      </c>
      <c r="K290" s="292">
        <f t="shared" si="227"/>
        <v>0</v>
      </c>
      <c r="L290" s="292">
        <f t="shared" si="238"/>
        <v>0</v>
      </c>
      <c r="M290" s="292">
        <f t="shared" si="239"/>
        <v>0</v>
      </c>
      <c r="N290" s="292">
        <f t="shared" si="220"/>
        <v>0</v>
      </c>
      <c r="O290" s="292">
        <f t="shared" si="221"/>
        <v>0</v>
      </c>
      <c r="P290" s="292">
        <f t="shared" si="240"/>
        <v>0</v>
      </c>
      <c r="Q290" s="292">
        <f t="shared" si="241"/>
        <v>0</v>
      </c>
      <c r="R290" s="292">
        <f t="shared" si="242"/>
        <v>0</v>
      </c>
      <c r="S290" s="292">
        <f t="shared" si="243"/>
        <v>0</v>
      </c>
      <c r="T290" s="292">
        <f t="shared" si="222"/>
        <v>0</v>
      </c>
      <c r="U290" s="292">
        <f t="shared" si="223"/>
        <v>0</v>
      </c>
      <c r="V290" s="292">
        <f t="shared" si="244"/>
        <v>0</v>
      </c>
      <c r="W290" s="292">
        <f t="shared" si="245"/>
        <v>0</v>
      </c>
      <c r="X290" s="292">
        <f t="shared" si="246"/>
        <v>0</v>
      </c>
      <c r="Y290" s="292">
        <f t="shared" si="247"/>
        <v>0</v>
      </c>
      <c r="Z290" s="292">
        <f t="shared" si="228"/>
        <v>0</v>
      </c>
      <c r="AA290" s="292">
        <f t="shared" si="229"/>
        <v>0</v>
      </c>
      <c r="AB290" s="292">
        <f t="shared" si="248"/>
        <v>0</v>
      </c>
      <c r="AC290" s="292">
        <f t="shared" si="249"/>
        <v>0</v>
      </c>
      <c r="AD290" s="292">
        <f t="shared" si="230"/>
        <v>0</v>
      </c>
      <c r="AE290" s="292">
        <f t="shared" si="231"/>
        <v>0</v>
      </c>
      <c r="AF290" s="292">
        <f t="shared" si="224"/>
        <v>0</v>
      </c>
      <c r="AG290" s="292">
        <f t="shared" si="225"/>
        <v>0</v>
      </c>
      <c r="AH290" s="292">
        <f t="shared" si="250"/>
        <v>0</v>
      </c>
      <c r="AI290" s="292">
        <f t="shared" si="251"/>
        <v>0</v>
      </c>
      <c r="AJ290" s="292">
        <f t="shared" si="252"/>
        <v>0</v>
      </c>
      <c r="AK290" s="292">
        <f t="shared" si="253"/>
        <v>0</v>
      </c>
      <c r="AL290" s="292">
        <f t="shared" si="254"/>
        <v>0</v>
      </c>
      <c r="AM290" s="292">
        <f t="shared" si="255"/>
        <v>0</v>
      </c>
      <c r="AN290" s="292">
        <f t="shared" si="256"/>
        <v>0</v>
      </c>
      <c r="AO290" s="292">
        <f t="shared" si="257"/>
        <v>0</v>
      </c>
      <c r="AP290" s="292">
        <f t="shared" si="258"/>
        <v>0</v>
      </c>
      <c r="AQ290" s="292">
        <f t="shared" si="259"/>
        <v>0</v>
      </c>
      <c r="AR290" s="292">
        <f t="shared" si="232"/>
        <v>0</v>
      </c>
      <c r="AS290" s="292">
        <f t="shared" si="233"/>
        <v>0</v>
      </c>
      <c r="AT290" s="292">
        <f t="shared" si="260"/>
        <v>0</v>
      </c>
      <c r="AU290" s="292">
        <f t="shared" si="261"/>
        <v>0</v>
      </c>
      <c r="AV290" s="292">
        <f t="shared" si="262"/>
        <v>0</v>
      </c>
      <c r="AW290" s="292">
        <f t="shared" si="263"/>
        <v>0</v>
      </c>
      <c r="AX290" s="292">
        <f t="shared" si="234"/>
        <v>0</v>
      </c>
      <c r="AY290" s="292">
        <f t="shared" si="235"/>
        <v>0</v>
      </c>
      <c r="AZ290" s="292">
        <f t="shared" si="236"/>
        <v>0</v>
      </c>
      <c r="BA290" s="292">
        <f t="shared" si="237"/>
        <v>0</v>
      </c>
    </row>
    <row r="291" spans="1:53" s="289" customFormat="1" ht="16.5" customHeight="1">
      <c r="A291" s="63" t="str">
        <f t="array" ref="A291">IF(C291&lt;&gt;0,SUM(($C$11:C291&lt;&gt;0)*1),"")</f>
        <v/>
      </c>
      <c r="B291" s="290"/>
      <c r="C291" s="290"/>
      <c r="D291" s="290"/>
      <c r="E291" s="396"/>
      <c r="F291" s="345"/>
      <c r="G291" s="347"/>
      <c r="H291" s="347"/>
      <c r="I291" s="63" t="str">
        <f t="shared" si="219"/>
        <v/>
      </c>
      <c r="J291" s="292">
        <f t="shared" si="226"/>
        <v>0</v>
      </c>
      <c r="K291" s="292">
        <f t="shared" si="227"/>
        <v>0</v>
      </c>
      <c r="L291" s="292">
        <f t="shared" si="238"/>
        <v>0</v>
      </c>
      <c r="M291" s="292">
        <f t="shared" si="239"/>
        <v>0</v>
      </c>
      <c r="N291" s="292">
        <f t="shared" si="220"/>
        <v>0</v>
      </c>
      <c r="O291" s="292">
        <f t="shared" si="221"/>
        <v>0</v>
      </c>
      <c r="P291" s="292">
        <f t="shared" si="240"/>
        <v>0</v>
      </c>
      <c r="Q291" s="292">
        <f t="shared" si="241"/>
        <v>0</v>
      </c>
      <c r="R291" s="292">
        <f t="shared" si="242"/>
        <v>0</v>
      </c>
      <c r="S291" s="292">
        <f t="shared" si="243"/>
        <v>0</v>
      </c>
      <c r="T291" s="292">
        <f t="shared" si="222"/>
        <v>0</v>
      </c>
      <c r="U291" s="292">
        <f t="shared" si="223"/>
        <v>0</v>
      </c>
      <c r="V291" s="292">
        <f t="shared" si="244"/>
        <v>0</v>
      </c>
      <c r="W291" s="292">
        <f t="shared" si="245"/>
        <v>0</v>
      </c>
      <c r="X291" s="292">
        <f t="shared" si="246"/>
        <v>0</v>
      </c>
      <c r="Y291" s="292">
        <f t="shared" si="247"/>
        <v>0</v>
      </c>
      <c r="Z291" s="292">
        <f t="shared" si="228"/>
        <v>0</v>
      </c>
      <c r="AA291" s="292">
        <f t="shared" si="229"/>
        <v>0</v>
      </c>
      <c r="AB291" s="292">
        <f t="shared" si="248"/>
        <v>0</v>
      </c>
      <c r="AC291" s="292">
        <f t="shared" si="249"/>
        <v>0</v>
      </c>
      <c r="AD291" s="292">
        <f t="shared" si="230"/>
        <v>0</v>
      </c>
      <c r="AE291" s="292">
        <f t="shared" si="231"/>
        <v>0</v>
      </c>
      <c r="AF291" s="292">
        <f t="shared" si="224"/>
        <v>0</v>
      </c>
      <c r="AG291" s="292">
        <f t="shared" si="225"/>
        <v>0</v>
      </c>
      <c r="AH291" s="292">
        <f t="shared" si="250"/>
        <v>0</v>
      </c>
      <c r="AI291" s="292">
        <f t="shared" si="251"/>
        <v>0</v>
      </c>
      <c r="AJ291" s="292">
        <f t="shared" si="252"/>
        <v>0</v>
      </c>
      <c r="AK291" s="292">
        <f t="shared" si="253"/>
        <v>0</v>
      </c>
      <c r="AL291" s="292">
        <f t="shared" si="254"/>
        <v>0</v>
      </c>
      <c r="AM291" s="292">
        <f t="shared" si="255"/>
        <v>0</v>
      </c>
      <c r="AN291" s="292">
        <f t="shared" si="256"/>
        <v>0</v>
      </c>
      <c r="AO291" s="292">
        <f t="shared" si="257"/>
        <v>0</v>
      </c>
      <c r="AP291" s="292">
        <f t="shared" si="258"/>
        <v>0</v>
      </c>
      <c r="AQ291" s="292">
        <f t="shared" si="259"/>
        <v>0</v>
      </c>
      <c r="AR291" s="292">
        <f t="shared" si="232"/>
        <v>0</v>
      </c>
      <c r="AS291" s="292">
        <f t="shared" si="233"/>
        <v>0</v>
      </c>
      <c r="AT291" s="292">
        <f t="shared" si="260"/>
        <v>0</v>
      </c>
      <c r="AU291" s="292">
        <f t="shared" si="261"/>
        <v>0</v>
      </c>
      <c r="AV291" s="292">
        <f t="shared" si="262"/>
        <v>0</v>
      </c>
      <c r="AW291" s="292">
        <f t="shared" si="263"/>
        <v>0</v>
      </c>
      <c r="AX291" s="292">
        <f t="shared" si="234"/>
        <v>0</v>
      </c>
      <c r="AY291" s="292">
        <f t="shared" si="235"/>
        <v>0</v>
      </c>
      <c r="AZ291" s="292">
        <f t="shared" si="236"/>
        <v>0</v>
      </c>
      <c r="BA291" s="292">
        <f t="shared" si="237"/>
        <v>0</v>
      </c>
    </row>
    <row r="292" spans="1:53" s="289" customFormat="1" ht="16.5" customHeight="1">
      <c r="A292" s="63" t="str">
        <f t="array" ref="A292">IF(C292&lt;&gt;0,SUM(($C$11:C292&lt;&gt;0)*1),"")</f>
        <v/>
      </c>
      <c r="B292" s="290"/>
      <c r="C292" s="290"/>
      <c r="D292" s="290"/>
      <c r="E292" s="396"/>
      <c r="F292" s="345"/>
      <c r="G292" s="347"/>
      <c r="H292" s="347"/>
      <c r="I292" s="63" t="str">
        <f t="shared" si="219"/>
        <v/>
      </c>
      <c r="J292" s="292">
        <f t="shared" si="226"/>
        <v>0</v>
      </c>
      <c r="K292" s="292">
        <f t="shared" si="227"/>
        <v>0</v>
      </c>
      <c r="L292" s="292">
        <f t="shared" si="238"/>
        <v>0</v>
      </c>
      <c r="M292" s="292">
        <f t="shared" si="239"/>
        <v>0</v>
      </c>
      <c r="N292" s="292">
        <f t="shared" si="220"/>
        <v>0</v>
      </c>
      <c r="O292" s="292">
        <f t="shared" si="221"/>
        <v>0</v>
      </c>
      <c r="P292" s="292">
        <f t="shared" si="240"/>
        <v>0</v>
      </c>
      <c r="Q292" s="292">
        <f t="shared" si="241"/>
        <v>0</v>
      </c>
      <c r="R292" s="292">
        <f t="shared" si="242"/>
        <v>0</v>
      </c>
      <c r="S292" s="292">
        <f t="shared" si="243"/>
        <v>0</v>
      </c>
      <c r="T292" s="292">
        <f t="shared" si="222"/>
        <v>0</v>
      </c>
      <c r="U292" s="292">
        <f t="shared" si="223"/>
        <v>0</v>
      </c>
      <c r="V292" s="292">
        <f t="shared" si="244"/>
        <v>0</v>
      </c>
      <c r="W292" s="292">
        <f t="shared" si="245"/>
        <v>0</v>
      </c>
      <c r="X292" s="292">
        <f t="shared" si="246"/>
        <v>0</v>
      </c>
      <c r="Y292" s="292">
        <f t="shared" si="247"/>
        <v>0</v>
      </c>
      <c r="Z292" s="292">
        <f t="shared" si="228"/>
        <v>0</v>
      </c>
      <c r="AA292" s="292">
        <f t="shared" si="229"/>
        <v>0</v>
      </c>
      <c r="AB292" s="292">
        <f t="shared" si="248"/>
        <v>0</v>
      </c>
      <c r="AC292" s="292">
        <f t="shared" si="249"/>
        <v>0</v>
      </c>
      <c r="AD292" s="292">
        <f t="shared" si="230"/>
        <v>0</v>
      </c>
      <c r="AE292" s="292">
        <f t="shared" si="231"/>
        <v>0</v>
      </c>
      <c r="AF292" s="292">
        <f t="shared" si="224"/>
        <v>0</v>
      </c>
      <c r="AG292" s="292">
        <f t="shared" si="225"/>
        <v>0</v>
      </c>
      <c r="AH292" s="292">
        <f t="shared" si="250"/>
        <v>0</v>
      </c>
      <c r="AI292" s="292">
        <f t="shared" si="251"/>
        <v>0</v>
      </c>
      <c r="AJ292" s="292">
        <f t="shared" si="252"/>
        <v>0</v>
      </c>
      <c r="AK292" s="292">
        <f t="shared" si="253"/>
        <v>0</v>
      </c>
      <c r="AL292" s="292">
        <f t="shared" si="254"/>
        <v>0</v>
      </c>
      <c r="AM292" s="292">
        <f t="shared" si="255"/>
        <v>0</v>
      </c>
      <c r="AN292" s="292">
        <f t="shared" si="256"/>
        <v>0</v>
      </c>
      <c r="AO292" s="292">
        <f t="shared" si="257"/>
        <v>0</v>
      </c>
      <c r="AP292" s="292">
        <f t="shared" si="258"/>
        <v>0</v>
      </c>
      <c r="AQ292" s="292">
        <f t="shared" si="259"/>
        <v>0</v>
      </c>
      <c r="AR292" s="292">
        <f t="shared" si="232"/>
        <v>0</v>
      </c>
      <c r="AS292" s="292">
        <f t="shared" si="233"/>
        <v>0</v>
      </c>
      <c r="AT292" s="292">
        <f t="shared" si="260"/>
        <v>0</v>
      </c>
      <c r="AU292" s="292">
        <f t="shared" si="261"/>
        <v>0</v>
      </c>
      <c r="AV292" s="292">
        <f t="shared" si="262"/>
        <v>0</v>
      </c>
      <c r="AW292" s="292">
        <f t="shared" si="263"/>
        <v>0</v>
      </c>
      <c r="AX292" s="292">
        <f t="shared" si="234"/>
        <v>0</v>
      </c>
      <c r="AY292" s="292">
        <f t="shared" si="235"/>
        <v>0</v>
      </c>
      <c r="AZ292" s="292">
        <f t="shared" si="236"/>
        <v>0</v>
      </c>
      <c r="BA292" s="292">
        <f t="shared" si="237"/>
        <v>0</v>
      </c>
    </row>
    <row r="293" spans="1:53" s="289" customFormat="1" ht="16.5" customHeight="1">
      <c r="A293" s="63" t="str">
        <f t="array" ref="A293">IF(C293&lt;&gt;0,SUM(($C$11:C293&lt;&gt;0)*1),"")</f>
        <v/>
      </c>
      <c r="B293" s="290"/>
      <c r="C293" s="290"/>
      <c r="D293" s="290"/>
      <c r="E293" s="396"/>
      <c r="F293" s="345"/>
      <c r="G293" s="347"/>
      <c r="H293" s="347"/>
      <c r="I293" s="63" t="str">
        <f t="shared" si="219"/>
        <v/>
      </c>
      <c r="J293" s="292">
        <f t="shared" si="226"/>
        <v>0</v>
      </c>
      <c r="K293" s="292">
        <f t="shared" si="227"/>
        <v>0</v>
      </c>
      <c r="L293" s="292">
        <f t="shared" si="238"/>
        <v>0</v>
      </c>
      <c r="M293" s="292">
        <f t="shared" si="239"/>
        <v>0</v>
      </c>
      <c r="N293" s="292">
        <f t="shared" si="220"/>
        <v>0</v>
      </c>
      <c r="O293" s="292">
        <f t="shared" si="221"/>
        <v>0</v>
      </c>
      <c r="P293" s="292">
        <f t="shared" si="240"/>
        <v>0</v>
      </c>
      <c r="Q293" s="292">
        <f t="shared" si="241"/>
        <v>0</v>
      </c>
      <c r="R293" s="292">
        <f t="shared" si="242"/>
        <v>0</v>
      </c>
      <c r="S293" s="292">
        <f t="shared" si="243"/>
        <v>0</v>
      </c>
      <c r="T293" s="292">
        <f t="shared" si="222"/>
        <v>0</v>
      </c>
      <c r="U293" s="292">
        <f t="shared" si="223"/>
        <v>0</v>
      </c>
      <c r="V293" s="292">
        <f t="shared" si="244"/>
        <v>0</v>
      </c>
      <c r="W293" s="292">
        <f t="shared" si="245"/>
        <v>0</v>
      </c>
      <c r="X293" s="292">
        <f t="shared" si="246"/>
        <v>0</v>
      </c>
      <c r="Y293" s="292">
        <f t="shared" si="247"/>
        <v>0</v>
      </c>
      <c r="Z293" s="292">
        <f t="shared" si="228"/>
        <v>0</v>
      </c>
      <c r="AA293" s="292">
        <f t="shared" si="229"/>
        <v>0</v>
      </c>
      <c r="AB293" s="292">
        <f t="shared" si="248"/>
        <v>0</v>
      </c>
      <c r="AC293" s="292">
        <f t="shared" si="249"/>
        <v>0</v>
      </c>
      <c r="AD293" s="292">
        <f t="shared" si="230"/>
        <v>0</v>
      </c>
      <c r="AE293" s="292">
        <f t="shared" si="231"/>
        <v>0</v>
      </c>
      <c r="AF293" s="292">
        <f t="shared" si="224"/>
        <v>0</v>
      </c>
      <c r="AG293" s="292">
        <f t="shared" si="225"/>
        <v>0</v>
      </c>
      <c r="AH293" s="292">
        <f t="shared" si="250"/>
        <v>0</v>
      </c>
      <c r="AI293" s="292">
        <f t="shared" si="251"/>
        <v>0</v>
      </c>
      <c r="AJ293" s="292">
        <f t="shared" si="252"/>
        <v>0</v>
      </c>
      <c r="AK293" s="292">
        <f t="shared" si="253"/>
        <v>0</v>
      </c>
      <c r="AL293" s="292">
        <f t="shared" si="254"/>
        <v>0</v>
      </c>
      <c r="AM293" s="292">
        <f t="shared" si="255"/>
        <v>0</v>
      </c>
      <c r="AN293" s="292">
        <f t="shared" si="256"/>
        <v>0</v>
      </c>
      <c r="AO293" s="292">
        <f t="shared" si="257"/>
        <v>0</v>
      </c>
      <c r="AP293" s="292">
        <f t="shared" si="258"/>
        <v>0</v>
      </c>
      <c r="AQ293" s="292">
        <f t="shared" si="259"/>
        <v>0</v>
      </c>
      <c r="AR293" s="292">
        <f t="shared" si="232"/>
        <v>0</v>
      </c>
      <c r="AS293" s="292">
        <f t="shared" si="233"/>
        <v>0</v>
      </c>
      <c r="AT293" s="292">
        <f t="shared" si="260"/>
        <v>0</v>
      </c>
      <c r="AU293" s="292">
        <f t="shared" si="261"/>
        <v>0</v>
      </c>
      <c r="AV293" s="292">
        <f t="shared" si="262"/>
        <v>0</v>
      </c>
      <c r="AW293" s="292">
        <f t="shared" si="263"/>
        <v>0</v>
      </c>
      <c r="AX293" s="292">
        <f t="shared" si="234"/>
        <v>0</v>
      </c>
      <c r="AY293" s="292">
        <f t="shared" si="235"/>
        <v>0</v>
      </c>
      <c r="AZ293" s="292">
        <f t="shared" si="236"/>
        <v>0</v>
      </c>
      <c r="BA293" s="292">
        <f t="shared" si="237"/>
        <v>0</v>
      </c>
    </row>
    <row r="294" spans="1:53" s="289" customFormat="1" ht="16.5" customHeight="1">
      <c r="A294" s="63" t="str">
        <f t="array" ref="A294">IF(C294&lt;&gt;0,SUM(($C$11:C294&lt;&gt;0)*1),"")</f>
        <v/>
      </c>
      <c r="B294" s="290"/>
      <c r="C294" s="290"/>
      <c r="D294" s="290"/>
      <c r="E294" s="396"/>
      <c r="F294" s="345"/>
      <c r="G294" s="347"/>
      <c r="H294" s="347"/>
      <c r="I294" s="63" t="str">
        <f t="shared" si="219"/>
        <v/>
      </c>
      <c r="J294" s="292">
        <f t="shared" si="226"/>
        <v>0</v>
      </c>
      <c r="K294" s="292">
        <f t="shared" si="227"/>
        <v>0</v>
      </c>
      <c r="L294" s="292">
        <f t="shared" si="238"/>
        <v>0</v>
      </c>
      <c r="M294" s="292">
        <f t="shared" si="239"/>
        <v>0</v>
      </c>
      <c r="N294" s="292">
        <f t="shared" si="220"/>
        <v>0</v>
      </c>
      <c r="O294" s="292">
        <f t="shared" si="221"/>
        <v>0</v>
      </c>
      <c r="P294" s="292">
        <f t="shared" si="240"/>
        <v>0</v>
      </c>
      <c r="Q294" s="292">
        <f t="shared" si="241"/>
        <v>0</v>
      </c>
      <c r="R294" s="292">
        <f t="shared" si="242"/>
        <v>0</v>
      </c>
      <c r="S294" s="292">
        <f t="shared" si="243"/>
        <v>0</v>
      </c>
      <c r="T294" s="292">
        <f t="shared" si="222"/>
        <v>0</v>
      </c>
      <c r="U294" s="292">
        <f t="shared" si="223"/>
        <v>0</v>
      </c>
      <c r="V294" s="292">
        <f t="shared" si="244"/>
        <v>0</v>
      </c>
      <c r="W294" s="292">
        <f t="shared" si="245"/>
        <v>0</v>
      </c>
      <c r="X294" s="292">
        <f t="shared" si="246"/>
        <v>0</v>
      </c>
      <c r="Y294" s="292">
        <f t="shared" si="247"/>
        <v>0</v>
      </c>
      <c r="Z294" s="292">
        <f t="shared" si="228"/>
        <v>0</v>
      </c>
      <c r="AA294" s="292">
        <f t="shared" si="229"/>
        <v>0</v>
      </c>
      <c r="AB294" s="292">
        <f t="shared" si="248"/>
        <v>0</v>
      </c>
      <c r="AC294" s="292">
        <f t="shared" si="249"/>
        <v>0</v>
      </c>
      <c r="AD294" s="292">
        <f t="shared" si="230"/>
        <v>0</v>
      </c>
      <c r="AE294" s="292">
        <f t="shared" si="231"/>
        <v>0</v>
      </c>
      <c r="AF294" s="292">
        <f t="shared" si="224"/>
        <v>0</v>
      </c>
      <c r="AG294" s="292">
        <f t="shared" si="225"/>
        <v>0</v>
      </c>
      <c r="AH294" s="292">
        <f t="shared" si="250"/>
        <v>0</v>
      </c>
      <c r="AI294" s="292">
        <f t="shared" si="251"/>
        <v>0</v>
      </c>
      <c r="AJ294" s="292">
        <f t="shared" si="252"/>
        <v>0</v>
      </c>
      <c r="AK294" s="292">
        <f t="shared" si="253"/>
        <v>0</v>
      </c>
      <c r="AL294" s="292">
        <f t="shared" si="254"/>
        <v>0</v>
      </c>
      <c r="AM294" s="292">
        <f t="shared" si="255"/>
        <v>0</v>
      </c>
      <c r="AN294" s="292">
        <f t="shared" si="256"/>
        <v>0</v>
      </c>
      <c r="AO294" s="292">
        <f t="shared" si="257"/>
        <v>0</v>
      </c>
      <c r="AP294" s="292">
        <f t="shared" si="258"/>
        <v>0</v>
      </c>
      <c r="AQ294" s="292">
        <f t="shared" si="259"/>
        <v>0</v>
      </c>
      <c r="AR294" s="292">
        <f t="shared" si="232"/>
        <v>0</v>
      </c>
      <c r="AS294" s="292">
        <f t="shared" si="233"/>
        <v>0</v>
      </c>
      <c r="AT294" s="292">
        <f t="shared" si="260"/>
        <v>0</v>
      </c>
      <c r="AU294" s="292">
        <f t="shared" si="261"/>
        <v>0</v>
      </c>
      <c r="AV294" s="292">
        <f t="shared" si="262"/>
        <v>0</v>
      </c>
      <c r="AW294" s="292">
        <f t="shared" si="263"/>
        <v>0</v>
      </c>
      <c r="AX294" s="292">
        <f t="shared" si="234"/>
        <v>0</v>
      </c>
      <c r="AY294" s="292">
        <f t="shared" si="235"/>
        <v>0</v>
      </c>
      <c r="AZ294" s="292">
        <f t="shared" si="236"/>
        <v>0</v>
      </c>
      <c r="BA294" s="292">
        <f t="shared" si="237"/>
        <v>0</v>
      </c>
    </row>
    <row r="295" spans="1:53" s="289" customFormat="1" ht="16.5" customHeight="1">
      <c r="A295" s="63" t="str">
        <f t="array" ref="A295">IF(C295&lt;&gt;0,SUM(($C$11:C295&lt;&gt;0)*1),"")</f>
        <v/>
      </c>
      <c r="B295" s="290"/>
      <c r="C295" s="290"/>
      <c r="D295" s="290"/>
      <c r="E295" s="396"/>
      <c r="F295" s="345"/>
      <c r="G295" s="347"/>
      <c r="H295" s="347"/>
      <c r="I295" s="63" t="str">
        <f t="shared" si="219"/>
        <v/>
      </c>
      <c r="J295" s="292">
        <f t="shared" si="226"/>
        <v>0</v>
      </c>
      <c r="K295" s="292">
        <f t="shared" si="227"/>
        <v>0</v>
      </c>
      <c r="L295" s="292">
        <f t="shared" si="238"/>
        <v>0</v>
      </c>
      <c r="M295" s="292">
        <f t="shared" si="239"/>
        <v>0</v>
      </c>
      <c r="N295" s="292">
        <f t="shared" si="220"/>
        <v>0</v>
      </c>
      <c r="O295" s="292">
        <f t="shared" si="221"/>
        <v>0</v>
      </c>
      <c r="P295" s="292">
        <f t="shared" si="240"/>
        <v>0</v>
      </c>
      <c r="Q295" s="292">
        <f t="shared" si="241"/>
        <v>0</v>
      </c>
      <c r="R295" s="292">
        <f t="shared" si="242"/>
        <v>0</v>
      </c>
      <c r="S295" s="292">
        <f t="shared" si="243"/>
        <v>0</v>
      </c>
      <c r="T295" s="292">
        <f t="shared" si="222"/>
        <v>0</v>
      </c>
      <c r="U295" s="292">
        <f t="shared" si="223"/>
        <v>0</v>
      </c>
      <c r="V295" s="292">
        <f t="shared" si="244"/>
        <v>0</v>
      </c>
      <c r="W295" s="292">
        <f t="shared" si="245"/>
        <v>0</v>
      </c>
      <c r="X295" s="292">
        <f t="shared" si="246"/>
        <v>0</v>
      </c>
      <c r="Y295" s="292">
        <f t="shared" si="247"/>
        <v>0</v>
      </c>
      <c r="Z295" s="292">
        <f t="shared" si="228"/>
        <v>0</v>
      </c>
      <c r="AA295" s="292">
        <f t="shared" si="229"/>
        <v>0</v>
      </c>
      <c r="AB295" s="292">
        <f t="shared" si="248"/>
        <v>0</v>
      </c>
      <c r="AC295" s="292">
        <f t="shared" si="249"/>
        <v>0</v>
      </c>
      <c r="AD295" s="292">
        <f t="shared" si="230"/>
        <v>0</v>
      </c>
      <c r="AE295" s="292">
        <f t="shared" si="231"/>
        <v>0</v>
      </c>
      <c r="AF295" s="292">
        <f t="shared" si="224"/>
        <v>0</v>
      </c>
      <c r="AG295" s="292">
        <f t="shared" si="225"/>
        <v>0</v>
      </c>
      <c r="AH295" s="292">
        <f t="shared" si="250"/>
        <v>0</v>
      </c>
      <c r="AI295" s="292">
        <f t="shared" si="251"/>
        <v>0</v>
      </c>
      <c r="AJ295" s="292">
        <f t="shared" si="252"/>
        <v>0</v>
      </c>
      <c r="AK295" s="292">
        <f t="shared" si="253"/>
        <v>0</v>
      </c>
      <c r="AL295" s="292">
        <f t="shared" si="254"/>
        <v>0</v>
      </c>
      <c r="AM295" s="292">
        <f t="shared" si="255"/>
        <v>0</v>
      </c>
      <c r="AN295" s="292">
        <f t="shared" si="256"/>
        <v>0</v>
      </c>
      <c r="AO295" s="292">
        <f t="shared" si="257"/>
        <v>0</v>
      </c>
      <c r="AP295" s="292">
        <f t="shared" si="258"/>
        <v>0</v>
      </c>
      <c r="AQ295" s="292">
        <f t="shared" si="259"/>
        <v>0</v>
      </c>
      <c r="AR295" s="292">
        <f t="shared" si="232"/>
        <v>0</v>
      </c>
      <c r="AS295" s="292">
        <f t="shared" si="233"/>
        <v>0</v>
      </c>
      <c r="AT295" s="292">
        <f t="shared" si="260"/>
        <v>0</v>
      </c>
      <c r="AU295" s="292">
        <f t="shared" si="261"/>
        <v>0</v>
      </c>
      <c r="AV295" s="292">
        <f t="shared" si="262"/>
        <v>0</v>
      </c>
      <c r="AW295" s="292">
        <f t="shared" si="263"/>
        <v>0</v>
      </c>
      <c r="AX295" s="292">
        <f t="shared" si="234"/>
        <v>0</v>
      </c>
      <c r="AY295" s="292">
        <f t="shared" si="235"/>
        <v>0</v>
      </c>
      <c r="AZ295" s="292">
        <f t="shared" si="236"/>
        <v>0</v>
      </c>
      <c r="BA295" s="292">
        <f t="shared" si="237"/>
        <v>0</v>
      </c>
    </row>
    <row r="296" spans="1:53" s="289" customFormat="1" ht="16.5" customHeight="1">
      <c r="A296" s="63" t="str">
        <f t="array" ref="A296">IF(C296&lt;&gt;0,SUM(($C$11:C296&lt;&gt;0)*1),"")</f>
        <v/>
      </c>
      <c r="B296" s="290"/>
      <c r="C296" s="290"/>
      <c r="D296" s="290"/>
      <c r="E296" s="396"/>
      <c r="F296" s="345"/>
      <c r="G296" s="347"/>
      <c r="H296" s="347"/>
      <c r="I296" s="63" t="str">
        <f t="shared" si="219"/>
        <v/>
      </c>
      <c r="J296" s="292">
        <f t="shared" si="226"/>
        <v>0</v>
      </c>
      <c r="K296" s="292">
        <f t="shared" si="227"/>
        <v>0</v>
      </c>
      <c r="L296" s="292">
        <f t="shared" si="238"/>
        <v>0</v>
      </c>
      <c r="M296" s="292">
        <f t="shared" si="239"/>
        <v>0</v>
      </c>
      <c r="N296" s="292">
        <f t="shared" si="220"/>
        <v>0</v>
      </c>
      <c r="O296" s="292">
        <f t="shared" si="221"/>
        <v>0</v>
      </c>
      <c r="P296" s="292">
        <f t="shared" si="240"/>
        <v>0</v>
      </c>
      <c r="Q296" s="292">
        <f t="shared" si="241"/>
        <v>0</v>
      </c>
      <c r="R296" s="292">
        <f t="shared" si="242"/>
        <v>0</v>
      </c>
      <c r="S296" s="292">
        <f t="shared" si="243"/>
        <v>0</v>
      </c>
      <c r="T296" s="292">
        <f t="shared" si="222"/>
        <v>0</v>
      </c>
      <c r="U296" s="292">
        <f t="shared" si="223"/>
        <v>0</v>
      </c>
      <c r="V296" s="292">
        <f t="shared" si="244"/>
        <v>0</v>
      </c>
      <c r="W296" s="292">
        <f t="shared" si="245"/>
        <v>0</v>
      </c>
      <c r="X296" s="292">
        <f t="shared" si="246"/>
        <v>0</v>
      </c>
      <c r="Y296" s="292">
        <f t="shared" si="247"/>
        <v>0</v>
      </c>
      <c r="Z296" s="292">
        <f t="shared" si="228"/>
        <v>0</v>
      </c>
      <c r="AA296" s="292">
        <f t="shared" si="229"/>
        <v>0</v>
      </c>
      <c r="AB296" s="292">
        <f t="shared" si="248"/>
        <v>0</v>
      </c>
      <c r="AC296" s="292">
        <f t="shared" si="249"/>
        <v>0</v>
      </c>
      <c r="AD296" s="292">
        <f t="shared" si="230"/>
        <v>0</v>
      </c>
      <c r="AE296" s="292">
        <f t="shared" si="231"/>
        <v>0</v>
      </c>
      <c r="AF296" s="292">
        <f t="shared" si="224"/>
        <v>0</v>
      </c>
      <c r="AG296" s="292">
        <f t="shared" si="225"/>
        <v>0</v>
      </c>
      <c r="AH296" s="292">
        <f t="shared" si="250"/>
        <v>0</v>
      </c>
      <c r="AI296" s="292">
        <f t="shared" si="251"/>
        <v>0</v>
      </c>
      <c r="AJ296" s="292">
        <f t="shared" si="252"/>
        <v>0</v>
      </c>
      <c r="AK296" s="292">
        <f t="shared" si="253"/>
        <v>0</v>
      </c>
      <c r="AL296" s="292">
        <f t="shared" si="254"/>
        <v>0</v>
      </c>
      <c r="AM296" s="292">
        <f t="shared" si="255"/>
        <v>0</v>
      </c>
      <c r="AN296" s="292">
        <f t="shared" si="256"/>
        <v>0</v>
      </c>
      <c r="AO296" s="292">
        <f t="shared" si="257"/>
        <v>0</v>
      </c>
      <c r="AP296" s="292">
        <f t="shared" si="258"/>
        <v>0</v>
      </c>
      <c r="AQ296" s="292">
        <f t="shared" si="259"/>
        <v>0</v>
      </c>
      <c r="AR296" s="292">
        <f t="shared" si="232"/>
        <v>0</v>
      </c>
      <c r="AS296" s="292">
        <f t="shared" si="233"/>
        <v>0</v>
      </c>
      <c r="AT296" s="292">
        <f t="shared" si="260"/>
        <v>0</v>
      </c>
      <c r="AU296" s="292">
        <f t="shared" si="261"/>
        <v>0</v>
      </c>
      <c r="AV296" s="292">
        <f t="shared" si="262"/>
        <v>0</v>
      </c>
      <c r="AW296" s="292">
        <f t="shared" si="263"/>
        <v>0</v>
      </c>
      <c r="AX296" s="292">
        <f t="shared" si="234"/>
        <v>0</v>
      </c>
      <c r="AY296" s="292">
        <f t="shared" si="235"/>
        <v>0</v>
      </c>
      <c r="AZ296" s="292">
        <f t="shared" si="236"/>
        <v>0</v>
      </c>
      <c r="BA296" s="292">
        <f t="shared" si="237"/>
        <v>0</v>
      </c>
    </row>
    <row r="297" spans="1:53" s="289" customFormat="1" ht="16.5" customHeight="1">
      <c r="A297" s="63" t="str">
        <f t="array" ref="A297">IF(C297&lt;&gt;0,SUM(($C$11:C297&lt;&gt;0)*1),"")</f>
        <v/>
      </c>
      <c r="B297" s="290"/>
      <c r="C297" s="290"/>
      <c r="D297" s="290"/>
      <c r="E297" s="396"/>
      <c r="F297" s="345"/>
      <c r="G297" s="347"/>
      <c r="H297" s="347"/>
      <c r="I297" s="63" t="str">
        <f t="shared" si="219"/>
        <v/>
      </c>
      <c r="J297" s="292">
        <f t="shared" si="226"/>
        <v>0</v>
      </c>
      <c r="K297" s="292">
        <f t="shared" si="227"/>
        <v>0</v>
      </c>
      <c r="L297" s="292">
        <f t="shared" si="238"/>
        <v>0</v>
      </c>
      <c r="M297" s="292">
        <f t="shared" si="239"/>
        <v>0</v>
      </c>
      <c r="N297" s="292">
        <f t="shared" si="220"/>
        <v>0</v>
      </c>
      <c r="O297" s="292">
        <f t="shared" si="221"/>
        <v>0</v>
      </c>
      <c r="P297" s="292">
        <f t="shared" si="240"/>
        <v>0</v>
      </c>
      <c r="Q297" s="292">
        <f t="shared" si="241"/>
        <v>0</v>
      </c>
      <c r="R297" s="292">
        <f t="shared" si="242"/>
        <v>0</v>
      </c>
      <c r="S297" s="292">
        <f t="shared" si="243"/>
        <v>0</v>
      </c>
      <c r="T297" s="292">
        <f t="shared" si="222"/>
        <v>0</v>
      </c>
      <c r="U297" s="292">
        <f t="shared" si="223"/>
        <v>0</v>
      </c>
      <c r="V297" s="292">
        <f t="shared" si="244"/>
        <v>0</v>
      </c>
      <c r="W297" s="292">
        <f t="shared" si="245"/>
        <v>0</v>
      </c>
      <c r="X297" s="292">
        <f t="shared" si="246"/>
        <v>0</v>
      </c>
      <c r="Y297" s="292">
        <f t="shared" si="247"/>
        <v>0</v>
      </c>
      <c r="Z297" s="292">
        <f t="shared" si="228"/>
        <v>0</v>
      </c>
      <c r="AA297" s="292">
        <f t="shared" si="229"/>
        <v>0</v>
      </c>
      <c r="AB297" s="292">
        <f t="shared" si="248"/>
        <v>0</v>
      </c>
      <c r="AC297" s="292">
        <f t="shared" si="249"/>
        <v>0</v>
      </c>
      <c r="AD297" s="292">
        <f t="shared" si="230"/>
        <v>0</v>
      </c>
      <c r="AE297" s="292">
        <f t="shared" si="231"/>
        <v>0</v>
      </c>
      <c r="AF297" s="292">
        <f t="shared" si="224"/>
        <v>0</v>
      </c>
      <c r="AG297" s="292">
        <f t="shared" si="225"/>
        <v>0</v>
      </c>
      <c r="AH297" s="292">
        <f t="shared" si="250"/>
        <v>0</v>
      </c>
      <c r="AI297" s="292">
        <f t="shared" si="251"/>
        <v>0</v>
      </c>
      <c r="AJ297" s="292">
        <f t="shared" si="252"/>
        <v>0</v>
      </c>
      <c r="AK297" s="292">
        <f t="shared" si="253"/>
        <v>0</v>
      </c>
      <c r="AL297" s="292">
        <f t="shared" si="254"/>
        <v>0</v>
      </c>
      <c r="AM297" s="292">
        <f t="shared" si="255"/>
        <v>0</v>
      </c>
      <c r="AN297" s="292">
        <f t="shared" si="256"/>
        <v>0</v>
      </c>
      <c r="AO297" s="292">
        <f t="shared" si="257"/>
        <v>0</v>
      </c>
      <c r="AP297" s="292">
        <f t="shared" si="258"/>
        <v>0</v>
      </c>
      <c r="AQ297" s="292">
        <f t="shared" si="259"/>
        <v>0</v>
      </c>
      <c r="AR297" s="292">
        <f t="shared" si="232"/>
        <v>0</v>
      </c>
      <c r="AS297" s="292">
        <f t="shared" si="233"/>
        <v>0</v>
      </c>
      <c r="AT297" s="292">
        <f t="shared" si="260"/>
        <v>0</v>
      </c>
      <c r="AU297" s="292">
        <f t="shared" si="261"/>
        <v>0</v>
      </c>
      <c r="AV297" s="292">
        <f t="shared" si="262"/>
        <v>0</v>
      </c>
      <c r="AW297" s="292">
        <f t="shared" si="263"/>
        <v>0</v>
      </c>
      <c r="AX297" s="292">
        <f t="shared" si="234"/>
        <v>0</v>
      </c>
      <c r="AY297" s="292">
        <f t="shared" si="235"/>
        <v>0</v>
      </c>
      <c r="AZ297" s="292">
        <f t="shared" si="236"/>
        <v>0</v>
      </c>
      <c r="BA297" s="292">
        <f t="shared" si="237"/>
        <v>0</v>
      </c>
    </row>
    <row r="298" spans="1:53" s="289" customFormat="1" ht="16.5" customHeight="1">
      <c r="A298" s="63" t="str">
        <f t="array" ref="A298">IF(C298&lt;&gt;0,SUM(($C$11:C298&lt;&gt;0)*1),"")</f>
        <v/>
      </c>
      <c r="B298" s="290"/>
      <c r="C298" s="290"/>
      <c r="D298" s="290"/>
      <c r="E298" s="396"/>
      <c r="F298" s="345"/>
      <c r="G298" s="347"/>
      <c r="H298" s="347"/>
      <c r="I298" s="63" t="str">
        <f t="shared" si="219"/>
        <v/>
      </c>
      <c r="J298" s="292">
        <f t="shared" si="226"/>
        <v>0</v>
      </c>
      <c r="K298" s="292">
        <f t="shared" si="227"/>
        <v>0</v>
      </c>
      <c r="L298" s="292">
        <f t="shared" si="238"/>
        <v>0</v>
      </c>
      <c r="M298" s="292">
        <f t="shared" si="239"/>
        <v>0</v>
      </c>
      <c r="N298" s="292">
        <f t="shared" si="220"/>
        <v>0</v>
      </c>
      <c r="O298" s="292">
        <f t="shared" si="221"/>
        <v>0</v>
      </c>
      <c r="P298" s="292">
        <f t="shared" si="240"/>
        <v>0</v>
      </c>
      <c r="Q298" s="292">
        <f t="shared" si="241"/>
        <v>0</v>
      </c>
      <c r="R298" s="292">
        <f t="shared" si="242"/>
        <v>0</v>
      </c>
      <c r="S298" s="292">
        <f t="shared" si="243"/>
        <v>0</v>
      </c>
      <c r="T298" s="292">
        <f t="shared" si="222"/>
        <v>0</v>
      </c>
      <c r="U298" s="292">
        <f t="shared" si="223"/>
        <v>0</v>
      </c>
      <c r="V298" s="292">
        <f t="shared" si="244"/>
        <v>0</v>
      </c>
      <c r="W298" s="292">
        <f t="shared" si="245"/>
        <v>0</v>
      </c>
      <c r="X298" s="292">
        <f t="shared" si="246"/>
        <v>0</v>
      </c>
      <c r="Y298" s="292">
        <f t="shared" si="247"/>
        <v>0</v>
      </c>
      <c r="Z298" s="292">
        <f t="shared" si="228"/>
        <v>0</v>
      </c>
      <c r="AA298" s="292">
        <f t="shared" si="229"/>
        <v>0</v>
      </c>
      <c r="AB298" s="292">
        <f t="shared" si="248"/>
        <v>0</v>
      </c>
      <c r="AC298" s="292">
        <f t="shared" si="249"/>
        <v>0</v>
      </c>
      <c r="AD298" s="292">
        <f t="shared" si="230"/>
        <v>0</v>
      </c>
      <c r="AE298" s="292">
        <f t="shared" si="231"/>
        <v>0</v>
      </c>
      <c r="AF298" s="292">
        <f t="shared" si="224"/>
        <v>0</v>
      </c>
      <c r="AG298" s="292">
        <f t="shared" si="225"/>
        <v>0</v>
      </c>
      <c r="AH298" s="292">
        <f t="shared" si="250"/>
        <v>0</v>
      </c>
      <c r="AI298" s="292">
        <f t="shared" si="251"/>
        <v>0</v>
      </c>
      <c r="AJ298" s="292">
        <f t="shared" si="252"/>
        <v>0</v>
      </c>
      <c r="AK298" s="292">
        <f t="shared" si="253"/>
        <v>0</v>
      </c>
      <c r="AL298" s="292">
        <f t="shared" si="254"/>
        <v>0</v>
      </c>
      <c r="AM298" s="292">
        <f t="shared" si="255"/>
        <v>0</v>
      </c>
      <c r="AN298" s="292">
        <f t="shared" si="256"/>
        <v>0</v>
      </c>
      <c r="AO298" s="292">
        <f t="shared" si="257"/>
        <v>0</v>
      </c>
      <c r="AP298" s="292">
        <f t="shared" si="258"/>
        <v>0</v>
      </c>
      <c r="AQ298" s="292">
        <f t="shared" si="259"/>
        <v>0</v>
      </c>
      <c r="AR298" s="292">
        <f t="shared" si="232"/>
        <v>0</v>
      </c>
      <c r="AS298" s="292">
        <f t="shared" si="233"/>
        <v>0</v>
      </c>
      <c r="AT298" s="292">
        <f t="shared" si="260"/>
        <v>0</v>
      </c>
      <c r="AU298" s="292">
        <f t="shared" si="261"/>
        <v>0</v>
      </c>
      <c r="AV298" s="292">
        <f t="shared" si="262"/>
        <v>0</v>
      </c>
      <c r="AW298" s="292">
        <f t="shared" si="263"/>
        <v>0</v>
      </c>
      <c r="AX298" s="292">
        <f t="shared" si="234"/>
        <v>0</v>
      </c>
      <c r="AY298" s="292">
        <f t="shared" si="235"/>
        <v>0</v>
      </c>
      <c r="AZ298" s="292">
        <f t="shared" si="236"/>
        <v>0</v>
      </c>
      <c r="BA298" s="292">
        <f t="shared" si="237"/>
        <v>0</v>
      </c>
    </row>
    <row r="299" spans="1:53" s="289" customFormat="1" ht="16.5" customHeight="1">
      <c r="A299" s="63" t="str">
        <f t="array" ref="A299">IF(C299&lt;&gt;0,SUM(($C$11:C299&lt;&gt;0)*1),"")</f>
        <v/>
      </c>
      <c r="B299" s="290"/>
      <c r="C299" s="290"/>
      <c r="D299" s="290"/>
      <c r="E299" s="396"/>
      <c r="F299" s="345"/>
      <c r="G299" s="347"/>
      <c r="H299" s="347"/>
      <c r="I299" s="63" t="str">
        <f t="shared" si="219"/>
        <v/>
      </c>
      <c r="J299" s="292">
        <f t="shared" si="226"/>
        <v>0</v>
      </c>
      <c r="K299" s="292">
        <f t="shared" si="227"/>
        <v>0</v>
      </c>
      <c r="L299" s="292">
        <f t="shared" si="238"/>
        <v>0</v>
      </c>
      <c r="M299" s="292">
        <f t="shared" si="239"/>
        <v>0</v>
      </c>
      <c r="N299" s="292">
        <f t="shared" si="220"/>
        <v>0</v>
      </c>
      <c r="O299" s="292">
        <f t="shared" si="221"/>
        <v>0</v>
      </c>
      <c r="P299" s="292">
        <f t="shared" si="240"/>
        <v>0</v>
      </c>
      <c r="Q299" s="292">
        <f t="shared" si="241"/>
        <v>0</v>
      </c>
      <c r="R299" s="292">
        <f t="shared" si="242"/>
        <v>0</v>
      </c>
      <c r="S299" s="292">
        <f t="shared" si="243"/>
        <v>0</v>
      </c>
      <c r="T299" s="292">
        <f t="shared" si="222"/>
        <v>0</v>
      </c>
      <c r="U299" s="292">
        <f t="shared" si="223"/>
        <v>0</v>
      </c>
      <c r="V299" s="292">
        <f t="shared" si="244"/>
        <v>0</v>
      </c>
      <c r="W299" s="292">
        <f t="shared" si="245"/>
        <v>0</v>
      </c>
      <c r="X299" s="292">
        <f t="shared" si="246"/>
        <v>0</v>
      </c>
      <c r="Y299" s="292">
        <f t="shared" si="247"/>
        <v>0</v>
      </c>
      <c r="Z299" s="292">
        <f t="shared" si="228"/>
        <v>0</v>
      </c>
      <c r="AA299" s="292">
        <f t="shared" si="229"/>
        <v>0</v>
      </c>
      <c r="AB299" s="292">
        <f t="shared" si="248"/>
        <v>0</v>
      </c>
      <c r="AC299" s="292">
        <f t="shared" si="249"/>
        <v>0</v>
      </c>
      <c r="AD299" s="292">
        <f t="shared" si="230"/>
        <v>0</v>
      </c>
      <c r="AE299" s="292">
        <f t="shared" si="231"/>
        <v>0</v>
      </c>
      <c r="AF299" s="292">
        <f t="shared" si="224"/>
        <v>0</v>
      </c>
      <c r="AG299" s="292">
        <f t="shared" si="225"/>
        <v>0</v>
      </c>
      <c r="AH299" s="292">
        <f t="shared" si="250"/>
        <v>0</v>
      </c>
      <c r="AI299" s="292">
        <f t="shared" si="251"/>
        <v>0</v>
      </c>
      <c r="AJ299" s="292">
        <f t="shared" si="252"/>
        <v>0</v>
      </c>
      <c r="AK299" s="292">
        <f t="shared" si="253"/>
        <v>0</v>
      </c>
      <c r="AL299" s="292">
        <f t="shared" si="254"/>
        <v>0</v>
      </c>
      <c r="AM299" s="292">
        <f t="shared" si="255"/>
        <v>0</v>
      </c>
      <c r="AN299" s="292">
        <f t="shared" si="256"/>
        <v>0</v>
      </c>
      <c r="AO299" s="292">
        <f t="shared" si="257"/>
        <v>0</v>
      </c>
      <c r="AP299" s="292">
        <f t="shared" si="258"/>
        <v>0</v>
      </c>
      <c r="AQ299" s="292">
        <f t="shared" si="259"/>
        <v>0</v>
      </c>
      <c r="AR299" s="292">
        <f t="shared" si="232"/>
        <v>0</v>
      </c>
      <c r="AS299" s="292">
        <f t="shared" si="233"/>
        <v>0</v>
      </c>
      <c r="AT299" s="292">
        <f t="shared" si="260"/>
        <v>0</v>
      </c>
      <c r="AU299" s="292">
        <f t="shared" si="261"/>
        <v>0</v>
      </c>
      <c r="AV299" s="292">
        <f t="shared" si="262"/>
        <v>0</v>
      </c>
      <c r="AW299" s="292">
        <f t="shared" si="263"/>
        <v>0</v>
      </c>
      <c r="AX299" s="292">
        <f t="shared" si="234"/>
        <v>0</v>
      </c>
      <c r="AY299" s="292">
        <f t="shared" si="235"/>
        <v>0</v>
      </c>
      <c r="AZ299" s="292">
        <f t="shared" si="236"/>
        <v>0</v>
      </c>
      <c r="BA299" s="292">
        <f t="shared" si="237"/>
        <v>0</v>
      </c>
    </row>
    <row r="300" spans="1:53" s="289" customFormat="1" ht="16.5" customHeight="1">
      <c r="A300" s="63" t="str">
        <f t="array" ref="A300">IF(C300&lt;&gt;0,SUM(($C$11:C300&lt;&gt;0)*1),"")</f>
        <v/>
      </c>
      <c r="B300" s="290"/>
      <c r="C300" s="290"/>
      <c r="D300" s="290"/>
      <c r="E300" s="396"/>
      <c r="F300" s="345"/>
      <c r="G300" s="347"/>
      <c r="H300" s="347"/>
      <c r="I300" s="63" t="str">
        <f t="shared" si="219"/>
        <v/>
      </c>
      <c r="J300" s="292">
        <f t="shared" si="226"/>
        <v>0</v>
      </c>
      <c r="K300" s="292">
        <f t="shared" si="227"/>
        <v>0</v>
      </c>
      <c r="L300" s="292">
        <f t="shared" si="238"/>
        <v>0</v>
      </c>
      <c r="M300" s="292">
        <f t="shared" si="239"/>
        <v>0</v>
      </c>
      <c r="N300" s="292">
        <f t="shared" si="220"/>
        <v>0</v>
      </c>
      <c r="O300" s="292">
        <f t="shared" si="221"/>
        <v>0</v>
      </c>
      <c r="P300" s="292">
        <f t="shared" si="240"/>
        <v>0</v>
      </c>
      <c r="Q300" s="292">
        <f t="shared" si="241"/>
        <v>0</v>
      </c>
      <c r="R300" s="292">
        <f t="shared" si="242"/>
        <v>0</v>
      </c>
      <c r="S300" s="292">
        <f t="shared" si="243"/>
        <v>0</v>
      </c>
      <c r="T300" s="292">
        <f t="shared" si="222"/>
        <v>0</v>
      </c>
      <c r="U300" s="292">
        <f t="shared" si="223"/>
        <v>0</v>
      </c>
      <c r="V300" s="292">
        <f t="shared" si="244"/>
        <v>0</v>
      </c>
      <c r="W300" s="292">
        <f t="shared" si="245"/>
        <v>0</v>
      </c>
      <c r="X300" s="292">
        <f t="shared" si="246"/>
        <v>0</v>
      </c>
      <c r="Y300" s="292">
        <f t="shared" si="247"/>
        <v>0</v>
      </c>
      <c r="Z300" s="292">
        <f t="shared" si="228"/>
        <v>0</v>
      </c>
      <c r="AA300" s="292">
        <f t="shared" si="229"/>
        <v>0</v>
      </c>
      <c r="AB300" s="292">
        <f t="shared" si="248"/>
        <v>0</v>
      </c>
      <c r="AC300" s="292">
        <f t="shared" si="249"/>
        <v>0</v>
      </c>
      <c r="AD300" s="292">
        <f t="shared" si="230"/>
        <v>0</v>
      </c>
      <c r="AE300" s="292">
        <f t="shared" si="231"/>
        <v>0</v>
      </c>
      <c r="AF300" s="292">
        <f t="shared" si="224"/>
        <v>0</v>
      </c>
      <c r="AG300" s="292">
        <f t="shared" si="225"/>
        <v>0</v>
      </c>
      <c r="AH300" s="292">
        <f t="shared" si="250"/>
        <v>0</v>
      </c>
      <c r="AI300" s="292">
        <f t="shared" si="251"/>
        <v>0</v>
      </c>
      <c r="AJ300" s="292">
        <f t="shared" si="252"/>
        <v>0</v>
      </c>
      <c r="AK300" s="292">
        <f t="shared" si="253"/>
        <v>0</v>
      </c>
      <c r="AL300" s="292">
        <f t="shared" si="254"/>
        <v>0</v>
      </c>
      <c r="AM300" s="292">
        <f t="shared" si="255"/>
        <v>0</v>
      </c>
      <c r="AN300" s="292">
        <f t="shared" si="256"/>
        <v>0</v>
      </c>
      <c r="AO300" s="292">
        <f t="shared" si="257"/>
        <v>0</v>
      </c>
      <c r="AP300" s="292">
        <f t="shared" si="258"/>
        <v>0</v>
      </c>
      <c r="AQ300" s="292">
        <f t="shared" si="259"/>
        <v>0</v>
      </c>
      <c r="AR300" s="292">
        <f t="shared" si="232"/>
        <v>0</v>
      </c>
      <c r="AS300" s="292">
        <f t="shared" si="233"/>
        <v>0</v>
      </c>
      <c r="AT300" s="292">
        <f t="shared" si="260"/>
        <v>0</v>
      </c>
      <c r="AU300" s="292">
        <f t="shared" si="261"/>
        <v>0</v>
      </c>
      <c r="AV300" s="292">
        <f t="shared" si="262"/>
        <v>0</v>
      </c>
      <c r="AW300" s="292">
        <f t="shared" si="263"/>
        <v>0</v>
      </c>
      <c r="AX300" s="292">
        <f t="shared" si="234"/>
        <v>0</v>
      </c>
      <c r="AY300" s="292">
        <f t="shared" si="235"/>
        <v>0</v>
      </c>
      <c r="AZ300" s="292">
        <f t="shared" si="236"/>
        <v>0</v>
      </c>
      <c r="BA300" s="292">
        <f t="shared" si="237"/>
        <v>0</v>
      </c>
    </row>
    <row r="301" spans="1:53" s="289" customFormat="1" ht="16.5" customHeight="1">
      <c r="A301" s="63" t="str">
        <f t="array" ref="A301">IF(C301&lt;&gt;0,SUM(($C$11:C301&lt;&gt;0)*1),"")</f>
        <v/>
      </c>
      <c r="B301" s="290"/>
      <c r="C301" s="290"/>
      <c r="D301" s="290"/>
      <c r="E301" s="396"/>
      <c r="F301" s="345"/>
      <c r="G301" s="347"/>
      <c r="H301" s="347"/>
      <c r="I301" s="63" t="str">
        <f t="shared" si="219"/>
        <v/>
      </c>
      <c r="J301" s="292">
        <f t="shared" si="226"/>
        <v>0</v>
      </c>
      <c r="K301" s="292">
        <f t="shared" si="227"/>
        <v>0</v>
      </c>
      <c r="L301" s="292">
        <f t="shared" si="238"/>
        <v>0</v>
      </c>
      <c r="M301" s="292">
        <f t="shared" si="239"/>
        <v>0</v>
      </c>
      <c r="N301" s="292">
        <f t="shared" si="220"/>
        <v>0</v>
      </c>
      <c r="O301" s="292">
        <f t="shared" si="221"/>
        <v>0</v>
      </c>
      <c r="P301" s="292">
        <f t="shared" si="240"/>
        <v>0</v>
      </c>
      <c r="Q301" s="292">
        <f t="shared" si="241"/>
        <v>0</v>
      </c>
      <c r="R301" s="292">
        <f t="shared" si="242"/>
        <v>0</v>
      </c>
      <c r="S301" s="292">
        <f t="shared" si="243"/>
        <v>0</v>
      </c>
      <c r="T301" s="292">
        <f t="shared" si="222"/>
        <v>0</v>
      </c>
      <c r="U301" s="292">
        <f t="shared" si="223"/>
        <v>0</v>
      </c>
      <c r="V301" s="292">
        <f t="shared" si="244"/>
        <v>0</v>
      </c>
      <c r="W301" s="292">
        <f t="shared" si="245"/>
        <v>0</v>
      </c>
      <c r="X301" s="292">
        <f t="shared" si="246"/>
        <v>0</v>
      </c>
      <c r="Y301" s="292">
        <f t="shared" si="247"/>
        <v>0</v>
      </c>
      <c r="Z301" s="292">
        <f t="shared" si="228"/>
        <v>0</v>
      </c>
      <c r="AA301" s="292">
        <f t="shared" si="229"/>
        <v>0</v>
      </c>
      <c r="AB301" s="292">
        <f t="shared" si="248"/>
        <v>0</v>
      </c>
      <c r="AC301" s="292">
        <f t="shared" si="249"/>
        <v>0</v>
      </c>
      <c r="AD301" s="292">
        <f t="shared" si="230"/>
        <v>0</v>
      </c>
      <c r="AE301" s="292">
        <f t="shared" si="231"/>
        <v>0</v>
      </c>
      <c r="AF301" s="292">
        <f t="shared" si="224"/>
        <v>0</v>
      </c>
      <c r="AG301" s="292">
        <f t="shared" si="225"/>
        <v>0</v>
      </c>
      <c r="AH301" s="292">
        <f t="shared" si="250"/>
        <v>0</v>
      </c>
      <c r="AI301" s="292">
        <f t="shared" si="251"/>
        <v>0</v>
      </c>
      <c r="AJ301" s="292">
        <f t="shared" si="252"/>
        <v>0</v>
      </c>
      <c r="AK301" s="292">
        <f t="shared" si="253"/>
        <v>0</v>
      </c>
      <c r="AL301" s="292">
        <f t="shared" si="254"/>
        <v>0</v>
      </c>
      <c r="AM301" s="292">
        <f t="shared" si="255"/>
        <v>0</v>
      </c>
      <c r="AN301" s="292">
        <f t="shared" si="256"/>
        <v>0</v>
      </c>
      <c r="AO301" s="292">
        <f t="shared" si="257"/>
        <v>0</v>
      </c>
      <c r="AP301" s="292">
        <f t="shared" si="258"/>
        <v>0</v>
      </c>
      <c r="AQ301" s="292">
        <f t="shared" si="259"/>
        <v>0</v>
      </c>
      <c r="AR301" s="292">
        <f t="shared" si="232"/>
        <v>0</v>
      </c>
      <c r="AS301" s="292">
        <f t="shared" si="233"/>
        <v>0</v>
      </c>
      <c r="AT301" s="292">
        <f t="shared" si="260"/>
        <v>0</v>
      </c>
      <c r="AU301" s="292">
        <f t="shared" si="261"/>
        <v>0</v>
      </c>
      <c r="AV301" s="292">
        <f t="shared" si="262"/>
        <v>0</v>
      </c>
      <c r="AW301" s="292">
        <f t="shared" si="263"/>
        <v>0</v>
      </c>
      <c r="AX301" s="292">
        <f t="shared" si="234"/>
        <v>0</v>
      </c>
      <c r="AY301" s="292">
        <f t="shared" si="235"/>
        <v>0</v>
      </c>
      <c r="AZ301" s="292">
        <f t="shared" si="236"/>
        <v>0</v>
      </c>
      <c r="BA301" s="292">
        <f t="shared" si="237"/>
        <v>0</v>
      </c>
    </row>
    <row r="302" spans="1:53" s="289" customFormat="1" ht="16.5" customHeight="1">
      <c r="A302" s="63" t="str">
        <f t="array" ref="A302">IF(C302&lt;&gt;0,SUM(($C$11:C302&lt;&gt;0)*1),"")</f>
        <v/>
      </c>
      <c r="B302" s="290"/>
      <c r="C302" s="290"/>
      <c r="D302" s="290"/>
      <c r="E302" s="396"/>
      <c r="F302" s="345"/>
      <c r="G302" s="347"/>
      <c r="H302" s="347"/>
      <c r="I302" s="63" t="str">
        <f t="shared" si="219"/>
        <v/>
      </c>
      <c r="J302" s="292">
        <f t="shared" si="226"/>
        <v>0</v>
      </c>
      <c r="K302" s="292">
        <f t="shared" si="227"/>
        <v>0</v>
      </c>
      <c r="L302" s="292">
        <f t="shared" si="238"/>
        <v>0</v>
      </c>
      <c r="M302" s="292">
        <f t="shared" si="239"/>
        <v>0</v>
      </c>
      <c r="N302" s="292">
        <f t="shared" si="220"/>
        <v>0</v>
      </c>
      <c r="O302" s="292">
        <f t="shared" si="221"/>
        <v>0</v>
      </c>
      <c r="P302" s="292">
        <f t="shared" si="240"/>
        <v>0</v>
      </c>
      <c r="Q302" s="292">
        <f t="shared" si="241"/>
        <v>0</v>
      </c>
      <c r="R302" s="292">
        <f t="shared" si="242"/>
        <v>0</v>
      </c>
      <c r="S302" s="292">
        <f t="shared" si="243"/>
        <v>0</v>
      </c>
      <c r="T302" s="292">
        <f t="shared" si="222"/>
        <v>0</v>
      </c>
      <c r="U302" s="292">
        <f t="shared" si="223"/>
        <v>0</v>
      </c>
      <c r="V302" s="292">
        <f t="shared" si="244"/>
        <v>0</v>
      </c>
      <c r="W302" s="292">
        <f t="shared" si="245"/>
        <v>0</v>
      </c>
      <c r="X302" s="292">
        <f t="shared" si="246"/>
        <v>0</v>
      </c>
      <c r="Y302" s="292">
        <f t="shared" si="247"/>
        <v>0</v>
      </c>
      <c r="Z302" s="292">
        <f t="shared" si="228"/>
        <v>0</v>
      </c>
      <c r="AA302" s="292">
        <f t="shared" si="229"/>
        <v>0</v>
      </c>
      <c r="AB302" s="292">
        <f t="shared" si="248"/>
        <v>0</v>
      </c>
      <c r="AC302" s="292">
        <f t="shared" si="249"/>
        <v>0</v>
      </c>
      <c r="AD302" s="292">
        <f t="shared" si="230"/>
        <v>0</v>
      </c>
      <c r="AE302" s="292">
        <f t="shared" si="231"/>
        <v>0</v>
      </c>
      <c r="AF302" s="292">
        <f t="shared" si="224"/>
        <v>0</v>
      </c>
      <c r="AG302" s="292">
        <f t="shared" si="225"/>
        <v>0</v>
      </c>
      <c r="AH302" s="292">
        <f t="shared" si="250"/>
        <v>0</v>
      </c>
      <c r="AI302" s="292">
        <f t="shared" si="251"/>
        <v>0</v>
      </c>
      <c r="AJ302" s="292">
        <f t="shared" si="252"/>
        <v>0</v>
      </c>
      <c r="AK302" s="292">
        <f t="shared" si="253"/>
        <v>0</v>
      </c>
      <c r="AL302" s="292">
        <f t="shared" si="254"/>
        <v>0</v>
      </c>
      <c r="AM302" s="292">
        <f t="shared" si="255"/>
        <v>0</v>
      </c>
      <c r="AN302" s="292">
        <f t="shared" si="256"/>
        <v>0</v>
      </c>
      <c r="AO302" s="292">
        <f t="shared" si="257"/>
        <v>0</v>
      </c>
      <c r="AP302" s="292">
        <f t="shared" si="258"/>
        <v>0</v>
      </c>
      <c r="AQ302" s="292">
        <f t="shared" si="259"/>
        <v>0</v>
      </c>
      <c r="AR302" s="292">
        <f t="shared" si="232"/>
        <v>0</v>
      </c>
      <c r="AS302" s="292">
        <f t="shared" si="233"/>
        <v>0</v>
      </c>
      <c r="AT302" s="292">
        <f t="shared" si="260"/>
        <v>0</v>
      </c>
      <c r="AU302" s="292">
        <f t="shared" si="261"/>
        <v>0</v>
      </c>
      <c r="AV302" s="292">
        <f t="shared" si="262"/>
        <v>0</v>
      </c>
      <c r="AW302" s="292">
        <f t="shared" si="263"/>
        <v>0</v>
      </c>
      <c r="AX302" s="292">
        <f t="shared" si="234"/>
        <v>0</v>
      </c>
      <c r="AY302" s="292">
        <f t="shared" si="235"/>
        <v>0</v>
      </c>
      <c r="AZ302" s="292">
        <f t="shared" si="236"/>
        <v>0</v>
      </c>
      <c r="BA302" s="292">
        <f t="shared" si="237"/>
        <v>0</v>
      </c>
    </row>
    <row r="303" spans="1:53" s="289" customFormat="1" ht="16.5" customHeight="1">
      <c r="A303" s="63" t="str">
        <f t="array" ref="A303">IF(C303&lt;&gt;0,SUM(($C$11:C303&lt;&gt;0)*1),"")</f>
        <v/>
      </c>
      <c r="B303" s="290"/>
      <c r="C303" s="290"/>
      <c r="D303" s="290"/>
      <c r="E303" s="396"/>
      <c r="F303" s="345"/>
      <c r="G303" s="347"/>
      <c r="H303" s="347"/>
      <c r="I303" s="63" t="str">
        <f t="shared" si="219"/>
        <v/>
      </c>
      <c r="J303" s="292">
        <f t="shared" si="226"/>
        <v>0</v>
      </c>
      <c r="K303" s="292">
        <f t="shared" si="227"/>
        <v>0</v>
      </c>
      <c r="L303" s="292">
        <f t="shared" si="238"/>
        <v>0</v>
      </c>
      <c r="M303" s="292">
        <f t="shared" si="239"/>
        <v>0</v>
      </c>
      <c r="N303" s="292">
        <f t="shared" si="220"/>
        <v>0</v>
      </c>
      <c r="O303" s="292">
        <f t="shared" si="221"/>
        <v>0</v>
      </c>
      <c r="P303" s="292">
        <f t="shared" si="240"/>
        <v>0</v>
      </c>
      <c r="Q303" s="292">
        <f t="shared" si="241"/>
        <v>0</v>
      </c>
      <c r="R303" s="292">
        <f t="shared" si="242"/>
        <v>0</v>
      </c>
      <c r="S303" s="292">
        <f t="shared" si="243"/>
        <v>0</v>
      </c>
      <c r="T303" s="292">
        <f t="shared" si="222"/>
        <v>0</v>
      </c>
      <c r="U303" s="292">
        <f t="shared" si="223"/>
        <v>0</v>
      </c>
      <c r="V303" s="292">
        <f t="shared" si="244"/>
        <v>0</v>
      </c>
      <c r="W303" s="292">
        <f t="shared" si="245"/>
        <v>0</v>
      </c>
      <c r="X303" s="292">
        <f t="shared" si="246"/>
        <v>0</v>
      </c>
      <c r="Y303" s="292">
        <f t="shared" si="247"/>
        <v>0</v>
      </c>
      <c r="Z303" s="292">
        <f t="shared" si="228"/>
        <v>0</v>
      </c>
      <c r="AA303" s="292">
        <f t="shared" si="229"/>
        <v>0</v>
      </c>
      <c r="AB303" s="292">
        <f t="shared" si="248"/>
        <v>0</v>
      </c>
      <c r="AC303" s="292">
        <f t="shared" si="249"/>
        <v>0</v>
      </c>
      <c r="AD303" s="292">
        <f t="shared" si="230"/>
        <v>0</v>
      </c>
      <c r="AE303" s="292">
        <f t="shared" si="231"/>
        <v>0</v>
      </c>
      <c r="AF303" s="292">
        <f t="shared" si="224"/>
        <v>0</v>
      </c>
      <c r="AG303" s="292">
        <f t="shared" si="225"/>
        <v>0</v>
      </c>
      <c r="AH303" s="292">
        <f t="shared" si="250"/>
        <v>0</v>
      </c>
      <c r="AI303" s="292">
        <f t="shared" si="251"/>
        <v>0</v>
      </c>
      <c r="AJ303" s="292">
        <f t="shared" si="252"/>
        <v>0</v>
      </c>
      <c r="AK303" s="292">
        <f t="shared" si="253"/>
        <v>0</v>
      </c>
      <c r="AL303" s="292">
        <f t="shared" si="254"/>
        <v>0</v>
      </c>
      <c r="AM303" s="292">
        <f t="shared" si="255"/>
        <v>0</v>
      </c>
      <c r="AN303" s="292">
        <f t="shared" si="256"/>
        <v>0</v>
      </c>
      <c r="AO303" s="292">
        <f t="shared" si="257"/>
        <v>0</v>
      </c>
      <c r="AP303" s="292">
        <f t="shared" si="258"/>
        <v>0</v>
      </c>
      <c r="AQ303" s="292">
        <f t="shared" si="259"/>
        <v>0</v>
      </c>
      <c r="AR303" s="292">
        <f t="shared" si="232"/>
        <v>0</v>
      </c>
      <c r="AS303" s="292">
        <f t="shared" si="233"/>
        <v>0</v>
      </c>
      <c r="AT303" s="292">
        <f t="shared" si="260"/>
        <v>0</v>
      </c>
      <c r="AU303" s="292">
        <f t="shared" si="261"/>
        <v>0</v>
      </c>
      <c r="AV303" s="292">
        <f t="shared" si="262"/>
        <v>0</v>
      </c>
      <c r="AW303" s="292">
        <f t="shared" si="263"/>
        <v>0</v>
      </c>
      <c r="AX303" s="292">
        <f t="shared" si="234"/>
        <v>0</v>
      </c>
      <c r="AY303" s="292">
        <f t="shared" si="235"/>
        <v>0</v>
      </c>
      <c r="AZ303" s="292">
        <f t="shared" si="236"/>
        <v>0</v>
      </c>
      <c r="BA303" s="292">
        <f t="shared" si="237"/>
        <v>0</v>
      </c>
    </row>
    <row r="304" spans="1:53" s="289" customFormat="1" ht="16.5" customHeight="1">
      <c r="A304" s="63" t="str">
        <f t="array" ref="A304">IF(C304&lt;&gt;0,SUM(($C$11:C304&lt;&gt;0)*1),"")</f>
        <v/>
      </c>
      <c r="B304" s="290"/>
      <c r="C304" s="290"/>
      <c r="D304" s="290"/>
      <c r="E304" s="396"/>
      <c r="F304" s="345"/>
      <c r="G304" s="347"/>
      <c r="H304" s="347"/>
      <c r="I304" s="63" t="str">
        <f t="shared" si="219"/>
        <v/>
      </c>
      <c r="J304" s="292">
        <f t="shared" si="226"/>
        <v>0</v>
      </c>
      <c r="K304" s="292">
        <f t="shared" si="227"/>
        <v>0</v>
      </c>
      <c r="L304" s="292">
        <f t="shared" si="238"/>
        <v>0</v>
      </c>
      <c r="M304" s="292">
        <f t="shared" si="239"/>
        <v>0</v>
      </c>
      <c r="N304" s="292">
        <f t="shared" si="220"/>
        <v>0</v>
      </c>
      <c r="O304" s="292">
        <f t="shared" si="221"/>
        <v>0</v>
      </c>
      <c r="P304" s="292">
        <f t="shared" si="240"/>
        <v>0</v>
      </c>
      <c r="Q304" s="292">
        <f t="shared" si="241"/>
        <v>0</v>
      </c>
      <c r="R304" s="292">
        <f t="shared" si="242"/>
        <v>0</v>
      </c>
      <c r="S304" s="292">
        <f t="shared" si="243"/>
        <v>0</v>
      </c>
      <c r="T304" s="292">
        <f t="shared" si="222"/>
        <v>0</v>
      </c>
      <c r="U304" s="292">
        <f t="shared" si="223"/>
        <v>0</v>
      </c>
      <c r="V304" s="292">
        <f t="shared" si="244"/>
        <v>0</v>
      </c>
      <c r="W304" s="292">
        <f t="shared" si="245"/>
        <v>0</v>
      </c>
      <c r="X304" s="292">
        <f t="shared" si="246"/>
        <v>0</v>
      </c>
      <c r="Y304" s="292">
        <f t="shared" si="247"/>
        <v>0</v>
      </c>
      <c r="Z304" s="292">
        <f t="shared" si="228"/>
        <v>0</v>
      </c>
      <c r="AA304" s="292">
        <f t="shared" si="229"/>
        <v>0</v>
      </c>
      <c r="AB304" s="292">
        <f t="shared" si="248"/>
        <v>0</v>
      </c>
      <c r="AC304" s="292">
        <f t="shared" si="249"/>
        <v>0</v>
      </c>
      <c r="AD304" s="292">
        <f t="shared" si="230"/>
        <v>0</v>
      </c>
      <c r="AE304" s="292">
        <f t="shared" si="231"/>
        <v>0</v>
      </c>
      <c r="AF304" s="292">
        <f t="shared" si="224"/>
        <v>0</v>
      </c>
      <c r="AG304" s="292">
        <f t="shared" si="225"/>
        <v>0</v>
      </c>
      <c r="AH304" s="292">
        <f t="shared" si="250"/>
        <v>0</v>
      </c>
      <c r="AI304" s="292">
        <f t="shared" si="251"/>
        <v>0</v>
      </c>
      <c r="AJ304" s="292">
        <f t="shared" si="252"/>
        <v>0</v>
      </c>
      <c r="AK304" s="292">
        <f t="shared" si="253"/>
        <v>0</v>
      </c>
      <c r="AL304" s="292">
        <f t="shared" si="254"/>
        <v>0</v>
      </c>
      <c r="AM304" s="292">
        <f t="shared" si="255"/>
        <v>0</v>
      </c>
      <c r="AN304" s="292">
        <f t="shared" si="256"/>
        <v>0</v>
      </c>
      <c r="AO304" s="292">
        <f t="shared" si="257"/>
        <v>0</v>
      </c>
      <c r="AP304" s="292">
        <f t="shared" si="258"/>
        <v>0</v>
      </c>
      <c r="AQ304" s="292">
        <f t="shared" si="259"/>
        <v>0</v>
      </c>
      <c r="AR304" s="292">
        <f t="shared" si="232"/>
        <v>0</v>
      </c>
      <c r="AS304" s="292">
        <f t="shared" si="233"/>
        <v>0</v>
      </c>
      <c r="AT304" s="292">
        <f t="shared" si="260"/>
        <v>0</v>
      </c>
      <c r="AU304" s="292">
        <f t="shared" si="261"/>
        <v>0</v>
      </c>
      <c r="AV304" s="292">
        <f t="shared" si="262"/>
        <v>0</v>
      </c>
      <c r="AW304" s="292">
        <f t="shared" si="263"/>
        <v>0</v>
      </c>
      <c r="AX304" s="292">
        <f t="shared" si="234"/>
        <v>0</v>
      </c>
      <c r="AY304" s="292">
        <f t="shared" si="235"/>
        <v>0</v>
      </c>
      <c r="AZ304" s="292">
        <f t="shared" si="236"/>
        <v>0</v>
      </c>
      <c r="BA304" s="292">
        <f t="shared" si="237"/>
        <v>0</v>
      </c>
    </row>
    <row r="305" spans="1:53" s="289" customFormat="1" ht="16.5" customHeight="1">
      <c r="A305" s="63" t="str">
        <f t="array" ref="A305">IF(C305&lt;&gt;0,SUM(($C$11:C305&lt;&gt;0)*1),"")</f>
        <v/>
      </c>
      <c r="B305" s="290"/>
      <c r="C305" s="290"/>
      <c r="D305" s="290"/>
      <c r="E305" s="396"/>
      <c r="F305" s="345"/>
      <c r="G305" s="347"/>
      <c r="H305" s="347"/>
      <c r="I305" s="63" t="str">
        <f t="shared" ref="I305:I347" si="264">A305</f>
        <v/>
      </c>
      <c r="J305" s="292">
        <f t="shared" si="226"/>
        <v>0</v>
      </c>
      <c r="K305" s="292">
        <f t="shared" si="227"/>
        <v>0</v>
      </c>
      <c r="L305" s="292">
        <f t="shared" si="238"/>
        <v>0</v>
      </c>
      <c r="M305" s="292">
        <f t="shared" si="239"/>
        <v>0</v>
      </c>
      <c r="N305" s="292">
        <f t="shared" si="220"/>
        <v>0</v>
      </c>
      <c r="O305" s="292">
        <f t="shared" si="221"/>
        <v>0</v>
      </c>
      <c r="P305" s="292">
        <f t="shared" si="240"/>
        <v>0</v>
      </c>
      <c r="Q305" s="292">
        <f t="shared" si="241"/>
        <v>0</v>
      </c>
      <c r="R305" s="292">
        <f t="shared" si="242"/>
        <v>0</v>
      </c>
      <c r="S305" s="292">
        <f t="shared" si="243"/>
        <v>0</v>
      </c>
      <c r="T305" s="292">
        <f t="shared" si="222"/>
        <v>0</v>
      </c>
      <c r="U305" s="292">
        <f t="shared" si="223"/>
        <v>0</v>
      </c>
      <c r="V305" s="292">
        <f t="shared" si="244"/>
        <v>0</v>
      </c>
      <c r="W305" s="292">
        <f t="shared" si="245"/>
        <v>0</v>
      </c>
      <c r="X305" s="292">
        <f t="shared" si="246"/>
        <v>0</v>
      </c>
      <c r="Y305" s="292">
        <f t="shared" si="247"/>
        <v>0</v>
      </c>
      <c r="Z305" s="292">
        <f t="shared" si="228"/>
        <v>0</v>
      </c>
      <c r="AA305" s="292">
        <f t="shared" si="229"/>
        <v>0</v>
      </c>
      <c r="AB305" s="292">
        <f t="shared" si="248"/>
        <v>0</v>
      </c>
      <c r="AC305" s="292">
        <f t="shared" si="249"/>
        <v>0</v>
      </c>
      <c r="AD305" s="292">
        <f t="shared" si="230"/>
        <v>0</v>
      </c>
      <c r="AE305" s="292">
        <f t="shared" si="231"/>
        <v>0</v>
      </c>
      <c r="AF305" s="292">
        <f t="shared" si="224"/>
        <v>0</v>
      </c>
      <c r="AG305" s="292">
        <f t="shared" si="225"/>
        <v>0</v>
      </c>
      <c r="AH305" s="292">
        <f t="shared" si="250"/>
        <v>0</v>
      </c>
      <c r="AI305" s="292">
        <f t="shared" si="251"/>
        <v>0</v>
      </c>
      <c r="AJ305" s="292">
        <f t="shared" si="252"/>
        <v>0</v>
      </c>
      <c r="AK305" s="292">
        <f t="shared" si="253"/>
        <v>0</v>
      </c>
      <c r="AL305" s="292">
        <f t="shared" si="254"/>
        <v>0</v>
      </c>
      <c r="AM305" s="292">
        <f t="shared" si="255"/>
        <v>0</v>
      </c>
      <c r="AN305" s="292">
        <f t="shared" si="256"/>
        <v>0</v>
      </c>
      <c r="AO305" s="292">
        <f t="shared" si="257"/>
        <v>0</v>
      </c>
      <c r="AP305" s="292">
        <f t="shared" si="258"/>
        <v>0</v>
      </c>
      <c r="AQ305" s="292">
        <f t="shared" si="259"/>
        <v>0</v>
      </c>
      <c r="AR305" s="292">
        <f t="shared" si="232"/>
        <v>0</v>
      </c>
      <c r="AS305" s="292">
        <f t="shared" si="233"/>
        <v>0</v>
      </c>
      <c r="AT305" s="292">
        <f t="shared" si="260"/>
        <v>0</v>
      </c>
      <c r="AU305" s="292">
        <f t="shared" si="261"/>
        <v>0</v>
      </c>
      <c r="AV305" s="292">
        <f t="shared" si="262"/>
        <v>0</v>
      </c>
      <c r="AW305" s="292">
        <f t="shared" si="263"/>
        <v>0</v>
      </c>
      <c r="AX305" s="292">
        <f t="shared" si="234"/>
        <v>0</v>
      </c>
      <c r="AY305" s="292">
        <f t="shared" si="235"/>
        <v>0</v>
      </c>
      <c r="AZ305" s="292">
        <f t="shared" si="236"/>
        <v>0</v>
      </c>
      <c r="BA305" s="292">
        <f t="shared" si="237"/>
        <v>0</v>
      </c>
    </row>
    <row r="306" spans="1:53" s="289" customFormat="1" ht="16.5" customHeight="1">
      <c r="A306" s="63" t="str">
        <f t="array" ref="A306">IF(C306&lt;&gt;0,SUM(($C$11:C306&lt;&gt;0)*1),"")</f>
        <v/>
      </c>
      <c r="B306" s="290"/>
      <c r="C306" s="290"/>
      <c r="D306" s="290"/>
      <c r="E306" s="396"/>
      <c r="F306" s="345"/>
      <c r="G306" s="347"/>
      <c r="H306" s="347"/>
      <c r="I306" s="63" t="str">
        <f t="shared" si="264"/>
        <v/>
      </c>
      <c r="J306" s="292">
        <f t="shared" si="226"/>
        <v>0</v>
      </c>
      <c r="K306" s="292">
        <f t="shared" si="227"/>
        <v>0</v>
      </c>
      <c r="L306" s="292">
        <f t="shared" si="238"/>
        <v>0</v>
      </c>
      <c r="M306" s="292">
        <f t="shared" si="239"/>
        <v>0</v>
      </c>
      <c r="N306" s="292">
        <f t="shared" si="220"/>
        <v>0</v>
      </c>
      <c r="O306" s="292">
        <f t="shared" si="221"/>
        <v>0</v>
      </c>
      <c r="P306" s="292">
        <f t="shared" si="240"/>
        <v>0</v>
      </c>
      <c r="Q306" s="292">
        <f t="shared" si="241"/>
        <v>0</v>
      </c>
      <c r="R306" s="292">
        <f t="shared" si="242"/>
        <v>0</v>
      </c>
      <c r="S306" s="292">
        <f t="shared" si="243"/>
        <v>0</v>
      </c>
      <c r="T306" s="292">
        <f t="shared" si="222"/>
        <v>0</v>
      </c>
      <c r="U306" s="292">
        <f t="shared" si="223"/>
        <v>0</v>
      </c>
      <c r="V306" s="292">
        <f t="shared" si="244"/>
        <v>0</v>
      </c>
      <c r="W306" s="292">
        <f t="shared" si="245"/>
        <v>0</v>
      </c>
      <c r="X306" s="292">
        <f t="shared" si="246"/>
        <v>0</v>
      </c>
      <c r="Y306" s="292">
        <f t="shared" si="247"/>
        <v>0</v>
      </c>
      <c r="Z306" s="292">
        <f t="shared" si="228"/>
        <v>0</v>
      </c>
      <c r="AA306" s="292">
        <f t="shared" si="229"/>
        <v>0</v>
      </c>
      <c r="AB306" s="292">
        <f t="shared" si="248"/>
        <v>0</v>
      </c>
      <c r="AC306" s="292">
        <f t="shared" si="249"/>
        <v>0</v>
      </c>
      <c r="AD306" s="292">
        <f t="shared" si="230"/>
        <v>0</v>
      </c>
      <c r="AE306" s="292">
        <f t="shared" si="231"/>
        <v>0</v>
      </c>
      <c r="AF306" s="292">
        <f t="shared" si="224"/>
        <v>0</v>
      </c>
      <c r="AG306" s="292">
        <f t="shared" si="225"/>
        <v>0</v>
      </c>
      <c r="AH306" s="292">
        <f t="shared" si="250"/>
        <v>0</v>
      </c>
      <c r="AI306" s="292">
        <f t="shared" si="251"/>
        <v>0</v>
      </c>
      <c r="AJ306" s="292">
        <f t="shared" si="252"/>
        <v>0</v>
      </c>
      <c r="AK306" s="292">
        <f t="shared" si="253"/>
        <v>0</v>
      </c>
      <c r="AL306" s="292">
        <f t="shared" si="254"/>
        <v>0</v>
      </c>
      <c r="AM306" s="292">
        <f t="shared" si="255"/>
        <v>0</v>
      </c>
      <c r="AN306" s="292">
        <f t="shared" si="256"/>
        <v>0</v>
      </c>
      <c r="AO306" s="292">
        <f t="shared" si="257"/>
        <v>0</v>
      </c>
      <c r="AP306" s="292">
        <f t="shared" si="258"/>
        <v>0</v>
      </c>
      <c r="AQ306" s="292">
        <f t="shared" si="259"/>
        <v>0</v>
      </c>
      <c r="AR306" s="292">
        <f t="shared" si="232"/>
        <v>0</v>
      </c>
      <c r="AS306" s="292">
        <f t="shared" si="233"/>
        <v>0</v>
      </c>
      <c r="AT306" s="292">
        <f t="shared" si="260"/>
        <v>0</v>
      </c>
      <c r="AU306" s="292">
        <f t="shared" si="261"/>
        <v>0</v>
      </c>
      <c r="AV306" s="292">
        <f t="shared" si="262"/>
        <v>0</v>
      </c>
      <c r="AW306" s="292">
        <f t="shared" si="263"/>
        <v>0</v>
      </c>
      <c r="AX306" s="292">
        <f t="shared" si="234"/>
        <v>0</v>
      </c>
      <c r="AY306" s="292">
        <f t="shared" si="235"/>
        <v>0</v>
      </c>
      <c r="AZ306" s="292">
        <f t="shared" si="236"/>
        <v>0</v>
      </c>
      <c r="BA306" s="292">
        <f t="shared" si="237"/>
        <v>0</v>
      </c>
    </row>
    <row r="307" spans="1:53" s="289" customFormat="1" ht="16.5" customHeight="1">
      <c r="A307" s="63" t="str">
        <f t="array" ref="A307">IF(C307&lt;&gt;0,SUM(($C$11:C307&lt;&gt;0)*1),"")</f>
        <v/>
      </c>
      <c r="B307" s="290"/>
      <c r="C307" s="290"/>
      <c r="D307" s="290"/>
      <c r="E307" s="396"/>
      <c r="F307" s="345"/>
      <c r="G307" s="347"/>
      <c r="H307" s="347"/>
      <c r="I307" s="63" t="str">
        <f t="shared" si="264"/>
        <v/>
      </c>
      <c r="J307" s="292">
        <f t="shared" si="226"/>
        <v>0</v>
      </c>
      <c r="K307" s="292">
        <f t="shared" si="227"/>
        <v>0</v>
      </c>
      <c r="L307" s="292">
        <f t="shared" si="238"/>
        <v>0</v>
      </c>
      <c r="M307" s="292">
        <f t="shared" si="239"/>
        <v>0</v>
      </c>
      <c r="N307" s="292">
        <f t="shared" si="220"/>
        <v>0</v>
      </c>
      <c r="O307" s="292">
        <f t="shared" si="221"/>
        <v>0</v>
      </c>
      <c r="P307" s="292">
        <f t="shared" si="240"/>
        <v>0</v>
      </c>
      <c r="Q307" s="292">
        <f t="shared" si="241"/>
        <v>0</v>
      </c>
      <c r="R307" s="292">
        <f t="shared" si="242"/>
        <v>0</v>
      </c>
      <c r="S307" s="292">
        <f t="shared" si="243"/>
        <v>0</v>
      </c>
      <c r="T307" s="292">
        <f t="shared" si="222"/>
        <v>0</v>
      </c>
      <c r="U307" s="292">
        <f t="shared" si="223"/>
        <v>0</v>
      </c>
      <c r="V307" s="292">
        <f t="shared" si="244"/>
        <v>0</v>
      </c>
      <c r="W307" s="292">
        <f t="shared" si="245"/>
        <v>0</v>
      </c>
      <c r="X307" s="292">
        <f t="shared" si="246"/>
        <v>0</v>
      </c>
      <c r="Y307" s="292">
        <f t="shared" si="247"/>
        <v>0</v>
      </c>
      <c r="Z307" s="292">
        <f t="shared" si="228"/>
        <v>0</v>
      </c>
      <c r="AA307" s="292">
        <f t="shared" si="229"/>
        <v>0</v>
      </c>
      <c r="AB307" s="292">
        <f t="shared" si="248"/>
        <v>0</v>
      </c>
      <c r="AC307" s="292">
        <f t="shared" si="249"/>
        <v>0</v>
      </c>
      <c r="AD307" s="292">
        <f t="shared" si="230"/>
        <v>0</v>
      </c>
      <c r="AE307" s="292">
        <f t="shared" si="231"/>
        <v>0</v>
      </c>
      <c r="AF307" s="292">
        <f t="shared" si="224"/>
        <v>0</v>
      </c>
      <c r="AG307" s="292">
        <f t="shared" si="225"/>
        <v>0</v>
      </c>
      <c r="AH307" s="292">
        <f t="shared" si="250"/>
        <v>0</v>
      </c>
      <c r="AI307" s="292">
        <f t="shared" si="251"/>
        <v>0</v>
      </c>
      <c r="AJ307" s="292">
        <f t="shared" si="252"/>
        <v>0</v>
      </c>
      <c r="AK307" s="292">
        <f t="shared" si="253"/>
        <v>0</v>
      </c>
      <c r="AL307" s="292">
        <f t="shared" si="254"/>
        <v>0</v>
      </c>
      <c r="AM307" s="292">
        <f t="shared" si="255"/>
        <v>0</v>
      </c>
      <c r="AN307" s="292">
        <f t="shared" si="256"/>
        <v>0</v>
      </c>
      <c r="AO307" s="292">
        <f t="shared" si="257"/>
        <v>0</v>
      </c>
      <c r="AP307" s="292">
        <f t="shared" si="258"/>
        <v>0</v>
      </c>
      <c r="AQ307" s="292">
        <f t="shared" si="259"/>
        <v>0</v>
      </c>
      <c r="AR307" s="292">
        <f t="shared" si="232"/>
        <v>0</v>
      </c>
      <c r="AS307" s="292">
        <f t="shared" si="233"/>
        <v>0</v>
      </c>
      <c r="AT307" s="292">
        <f t="shared" si="260"/>
        <v>0</v>
      </c>
      <c r="AU307" s="292">
        <f t="shared" si="261"/>
        <v>0</v>
      </c>
      <c r="AV307" s="292">
        <f t="shared" si="262"/>
        <v>0</v>
      </c>
      <c r="AW307" s="292">
        <f t="shared" si="263"/>
        <v>0</v>
      </c>
      <c r="AX307" s="292">
        <f t="shared" si="234"/>
        <v>0</v>
      </c>
      <c r="AY307" s="292">
        <f t="shared" si="235"/>
        <v>0</v>
      </c>
      <c r="AZ307" s="292">
        <f t="shared" si="236"/>
        <v>0</v>
      </c>
      <c r="BA307" s="292">
        <f t="shared" si="237"/>
        <v>0</v>
      </c>
    </row>
    <row r="308" spans="1:53" s="289" customFormat="1" ht="16.5" customHeight="1">
      <c r="A308" s="63" t="str">
        <f t="array" ref="A308">IF(C308&lt;&gt;0,SUM(($C$11:C308&lt;&gt;0)*1),"")</f>
        <v/>
      </c>
      <c r="B308" s="290"/>
      <c r="C308" s="290"/>
      <c r="D308" s="290"/>
      <c r="E308" s="396"/>
      <c r="F308" s="345"/>
      <c r="G308" s="347"/>
      <c r="H308" s="347"/>
      <c r="I308" s="63" t="str">
        <f t="shared" si="264"/>
        <v/>
      </c>
      <c r="J308" s="292">
        <f t="shared" si="226"/>
        <v>0</v>
      </c>
      <c r="K308" s="292">
        <f t="shared" si="227"/>
        <v>0</v>
      </c>
      <c r="L308" s="292">
        <f t="shared" si="238"/>
        <v>0</v>
      </c>
      <c r="M308" s="292">
        <f t="shared" si="239"/>
        <v>0</v>
      </c>
      <c r="N308" s="292">
        <f t="shared" si="220"/>
        <v>0</v>
      </c>
      <c r="O308" s="292">
        <f t="shared" si="221"/>
        <v>0</v>
      </c>
      <c r="P308" s="292">
        <f t="shared" si="240"/>
        <v>0</v>
      </c>
      <c r="Q308" s="292">
        <f t="shared" si="241"/>
        <v>0</v>
      </c>
      <c r="R308" s="292">
        <f t="shared" si="242"/>
        <v>0</v>
      </c>
      <c r="S308" s="292">
        <f t="shared" si="243"/>
        <v>0</v>
      </c>
      <c r="T308" s="292">
        <f t="shared" si="222"/>
        <v>0</v>
      </c>
      <c r="U308" s="292">
        <f t="shared" si="223"/>
        <v>0</v>
      </c>
      <c r="V308" s="292">
        <f t="shared" si="244"/>
        <v>0</v>
      </c>
      <c r="W308" s="292">
        <f t="shared" si="245"/>
        <v>0</v>
      </c>
      <c r="X308" s="292">
        <f t="shared" si="246"/>
        <v>0</v>
      </c>
      <c r="Y308" s="292">
        <f t="shared" si="247"/>
        <v>0</v>
      </c>
      <c r="Z308" s="292">
        <f t="shared" si="228"/>
        <v>0</v>
      </c>
      <c r="AA308" s="292">
        <f t="shared" si="229"/>
        <v>0</v>
      </c>
      <c r="AB308" s="292">
        <f t="shared" si="248"/>
        <v>0</v>
      </c>
      <c r="AC308" s="292">
        <f t="shared" si="249"/>
        <v>0</v>
      </c>
      <c r="AD308" s="292">
        <f t="shared" si="230"/>
        <v>0</v>
      </c>
      <c r="AE308" s="292">
        <f t="shared" si="231"/>
        <v>0</v>
      </c>
      <c r="AF308" s="292">
        <f t="shared" si="224"/>
        <v>0</v>
      </c>
      <c r="AG308" s="292">
        <f t="shared" si="225"/>
        <v>0</v>
      </c>
      <c r="AH308" s="292">
        <f t="shared" si="250"/>
        <v>0</v>
      </c>
      <c r="AI308" s="292">
        <f t="shared" si="251"/>
        <v>0</v>
      </c>
      <c r="AJ308" s="292">
        <f t="shared" si="252"/>
        <v>0</v>
      </c>
      <c r="AK308" s="292">
        <f t="shared" si="253"/>
        <v>0</v>
      </c>
      <c r="AL308" s="292">
        <f t="shared" si="254"/>
        <v>0</v>
      </c>
      <c r="AM308" s="292">
        <f t="shared" si="255"/>
        <v>0</v>
      </c>
      <c r="AN308" s="292">
        <f t="shared" si="256"/>
        <v>0</v>
      </c>
      <c r="AO308" s="292">
        <f t="shared" si="257"/>
        <v>0</v>
      </c>
      <c r="AP308" s="292">
        <f t="shared" si="258"/>
        <v>0</v>
      </c>
      <c r="AQ308" s="292">
        <f t="shared" si="259"/>
        <v>0</v>
      </c>
      <c r="AR308" s="292">
        <f t="shared" si="232"/>
        <v>0</v>
      </c>
      <c r="AS308" s="292">
        <f t="shared" si="233"/>
        <v>0</v>
      </c>
      <c r="AT308" s="292">
        <f t="shared" si="260"/>
        <v>0</v>
      </c>
      <c r="AU308" s="292">
        <f t="shared" si="261"/>
        <v>0</v>
      </c>
      <c r="AV308" s="292">
        <f t="shared" si="262"/>
        <v>0</v>
      </c>
      <c r="AW308" s="292">
        <f t="shared" si="263"/>
        <v>0</v>
      </c>
      <c r="AX308" s="292">
        <f t="shared" si="234"/>
        <v>0</v>
      </c>
      <c r="AY308" s="292">
        <f t="shared" si="235"/>
        <v>0</v>
      </c>
      <c r="AZ308" s="292">
        <f t="shared" si="236"/>
        <v>0</v>
      </c>
      <c r="BA308" s="292">
        <f t="shared" si="237"/>
        <v>0</v>
      </c>
    </row>
    <row r="309" spans="1:53" s="289" customFormat="1" ht="16.5" customHeight="1">
      <c r="A309" s="63" t="str">
        <f t="array" ref="A309">IF(C309&lt;&gt;0,SUM(($C$11:C309&lt;&gt;0)*1),"")</f>
        <v/>
      </c>
      <c r="B309" s="290"/>
      <c r="C309" s="290"/>
      <c r="D309" s="290"/>
      <c r="E309" s="396"/>
      <c r="F309" s="345"/>
      <c r="G309" s="347"/>
      <c r="H309" s="347"/>
      <c r="I309" s="63" t="str">
        <f t="shared" si="264"/>
        <v/>
      </c>
      <c r="J309" s="292">
        <f t="shared" si="226"/>
        <v>0</v>
      </c>
      <c r="K309" s="292">
        <f t="shared" si="227"/>
        <v>0</v>
      </c>
      <c r="L309" s="292">
        <f t="shared" si="238"/>
        <v>0</v>
      </c>
      <c r="M309" s="292">
        <f t="shared" si="239"/>
        <v>0</v>
      </c>
      <c r="N309" s="292">
        <f t="shared" si="220"/>
        <v>0</v>
      </c>
      <c r="O309" s="292">
        <f t="shared" si="221"/>
        <v>0</v>
      </c>
      <c r="P309" s="292">
        <f t="shared" si="240"/>
        <v>0</v>
      </c>
      <c r="Q309" s="292">
        <f t="shared" si="241"/>
        <v>0</v>
      </c>
      <c r="R309" s="292">
        <f t="shared" si="242"/>
        <v>0</v>
      </c>
      <c r="S309" s="292">
        <f t="shared" si="243"/>
        <v>0</v>
      </c>
      <c r="T309" s="292">
        <f t="shared" si="222"/>
        <v>0</v>
      </c>
      <c r="U309" s="292">
        <f t="shared" si="223"/>
        <v>0</v>
      </c>
      <c r="V309" s="292">
        <f t="shared" si="244"/>
        <v>0</v>
      </c>
      <c r="W309" s="292">
        <f t="shared" si="245"/>
        <v>0</v>
      </c>
      <c r="X309" s="292">
        <f t="shared" si="246"/>
        <v>0</v>
      </c>
      <c r="Y309" s="292">
        <f t="shared" si="247"/>
        <v>0</v>
      </c>
      <c r="Z309" s="292">
        <f t="shared" si="228"/>
        <v>0</v>
      </c>
      <c r="AA309" s="292">
        <f t="shared" si="229"/>
        <v>0</v>
      </c>
      <c r="AB309" s="292">
        <f t="shared" si="248"/>
        <v>0</v>
      </c>
      <c r="AC309" s="292">
        <f t="shared" si="249"/>
        <v>0</v>
      </c>
      <c r="AD309" s="292">
        <f t="shared" si="230"/>
        <v>0</v>
      </c>
      <c r="AE309" s="292">
        <f t="shared" si="231"/>
        <v>0</v>
      </c>
      <c r="AF309" s="292">
        <f t="shared" si="224"/>
        <v>0</v>
      </c>
      <c r="AG309" s="292">
        <f t="shared" si="225"/>
        <v>0</v>
      </c>
      <c r="AH309" s="292">
        <f t="shared" si="250"/>
        <v>0</v>
      </c>
      <c r="AI309" s="292">
        <f t="shared" si="251"/>
        <v>0</v>
      </c>
      <c r="AJ309" s="292">
        <f t="shared" si="252"/>
        <v>0</v>
      </c>
      <c r="AK309" s="292">
        <f t="shared" si="253"/>
        <v>0</v>
      </c>
      <c r="AL309" s="292">
        <f t="shared" si="254"/>
        <v>0</v>
      </c>
      <c r="AM309" s="292">
        <f t="shared" si="255"/>
        <v>0</v>
      </c>
      <c r="AN309" s="292">
        <f t="shared" si="256"/>
        <v>0</v>
      </c>
      <c r="AO309" s="292">
        <f t="shared" si="257"/>
        <v>0</v>
      </c>
      <c r="AP309" s="292">
        <f t="shared" si="258"/>
        <v>0</v>
      </c>
      <c r="AQ309" s="292">
        <f t="shared" si="259"/>
        <v>0</v>
      </c>
      <c r="AR309" s="292">
        <f t="shared" si="232"/>
        <v>0</v>
      </c>
      <c r="AS309" s="292">
        <f t="shared" si="233"/>
        <v>0</v>
      </c>
      <c r="AT309" s="292">
        <f t="shared" si="260"/>
        <v>0</v>
      </c>
      <c r="AU309" s="292">
        <f t="shared" si="261"/>
        <v>0</v>
      </c>
      <c r="AV309" s="292">
        <f t="shared" si="262"/>
        <v>0</v>
      </c>
      <c r="AW309" s="292">
        <f t="shared" si="263"/>
        <v>0</v>
      </c>
      <c r="AX309" s="292">
        <f t="shared" si="234"/>
        <v>0</v>
      </c>
      <c r="AY309" s="292">
        <f t="shared" si="235"/>
        <v>0</v>
      </c>
      <c r="AZ309" s="292">
        <f t="shared" si="236"/>
        <v>0</v>
      </c>
      <c r="BA309" s="292">
        <f t="shared" si="237"/>
        <v>0</v>
      </c>
    </row>
    <row r="310" spans="1:53" s="289" customFormat="1" ht="16.5" customHeight="1">
      <c r="A310" s="63" t="str">
        <f t="array" ref="A310">IF(C310&lt;&gt;0,SUM(($C$11:C310&lt;&gt;0)*1),"")</f>
        <v/>
      </c>
      <c r="B310" s="290"/>
      <c r="C310" s="290"/>
      <c r="D310" s="290"/>
      <c r="E310" s="396"/>
      <c r="F310" s="345"/>
      <c r="G310" s="347"/>
      <c r="H310" s="347"/>
      <c r="I310" s="63" t="str">
        <f t="shared" si="264"/>
        <v/>
      </c>
      <c r="J310" s="292">
        <f t="shared" si="226"/>
        <v>0</v>
      </c>
      <c r="K310" s="292">
        <f t="shared" si="227"/>
        <v>0</v>
      </c>
      <c r="L310" s="292">
        <f t="shared" si="238"/>
        <v>0</v>
      </c>
      <c r="M310" s="292">
        <f t="shared" si="239"/>
        <v>0</v>
      </c>
      <c r="N310" s="292">
        <f t="shared" si="220"/>
        <v>0</v>
      </c>
      <c r="O310" s="292">
        <f t="shared" si="221"/>
        <v>0</v>
      </c>
      <c r="P310" s="292">
        <f t="shared" si="240"/>
        <v>0</v>
      </c>
      <c r="Q310" s="292">
        <f t="shared" si="241"/>
        <v>0</v>
      </c>
      <c r="R310" s="292">
        <f t="shared" si="242"/>
        <v>0</v>
      </c>
      <c r="S310" s="292">
        <f t="shared" si="243"/>
        <v>0</v>
      </c>
      <c r="T310" s="292">
        <f t="shared" si="222"/>
        <v>0</v>
      </c>
      <c r="U310" s="292">
        <f t="shared" si="223"/>
        <v>0</v>
      </c>
      <c r="V310" s="292">
        <f t="shared" si="244"/>
        <v>0</v>
      </c>
      <c r="W310" s="292">
        <f t="shared" si="245"/>
        <v>0</v>
      </c>
      <c r="X310" s="292">
        <f t="shared" si="246"/>
        <v>0</v>
      </c>
      <c r="Y310" s="292">
        <f t="shared" si="247"/>
        <v>0</v>
      </c>
      <c r="Z310" s="292">
        <f t="shared" si="228"/>
        <v>0</v>
      </c>
      <c r="AA310" s="292">
        <f t="shared" si="229"/>
        <v>0</v>
      </c>
      <c r="AB310" s="292">
        <f t="shared" si="248"/>
        <v>0</v>
      </c>
      <c r="AC310" s="292">
        <f t="shared" si="249"/>
        <v>0</v>
      </c>
      <c r="AD310" s="292">
        <f t="shared" si="230"/>
        <v>0</v>
      </c>
      <c r="AE310" s="292">
        <f t="shared" si="231"/>
        <v>0</v>
      </c>
      <c r="AF310" s="292">
        <f t="shared" si="224"/>
        <v>0</v>
      </c>
      <c r="AG310" s="292">
        <f t="shared" si="225"/>
        <v>0</v>
      </c>
      <c r="AH310" s="292">
        <f t="shared" si="250"/>
        <v>0</v>
      </c>
      <c r="AI310" s="292">
        <f t="shared" si="251"/>
        <v>0</v>
      </c>
      <c r="AJ310" s="292">
        <f t="shared" si="252"/>
        <v>0</v>
      </c>
      <c r="AK310" s="292">
        <f t="shared" si="253"/>
        <v>0</v>
      </c>
      <c r="AL310" s="292">
        <f t="shared" si="254"/>
        <v>0</v>
      </c>
      <c r="AM310" s="292">
        <f t="shared" si="255"/>
        <v>0</v>
      </c>
      <c r="AN310" s="292">
        <f t="shared" si="256"/>
        <v>0</v>
      </c>
      <c r="AO310" s="292">
        <f t="shared" si="257"/>
        <v>0</v>
      </c>
      <c r="AP310" s="292">
        <f t="shared" si="258"/>
        <v>0</v>
      </c>
      <c r="AQ310" s="292">
        <f t="shared" si="259"/>
        <v>0</v>
      </c>
      <c r="AR310" s="292">
        <f t="shared" si="232"/>
        <v>0</v>
      </c>
      <c r="AS310" s="292">
        <f t="shared" si="233"/>
        <v>0</v>
      </c>
      <c r="AT310" s="292">
        <f t="shared" si="260"/>
        <v>0</v>
      </c>
      <c r="AU310" s="292">
        <f t="shared" si="261"/>
        <v>0</v>
      </c>
      <c r="AV310" s="292">
        <f t="shared" si="262"/>
        <v>0</v>
      </c>
      <c r="AW310" s="292">
        <f t="shared" si="263"/>
        <v>0</v>
      </c>
      <c r="AX310" s="292">
        <f t="shared" si="234"/>
        <v>0</v>
      </c>
      <c r="AY310" s="292">
        <f t="shared" si="235"/>
        <v>0</v>
      </c>
      <c r="AZ310" s="292">
        <f t="shared" si="236"/>
        <v>0</v>
      </c>
      <c r="BA310" s="292">
        <f t="shared" si="237"/>
        <v>0</v>
      </c>
    </row>
    <row r="311" spans="1:53" s="289" customFormat="1" ht="16.5" customHeight="1">
      <c r="A311" s="63" t="str">
        <f t="array" ref="A311">IF(C311&lt;&gt;0,SUM(($C$11:C311&lt;&gt;0)*1),"")</f>
        <v/>
      </c>
      <c r="B311" s="290"/>
      <c r="C311" s="290"/>
      <c r="D311" s="290"/>
      <c r="E311" s="396"/>
      <c r="F311" s="345"/>
      <c r="G311" s="347"/>
      <c r="H311" s="347"/>
      <c r="I311" s="63" t="str">
        <f t="shared" si="264"/>
        <v/>
      </c>
      <c r="J311" s="292">
        <f t="shared" si="226"/>
        <v>0</v>
      </c>
      <c r="K311" s="292">
        <f t="shared" si="227"/>
        <v>0</v>
      </c>
      <c r="L311" s="292">
        <f t="shared" si="238"/>
        <v>0</v>
      </c>
      <c r="M311" s="292">
        <f t="shared" si="239"/>
        <v>0</v>
      </c>
      <c r="N311" s="292">
        <f t="shared" si="220"/>
        <v>0</v>
      </c>
      <c r="O311" s="292">
        <f t="shared" si="221"/>
        <v>0</v>
      </c>
      <c r="P311" s="292">
        <f t="shared" si="240"/>
        <v>0</v>
      </c>
      <c r="Q311" s="292">
        <f t="shared" si="241"/>
        <v>0</v>
      </c>
      <c r="R311" s="292">
        <f t="shared" si="242"/>
        <v>0</v>
      </c>
      <c r="S311" s="292">
        <f t="shared" si="243"/>
        <v>0</v>
      </c>
      <c r="T311" s="292">
        <f t="shared" si="222"/>
        <v>0</v>
      </c>
      <c r="U311" s="292">
        <f t="shared" si="223"/>
        <v>0</v>
      </c>
      <c r="V311" s="292">
        <f t="shared" si="244"/>
        <v>0</v>
      </c>
      <c r="W311" s="292">
        <f t="shared" si="245"/>
        <v>0</v>
      </c>
      <c r="X311" s="292">
        <f t="shared" si="246"/>
        <v>0</v>
      </c>
      <c r="Y311" s="292">
        <f t="shared" si="247"/>
        <v>0</v>
      </c>
      <c r="Z311" s="292">
        <f t="shared" si="228"/>
        <v>0</v>
      </c>
      <c r="AA311" s="292">
        <f t="shared" si="229"/>
        <v>0</v>
      </c>
      <c r="AB311" s="292">
        <f t="shared" si="248"/>
        <v>0</v>
      </c>
      <c r="AC311" s="292">
        <f t="shared" si="249"/>
        <v>0</v>
      </c>
      <c r="AD311" s="292">
        <f t="shared" si="230"/>
        <v>0</v>
      </c>
      <c r="AE311" s="292">
        <f t="shared" si="231"/>
        <v>0</v>
      </c>
      <c r="AF311" s="292">
        <f t="shared" si="224"/>
        <v>0</v>
      </c>
      <c r="AG311" s="292">
        <f t="shared" si="225"/>
        <v>0</v>
      </c>
      <c r="AH311" s="292">
        <f t="shared" si="250"/>
        <v>0</v>
      </c>
      <c r="AI311" s="292">
        <f t="shared" si="251"/>
        <v>0</v>
      </c>
      <c r="AJ311" s="292">
        <f t="shared" si="252"/>
        <v>0</v>
      </c>
      <c r="AK311" s="292">
        <f t="shared" si="253"/>
        <v>0</v>
      </c>
      <c r="AL311" s="292">
        <f t="shared" si="254"/>
        <v>0</v>
      </c>
      <c r="AM311" s="292">
        <f t="shared" si="255"/>
        <v>0</v>
      </c>
      <c r="AN311" s="292">
        <f t="shared" si="256"/>
        <v>0</v>
      </c>
      <c r="AO311" s="292">
        <f t="shared" si="257"/>
        <v>0</v>
      </c>
      <c r="AP311" s="292">
        <f t="shared" si="258"/>
        <v>0</v>
      </c>
      <c r="AQ311" s="292">
        <f t="shared" si="259"/>
        <v>0</v>
      </c>
      <c r="AR311" s="292">
        <f t="shared" si="232"/>
        <v>0</v>
      </c>
      <c r="AS311" s="292">
        <f t="shared" si="233"/>
        <v>0</v>
      </c>
      <c r="AT311" s="292">
        <f t="shared" si="260"/>
        <v>0</v>
      </c>
      <c r="AU311" s="292">
        <f t="shared" si="261"/>
        <v>0</v>
      </c>
      <c r="AV311" s="292">
        <f t="shared" si="262"/>
        <v>0</v>
      </c>
      <c r="AW311" s="292">
        <f t="shared" si="263"/>
        <v>0</v>
      </c>
      <c r="AX311" s="292">
        <f t="shared" si="234"/>
        <v>0</v>
      </c>
      <c r="AY311" s="292">
        <f t="shared" si="235"/>
        <v>0</v>
      </c>
      <c r="AZ311" s="292">
        <f t="shared" si="236"/>
        <v>0</v>
      </c>
      <c r="BA311" s="292">
        <f t="shared" si="237"/>
        <v>0</v>
      </c>
    </row>
    <row r="312" spans="1:53" s="289" customFormat="1" ht="16.5" customHeight="1">
      <c r="A312" s="63" t="str">
        <f t="array" ref="A312">IF(C312&lt;&gt;0,SUM(($C$11:C312&lt;&gt;0)*1),"")</f>
        <v/>
      </c>
      <c r="B312" s="290"/>
      <c r="C312" s="290"/>
      <c r="D312" s="290"/>
      <c r="E312" s="396"/>
      <c r="F312" s="345"/>
      <c r="G312" s="347"/>
      <c r="H312" s="347"/>
      <c r="I312" s="63" t="str">
        <f t="shared" si="264"/>
        <v/>
      </c>
      <c r="J312" s="292">
        <f t="shared" si="226"/>
        <v>0</v>
      </c>
      <c r="K312" s="292">
        <f t="shared" si="227"/>
        <v>0</v>
      </c>
      <c r="L312" s="292">
        <f t="shared" si="238"/>
        <v>0</v>
      </c>
      <c r="M312" s="292">
        <f t="shared" si="239"/>
        <v>0</v>
      </c>
      <c r="N312" s="292">
        <f t="shared" si="220"/>
        <v>0</v>
      </c>
      <c r="O312" s="292">
        <f t="shared" si="221"/>
        <v>0</v>
      </c>
      <c r="P312" s="292">
        <f t="shared" si="240"/>
        <v>0</v>
      </c>
      <c r="Q312" s="292">
        <f t="shared" si="241"/>
        <v>0</v>
      </c>
      <c r="R312" s="292">
        <f t="shared" si="242"/>
        <v>0</v>
      </c>
      <c r="S312" s="292">
        <f t="shared" si="243"/>
        <v>0</v>
      </c>
      <c r="T312" s="292">
        <f t="shared" si="222"/>
        <v>0</v>
      </c>
      <c r="U312" s="292">
        <f t="shared" si="223"/>
        <v>0</v>
      </c>
      <c r="V312" s="292">
        <f t="shared" si="244"/>
        <v>0</v>
      </c>
      <c r="W312" s="292">
        <f t="shared" si="245"/>
        <v>0</v>
      </c>
      <c r="X312" s="292">
        <f t="shared" si="246"/>
        <v>0</v>
      </c>
      <c r="Y312" s="292">
        <f t="shared" si="247"/>
        <v>0</v>
      </c>
      <c r="Z312" s="292">
        <f t="shared" si="228"/>
        <v>0</v>
      </c>
      <c r="AA312" s="292">
        <f t="shared" si="229"/>
        <v>0</v>
      </c>
      <c r="AB312" s="292">
        <f t="shared" si="248"/>
        <v>0</v>
      </c>
      <c r="AC312" s="292">
        <f t="shared" si="249"/>
        <v>0</v>
      </c>
      <c r="AD312" s="292">
        <f t="shared" si="230"/>
        <v>0</v>
      </c>
      <c r="AE312" s="292">
        <f t="shared" si="231"/>
        <v>0</v>
      </c>
      <c r="AF312" s="292">
        <f t="shared" si="224"/>
        <v>0</v>
      </c>
      <c r="AG312" s="292">
        <f t="shared" si="225"/>
        <v>0</v>
      </c>
      <c r="AH312" s="292">
        <f t="shared" si="250"/>
        <v>0</v>
      </c>
      <c r="AI312" s="292">
        <f t="shared" si="251"/>
        <v>0</v>
      </c>
      <c r="AJ312" s="292">
        <f t="shared" si="252"/>
        <v>0</v>
      </c>
      <c r="AK312" s="292">
        <f t="shared" si="253"/>
        <v>0</v>
      </c>
      <c r="AL312" s="292">
        <f t="shared" si="254"/>
        <v>0</v>
      </c>
      <c r="AM312" s="292">
        <f t="shared" si="255"/>
        <v>0</v>
      </c>
      <c r="AN312" s="292">
        <f t="shared" si="256"/>
        <v>0</v>
      </c>
      <c r="AO312" s="292">
        <f t="shared" si="257"/>
        <v>0</v>
      </c>
      <c r="AP312" s="292">
        <f t="shared" si="258"/>
        <v>0</v>
      </c>
      <c r="AQ312" s="292">
        <f t="shared" si="259"/>
        <v>0</v>
      </c>
      <c r="AR312" s="292">
        <f t="shared" si="232"/>
        <v>0</v>
      </c>
      <c r="AS312" s="292">
        <f t="shared" si="233"/>
        <v>0</v>
      </c>
      <c r="AT312" s="292">
        <f t="shared" si="260"/>
        <v>0</v>
      </c>
      <c r="AU312" s="292">
        <f t="shared" si="261"/>
        <v>0</v>
      </c>
      <c r="AV312" s="292">
        <f t="shared" si="262"/>
        <v>0</v>
      </c>
      <c r="AW312" s="292">
        <f t="shared" si="263"/>
        <v>0</v>
      </c>
      <c r="AX312" s="292">
        <f t="shared" si="234"/>
        <v>0</v>
      </c>
      <c r="AY312" s="292">
        <f t="shared" si="235"/>
        <v>0</v>
      </c>
      <c r="AZ312" s="292">
        <f t="shared" si="236"/>
        <v>0</v>
      </c>
      <c r="BA312" s="292">
        <f t="shared" si="237"/>
        <v>0</v>
      </c>
    </row>
    <row r="313" spans="1:53" s="289" customFormat="1" ht="16.5" customHeight="1">
      <c r="A313" s="63" t="str">
        <f t="array" ref="A313">IF(C313&lt;&gt;0,SUM(($C$11:C313&lt;&gt;0)*1),"")</f>
        <v/>
      </c>
      <c r="B313" s="290"/>
      <c r="C313" s="290"/>
      <c r="D313" s="290"/>
      <c r="E313" s="396"/>
      <c r="F313" s="345"/>
      <c r="G313" s="347"/>
      <c r="H313" s="347"/>
      <c r="I313" s="63" t="str">
        <f t="shared" si="264"/>
        <v/>
      </c>
      <c r="J313" s="292">
        <f t="shared" si="226"/>
        <v>0</v>
      </c>
      <c r="K313" s="292">
        <f t="shared" si="227"/>
        <v>0</v>
      </c>
      <c r="L313" s="292">
        <f t="shared" si="238"/>
        <v>0</v>
      </c>
      <c r="M313" s="292">
        <f t="shared" si="239"/>
        <v>0</v>
      </c>
      <c r="N313" s="292">
        <f t="shared" si="220"/>
        <v>0</v>
      </c>
      <c r="O313" s="292">
        <f t="shared" si="221"/>
        <v>0</v>
      </c>
      <c r="P313" s="292">
        <f t="shared" si="240"/>
        <v>0</v>
      </c>
      <c r="Q313" s="292">
        <f t="shared" si="241"/>
        <v>0</v>
      </c>
      <c r="R313" s="292">
        <f t="shared" si="242"/>
        <v>0</v>
      </c>
      <c r="S313" s="292">
        <f t="shared" si="243"/>
        <v>0</v>
      </c>
      <c r="T313" s="292">
        <f t="shared" si="222"/>
        <v>0</v>
      </c>
      <c r="U313" s="292">
        <f t="shared" si="223"/>
        <v>0</v>
      </c>
      <c r="V313" s="292">
        <f t="shared" si="244"/>
        <v>0</v>
      </c>
      <c r="W313" s="292">
        <f t="shared" si="245"/>
        <v>0</v>
      </c>
      <c r="X313" s="292">
        <f t="shared" si="246"/>
        <v>0</v>
      </c>
      <c r="Y313" s="292">
        <f t="shared" si="247"/>
        <v>0</v>
      </c>
      <c r="Z313" s="292">
        <f t="shared" si="228"/>
        <v>0</v>
      </c>
      <c r="AA313" s="292">
        <f t="shared" si="229"/>
        <v>0</v>
      </c>
      <c r="AB313" s="292">
        <f t="shared" si="248"/>
        <v>0</v>
      </c>
      <c r="AC313" s="292">
        <f t="shared" si="249"/>
        <v>0</v>
      </c>
      <c r="AD313" s="292">
        <f t="shared" si="230"/>
        <v>0</v>
      </c>
      <c r="AE313" s="292">
        <f t="shared" si="231"/>
        <v>0</v>
      </c>
      <c r="AF313" s="292">
        <f t="shared" si="224"/>
        <v>0</v>
      </c>
      <c r="AG313" s="292">
        <f t="shared" si="225"/>
        <v>0</v>
      </c>
      <c r="AH313" s="292">
        <f t="shared" si="250"/>
        <v>0</v>
      </c>
      <c r="AI313" s="292">
        <f t="shared" si="251"/>
        <v>0</v>
      </c>
      <c r="AJ313" s="292">
        <f t="shared" si="252"/>
        <v>0</v>
      </c>
      <c r="AK313" s="292">
        <f t="shared" si="253"/>
        <v>0</v>
      </c>
      <c r="AL313" s="292">
        <f t="shared" si="254"/>
        <v>0</v>
      </c>
      <c r="AM313" s="292">
        <f t="shared" si="255"/>
        <v>0</v>
      </c>
      <c r="AN313" s="292">
        <f t="shared" si="256"/>
        <v>0</v>
      </c>
      <c r="AO313" s="292">
        <f t="shared" si="257"/>
        <v>0</v>
      </c>
      <c r="AP313" s="292">
        <f t="shared" si="258"/>
        <v>0</v>
      </c>
      <c r="AQ313" s="292">
        <f t="shared" si="259"/>
        <v>0</v>
      </c>
      <c r="AR313" s="292">
        <f t="shared" si="232"/>
        <v>0</v>
      </c>
      <c r="AS313" s="292">
        <f t="shared" si="233"/>
        <v>0</v>
      </c>
      <c r="AT313" s="292">
        <f t="shared" si="260"/>
        <v>0</v>
      </c>
      <c r="AU313" s="292">
        <f t="shared" si="261"/>
        <v>0</v>
      </c>
      <c r="AV313" s="292">
        <f t="shared" si="262"/>
        <v>0</v>
      </c>
      <c r="AW313" s="292">
        <f t="shared" si="263"/>
        <v>0</v>
      </c>
      <c r="AX313" s="292">
        <f t="shared" si="234"/>
        <v>0</v>
      </c>
      <c r="AY313" s="292">
        <f t="shared" si="235"/>
        <v>0</v>
      </c>
      <c r="AZ313" s="292">
        <f t="shared" si="236"/>
        <v>0</v>
      </c>
      <c r="BA313" s="292">
        <f t="shared" si="237"/>
        <v>0</v>
      </c>
    </row>
    <row r="314" spans="1:53" s="289" customFormat="1" ht="16.5" customHeight="1">
      <c r="A314" s="63" t="str">
        <f t="array" ref="A314">IF(C314&lt;&gt;0,SUM(($C$11:C314&lt;&gt;0)*1),"")</f>
        <v/>
      </c>
      <c r="B314" s="290"/>
      <c r="C314" s="290"/>
      <c r="D314" s="290"/>
      <c r="E314" s="396"/>
      <c r="F314" s="345"/>
      <c r="G314" s="347"/>
      <c r="H314" s="347"/>
      <c r="I314" s="63" t="str">
        <f t="shared" si="264"/>
        <v/>
      </c>
      <c r="J314" s="292">
        <f t="shared" si="226"/>
        <v>0</v>
      </c>
      <c r="K314" s="292">
        <f t="shared" si="227"/>
        <v>0</v>
      </c>
      <c r="L314" s="292">
        <f t="shared" si="238"/>
        <v>0</v>
      </c>
      <c r="M314" s="292">
        <f t="shared" si="239"/>
        <v>0</v>
      </c>
      <c r="N314" s="292">
        <f t="shared" si="220"/>
        <v>0</v>
      </c>
      <c r="O314" s="292">
        <f t="shared" si="221"/>
        <v>0</v>
      </c>
      <c r="P314" s="292">
        <f t="shared" si="240"/>
        <v>0</v>
      </c>
      <c r="Q314" s="292">
        <f t="shared" si="241"/>
        <v>0</v>
      </c>
      <c r="R314" s="292">
        <f t="shared" si="242"/>
        <v>0</v>
      </c>
      <c r="S314" s="292">
        <f t="shared" si="243"/>
        <v>0</v>
      </c>
      <c r="T314" s="292">
        <f t="shared" si="222"/>
        <v>0</v>
      </c>
      <c r="U314" s="292">
        <f t="shared" si="223"/>
        <v>0</v>
      </c>
      <c r="V314" s="292">
        <f t="shared" si="244"/>
        <v>0</v>
      </c>
      <c r="W314" s="292">
        <f t="shared" si="245"/>
        <v>0</v>
      </c>
      <c r="X314" s="292">
        <f t="shared" si="246"/>
        <v>0</v>
      </c>
      <c r="Y314" s="292">
        <f t="shared" si="247"/>
        <v>0</v>
      </c>
      <c r="Z314" s="292">
        <f t="shared" si="228"/>
        <v>0</v>
      </c>
      <c r="AA314" s="292">
        <f t="shared" si="229"/>
        <v>0</v>
      </c>
      <c r="AB314" s="292">
        <f t="shared" si="248"/>
        <v>0</v>
      </c>
      <c r="AC314" s="292">
        <f t="shared" si="249"/>
        <v>0</v>
      </c>
      <c r="AD314" s="292">
        <f t="shared" si="230"/>
        <v>0</v>
      </c>
      <c r="AE314" s="292">
        <f t="shared" si="231"/>
        <v>0</v>
      </c>
      <c r="AF314" s="292">
        <f t="shared" si="224"/>
        <v>0</v>
      </c>
      <c r="AG314" s="292">
        <f t="shared" si="225"/>
        <v>0</v>
      </c>
      <c r="AH314" s="292">
        <f t="shared" si="250"/>
        <v>0</v>
      </c>
      <c r="AI314" s="292">
        <f t="shared" si="251"/>
        <v>0</v>
      </c>
      <c r="AJ314" s="292">
        <f t="shared" si="252"/>
        <v>0</v>
      </c>
      <c r="AK314" s="292">
        <f t="shared" si="253"/>
        <v>0</v>
      </c>
      <c r="AL314" s="292">
        <f t="shared" si="254"/>
        <v>0</v>
      </c>
      <c r="AM314" s="292">
        <f t="shared" si="255"/>
        <v>0</v>
      </c>
      <c r="AN314" s="292">
        <f t="shared" si="256"/>
        <v>0</v>
      </c>
      <c r="AO314" s="292">
        <f t="shared" si="257"/>
        <v>0</v>
      </c>
      <c r="AP314" s="292">
        <f t="shared" si="258"/>
        <v>0</v>
      </c>
      <c r="AQ314" s="292">
        <f t="shared" si="259"/>
        <v>0</v>
      </c>
      <c r="AR314" s="292">
        <f t="shared" si="232"/>
        <v>0</v>
      </c>
      <c r="AS314" s="292">
        <f t="shared" si="233"/>
        <v>0</v>
      </c>
      <c r="AT314" s="292">
        <f t="shared" si="260"/>
        <v>0</v>
      </c>
      <c r="AU314" s="292">
        <f t="shared" si="261"/>
        <v>0</v>
      </c>
      <c r="AV314" s="292">
        <f t="shared" si="262"/>
        <v>0</v>
      </c>
      <c r="AW314" s="292">
        <f t="shared" si="263"/>
        <v>0</v>
      </c>
      <c r="AX314" s="292">
        <f t="shared" si="234"/>
        <v>0</v>
      </c>
      <c r="AY314" s="292">
        <f t="shared" si="235"/>
        <v>0</v>
      </c>
      <c r="AZ314" s="292">
        <f t="shared" si="236"/>
        <v>0</v>
      </c>
      <c r="BA314" s="292">
        <f t="shared" si="237"/>
        <v>0</v>
      </c>
    </row>
    <row r="315" spans="1:53" s="289" customFormat="1" ht="16.5" customHeight="1">
      <c r="A315" s="63" t="str">
        <f t="array" ref="A315">IF(C315&lt;&gt;0,SUM(($C$11:C315&lt;&gt;0)*1),"")</f>
        <v/>
      </c>
      <c r="B315" s="290"/>
      <c r="C315" s="290"/>
      <c r="D315" s="290"/>
      <c r="E315" s="396"/>
      <c r="F315" s="345"/>
      <c r="G315" s="347"/>
      <c r="H315" s="347"/>
      <c r="I315" s="63" t="str">
        <f t="shared" si="264"/>
        <v/>
      </c>
      <c r="J315" s="292">
        <f t="shared" si="226"/>
        <v>0</v>
      </c>
      <c r="K315" s="292">
        <f t="shared" si="227"/>
        <v>0</v>
      </c>
      <c r="L315" s="292">
        <f t="shared" si="238"/>
        <v>0</v>
      </c>
      <c r="M315" s="292">
        <f t="shared" si="239"/>
        <v>0</v>
      </c>
      <c r="N315" s="292">
        <f t="shared" si="220"/>
        <v>0</v>
      </c>
      <c r="O315" s="292">
        <f t="shared" si="221"/>
        <v>0</v>
      </c>
      <c r="P315" s="292">
        <f t="shared" si="240"/>
        <v>0</v>
      </c>
      <c r="Q315" s="292">
        <f t="shared" si="241"/>
        <v>0</v>
      </c>
      <c r="R315" s="292">
        <f t="shared" si="242"/>
        <v>0</v>
      </c>
      <c r="S315" s="292">
        <f t="shared" si="243"/>
        <v>0</v>
      </c>
      <c r="T315" s="292">
        <f t="shared" si="222"/>
        <v>0</v>
      </c>
      <c r="U315" s="292">
        <f t="shared" si="223"/>
        <v>0</v>
      </c>
      <c r="V315" s="292">
        <f t="shared" si="244"/>
        <v>0</v>
      </c>
      <c r="W315" s="292">
        <f t="shared" si="245"/>
        <v>0</v>
      </c>
      <c r="X315" s="292">
        <f t="shared" si="246"/>
        <v>0</v>
      </c>
      <c r="Y315" s="292">
        <f t="shared" si="247"/>
        <v>0</v>
      </c>
      <c r="Z315" s="292">
        <f t="shared" si="228"/>
        <v>0</v>
      </c>
      <c r="AA315" s="292">
        <f t="shared" si="229"/>
        <v>0</v>
      </c>
      <c r="AB315" s="292">
        <f t="shared" si="248"/>
        <v>0</v>
      </c>
      <c r="AC315" s="292">
        <f t="shared" si="249"/>
        <v>0</v>
      </c>
      <c r="AD315" s="292">
        <f t="shared" si="230"/>
        <v>0</v>
      </c>
      <c r="AE315" s="292">
        <f t="shared" si="231"/>
        <v>0</v>
      </c>
      <c r="AF315" s="292">
        <f t="shared" si="224"/>
        <v>0</v>
      </c>
      <c r="AG315" s="292">
        <f t="shared" si="225"/>
        <v>0</v>
      </c>
      <c r="AH315" s="292">
        <f t="shared" si="250"/>
        <v>0</v>
      </c>
      <c r="AI315" s="292">
        <f t="shared" si="251"/>
        <v>0</v>
      </c>
      <c r="AJ315" s="292">
        <f t="shared" si="252"/>
        <v>0</v>
      </c>
      <c r="AK315" s="292">
        <f t="shared" si="253"/>
        <v>0</v>
      </c>
      <c r="AL315" s="292">
        <f t="shared" si="254"/>
        <v>0</v>
      </c>
      <c r="AM315" s="292">
        <f t="shared" si="255"/>
        <v>0</v>
      </c>
      <c r="AN315" s="292">
        <f t="shared" si="256"/>
        <v>0</v>
      </c>
      <c r="AO315" s="292">
        <f t="shared" si="257"/>
        <v>0</v>
      </c>
      <c r="AP315" s="292">
        <f t="shared" si="258"/>
        <v>0</v>
      </c>
      <c r="AQ315" s="292">
        <f t="shared" si="259"/>
        <v>0</v>
      </c>
      <c r="AR315" s="292">
        <f t="shared" si="232"/>
        <v>0</v>
      </c>
      <c r="AS315" s="292">
        <f t="shared" si="233"/>
        <v>0</v>
      </c>
      <c r="AT315" s="292">
        <f t="shared" si="260"/>
        <v>0</v>
      </c>
      <c r="AU315" s="292">
        <f t="shared" si="261"/>
        <v>0</v>
      </c>
      <c r="AV315" s="292">
        <f t="shared" si="262"/>
        <v>0</v>
      </c>
      <c r="AW315" s="292">
        <f t="shared" si="263"/>
        <v>0</v>
      </c>
      <c r="AX315" s="292">
        <f t="shared" si="234"/>
        <v>0</v>
      </c>
      <c r="AY315" s="292">
        <f t="shared" si="235"/>
        <v>0</v>
      </c>
      <c r="AZ315" s="292">
        <f t="shared" si="236"/>
        <v>0</v>
      </c>
      <c r="BA315" s="292">
        <f t="shared" si="237"/>
        <v>0</v>
      </c>
    </row>
    <row r="316" spans="1:53" s="289" customFormat="1" ht="16.5" customHeight="1">
      <c r="A316" s="63" t="str">
        <f t="array" ref="A316">IF(C316&lt;&gt;0,SUM(($C$11:C316&lt;&gt;0)*1),"")</f>
        <v/>
      </c>
      <c r="B316" s="290"/>
      <c r="C316" s="290"/>
      <c r="D316" s="290"/>
      <c r="E316" s="396"/>
      <c r="F316" s="345"/>
      <c r="G316" s="347"/>
      <c r="H316" s="347"/>
      <c r="I316" s="63" t="str">
        <f t="shared" si="264"/>
        <v/>
      </c>
      <c r="J316" s="292">
        <f t="shared" si="226"/>
        <v>0</v>
      </c>
      <c r="K316" s="292">
        <f t="shared" si="227"/>
        <v>0</v>
      </c>
      <c r="L316" s="292">
        <f t="shared" si="238"/>
        <v>0</v>
      </c>
      <c r="M316" s="292">
        <f t="shared" si="239"/>
        <v>0</v>
      </c>
      <c r="N316" s="292">
        <f t="shared" si="220"/>
        <v>0</v>
      </c>
      <c r="O316" s="292">
        <f t="shared" si="221"/>
        <v>0</v>
      </c>
      <c r="P316" s="292">
        <f t="shared" si="240"/>
        <v>0</v>
      </c>
      <c r="Q316" s="292">
        <f t="shared" si="241"/>
        <v>0</v>
      </c>
      <c r="R316" s="292">
        <f t="shared" si="242"/>
        <v>0</v>
      </c>
      <c r="S316" s="292">
        <f t="shared" si="243"/>
        <v>0</v>
      </c>
      <c r="T316" s="292">
        <f t="shared" si="222"/>
        <v>0</v>
      </c>
      <c r="U316" s="292">
        <f t="shared" si="223"/>
        <v>0</v>
      </c>
      <c r="V316" s="292">
        <f t="shared" si="244"/>
        <v>0</v>
      </c>
      <c r="W316" s="292">
        <f t="shared" si="245"/>
        <v>0</v>
      </c>
      <c r="X316" s="292">
        <f t="shared" si="246"/>
        <v>0</v>
      </c>
      <c r="Y316" s="292">
        <f t="shared" si="247"/>
        <v>0</v>
      </c>
      <c r="Z316" s="292">
        <f t="shared" si="228"/>
        <v>0</v>
      </c>
      <c r="AA316" s="292">
        <f t="shared" si="229"/>
        <v>0</v>
      </c>
      <c r="AB316" s="292">
        <f t="shared" si="248"/>
        <v>0</v>
      </c>
      <c r="AC316" s="292">
        <f t="shared" si="249"/>
        <v>0</v>
      </c>
      <c r="AD316" s="292">
        <f t="shared" si="230"/>
        <v>0</v>
      </c>
      <c r="AE316" s="292">
        <f t="shared" si="231"/>
        <v>0</v>
      </c>
      <c r="AF316" s="292">
        <f t="shared" si="224"/>
        <v>0</v>
      </c>
      <c r="AG316" s="292">
        <f t="shared" si="225"/>
        <v>0</v>
      </c>
      <c r="AH316" s="292">
        <f t="shared" si="250"/>
        <v>0</v>
      </c>
      <c r="AI316" s="292">
        <f t="shared" si="251"/>
        <v>0</v>
      </c>
      <c r="AJ316" s="292">
        <f t="shared" si="252"/>
        <v>0</v>
      </c>
      <c r="AK316" s="292">
        <f t="shared" si="253"/>
        <v>0</v>
      </c>
      <c r="AL316" s="292">
        <f t="shared" si="254"/>
        <v>0</v>
      </c>
      <c r="AM316" s="292">
        <f t="shared" si="255"/>
        <v>0</v>
      </c>
      <c r="AN316" s="292">
        <f t="shared" si="256"/>
        <v>0</v>
      </c>
      <c r="AO316" s="292">
        <f t="shared" si="257"/>
        <v>0</v>
      </c>
      <c r="AP316" s="292">
        <f t="shared" si="258"/>
        <v>0</v>
      </c>
      <c r="AQ316" s="292">
        <f t="shared" si="259"/>
        <v>0</v>
      </c>
      <c r="AR316" s="292">
        <f t="shared" si="232"/>
        <v>0</v>
      </c>
      <c r="AS316" s="292">
        <f t="shared" si="233"/>
        <v>0</v>
      </c>
      <c r="AT316" s="292">
        <f t="shared" si="260"/>
        <v>0</v>
      </c>
      <c r="AU316" s="292">
        <f t="shared" si="261"/>
        <v>0</v>
      </c>
      <c r="AV316" s="292">
        <f t="shared" si="262"/>
        <v>0</v>
      </c>
      <c r="AW316" s="292">
        <f t="shared" si="263"/>
        <v>0</v>
      </c>
      <c r="AX316" s="292">
        <f t="shared" si="234"/>
        <v>0</v>
      </c>
      <c r="AY316" s="292">
        <f t="shared" si="235"/>
        <v>0</v>
      </c>
      <c r="AZ316" s="292">
        <f t="shared" si="236"/>
        <v>0</v>
      </c>
      <c r="BA316" s="292">
        <f t="shared" si="237"/>
        <v>0</v>
      </c>
    </row>
    <row r="317" spans="1:53" s="289" customFormat="1" ht="16.5" customHeight="1">
      <c r="A317" s="63" t="str">
        <f t="array" ref="A317">IF(C317&lt;&gt;0,SUM(($C$11:C317&lt;&gt;0)*1),"")</f>
        <v/>
      </c>
      <c r="B317" s="290"/>
      <c r="C317" s="290"/>
      <c r="D317" s="290"/>
      <c r="E317" s="396"/>
      <c r="F317" s="345"/>
      <c r="G317" s="347"/>
      <c r="H317" s="347"/>
      <c r="I317" s="63" t="str">
        <f t="shared" si="264"/>
        <v/>
      </c>
      <c r="J317" s="292">
        <f t="shared" si="226"/>
        <v>0</v>
      </c>
      <c r="K317" s="292">
        <f t="shared" si="227"/>
        <v>0</v>
      </c>
      <c r="L317" s="292">
        <f t="shared" si="238"/>
        <v>0</v>
      </c>
      <c r="M317" s="292">
        <f t="shared" si="239"/>
        <v>0</v>
      </c>
      <c r="N317" s="292">
        <f t="shared" si="220"/>
        <v>0</v>
      </c>
      <c r="O317" s="292">
        <f t="shared" si="221"/>
        <v>0</v>
      </c>
      <c r="P317" s="292">
        <f t="shared" si="240"/>
        <v>0</v>
      </c>
      <c r="Q317" s="292">
        <f t="shared" si="241"/>
        <v>0</v>
      </c>
      <c r="R317" s="292">
        <f t="shared" si="242"/>
        <v>0</v>
      </c>
      <c r="S317" s="292">
        <f t="shared" si="243"/>
        <v>0</v>
      </c>
      <c r="T317" s="292">
        <f t="shared" si="222"/>
        <v>0</v>
      </c>
      <c r="U317" s="292">
        <f t="shared" si="223"/>
        <v>0</v>
      </c>
      <c r="V317" s="292">
        <f t="shared" si="244"/>
        <v>0</v>
      </c>
      <c r="W317" s="292">
        <f t="shared" si="245"/>
        <v>0</v>
      </c>
      <c r="X317" s="292">
        <f t="shared" si="246"/>
        <v>0</v>
      </c>
      <c r="Y317" s="292">
        <f t="shared" si="247"/>
        <v>0</v>
      </c>
      <c r="Z317" s="292">
        <f t="shared" si="228"/>
        <v>0</v>
      </c>
      <c r="AA317" s="292">
        <f t="shared" si="229"/>
        <v>0</v>
      </c>
      <c r="AB317" s="292">
        <f t="shared" si="248"/>
        <v>0</v>
      </c>
      <c r="AC317" s="292">
        <f t="shared" si="249"/>
        <v>0</v>
      </c>
      <c r="AD317" s="292">
        <f t="shared" si="230"/>
        <v>0</v>
      </c>
      <c r="AE317" s="292">
        <f t="shared" si="231"/>
        <v>0</v>
      </c>
      <c r="AF317" s="292">
        <f t="shared" si="224"/>
        <v>0</v>
      </c>
      <c r="AG317" s="292">
        <f t="shared" si="225"/>
        <v>0</v>
      </c>
      <c r="AH317" s="292">
        <f t="shared" si="250"/>
        <v>0</v>
      </c>
      <c r="AI317" s="292">
        <f t="shared" si="251"/>
        <v>0</v>
      </c>
      <c r="AJ317" s="292">
        <f t="shared" si="252"/>
        <v>0</v>
      </c>
      <c r="AK317" s="292">
        <f t="shared" si="253"/>
        <v>0</v>
      </c>
      <c r="AL317" s="292">
        <f t="shared" si="254"/>
        <v>0</v>
      </c>
      <c r="AM317" s="292">
        <f t="shared" si="255"/>
        <v>0</v>
      </c>
      <c r="AN317" s="292">
        <f t="shared" si="256"/>
        <v>0</v>
      </c>
      <c r="AO317" s="292">
        <f t="shared" si="257"/>
        <v>0</v>
      </c>
      <c r="AP317" s="292">
        <f t="shared" si="258"/>
        <v>0</v>
      </c>
      <c r="AQ317" s="292">
        <f t="shared" si="259"/>
        <v>0</v>
      </c>
      <c r="AR317" s="292">
        <f t="shared" si="232"/>
        <v>0</v>
      </c>
      <c r="AS317" s="292">
        <f t="shared" si="233"/>
        <v>0</v>
      </c>
      <c r="AT317" s="292">
        <f t="shared" si="260"/>
        <v>0</v>
      </c>
      <c r="AU317" s="292">
        <f t="shared" si="261"/>
        <v>0</v>
      </c>
      <c r="AV317" s="292">
        <f t="shared" si="262"/>
        <v>0</v>
      </c>
      <c r="AW317" s="292">
        <f t="shared" si="263"/>
        <v>0</v>
      </c>
      <c r="AX317" s="292">
        <f t="shared" si="234"/>
        <v>0</v>
      </c>
      <c r="AY317" s="292">
        <f t="shared" si="235"/>
        <v>0</v>
      </c>
      <c r="AZ317" s="292">
        <f t="shared" si="236"/>
        <v>0</v>
      </c>
      <c r="BA317" s="292">
        <f t="shared" si="237"/>
        <v>0</v>
      </c>
    </row>
    <row r="318" spans="1:53" s="289" customFormat="1" ht="16.5" customHeight="1">
      <c r="A318" s="63" t="str">
        <f t="array" ref="A318">IF(C318&lt;&gt;0,SUM(($C$11:C318&lt;&gt;0)*1),"")</f>
        <v/>
      </c>
      <c r="B318" s="290"/>
      <c r="C318" s="290"/>
      <c r="D318" s="290"/>
      <c r="E318" s="396"/>
      <c r="F318" s="345"/>
      <c r="G318" s="347"/>
      <c r="H318" s="347"/>
      <c r="I318" s="63" t="str">
        <f t="shared" si="264"/>
        <v/>
      </c>
      <c r="J318" s="292">
        <f t="shared" si="226"/>
        <v>0</v>
      </c>
      <c r="K318" s="292">
        <f t="shared" si="227"/>
        <v>0</v>
      </c>
      <c r="L318" s="292">
        <f t="shared" si="238"/>
        <v>0</v>
      </c>
      <c r="M318" s="292">
        <f t="shared" si="239"/>
        <v>0</v>
      </c>
      <c r="N318" s="292">
        <f t="shared" si="220"/>
        <v>0</v>
      </c>
      <c r="O318" s="292">
        <f t="shared" si="221"/>
        <v>0</v>
      </c>
      <c r="P318" s="292">
        <f t="shared" si="240"/>
        <v>0</v>
      </c>
      <c r="Q318" s="292">
        <f t="shared" si="241"/>
        <v>0</v>
      </c>
      <c r="R318" s="292">
        <f t="shared" si="242"/>
        <v>0</v>
      </c>
      <c r="S318" s="292">
        <f t="shared" si="243"/>
        <v>0</v>
      </c>
      <c r="T318" s="292">
        <f t="shared" si="222"/>
        <v>0</v>
      </c>
      <c r="U318" s="292">
        <f t="shared" si="223"/>
        <v>0</v>
      </c>
      <c r="V318" s="292">
        <f t="shared" si="244"/>
        <v>0</v>
      </c>
      <c r="W318" s="292">
        <f t="shared" si="245"/>
        <v>0</v>
      </c>
      <c r="X318" s="292">
        <f t="shared" si="246"/>
        <v>0</v>
      </c>
      <c r="Y318" s="292">
        <f t="shared" si="247"/>
        <v>0</v>
      </c>
      <c r="Z318" s="292">
        <f t="shared" si="228"/>
        <v>0</v>
      </c>
      <c r="AA318" s="292">
        <f t="shared" si="229"/>
        <v>0</v>
      </c>
      <c r="AB318" s="292">
        <f t="shared" si="248"/>
        <v>0</v>
      </c>
      <c r="AC318" s="292">
        <f t="shared" si="249"/>
        <v>0</v>
      </c>
      <c r="AD318" s="292">
        <f t="shared" si="230"/>
        <v>0</v>
      </c>
      <c r="AE318" s="292">
        <f t="shared" si="231"/>
        <v>0</v>
      </c>
      <c r="AF318" s="292">
        <f t="shared" si="224"/>
        <v>0</v>
      </c>
      <c r="AG318" s="292">
        <f t="shared" si="225"/>
        <v>0</v>
      </c>
      <c r="AH318" s="292">
        <f t="shared" si="250"/>
        <v>0</v>
      </c>
      <c r="AI318" s="292">
        <f t="shared" si="251"/>
        <v>0</v>
      </c>
      <c r="AJ318" s="292">
        <f t="shared" si="252"/>
        <v>0</v>
      </c>
      <c r="AK318" s="292">
        <f t="shared" si="253"/>
        <v>0</v>
      </c>
      <c r="AL318" s="292">
        <f t="shared" si="254"/>
        <v>0</v>
      </c>
      <c r="AM318" s="292">
        <f t="shared" si="255"/>
        <v>0</v>
      </c>
      <c r="AN318" s="292">
        <f t="shared" si="256"/>
        <v>0</v>
      </c>
      <c r="AO318" s="292">
        <f t="shared" si="257"/>
        <v>0</v>
      </c>
      <c r="AP318" s="292">
        <f t="shared" si="258"/>
        <v>0</v>
      </c>
      <c r="AQ318" s="292">
        <f t="shared" si="259"/>
        <v>0</v>
      </c>
      <c r="AR318" s="292">
        <f t="shared" si="232"/>
        <v>0</v>
      </c>
      <c r="AS318" s="292">
        <f t="shared" si="233"/>
        <v>0</v>
      </c>
      <c r="AT318" s="292">
        <f t="shared" si="260"/>
        <v>0</v>
      </c>
      <c r="AU318" s="292">
        <f t="shared" si="261"/>
        <v>0</v>
      </c>
      <c r="AV318" s="292">
        <f t="shared" si="262"/>
        <v>0</v>
      </c>
      <c r="AW318" s="292">
        <f t="shared" si="263"/>
        <v>0</v>
      </c>
      <c r="AX318" s="292">
        <f t="shared" si="234"/>
        <v>0</v>
      </c>
      <c r="AY318" s="292">
        <f t="shared" si="235"/>
        <v>0</v>
      </c>
      <c r="AZ318" s="292">
        <f t="shared" si="236"/>
        <v>0</v>
      </c>
      <c r="BA318" s="292">
        <f t="shared" si="237"/>
        <v>0</v>
      </c>
    </row>
    <row r="319" spans="1:53" s="289" customFormat="1" ht="16.5" customHeight="1">
      <c r="A319" s="63" t="str">
        <f t="array" ref="A319">IF(C319&lt;&gt;0,SUM(($C$11:C319&lt;&gt;0)*1),"")</f>
        <v/>
      </c>
      <c r="B319" s="290"/>
      <c r="C319" s="290"/>
      <c r="D319" s="290"/>
      <c r="E319" s="396"/>
      <c r="F319" s="345"/>
      <c r="G319" s="347"/>
      <c r="H319" s="347"/>
      <c r="I319" s="63" t="str">
        <f t="shared" si="264"/>
        <v/>
      </c>
      <c r="J319" s="292">
        <f t="shared" si="226"/>
        <v>0</v>
      </c>
      <c r="K319" s="292">
        <f t="shared" si="227"/>
        <v>0</v>
      </c>
      <c r="L319" s="292">
        <f t="shared" si="238"/>
        <v>0</v>
      </c>
      <c r="M319" s="292">
        <f t="shared" si="239"/>
        <v>0</v>
      </c>
      <c r="N319" s="292">
        <f t="shared" si="220"/>
        <v>0</v>
      </c>
      <c r="O319" s="292">
        <f t="shared" si="221"/>
        <v>0</v>
      </c>
      <c r="P319" s="292">
        <f t="shared" si="240"/>
        <v>0</v>
      </c>
      <c r="Q319" s="292">
        <f t="shared" si="241"/>
        <v>0</v>
      </c>
      <c r="R319" s="292">
        <f t="shared" si="242"/>
        <v>0</v>
      </c>
      <c r="S319" s="292">
        <f t="shared" si="243"/>
        <v>0</v>
      </c>
      <c r="T319" s="292">
        <f t="shared" si="222"/>
        <v>0</v>
      </c>
      <c r="U319" s="292">
        <f t="shared" si="223"/>
        <v>0</v>
      </c>
      <c r="V319" s="292">
        <f t="shared" si="244"/>
        <v>0</v>
      </c>
      <c r="W319" s="292">
        <f t="shared" si="245"/>
        <v>0</v>
      </c>
      <c r="X319" s="292">
        <f t="shared" si="246"/>
        <v>0</v>
      </c>
      <c r="Y319" s="292">
        <f t="shared" si="247"/>
        <v>0</v>
      </c>
      <c r="Z319" s="292">
        <f t="shared" si="228"/>
        <v>0</v>
      </c>
      <c r="AA319" s="292">
        <f t="shared" si="229"/>
        <v>0</v>
      </c>
      <c r="AB319" s="292">
        <f t="shared" si="248"/>
        <v>0</v>
      </c>
      <c r="AC319" s="292">
        <f t="shared" si="249"/>
        <v>0</v>
      </c>
      <c r="AD319" s="292">
        <f t="shared" si="230"/>
        <v>0</v>
      </c>
      <c r="AE319" s="292">
        <f t="shared" si="231"/>
        <v>0</v>
      </c>
      <c r="AF319" s="292">
        <f t="shared" si="224"/>
        <v>0</v>
      </c>
      <c r="AG319" s="292">
        <f t="shared" si="225"/>
        <v>0</v>
      </c>
      <c r="AH319" s="292">
        <f t="shared" si="250"/>
        <v>0</v>
      </c>
      <c r="AI319" s="292">
        <f t="shared" si="251"/>
        <v>0</v>
      </c>
      <c r="AJ319" s="292">
        <f t="shared" si="252"/>
        <v>0</v>
      </c>
      <c r="AK319" s="292">
        <f t="shared" si="253"/>
        <v>0</v>
      </c>
      <c r="AL319" s="292">
        <f t="shared" si="254"/>
        <v>0</v>
      </c>
      <c r="AM319" s="292">
        <f t="shared" si="255"/>
        <v>0</v>
      </c>
      <c r="AN319" s="292">
        <f t="shared" si="256"/>
        <v>0</v>
      </c>
      <c r="AO319" s="292">
        <f t="shared" si="257"/>
        <v>0</v>
      </c>
      <c r="AP319" s="292">
        <f t="shared" si="258"/>
        <v>0</v>
      </c>
      <c r="AQ319" s="292">
        <f t="shared" si="259"/>
        <v>0</v>
      </c>
      <c r="AR319" s="292">
        <f t="shared" si="232"/>
        <v>0</v>
      </c>
      <c r="AS319" s="292">
        <f t="shared" si="233"/>
        <v>0</v>
      </c>
      <c r="AT319" s="292">
        <f t="shared" si="260"/>
        <v>0</v>
      </c>
      <c r="AU319" s="292">
        <f t="shared" si="261"/>
        <v>0</v>
      </c>
      <c r="AV319" s="292">
        <f t="shared" si="262"/>
        <v>0</v>
      </c>
      <c r="AW319" s="292">
        <f t="shared" si="263"/>
        <v>0</v>
      </c>
      <c r="AX319" s="292">
        <f t="shared" si="234"/>
        <v>0</v>
      </c>
      <c r="AY319" s="292">
        <f t="shared" si="235"/>
        <v>0</v>
      </c>
      <c r="AZ319" s="292">
        <f t="shared" si="236"/>
        <v>0</v>
      </c>
      <c r="BA319" s="292">
        <f t="shared" si="237"/>
        <v>0</v>
      </c>
    </row>
    <row r="320" spans="1:53" s="289" customFormat="1" ht="16.5" customHeight="1">
      <c r="A320" s="63" t="str">
        <f t="array" ref="A320">IF(C320&lt;&gt;0,SUM(($C$11:C320&lt;&gt;0)*1),"")</f>
        <v/>
      </c>
      <c r="B320" s="290"/>
      <c r="C320" s="290"/>
      <c r="D320" s="290"/>
      <c r="E320" s="396"/>
      <c r="F320" s="345"/>
      <c r="G320" s="347"/>
      <c r="H320" s="347"/>
      <c r="I320" s="63" t="str">
        <f t="shared" si="264"/>
        <v/>
      </c>
      <c r="J320" s="292">
        <f t="shared" si="226"/>
        <v>0</v>
      </c>
      <c r="K320" s="292">
        <f t="shared" si="227"/>
        <v>0</v>
      </c>
      <c r="L320" s="292">
        <f t="shared" si="238"/>
        <v>0</v>
      </c>
      <c r="M320" s="292">
        <f t="shared" si="239"/>
        <v>0</v>
      </c>
      <c r="N320" s="292">
        <f t="shared" si="220"/>
        <v>0</v>
      </c>
      <c r="O320" s="292">
        <f t="shared" si="221"/>
        <v>0</v>
      </c>
      <c r="P320" s="292">
        <f t="shared" si="240"/>
        <v>0</v>
      </c>
      <c r="Q320" s="292">
        <f t="shared" si="241"/>
        <v>0</v>
      </c>
      <c r="R320" s="292">
        <f t="shared" si="242"/>
        <v>0</v>
      </c>
      <c r="S320" s="292">
        <f t="shared" si="243"/>
        <v>0</v>
      </c>
      <c r="T320" s="292">
        <f t="shared" si="222"/>
        <v>0</v>
      </c>
      <c r="U320" s="292">
        <f t="shared" si="223"/>
        <v>0</v>
      </c>
      <c r="V320" s="292">
        <f t="shared" si="244"/>
        <v>0</v>
      </c>
      <c r="W320" s="292">
        <f t="shared" si="245"/>
        <v>0</v>
      </c>
      <c r="X320" s="292">
        <f t="shared" si="246"/>
        <v>0</v>
      </c>
      <c r="Y320" s="292">
        <f t="shared" si="247"/>
        <v>0</v>
      </c>
      <c r="Z320" s="292">
        <f t="shared" si="228"/>
        <v>0</v>
      </c>
      <c r="AA320" s="292">
        <f t="shared" si="229"/>
        <v>0</v>
      </c>
      <c r="AB320" s="292">
        <f t="shared" si="248"/>
        <v>0</v>
      </c>
      <c r="AC320" s="292">
        <f t="shared" si="249"/>
        <v>0</v>
      </c>
      <c r="AD320" s="292">
        <f t="shared" si="230"/>
        <v>0</v>
      </c>
      <c r="AE320" s="292">
        <f t="shared" si="231"/>
        <v>0</v>
      </c>
      <c r="AF320" s="292">
        <f t="shared" si="224"/>
        <v>0</v>
      </c>
      <c r="AG320" s="292">
        <f t="shared" si="225"/>
        <v>0</v>
      </c>
      <c r="AH320" s="292">
        <f t="shared" si="250"/>
        <v>0</v>
      </c>
      <c r="AI320" s="292">
        <f t="shared" si="251"/>
        <v>0</v>
      </c>
      <c r="AJ320" s="292">
        <f t="shared" si="252"/>
        <v>0</v>
      </c>
      <c r="AK320" s="292">
        <f t="shared" si="253"/>
        <v>0</v>
      </c>
      <c r="AL320" s="292">
        <f t="shared" si="254"/>
        <v>0</v>
      </c>
      <c r="AM320" s="292">
        <f t="shared" si="255"/>
        <v>0</v>
      </c>
      <c r="AN320" s="292">
        <f t="shared" si="256"/>
        <v>0</v>
      </c>
      <c r="AO320" s="292">
        <f t="shared" si="257"/>
        <v>0</v>
      </c>
      <c r="AP320" s="292">
        <f t="shared" si="258"/>
        <v>0</v>
      </c>
      <c r="AQ320" s="292">
        <f t="shared" si="259"/>
        <v>0</v>
      </c>
      <c r="AR320" s="292">
        <f t="shared" si="232"/>
        <v>0</v>
      </c>
      <c r="AS320" s="292">
        <f t="shared" si="233"/>
        <v>0</v>
      </c>
      <c r="AT320" s="292">
        <f t="shared" si="260"/>
        <v>0</v>
      </c>
      <c r="AU320" s="292">
        <f t="shared" si="261"/>
        <v>0</v>
      </c>
      <c r="AV320" s="292">
        <f t="shared" si="262"/>
        <v>0</v>
      </c>
      <c r="AW320" s="292">
        <f t="shared" si="263"/>
        <v>0</v>
      </c>
      <c r="AX320" s="292">
        <f t="shared" si="234"/>
        <v>0</v>
      </c>
      <c r="AY320" s="292">
        <f t="shared" si="235"/>
        <v>0</v>
      </c>
      <c r="AZ320" s="292">
        <f t="shared" si="236"/>
        <v>0</v>
      </c>
      <c r="BA320" s="292">
        <f t="shared" si="237"/>
        <v>0</v>
      </c>
    </row>
    <row r="321" spans="1:53" s="289" customFormat="1" ht="16.5" customHeight="1">
      <c r="A321" s="63" t="str">
        <f t="array" ref="A321">IF(C321&lt;&gt;0,SUM(($C$11:C321&lt;&gt;0)*1),"")</f>
        <v/>
      </c>
      <c r="B321" s="290"/>
      <c r="C321" s="290"/>
      <c r="D321" s="290"/>
      <c r="E321" s="396"/>
      <c r="F321" s="345"/>
      <c r="G321" s="347"/>
      <c r="H321" s="347"/>
      <c r="I321" s="63" t="str">
        <f t="shared" si="264"/>
        <v/>
      </c>
      <c r="J321" s="292">
        <f t="shared" si="226"/>
        <v>0</v>
      </c>
      <c r="K321" s="292">
        <f t="shared" si="227"/>
        <v>0</v>
      </c>
      <c r="L321" s="292">
        <f t="shared" si="238"/>
        <v>0</v>
      </c>
      <c r="M321" s="292">
        <f t="shared" si="239"/>
        <v>0</v>
      </c>
      <c r="N321" s="292">
        <f t="shared" si="220"/>
        <v>0</v>
      </c>
      <c r="O321" s="292">
        <f t="shared" si="221"/>
        <v>0</v>
      </c>
      <c r="P321" s="292">
        <f t="shared" si="240"/>
        <v>0</v>
      </c>
      <c r="Q321" s="292">
        <f t="shared" si="241"/>
        <v>0</v>
      </c>
      <c r="R321" s="292">
        <f t="shared" si="242"/>
        <v>0</v>
      </c>
      <c r="S321" s="292">
        <f t="shared" si="243"/>
        <v>0</v>
      </c>
      <c r="T321" s="292">
        <f t="shared" si="222"/>
        <v>0</v>
      </c>
      <c r="U321" s="292">
        <f t="shared" si="223"/>
        <v>0</v>
      </c>
      <c r="V321" s="292">
        <f t="shared" si="244"/>
        <v>0</v>
      </c>
      <c r="W321" s="292">
        <f t="shared" si="245"/>
        <v>0</v>
      </c>
      <c r="X321" s="292">
        <f t="shared" si="246"/>
        <v>0</v>
      </c>
      <c r="Y321" s="292">
        <f t="shared" si="247"/>
        <v>0</v>
      </c>
      <c r="Z321" s="292">
        <f t="shared" si="228"/>
        <v>0</v>
      </c>
      <c r="AA321" s="292">
        <f t="shared" si="229"/>
        <v>0</v>
      </c>
      <c r="AB321" s="292">
        <f t="shared" si="248"/>
        <v>0</v>
      </c>
      <c r="AC321" s="292">
        <f t="shared" si="249"/>
        <v>0</v>
      </c>
      <c r="AD321" s="292">
        <f t="shared" si="230"/>
        <v>0</v>
      </c>
      <c r="AE321" s="292">
        <f t="shared" si="231"/>
        <v>0</v>
      </c>
      <c r="AF321" s="292">
        <f t="shared" si="224"/>
        <v>0</v>
      </c>
      <c r="AG321" s="292">
        <f t="shared" si="225"/>
        <v>0</v>
      </c>
      <c r="AH321" s="292">
        <f t="shared" si="250"/>
        <v>0</v>
      </c>
      <c r="AI321" s="292">
        <f t="shared" si="251"/>
        <v>0</v>
      </c>
      <c r="AJ321" s="292">
        <f t="shared" si="252"/>
        <v>0</v>
      </c>
      <c r="AK321" s="292">
        <f t="shared" si="253"/>
        <v>0</v>
      </c>
      <c r="AL321" s="292">
        <f t="shared" si="254"/>
        <v>0</v>
      </c>
      <c r="AM321" s="292">
        <f t="shared" si="255"/>
        <v>0</v>
      </c>
      <c r="AN321" s="292">
        <f t="shared" si="256"/>
        <v>0</v>
      </c>
      <c r="AO321" s="292">
        <f t="shared" si="257"/>
        <v>0</v>
      </c>
      <c r="AP321" s="292">
        <f t="shared" si="258"/>
        <v>0</v>
      </c>
      <c r="AQ321" s="292">
        <f t="shared" si="259"/>
        <v>0</v>
      </c>
      <c r="AR321" s="292">
        <f t="shared" si="232"/>
        <v>0</v>
      </c>
      <c r="AS321" s="292">
        <f t="shared" si="233"/>
        <v>0</v>
      </c>
      <c r="AT321" s="292">
        <f t="shared" si="260"/>
        <v>0</v>
      </c>
      <c r="AU321" s="292">
        <f t="shared" si="261"/>
        <v>0</v>
      </c>
      <c r="AV321" s="292">
        <f t="shared" si="262"/>
        <v>0</v>
      </c>
      <c r="AW321" s="292">
        <f t="shared" si="263"/>
        <v>0</v>
      </c>
      <c r="AX321" s="292">
        <f t="shared" si="234"/>
        <v>0</v>
      </c>
      <c r="AY321" s="292">
        <f t="shared" si="235"/>
        <v>0</v>
      </c>
      <c r="AZ321" s="292">
        <f t="shared" si="236"/>
        <v>0</v>
      </c>
      <c r="BA321" s="292">
        <f t="shared" si="237"/>
        <v>0</v>
      </c>
    </row>
    <row r="322" spans="1:53" s="289" customFormat="1" ht="16.5" customHeight="1">
      <c r="A322" s="63" t="str">
        <f t="array" ref="A322">IF(C322&lt;&gt;0,SUM(($C$11:C322&lt;&gt;0)*1),"")</f>
        <v/>
      </c>
      <c r="B322" s="290"/>
      <c r="C322" s="290"/>
      <c r="D322" s="290"/>
      <c r="E322" s="396"/>
      <c r="F322" s="345"/>
      <c r="G322" s="347"/>
      <c r="H322" s="347"/>
      <c r="I322" s="63" t="str">
        <f t="shared" si="264"/>
        <v/>
      </c>
      <c r="J322" s="292">
        <f t="shared" si="226"/>
        <v>0</v>
      </c>
      <c r="K322" s="292">
        <f t="shared" si="227"/>
        <v>0</v>
      </c>
      <c r="L322" s="292">
        <f t="shared" si="238"/>
        <v>0</v>
      </c>
      <c r="M322" s="292">
        <f t="shared" si="239"/>
        <v>0</v>
      </c>
      <c r="N322" s="292">
        <f t="shared" si="220"/>
        <v>0</v>
      </c>
      <c r="O322" s="292">
        <f t="shared" si="221"/>
        <v>0</v>
      </c>
      <c r="P322" s="292">
        <f t="shared" si="240"/>
        <v>0</v>
      </c>
      <c r="Q322" s="292">
        <f t="shared" si="241"/>
        <v>0</v>
      </c>
      <c r="R322" s="292">
        <f t="shared" si="242"/>
        <v>0</v>
      </c>
      <c r="S322" s="292">
        <f t="shared" si="243"/>
        <v>0</v>
      </c>
      <c r="T322" s="292">
        <f t="shared" si="222"/>
        <v>0</v>
      </c>
      <c r="U322" s="292">
        <f t="shared" si="223"/>
        <v>0</v>
      </c>
      <c r="V322" s="292">
        <f t="shared" si="244"/>
        <v>0</v>
      </c>
      <c r="W322" s="292">
        <f t="shared" si="245"/>
        <v>0</v>
      </c>
      <c r="X322" s="292">
        <f t="shared" si="246"/>
        <v>0</v>
      </c>
      <c r="Y322" s="292">
        <f t="shared" si="247"/>
        <v>0</v>
      </c>
      <c r="Z322" s="292">
        <f t="shared" si="228"/>
        <v>0</v>
      </c>
      <c r="AA322" s="292">
        <f t="shared" si="229"/>
        <v>0</v>
      </c>
      <c r="AB322" s="292">
        <f t="shared" si="248"/>
        <v>0</v>
      </c>
      <c r="AC322" s="292">
        <f t="shared" si="249"/>
        <v>0</v>
      </c>
      <c r="AD322" s="292">
        <f t="shared" si="230"/>
        <v>0</v>
      </c>
      <c r="AE322" s="292">
        <f t="shared" si="231"/>
        <v>0</v>
      </c>
      <c r="AF322" s="292">
        <f t="shared" si="224"/>
        <v>0</v>
      </c>
      <c r="AG322" s="292">
        <f t="shared" si="225"/>
        <v>0</v>
      </c>
      <c r="AH322" s="292">
        <f t="shared" si="250"/>
        <v>0</v>
      </c>
      <c r="AI322" s="292">
        <f t="shared" si="251"/>
        <v>0</v>
      </c>
      <c r="AJ322" s="292">
        <f t="shared" si="252"/>
        <v>0</v>
      </c>
      <c r="AK322" s="292">
        <f t="shared" si="253"/>
        <v>0</v>
      </c>
      <c r="AL322" s="292">
        <f t="shared" si="254"/>
        <v>0</v>
      </c>
      <c r="AM322" s="292">
        <f t="shared" si="255"/>
        <v>0</v>
      </c>
      <c r="AN322" s="292">
        <f t="shared" si="256"/>
        <v>0</v>
      </c>
      <c r="AO322" s="292">
        <f t="shared" si="257"/>
        <v>0</v>
      </c>
      <c r="AP322" s="292">
        <f t="shared" si="258"/>
        <v>0</v>
      </c>
      <c r="AQ322" s="292">
        <f t="shared" si="259"/>
        <v>0</v>
      </c>
      <c r="AR322" s="292">
        <f t="shared" si="232"/>
        <v>0</v>
      </c>
      <c r="AS322" s="292">
        <f t="shared" si="233"/>
        <v>0</v>
      </c>
      <c r="AT322" s="292">
        <f t="shared" si="260"/>
        <v>0</v>
      </c>
      <c r="AU322" s="292">
        <f t="shared" si="261"/>
        <v>0</v>
      </c>
      <c r="AV322" s="292">
        <f t="shared" si="262"/>
        <v>0</v>
      </c>
      <c r="AW322" s="292">
        <f t="shared" si="263"/>
        <v>0</v>
      </c>
      <c r="AX322" s="292">
        <f t="shared" si="234"/>
        <v>0</v>
      </c>
      <c r="AY322" s="292">
        <f t="shared" si="235"/>
        <v>0</v>
      </c>
      <c r="AZ322" s="292">
        <f t="shared" si="236"/>
        <v>0</v>
      </c>
      <c r="BA322" s="292">
        <f t="shared" si="237"/>
        <v>0</v>
      </c>
    </row>
    <row r="323" spans="1:53" s="289" customFormat="1" ht="16.5" customHeight="1">
      <c r="A323" s="63" t="str">
        <f t="array" ref="A323">IF(C323&lt;&gt;0,SUM(($C$11:C323&lt;&gt;0)*1),"")</f>
        <v/>
      </c>
      <c r="B323" s="290"/>
      <c r="C323" s="290"/>
      <c r="D323" s="290"/>
      <c r="E323" s="396"/>
      <c r="F323" s="345"/>
      <c r="G323" s="347"/>
      <c r="H323" s="347"/>
      <c r="I323" s="63" t="str">
        <f t="shared" si="264"/>
        <v/>
      </c>
      <c r="J323" s="292">
        <f t="shared" si="226"/>
        <v>0</v>
      </c>
      <c r="K323" s="292">
        <f t="shared" si="227"/>
        <v>0</v>
      </c>
      <c r="L323" s="292">
        <f t="shared" si="238"/>
        <v>0</v>
      </c>
      <c r="M323" s="292">
        <f t="shared" si="239"/>
        <v>0</v>
      </c>
      <c r="N323" s="292">
        <f t="shared" si="220"/>
        <v>0</v>
      </c>
      <c r="O323" s="292">
        <f t="shared" si="221"/>
        <v>0</v>
      </c>
      <c r="P323" s="292">
        <f t="shared" si="240"/>
        <v>0</v>
      </c>
      <c r="Q323" s="292">
        <f t="shared" si="241"/>
        <v>0</v>
      </c>
      <c r="R323" s="292">
        <f t="shared" si="242"/>
        <v>0</v>
      </c>
      <c r="S323" s="292">
        <f t="shared" si="243"/>
        <v>0</v>
      </c>
      <c r="T323" s="292">
        <f t="shared" si="222"/>
        <v>0</v>
      </c>
      <c r="U323" s="292">
        <f t="shared" si="223"/>
        <v>0</v>
      </c>
      <c r="V323" s="292">
        <f t="shared" si="244"/>
        <v>0</v>
      </c>
      <c r="W323" s="292">
        <f t="shared" si="245"/>
        <v>0</v>
      </c>
      <c r="X323" s="292">
        <f t="shared" si="246"/>
        <v>0</v>
      </c>
      <c r="Y323" s="292">
        <f t="shared" si="247"/>
        <v>0</v>
      </c>
      <c r="Z323" s="292">
        <f t="shared" si="228"/>
        <v>0</v>
      </c>
      <c r="AA323" s="292">
        <f t="shared" si="229"/>
        <v>0</v>
      </c>
      <c r="AB323" s="292">
        <f t="shared" si="248"/>
        <v>0</v>
      </c>
      <c r="AC323" s="292">
        <f t="shared" si="249"/>
        <v>0</v>
      </c>
      <c r="AD323" s="292">
        <f t="shared" si="230"/>
        <v>0</v>
      </c>
      <c r="AE323" s="292">
        <f t="shared" si="231"/>
        <v>0</v>
      </c>
      <c r="AF323" s="292">
        <f t="shared" si="224"/>
        <v>0</v>
      </c>
      <c r="AG323" s="292">
        <f t="shared" si="225"/>
        <v>0</v>
      </c>
      <c r="AH323" s="292">
        <f t="shared" si="250"/>
        <v>0</v>
      </c>
      <c r="AI323" s="292">
        <f t="shared" si="251"/>
        <v>0</v>
      </c>
      <c r="AJ323" s="292">
        <f t="shared" si="252"/>
        <v>0</v>
      </c>
      <c r="AK323" s="292">
        <f t="shared" si="253"/>
        <v>0</v>
      </c>
      <c r="AL323" s="292">
        <f t="shared" si="254"/>
        <v>0</v>
      </c>
      <c r="AM323" s="292">
        <f t="shared" si="255"/>
        <v>0</v>
      </c>
      <c r="AN323" s="292">
        <f t="shared" si="256"/>
        <v>0</v>
      </c>
      <c r="AO323" s="292">
        <f t="shared" si="257"/>
        <v>0</v>
      </c>
      <c r="AP323" s="292">
        <f t="shared" si="258"/>
        <v>0</v>
      </c>
      <c r="AQ323" s="292">
        <f t="shared" si="259"/>
        <v>0</v>
      </c>
      <c r="AR323" s="292">
        <f t="shared" si="232"/>
        <v>0</v>
      </c>
      <c r="AS323" s="292">
        <f t="shared" si="233"/>
        <v>0</v>
      </c>
      <c r="AT323" s="292">
        <f t="shared" si="260"/>
        <v>0</v>
      </c>
      <c r="AU323" s="292">
        <f t="shared" si="261"/>
        <v>0</v>
      </c>
      <c r="AV323" s="292">
        <f t="shared" si="262"/>
        <v>0</v>
      </c>
      <c r="AW323" s="292">
        <f t="shared" si="263"/>
        <v>0</v>
      </c>
      <c r="AX323" s="292">
        <f t="shared" si="234"/>
        <v>0</v>
      </c>
      <c r="AY323" s="292">
        <f t="shared" si="235"/>
        <v>0</v>
      </c>
      <c r="AZ323" s="292">
        <f t="shared" si="236"/>
        <v>0</v>
      </c>
      <c r="BA323" s="292">
        <f t="shared" si="237"/>
        <v>0</v>
      </c>
    </row>
    <row r="324" spans="1:53" s="289" customFormat="1" ht="16.5" customHeight="1">
      <c r="A324" s="63" t="str">
        <f t="array" ref="A324">IF(C324&lt;&gt;0,SUM(($C$11:C324&lt;&gt;0)*1),"")</f>
        <v/>
      </c>
      <c r="B324" s="290"/>
      <c r="C324" s="290"/>
      <c r="D324" s="290"/>
      <c r="E324" s="396"/>
      <c r="F324" s="345"/>
      <c r="G324" s="347"/>
      <c r="H324" s="347"/>
      <c r="I324" s="63" t="str">
        <f t="shared" si="264"/>
        <v/>
      </c>
      <c r="J324" s="292">
        <f t="shared" si="226"/>
        <v>0</v>
      </c>
      <c r="K324" s="292">
        <f t="shared" si="227"/>
        <v>0</v>
      </c>
      <c r="L324" s="292">
        <f t="shared" si="238"/>
        <v>0</v>
      </c>
      <c r="M324" s="292">
        <f t="shared" si="239"/>
        <v>0</v>
      </c>
      <c r="N324" s="292">
        <f t="shared" si="220"/>
        <v>0</v>
      </c>
      <c r="O324" s="292">
        <f t="shared" si="221"/>
        <v>0</v>
      </c>
      <c r="P324" s="292">
        <f t="shared" si="240"/>
        <v>0</v>
      </c>
      <c r="Q324" s="292">
        <f t="shared" si="241"/>
        <v>0</v>
      </c>
      <c r="R324" s="292">
        <f t="shared" si="242"/>
        <v>0</v>
      </c>
      <c r="S324" s="292">
        <f t="shared" si="243"/>
        <v>0</v>
      </c>
      <c r="T324" s="292">
        <f t="shared" si="222"/>
        <v>0</v>
      </c>
      <c r="U324" s="292">
        <f t="shared" si="223"/>
        <v>0</v>
      </c>
      <c r="V324" s="292">
        <f t="shared" si="244"/>
        <v>0</v>
      </c>
      <c r="W324" s="292">
        <f t="shared" si="245"/>
        <v>0</v>
      </c>
      <c r="X324" s="292">
        <f t="shared" si="246"/>
        <v>0</v>
      </c>
      <c r="Y324" s="292">
        <f t="shared" si="247"/>
        <v>0</v>
      </c>
      <c r="Z324" s="292">
        <f t="shared" si="228"/>
        <v>0</v>
      </c>
      <c r="AA324" s="292">
        <f t="shared" si="229"/>
        <v>0</v>
      </c>
      <c r="AB324" s="292">
        <f t="shared" si="248"/>
        <v>0</v>
      </c>
      <c r="AC324" s="292">
        <f t="shared" si="249"/>
        <v>0</v>
      </c>
      <c r="AD324" s="292">
        <f t="shared" si="230"/>
        <v>0</v>
      </c>
      <c r="AE324" s="292">
        <f t="shared" si="231"/>
        <v>0</v>
      </c>
      <c r="AF324" s="292">
        <f t="shared" si="224"/>
        <v>0</v>
      </c>
      <c r="AG324" s="292">
        <f t="shared" si="225"/>
        <v>0</v>
      </c>
      <c r="AH324" s="292">
        <f t="shared" si="250"/>
        <v>0</v>
      </c>
      <c r="AI324" s="292">
        <f t="shared" si="251"/>
        <v>0</v>
      </c>
      <c r="AJ324" s="292">
        <f t="shared" si="252"/>
        <v>0</v>
      </c>
      <c r="AK324" s="292">
        <f t="shared" si="253"/>
        <v>0</v>
      </c>
      <c r="AL324" s="292">
        <f t="shared" si="254"/>
        <v>0</v>
      </c>
      <c r="AM324" s="292">
        <f t="shared" si="255"/>
        <v>0</v>
      </c>
      <c r="AN324" s="292">
        <f t="shared" si="256"/>
        <v>0</v>
      </c>
      <c r="AO324" s="292">
        <f t="shared" si="257"/>
        <v>0</v>
      </c>
      <c r="AP324" s="292">
        <f t="shared" si="258"/>
        <v>0</v>
      </c>
      <c r="AQ324" s="292">
        <f t="shared" si="259"/>
        <v>0</v>
      </c>
      <c r="AR324" s="292">
        <f t="shared" si="232"/>
        <v>0</v>
      </c>
      <c r="AS324" s="292">
        <f t="shared" si="233"/>
        <v>0</v>
      </c>
      <c r="AT324" s="292">
        <f t="shared" si="260"/>
        <v>0</v>
      </c>
      <c r="AU324" s="292">
        <f t="shared" si="261"/>
        <v>0</v>
      </c>
      <c r="AV324" s="292">
        <f t="shared" si="262"/>
        <v>0</v>
      </c>
      <c r="AW324" s="292">
        <f t="shared" si="263"/>
        <v>0</v>
      </c>
      <c r="AX324" s="292">
        <f t="shared" si="234"/>
        <v>0</v>
      </c>
      <c r="AY324" s="292">
        <f t="shared" si="235"/>
        <v>0</v>
      </c>
      <c r="AZ324" s="292">
        <f t="shared" si="236"/>
        <v>0</v>
      </c>
      <c r="BA324" s="292">
        <f t="shared" si="237"/>
        <v>0</v>
      </c>
    </row>
    <row r="325" spans="1:53" s="289" customFormat="1" ht="16.5" customHeight="1">
      <c r="A325" s="63" t="str">
        <f t="array" ref="A325">IF(C325&lt;&gt;0,SUM(($C$11:C325&lt;&gt;0)*1),"")</f>
        <v/>
      </c>
      <c r="B325" s="290"/>
      <c r="C325" s="290"/>
      <c r="D325" s="290"/>
      <c r="E325" s="396"/>
      <c r="F325" s="345"/>
      <c r="G325" s="347"/>
      <c r="H325" s="347"/>
      <c r="I325" s="63" t="str">
        <f t="shared" si="264"/>
        <v/>
      </c>
      <c r="J325" s="292">
        <f t="shared" si="226"/>
        <v>0</v>
      </c>
      <c r="K325" s="292">
        <f t="shared" si="227"/>
        <v>0</v>
      </c>
      <c r="L325" s="292">
        <f t="shared" si="238"/>
        <v>0</v>
      </c>
      <c r="M325" s="292">
        <f t="shared" si="239"/>
        <v>0</v>
      </c>
      <c r="N325" s="292">
        <f t="shared" si="220"/>
        <v>0</v>
      </c>
      <c r="O325" s="292">
        <f t="shared" si="221"/>
        <v>0</v>
      </c>
      <c r="P325" s="292">
        <f t="shared" si="240"/>
        <v>0</v>
      </c>
      <c r="Q325" s="292">
        <f t="shared" si="241"/>
        <v>0</v>
      </c>
      <c r="R325" s="292">
        <f t="shared" si="242"/>
        <v>0</v>
      </c>
      <c r="S325" s="292">
        <f t="shared" si="243"/>
        <v>0</v>
      </c>
      <c r="T325" s="292">
        <f t="shared" si="222"/>
        <v>0</v>
      </c>
      <c r="U325" s="292">
        <f t="shared" si="223"/>
        <v>0</v>
      </c>
      <c r="V325" s="292">
        <f t="shared" si="244"/>
        <v>0</v>
      </c>
      <c r="W325" s="292">
        <f t="shared" si="245"/>
        <v>0</v>
      </c>
      <c r="X325" s="292">
        <f t="shared" si="246"/>
        <v>0</v>
      </c>
      <c r="Y325" s="292">
        <f t="shared" si="247"/>
        <v>0</v>
      </c>
      <c r="Z325" s="292">
        <f t="shared" si="228"/>
        <v>0</v>
      </c>
      <c r="AA325" s="292">
        <f t="shared" si="229"/>
        <v>0</v>
      </c>
      <c r="AB325" s="292">
        <f t="shared" si="248"/>
        <v>0</v>
      </c>
      <c r="AC325" s="292">
        <f t="shared" si="249"/>
        <v>0</v>
      </c>
      <c r="AD325" s="292">
        <f t="shared" si="230"/>
        <v>0</v>
      </c>
      <c r="AE325" s="292">
        <f t="shared" si="231"/>
        <v>0</v>
      </c>
      <c r="AF325" s="292">
        <f t="shared" si="224"/>
        <v>0</v>
      </c>
      <c r="AG325" s="292">
        <f t="shared" si="225"/>
        <v>0</v>
      </c>
      <c r="AH325" s="292">
        <f t="shared" si="250"/>
        <v>0</v>
      </c>
      <c r="AI325" s="292">
        <f t="shared" si="251"/>
        <v>0</v>
      </c>
      <c r="AJ325" s="292">
        <f t="shared" si="252"/>
        <v>0</v>
      </c>
      <c r="AK325" s="292">
        <f t="shared" si="253"/>
        <v>0</v>
      </c>
      <c r="AL325" s="292">
        <f t="shared" si="254"/>
        <v>0</v>
      </c>
      <c r="AM325" s="292">
        <f t="shared" si="255"/>
        <v>0</v>
      </c>
      <c r="AN325" s="292">
        <f t="shared" si="256"/>
        <v>0</v>
      </c>
      <c r="AO325" s="292">
        <f t="shared" si="257"/>
        <v>0</v>
      </c>
      <c r="AP325" s="292">
        <f t="shared" si="258"/>
        <v>0</v>
      </c>
      <c r="AQ325" s="292">
        <f t="shared" si="259"/>
        <v>0</v>
      </c>
      <c r="AR325" s="292">
        <f t="shared" si="232"/>
        <v>0</v>
      </c>
      <c r="AS325" s="292">
        <f t="shared" si="233"/>
        <v>0</v>
      </c>
      <c r="AT325" s="292">
        <f t="shared" si="260"/>
        <v>0</v>
      </c>
      <c r="AU325" s="292">
        <f t="shared" si="261"/>
        <v>0</v>
      </c>
      <c r="AV325" s="292">
        <f t="shared" si="262"/>
        <v>0</v>
      </c>
      <c r="AW325" s="292">
        <f t="shared" si="263"/>
        <v>0</v>
      </c>
      <c r="AX325" s="292">
        <f t="shared" si="234"/>
        <v>0</v>
      </c>
      <c r="AY325" s="292">
        <f t="shared" si="235"/>
        <v>0</v>
      </c>
      <c r="AZ325" s="292">
        <f t="shared" si="236"/>
        <v>0</v>
      </c>
      <c r="BA325" s="292">
        <f t="shared" si="237"/>
        <v>0</v>
      </c>
    </row>
    <row r="326" spans="1:53" s="289" customFormat="1" ht="16.5" customHeight="1">
      <c r="A326" s="63" t="str">
        <f t="array" ref="A326">IF(C326&lt;&gt;0,SUM(($C$11:C326&lt;&gt;0)*1),"")</f>
        <v/>
      </c>
      <c r="B326" s="290"/>
      <c r="C326" s="290"/>
      <c r="D326" s="290"/>
      <c r="E326" s="396"/>
      <c r="F326" s="345"/>
      <c r="G326" s="347"/>
      <c r="H326" s="347"/>
      <c r="I326" s="63" t="str">
        <f t="shared" si="264"/>
        <v/>
      </c>
      <c r="J326" s="292">
        <f t="shared" si="226"/>
        <v>0</v>
      </c>
      <c r="K326" s="292">
        <f t="shared" si="227"/>
        <v>0</v>
      </c>
      <c r="L326" s="292">
        <f t="shared" si="238"/>
        <v>0</v>
      </c>
      <c r="M326" s="292">
        <f t="shared" si="239"/>
        <v>0</v>
      </c>
      <c r="N326" s="292">
        <f t="shared" si="220"/>
        <v>0</v>
      </c>
      <c r="O326" s="292">
        <f t="shared" si="221"/>
        <v>0</v>
      </c>
      <c r="P326" s="292">
        <f t="shared" si="240"/>
        <v>0</v>
      </c>
      <c r="Q326" s="292">
        <f t="shared" si="241"/>
        <v>0</v>
      </c>
      <c r="R326" s="292">
        <f t="shared" si="242"/>
        <v>0</v>
      </c>
      <c r="S326" s="292">
        <f t="shared" si="243"/>
        <v>0</v>
      </c>
      <c r="T326" s="292">
        <f t="shared" si="222"/>
        <v>0</v>
      </c>
      <c r="U326" s="292">
        <f t="shared" si="223"/>
        <v>0</v>
      </c>
      <c r="V326" s="292">
        <f t="shared" si="244"/>
        <v>0</v>
      </c>
      <c r="W326" s="292">
        <f t="shared" si="245"/>
        <v>0</v>
      </c>
      <c r="X326" s="292">
        <f t="shared" si="246"/>
        <v>0</v>
      </c>
      <c r="Y326" s="292">
        <f t="shared" si="247"/>
        <v>0</v>
      </c>
      <c r="Z326" s="292">
        <f t="shared" si="228"/>
        <v>0</v>
      </c>
      <c r="AA326" s="292">
        <f t="shared" si="229"/>
        <v>0</v>
      </c>
      <c r="AB326" s="292">
        <f t="shared" si="248"/>
        <v>0</v>
      </c>
      <c r="AC326" s="292">
        <f t="shared" si="249"/>
        <v>0</v>
      </c>
      <c r="AD326" s="292">
        <f t="shared" si="230"/>
        <v>0</v>
      </c>
      <c r="AE326" s="292">
        <f t="shared" si="231"/>
        <v>0</v>
      </c>
      <c r="AF326" s="292">
        <f t="shared" si="224"/>
        <v>0</v>
      </c>
      <c r="AG326" s="292">
        <f t="shared" si="225"/>
        <v>0</v>
      </c>
      <c r="AH326" s="292">
        <f t="shared" si="250"/>
        <v>0</v>
      </c>
      <c r="AI326" s="292">
        <f t="shared" si="251"/>
        <v>0</v>
      </c>
      <c r="AJ326" s="292">
        <f t="shared" si="252"/>
        <v>0</v>
      </c>
      <c r="AK326" s="292">
        <f t="shared" si="253"/>
        <v>0</v>
      </c>
      <c r="AL326" s="292">
        <f t="shared" si="254"/>
        <v>0</v>
      </c>
      <c r="AM326" s="292">
        <f t="shared" si="255"/>
        <v>0</v>
      </c>
      <c r="AN326" s="292">
        <f t="shared" si="256"/>
        <v>0</v>
      </c>
      <c r="AO326" s="292">
        <f t="shared" si="257"/>
        <v>0</v>
      </c>
      <c r="AP326" s="292">
        <f t="shared" si="258"/>
        <v>0</v>
      </c>
      <c r="AQ326" s="292">
        <f t="shared" si="259"/>
        <v>0</v>
      </c>
      <c r="AR326" s="292">
        <f t="shared" si="232"/>
        <v>0</v>
      </c>
      <c r="AS326" s="292">
        <f t="shared" si="233"/>
        <v>0</v>
      </c>
      <c r="AT326" s="292">
        <f t="shared" si="260"/>
        <v>0</v>
      </c>
      <c r="AU326" s="292">
        <f t="shared" si="261"/>
        <v>0</v>
      </c>
      <c r="AV326" s="292">
        <f t="shared" si="262"/>
        <v>0</v>
      </c>
      <c r="AW326" s="292">
        <f t="shared" si="263"/>
        <v>0</v>
      </c>
      <c r="AX326" s="292">
        <f t="shared" si="234"/>
        <v>0</v>
      </c>
      <c r="AY326" s="292">
        <f t="shared" si="235"/>
        <v>0</v>
      </c>
      <c r="AZ326" s="292">
        <f t="shared" si="236"/>
        <v>0</v>
      </c>
      <c r="BA326" s="292">
        <f t="shared" si="237"/>
        <v>0</v>
      </c>
    </row>
    <row r="327" spans="1:53" s="289" customFormat="1" ht="16.5" customHeight="1">
      <c r="A327" s="63" t="str">
        <f t="array" ref="A327">IF(C327&lt;&gt;0,SUM(($C$11:C327&lt;&gt;0)*1),"")</f>
        <v/>
      </c>
      <c r="B327" s="290"/>
      <c r="C327" s="290"/>
      <c r="D327" s="290"/>
      <c r="E327" s="396"/>
      <c r="F327" s="345"/>
      <c r="G327" s="347"/>
      <c r="H327" s="347"/>
      <c r="I327" s="63" t="str">
        <f t="shared" si="264"/>
        <v/>
      </c>
      <c r="J327" s="292">
        <f t="shared" si="226"/>
        <v>0</v>
      </c>
      <c r="K327" s="292">
        <f t="shared" si="227"/>
        <v>0</v>
      </c>
      <c r="L327" s="292">
        <f t="shared" si="238"/>
        <v>0</v>
      </c>
      <c r="M327" s="292">
        <f t="shared" si="239"/>
        <v>0</v>
      </c>
      <c r="N327" s="292">
        <f t="shared" si="220"/>
        <v>0</v>
      </c>
      <c r="O327" s="292">
        <f t="shared" si="221"/>
        <v>0</v>
      </c>
      <c r="P327" s="292">
        <f t="shared" si="240"/>
        <v>0</v>
      </c>
      <c r="Q327" s="292">
        <f t="shared" si="241"/>
        <v>0</v>
      </c>
      <c r="R327" s="292">
        <f t="shared" si="242"/>
        <v>0</v>
      </c>
      <c r="S327" s="292">
        <f t="shared" si="243"/>
        <v>0</v>
      </c>
      <c r="T327" s="292">
        <f t="shared" si="222"/>
        <v>0</v>
      </c>
      <c r="U327" s="292">
        <f t="shared" si="223"/>
        <v>0</v>
      </c>
      <c r="V327" s="292">
        <f t="shared" si="244"/>
        <v>0</v>
      </c>
      <c r="W327" s="292">
        <f t="shared" si="245"/>
        <v>0</v>
      </c>
      <c r="X327" s="292">
        <f t="shared" si="246"/>
        <v>0</v>
      </c>
      <c r="Y327" s="292">
        <f t="shared" si="247"/>
        <v>0</v>
      </c>
      <c r="Z327" s="292">
        <f t="shared" si="228"/>
        <v>0</v>
      </c>
      <c r="AA327" s="292">
        <f t="shared" si="229"/>
        <v>0</v>
      </c>
      <c r="AB327" s="292">
        <f t="shared" si="248"/>
        <v>0</v>
      </c>
      <c r="AC327" s="292">
        <f t="shared" si="249"/>
        <v>0</v>
      </c>
      <c r="AD327" s="292">
        <f t="shared" si="230"/>
        <v>0</v>
      </c>
      <c r="AE327" s="292">
        <f t="shared" si="231"/>
        <v>0</v>
      </c>
      <c r="AF327" s="292">
        <f t="shared" si="224"/>
        <v>0</v>
      </c>
      <c r="AG327" s="292">
        <f t="shared" si="225"/>
        <v>0</v>
      </c>
      <c r="AH327" s="292">
        <f t="shared" si="250"/>
        <v>0</v>
      </c>
      <c r="AI327" s="292">
        <f t="shared" si="251"/>
        <v>0</v>
      </c>
      <c r="AJ327" s="292">
        <f t="shared" si="252"/>
        <v>0</v>
      </c>
      <c r="AK327" s="292">
        <f t="shared" si="253"/>
        <v>0</v>
      </c>
      <c r="AL327" s="292">
        <f t="shared" si="254"/>
        <v>0</v>
      </c>
      <c r="AM327" s="292">
        <f t="shared" si="255"/>
        <v>0</v>
      </c>
      <c r="AN327" s="292">
        <f t="shared" si="256"/>
        <v>0</v>
      </c>
      <c r="AO327" s="292">
        <f t="shared" si="257"/>
        <v>0</v>
      </c>
      <c r="AP327" s="292">
        <f t="shared" si="258"/>
        <v>0</v>
      </c>
      <c r="AQ327" s="292">
        <f t="shared" si="259"/>
        <v>0</v>
      </c>
      <c r="AR327" s="292">
        <f t="shared" si="232"/>
        <v>0</v>
      </c>
      <c r="AS327" s="292">
        <f t="shared" si="233"/>
        <v>0</v>
      </c>
      <c r="AT327" s="292">
        <f t="shared" si="260"/>
        <v>0</v>
      </c>
      <c r="AU327" s="292">
        <f t="shared" si="261"/>
        <v>0</v>
      </c>
      <c r="AV327" s="292">
        <f t="shared" si="262"/>
        <v>0</v>
      </c>
      <c r="AW327" s="292">
        <f t="shared" si="263"/>
        <v>0</v>
      </c>
      <c r="AX327" s="292">
        <f t="shared" si="234"/>
        <v>0</v>
      </c>
      <c r="AY327" s="292">
        <f t="shared" si="235"/>
        <v>0</v>
      </c>
      <c r="AZ327" s="292">
        <f t="shared" si="236"/>
        <v>0</v>
      </c>
      <c r="BA327" s="292">
        <f t="shared" si="237"/>
        <v>0</v>
      </c>
    </row>
    <row r="328" spans="1:53" s="289" customFormat="1" ht="16.5" customHeight="1">
      <c r="A328" s="63" t="str">
        <f t="array" ref="A328">IF(C328&lt;&gt;0,SUM(($C$11:C328&lt;&gt;0)*1),"")</f>
        <v/>
      </c>
      <c r="B328" s="290"/>
      <c r="C328" s="290"/>
      <c r="D328" s="290"/>
      <c r="E328" s="396"/>
      <c r="F328" s="345"/>
      <c r="G328" s="347"/>
      <c r="H328" s="347"/>
      <c r="I328" s="63" t="str">
        <f t="shared" si="264"/>
        <v/>
      </c>
      <c r="J328" s="292">
        <f t="shared" si="226"/>
        <v>0</v>
      </c>
      <c r="K328" s="292">
        <f t="shared" si="227"/>
        <v>0</v>
      </c>
      <c r="L328" s="292">
        <f t="shared" si="238"/>
        <v>0</v>
      </c>
      <c r="M328" s="292">
        <f t="shared" si="239"/>
        <v>0</v>
      </c>
      <c r="N328" s="292">
        <f t="shared" si="220"/>
        <v>0</v>
      </c>
      <c r="O328" s="292">
        <f t="shared" si="221"/>
        <v>0</v>
      </c>
      <c r="P328" s="292">
        <f t="shared" si="240"/>
        <v>0</v>
      </c>
      <c r="Q328" s="292">
        <f t="shared" si="241"/>
        <v>0</v>
      </c>
      <c r="R328" s="292">
        <f t="shared" si="242"/>
        <v>0</v>
      </c>
      <c r="S328" s="292">
        <f t="shared" si="243"/>
        <v>0</v>
      </c>
      <c r="T328" s="292">
        <f t="shared" si="222"/>
        <v>0</v>
      </c>
      <c r="U328" s="292">
        <f t="shared" si="223"/>
        <v>0</v>
      </c>
      <c r="V328" s="292">
        <f t="shared" si="244"/>
        <v>0</v>
      </c>
      <c r="W328" s="292">
        <f t="shared" si="245"/>
        <v>0</v>
      </c>
      <c r="X328" s="292">
        <f t="shared" si="246"/>
        <v>0</v>
      </c>
      <c r="Y328" s="292">
        <f t="shared" si="247"/>
        <v>0</v>
      </c>
      <c r="Z328" s="292">
        <f t="shared" si="228"/>
        <v>0</v>
      </c>
      <c r="AA328" s="292">
        <f t="shared" si="229"/>
        <v>0</v>
      </c>
      <c r="AB328" s="292">
        <f t="shared" si="248"/>
        <v>0</v>
      </c>
      <c r="AC328" s="292">
        <f t="shared" si="249"/>
        <v>0</v>
      </c>
      <c r="AD328" s="292">
        <f t="shared" si="230"/>
        <v>0</v>
      </c>
      <c r="AE328" s="292">
        <f t="shared" si="231"/>
        <v>0</v>
      </c>
      <c r="AF328" s="292">
        <f t="shared" si="224"/>
        <v>0</v>
      </c>
      <c r="AG328" s="292">
        <f t="shared" si="225"/>
        <v>0</v>
      </c>
      <c r="AH328" s="292">
        <f t="shared" si="250"/>
        <v>0</v>
      </c>
      <c r="AI328" s="292">
        <f t="shared" si="251"/>
        <v>0</v>
      </c>
      <c r="AJ328" s="292">
        <f t="shared" si="252"/>
        <v>0</v>
      </c>
      <c r="AK328" s="292">
        <f t="shared" si="253"/>
        <v>0</v>
      </c>
      <c r="AL328" s="292">
        <f t="shared" si="254"/>
        <v>0</v>
      </c>
      <c r="AM328" s="292">
        <f t="shared" si="255"/>
        <v>0</v>
      </c>
      <c r="AN328" s="292">
        <f t="shared" si="256"/>
        <v>0</v>
      </c>
      <c r="AO328" s="292">
        <f t="shared" si="257"/>
        <v>0</v>
      </c>
      <c r="AP328" s="292">
        <f t="shared" si="258"/>
        <v>0</v>
      </c>
      <c r="AQ328" s="292">
        <f t="shared" si="259"/>
        <v>0</v>
      </c>
      <c r="AR328" s="292">
        <f t="shared" si="232"/>
        <v>0</v>
      </c>
      <c r="AS328" s="292">
        <f t="shared" si="233"/>
        <v>0</v>
      </c>
      <c r="AT328" s="292">
        <f t="shared" si="260"/>
        <v>0</v>
      </c>
      <c r="AU328" s="292">
        <f t="shared" si="261"/>
        <v>0</v>
      </c>
      <c r="AV328" s="292">
        <f t="shared" si="262"/>
        <v>0</v>
      </c>
      <c r="AW328" s="292">
        <f t="shared" si="263"/>
        <v>0</v>
      </c>
      <c r="AX328" s="292">
        <f t="shared" si="234"/>
        <v>0</v>
      </c>
      <c r="AY328" s="292">
        <f t="shared" si="235"/>
        <v>0</v>
      </c>
      <c r="AZ328" s="292">
        <f t="shared" si="236"/>
        <v>0</v>
      </c>
      <c r="BA328" s="292">
        <f t="shared" si="237"/>
        <v>0</v>
      </c>
    </row>
    <row r="329" spans="1:53" s="289" customFormat="1" ht="16.5" customHeight="1">
      <c r="A329" s="63" t="str">
        <f t="array" ref="A329">IF(C329&lt;&gt;0,SUM(($C$11:C329&lt;&gt;0)*1),"")</f>
        <v/>
      </c>
      <c r="B329" s="290"/>
      <c r="C329" s="290"/>
      <c r="D329" s="290"/>
      <c r="E329" s="396"/>
      <c r="F329" s="345"/>
      <c r="G329" s="347"/>
      <c r="H329" s="347"/>
      <c r="I329" s="63" t="str">
        <f t="shared" si="264"/>
        <v/>
      </c>
      <c r="J329" s="292">
        <f t="shared" si="226"/>
        <v>0</v>
      </c>
      <c r="K329" s="292">
        <f t="shared" si="227"/>
        <v>0</v>
      </c>
      <c r="L329" s="292">
        <f t="shared" si="238"/>
        <v>0</v>
      </c>
      <c r="M329" s="292">
        <f t="shared" si="239"/>
        <v>0</v>
      </c>
      <c r="N329" s="292">
        <f t="shared" si="220"/>
        <v>0</v>
      </c>
      <c r="O329" s="292">
        <f t="shared" si="221"/>
        <v>0</v>
      </c>
      <c r="P329" s="292">
        <f t="shared" si="240"/>
        <v>0</v>
      </c>
      <c r="Q329" s="292">
        <f t="shared" si="241"/>
        <v>0</v>
      </c>
      <c r="R329" s="292">
        <f t="shared" si="242"/>
        <v>0</v>
      </c>
      <c r="S329" s="292">
        <f t="shared" si="243"/>
        <v>0</v>
      </c>
      <c r="T329" s="292">
        <f t="shared" si="222"/>
        <v>0</v>
      </c>
      <c r="U329" s="292">
        <f t="shared" si="223"/>
        <v>0</v>
      </c>
      <c r="V329" s="292">
        <f t="shared" si="244"/>
        <v>0</v>
      </c>
      <c r="W329" s="292">
        <f t="shared" si="245"/>
        <v>0</v>
      </c>
      <c r="X329" s="292">
        <f t="shared" si="246"/>
        <v>0</v>
      </c>
      <c r="Y329" s="292">
        <f t="shared" si="247"/>
        <v>0</v>
      </c>
      <c r="Z329" s="292">
        <f t="shared" si="228"/>
        <v>0</v>
      </c>
      <c r="AA329" s="292">
        <f t="shared" si="229"/>
        <v>0</v>
      </c>
      <c r="AB329" s="292">
        <f t="shared" si="248"/>
        <v>0</v>
      </c>
      <c r="AC329" s="292">
        <f t="shared" si="249"/>
        <v>0</v>
      </c>
      <c r="AD329" s="292">
        <f t="shared" si="230"/>
        <v>0</v>
      </c>
      <c r="AE329" s="292">
        <f t="shared" si="231"/>
        <v>0</v>
      </c>
      <c r="AF329" s="292">
        <f t="shared" si="224"/>
        <v>0</v>
      </c>
      <c r="AG329" s="292">
        <f t="shared" si="225"/>
        <v>0</v>
      </c>
      <c r="AH329" s="292">
        <f t="shared" si="250"/>
        <v>0</v>
      </c>
      <c r="AI329" s="292">
        <f t="shared" si="251"/>
        <v>0</v>
      </c>
      <c r="AJ329" s="292">
        <f t="shared" si="252"/>
        <v>0</v>
      </c>
      <c r="AK329" s="292">
        <f t="shared" si="253"/>
        <v>0</v>
      </c>
      <c r="AL329" s="292">
        <f t="shared" si="254"/>
        <v>0</v>
      </c>
      <c r="AM329" s="292">
        <f t="shared" si="255"/>
        <v>0</v>
      </c>
      <c r="AN329" s="292">
        <f t="shared" si="256"/>
        <v>0</v>
      </c>
      <c r="AO329" s="292">
        <f t="shared" si="257"/>
        <v>0</v>
      </c>
      <c r="AP329" s="292">
        <f t="shared" si="258"/>
        <v>0</v>
      </c>
      <c r="AQ329" s="292">
        <f t="shared" si="259"/>
        <v>0</v>
      </c>
      <c r="AR329" s="292">
        <f t="shared" si="232"/>
        <v>0</v>
      </c>
      <c r="AS329" s="292">
        <f t="shared" si="233"/>
        <v>0</v>
      </c>
      <c r="AT329" s="292">
        <f t="shared" si="260"/>
        <v>0</v>
      </c>
      <c r="AU329" s="292">
        <f t="shared" si="261"/>
        <v>0</v>
      </c>
      <c r="AV329" s="292">
        <f t="shared" si="262"/>
        <v>0</v>
      </c>
      <c r="AW329" s="292">
        <f t="shared" si="263"/>
        <v>0</v>
      </c>
      <c r="AX329" s="292">
        <f t="shared" si="234"/>
        <v>0</v>
      </c>
      <c r="AY329" s="292">
        <f t="shared" si="235"/>
        <v>0</v>
      </c>
      <c r="AZ329" s="292">
        <f t="shared" si="236"/>
        <v>0</v>
      </c>
      <c r="BA329" s="292">
        <f t="shared" si="237"/>
        <v>0</v>
      </c>
    </row>
    <row r="330" spans="1:53" s="289" customFormat="1" ht="16.5" customHeight="1">
      <c r="A330" s="63" t="str">
        <f t="array" ref="A330">IF(C330&lt;&gt;0,SUM(($C$11:C330&lt;&gt;0)*1),"")</f>
        <v/>
      </c>
      <c r="B330" s="290"/>
      <c r="C330" s="290"/>
      <c r="D330" s="290"/>
      <c r="E330" s="396"/>
      <c r="F330" s="345"/>
      <c r="G330" s="347"/>
      <c r="H330" s="347"/>
      <c r="I330" s="63" t="str">
        <f t="shared" si="264"/>
        <v/>
      </c>
      <c r="J330" s="292">
        <f t="shared" si="226"/>
        <v>0</v>
      </c>
      <c r="K330" s="292">
        <f t="shared" si="227"/>
        <v>0</v>
      </c>
      <c r="L330" s="292">
        <f t="shared" si="238"/>
        <v>0</v>
      </c>
      <c r="M330" s="292">
        <f t="shared" si="239"/>
        <v>0</v>
      </c>
      <c r="N330" s="292">
        <f t="shared" si="220"/>
        <v>0</v>
      </c>
      <c r="O330" s="292">
        <f t="shared" si="221"/>
        <v>0</v>
      </c>
      <c r="P330" s="292">
        <f t="shared" si="240"/>
        <v>0</v>
      </c>
      <c r="Q330" s="292">
        <f t="shared" si="241"/>
        <v>0</v>
      </c>
      <c r="R330" s="292">
        <f t="shared" si="242"/>
        <v>0</v>
      </c>
      <c r="S330" s="292">
        <f t="shared" si="243"/>
        <v>0</v>
      </c>
      <c r="T330" s="292">
        <f t="shared" si="222"/>
        <v>0</v>
      </c>
      <c r="U330" s="292">
        <f t="shared" si="223"/>
        <v>0</v>
      </c>
      <c r="V330" s="292">
        <f t="shared" si="244"/>
        <v>0</v>
      </c>
      <c r="W330" s="292">
        <f t="shared" si="245"/>
        <v>0</v>
      </c>
      <c r="X330" s="292">
        <f t="shared" si="246"/>
        <v>0</v>
      </c>
      <c r="Y330" s="292">
        <f t="shared" si="247"/>
        <v>0</v>
      </c>
      <c r="Z330" s="292">
        <f t="shared" si="228"/>
        <v>0</v>
      </c>
      <c r="AA330" s="292">
        <f t="shared" si="229"/>
        <v>0</v>
      </c>
      <c r="AB330" s="292">
        <f t="shared" si="248"/>
        <v>0</v>
      </c>
      <c r="AC330" s="292">
        <f t="shared" si="249"/>
        <v>0</v>
      </c>
      <c r="AD330" s="292">
        <f t="shared" si="230"/>
        <v>0</v>
      </c>
      <c r="AE330" s="292">
        <f t="shared" si="231"/>
        <v>0</v>
      </c>
      <c r="AF330" s="292">
        <f t="shared" si="224"/>
        <v>0</v>
      </c>
      <c r="AG330" s="292">
        <f t="shared" si="225"/>
        <v>0</v>
      </c>
      <c r="AH330" s="292">
        <f t="shared" si="250"/>
        <v>0</v>
      </c>
      <c r="AI330" s="292">
        <f t="shared" si="251"/>
        <v>0</v>
      </c>
      <c r="AJ330" s="292">
        <f t="shared" si="252"/>
        <v>0</v>
      </c>
      <c r="AK330" s="292">
        <f t="shared" si="253"/>
        <v>0</v>
      </c>
      <c r="AL330" s="292">
        <f t="shared" si="254"/>
        <v>0</v>
      </c>
      <c r="AM330" s="292">
        <f t="shared" si="255"/>
        <v>0</v>
      </c>
      <c r="AN330" s="292">
        <f t="shared" si="256"/>
        <v>0</v>
      </c>
      <c r="AO330" s="292">
        <f t="shared" si="257"/>
        <v>0</v>
      </c>
      <c r="AP330" s="292">
        <f t="shared" si="258"/>
        <v>0</v>
      </c>
      <c r="AQ330" s="292">
        <f t="shared" si="259"/>
        <v>0</v>
      </c>
      <c r="AR330" s="292">
        <f t="shared" si="232"/>
        <v>0</v>
      </c>
      <c r="AS330" s="292">
        <f t="shared" si="233"/>
        <v>0</v>
      </c>
      <c r="AT330" s="292">
        <f t="shared" si="260"/>
        <v>0</v>
      </c>
      <c r="AU330" s="292">
        <f t="shared" si="261"/>
        <v>0</v>
      </c>
      <c r="AV330" s="292">
        <f t="shared" si="262"/>
        <v>0</v>
      </c>
      <c r="AW330" s="292">
        <f t="shared" si="263"/>
        <v>0</v>
      </c>
      <c r="AX330" s="292">
        <f t="shared" si="234"/>
        <v>0</v>
      </c>
      <c r="AY330" s="292">
        <f t="shared" si="235"/>
        <v>0</v>
      </c>
      <c r="AZ330" s="292">
        <f t="shared" si="236"/>
        <v>0</v>
      </c>
      <c r="BA330" s="292">
        <f t="shared" si="237"/>
        <v>0</v>
      </c>
    </row>
    <row r="331" spans="1:53" s="289" customFormat="1" ht="16.5" customHeight="1">
      <c r="A331" s="63" t="str">
        <f t="array" ref="A331">IF(C331&lt;&gt;0,SUM(($C$11:C331&lt;&gt;0)*1),"")</f>
        <v/>
      </c>
      <c r="B331" s="290"/>
      <c r="C331" s="290"/>
      <c r="D331" s="290"/>
      <c r="E331" s="396"/>
      <c r="F331" s="345"/>
      <c r="G331" s="347"/>
      <c r="H331" s="347"/>
      <c r="I331" s="63" t="str">
        <f t="shared" si="264"/>
        <v/>
      </c>
      <c r="J331" s="292">
        <f t="shared" si="226"/>
        <v>0</v>
      </c>
      <c r="K331" s="292">
        <f t="shared" si="227"/>
        <v>0</v>
      </c>
      <c r="L331" s="292">
        <f t="shared" si="238"/>
        <v>0</v>
      </c>
      <c r="M331" s="292">
        <f t="shared" si="239"/>
        <v>0</v>
      </c>
      <c r="N331" s="292">
        <f t="shared" si="220"/>
        <v>0</v>
      </c>
      <c r="O331" s="292">
        <f t="shared" si="221"/>
        <v>0</v>
      </c>
      <c r="P331" s="292">
        <f t="shared" si="240"/>
        <v>0</v>
      </c>
      <c r="Q331" s="292">
        <f t="shared" si="241"/>
        <v>0</v>
      </c>
      <c r="R331" s="292">
        <f t="shared" si="242"/>
        <v>0</v>
      </c>
      <c r="S331" s="292">
        <f t="shared" si="243"/>
        <v>0</v>
      </c>
      <c r="T331" s="292">
        <f t="shared" si="222"/>
        <v>0</v>
      </c>
      <c r="U331" s="292">
        <f t="shared" si="223"/>
        <v>0</v>
      </c>
      <c r="V331" s="292">
        <f t="shared" si="244"/>
        <v>0</v>
      </c>
      <c r="W331" s="292">
        <f t="shared" si="245"/>
        <v>0</v>
      </c>
      <c r="X331" s="292">
        <f t="shared" si="246"/>
        <v>0</v>
      </c>
      <c r="Y331" s="292">
        <f t="shared" si="247"/>
        <v>0</v>
      </c>
      <c r="Z331" s="292">
        <f t="shared" si="228"/>
        <v>0</v>
      </c>
      <c r="AA331" s="292">
        <f t="shared" si="229"/>
        <v>0</v>
      </c>
      <c r="AB331" s="292">
        <f t="shared" si="248"/>
        <v>0</v>
      </c>
      <c r="AC331" s="292">
        <f t="shared" si="249"/>
        <v>0</v>
      </c>
      <c r="AD331" s="292">
        <f t="shared" si="230"/>
        <v>0</v>
      </c>
      <c r="AE331" s="292">
        <f t="shared" si="231"/>
        <v>0</v>
      </c>
      <c r="AF331" s="292">
        <f t="shared" si="224"/>
        <v>0</v>
      </c>
      <c r="AG331" s="292">
        <f t="shared" si="225"/>
        <v>0</v>
      </c>
      <c r="AH331" s="292">
        <f t="shared" si="250"/>
        <v>0</v>
      </c>
      <c r="AI331" s="292">
        <f t="shared" si="251"/>
        <v>0</v>
      </c>
      <c r="AJ331" s="292">
        <f t="shared" si="252"/>
        <v>0</v>
      </c>
      <c r="AK331" s="292">
        <f t="shared" si="253"/>
        <v>0</v>
      </c>
      <c r="AL331" s="292">
        <f t="shared" si="254"/>
        <v>0</v>
      </c>
      <c r="AM331" s="292">
        <f t="shared" si="255"/>
        <v>0</v>
      </c>
      <c r="AN331" s="292">
        <f t="shared" si="256"/>
        <v>0</v>
      </c>
      <c r="AO331" s="292">
        <f t="shared" si="257"/>
        <v>0</v>
      </c>
      <c r="AP331" s="292">
        <f t="shared" si="258"/>
        <v>0</v>
      </c>
      <c r="AQ331" s="292">
        <f t="shared" si="259"/>
        <v>0</v>
      </c>
      <c r="AR331" s="292">
        <f t="shared" si="232"/>
        <v>0</v>
      </c>
      <c r="AS331" s="292">
        <f t="shared" si="233"/>
        <v>0</v>
      </c>
      <c r="AT331" s="292">
        <f t="shared" si="260"/>
        <v>0</v>
      </c>
      <c r="AU331" s="292">
        <f t="shared" si="261"/>
        <v>0</v>
      </c>
      <c r="AV331" s="292">
        <f t="shared" si="262"/>
        <v>0</v>
      </c>
      <c r="AW331" s="292">
        <f t="shared" si="263"/>
        <v>0</v>
      </c>
      <c r="AX331" s="292">
        <f t="shared" si="234"/>
        <v>0</v>
      </c>
      <c r="AY331" s="292">
        <f t="shared" si="235"/>
        <v>0</v>
      </c>
      <c r="AZ331" s="292">
        <f t="shared" si="236"/>
        <v>0</v>
      </c>
      <c r="BA331" s="292">
        <f t="shared" si="237"/>
        <v>0</v>
      </c>
    </row>
    <row r="332" spans="1:53" s="289" customFormat="1" ht="16.5" customHeight="1">
      <c r="A332" s="63" t="str">
        <f t="array" ref="A332">IF(C332&lt;&gt;0,SUM(($C$11:C332&lt;&gt;0)*1),"")</f>
        <v/>
      </c>
      <c r="B332" s="290"/>
      <c r="C332" s="290"/>
      <c r="D332" s="290"/>
      <c r="E332" s="396"/>
      <c r="F332" s="345"/>
      <c r="G332" s="347"/>
      <c r="H332" s="347"/>
      <c r="I332" s="63" t="str">
        <f t="shared" si="264"/>
        <v/>
      </c>
      <c r="J332" s="292">
        <f t="shared" si="226"/>
        <v>0</v>
      </c>
      <c r="K332" s="292">
        <f t="shared" si="227"/>
        <v>0</v>
      </c>
      <c r="L332" s="292">
        <f t="shared" si="238"/>
        <v>0</v>
      </c>
      <c r="M332" s="292">
        <f t="shared" si="239"/>
        <v>0</v>
      </c>
      <c r="N332" s="292">
        <f t="shared" ref="N332:N355" si="265">IF($G332="1122",$F332,0)</f>
        <v>0</v>
      </c>
      <c r="O332" s="292">
        <f t="shared" ref="O332:O355" si="266">IF($H332="1122",$F332,0)</f>
        <v>0</v>
      </c>
      <c r="P332" s="292">
        <f t="shared" si="240"/>
        <v>0</v>
      </c>
      <c r="Q332" s="292">
        <f t="shared" si="241"/>
        <v>0</v>
      </c>
      <c r="R332" s="292">
        <f t="shared" si="242"/>
        <v>0</v>
      </c>
      <c r="S332" s="292">
        <f t="shared" si="243"/>
        <v>0</v>
      </c>
      <c r="T332" s="292">
        <f t="shared" si="222"/>
        <v>0</v>
      </c>
      <c r="U332" s="292">
        <f t="shared" si="223"/>
        <v>0</v>
      </c>
      <c r="V332" s="292">
        <f t="shared" si="244"/>
        <v>0</v>
      </c>
      <c r="W332" s="292">
        <f t="shared" si="245"/>
        <v>0</v>
      </c>
      <c r="X332" s="292">
        <f t="shared" si="246"/>
        <v>0</v>
      </c>
      <c r="Y332" s="292">
        <f t="shared" si="247"/>
        <v>0</v>
      </c>
      <c r="Z332" s="292">
        <f t="shared" si="228"/>
        <v>0</v>
      </c>
      <c r="AA332" s="292">
        <f t="shared" si="229"/>
        <v>0</v>
      </c>
      <c r="AB332" s="292">
        <f t="shared" si="248"/>
        <v>0</v>
      </c>
      <c r="AC332" s="292">
        <f t="shared" si="249"/>
        <v>0</v>
      </c>
      <c r="AD332" s="292">
        <f t="shared" si="230"/>
        <v>0</v>
      </c>
      <c r="AE332" s="292">
        <f t="shared" si="231"/>
        <v>0</v>
      </c>
      <c r="AF332" s="292">
        <f t="shared" ref="AF332:AF355" si="267">IF($G332="3412",$F332,0)</f>
        <v>0</v>
      </c>
      <c r="AG332" s="292">
        <f t="shared" ref="AG332:AG355" si="268">IF($H332="3412",$F332,0)</f>
        <v>0</v>
      </c>
      <c r="AH332" s="292">
        <f t="shared" si="250"/>
        <v>0</v>
      </c>
      <c r="AI332" s="292">
        <f t="shared" si="251"/>
        <v>0</v>
      </c>
      <c r="AJ332" s="292">
        <f t="shared" si="252"/>
        <v>0</v>
      </c>
      <c r="AK332" s="292">
        <f t="shared" si="253"/>
        <v>0</v>
      </c>
      <c r="AL332" s="292">
        <f t="shared" si="254"/>
        <v>0</v>
      </c>
      <c r="AM332" s="292">
        <f t="shared" si="255"/>
        <v>0</v>
      </c>
      <c r="AN332" s="292">
        <f t="shared" si="256"/>
        <v>0</v>
      </c>
      <c r="AO332" s="292">
        <f t="shared" si="257"/>
        <v>0</v>
      </c>
      <c r="AP332" s="292">
        <f t="shared" si="258"/>
        <v>0</v>
      </c>
      <c r="AQ332" s="292">
        <f t="shared" si="259"/>
        <v>0</v>
      </c>
      <c r="AR332" s="292">
        <f t="shared" si="232"/>
        <v>0</v>
      </c>
      <c r="AS332" s="292">
        <f t="shared" si="233"/>
        <v>0</v>
      </c>
      <c r="AT332" s="292">
        <f t="shared" si="260"/>
        <v>0</v>
      </c>
      <c r="AU332" s="292">
        <f t="shared" si="261"/>
        <v>0</v>
      </c>
      <c r="AV332" s="292">
        <f t="shared" si="262"/>
        <v>0</v>
      </c>
      <c r="AW332" s="292">
        <f t="shared" si="263"/>
        <v>0</v>
      </c>
      <c r="AX332" s="292">
        <f t="shared" si="234"/>
        <v>0</v>
      </c>
      <c r="AY332" s="292">
        <f t="shared" si="235"/>
        <v>0</v>
      </c>
      <c r="AZ332" s="292">
        <f t="shared" si="236"/>
        <v>0</v>
      </c>
      <c r="BA332" s="292">
        <f t="shared" si="237"/>
        <v>0</v>
      </c>
    </row>
    <row r="333" spans="1:53" s="289" customFormat="1" ht="16.5" customHeight="1">
      <c r="A333" s="63" t="str">
        <f t="array" ref="A333">IF(C333&lt;&gt;0,SUM(($C$11:C333&lt;&gt;0)*1),"")</f>
        <v/>
      </c>
      <c r="B333" s="290"/>
      <c r="C333" s="290"/>
      <c r="D333" s="290"/>
      <c r="E333" s="396"/>
      <c r="F333" s="345"/>
      <c r="G333" s="347"/>
      <c r="H333" s="347"/>
      <c r="I333" s="63" t="str">
        <f t="shared" si="264"/>
        <v/>
      </c>
      <c r="J333" s="292">
        <f t="shared" si="226"/>
        <v>0</v>
      </c>
      <c r="K333" s="292">
        <f t="shared" si="227"/>
        <v>0</v>
      </c>
      <c r="L333" s="292">
        <f t="shared" si="238"/>
        <v>0</v>
      </c>
      <c r="M333" s="292">
        <f t="shared" si="239"/>
        <v>0</v>
      </c>
      <c r="N333" s="292">
        <f t="shared" si="265"/>
        <v>0</v>
      </c>
      <c r="O333" s="292">
        <f t="shared" si="266"/>
        <v>0</v>
      </c>
      <c r="P333" s="292">
        <f t="shared" si="240"/>
        <v>0</v>
      </c>
      <c r="Q333" s="292">
        <f t="shared" si="241"/>
        <v>0</v>
      </c>
      <c r="R333" s="292">
        <f t="shared" si="242"/>
        <v>0</v>
      </c>
      <c r="S333" s="292">
        <f t="shared" si="243"/>
        <v>0</v>
      </c>
      <c r="T333" s="292">
        <f t="shared" si="222"/>
        <v>0</v>
      </c>
      <c r="U333" s="292">
        <f t="shared" si="223"/>
        <v>0</v>
      </c>
      <c r="V333" s="292">
        <f t="shared" si="244"/>
        <v>0</v>
      </c>
      <c r="W333" s="292">
        <f t="shared" si="245"/>
        <v>0</v>
      </c>
      <c r="X333" s="292">
        <f t="shared" si="246"/>
        <v>0</v>
      </c>
      <c r="Y333" s="292">
        <f t="shared" si="247"/>
        <v>0</v>
      </c>
      <c r="Z333" s="292">
        <f t="shared" si="228"/>
        <v>0</v>
      </c>
      <c r="AA333" s="292">
        <f t="shared" si="229"/>
        <v>0</v>
      </c>
      <c r="AB333" s="292">
        <f t="shared" si="248"/>
        <v>0</v>
      </c>
      <c r="AC333" s="292">
        <f t="shared" si="249"/>
        <v>0</v>
      </c>
      <c r="AD333" s="292">
        <f t="shared" si="230"/>
        <v>0</v>
      </c>
      <c r="AE333" s="292">
        <f t="shared" si="231"/>
        <v>0</v>
      </c>
      <c r="AF333" s="292">
        <f t="shared" si="267"/>
        <v>0</v>
      </c>
      <c r="AG333" s="292">
        <f t="shared" si="268"/>
        <v>0</v>
      </c>
      <c r="AH333" s="292">
        <f t="shared" si="250"/>
        <v>0</v>
      </c>
      <c r="AI333" s="292">
        <f t="shared" si="251"/>
        <v>0</v>
      </c>
      <c r="AJ333" s="292">
        <f t="shared" si="252"/>
        <v>0</v>
      </c>
      <c r="AK333" s="292">
        <f t="shared" si="253"/>
        <v>0</v>
      </c>
      <c r="AL333" s="292">
        <f t="shared" si="254"/>
        <v>0</v>
      </c>
      <c r="AM333" s="292">
        <f t="shared" si="255"/>
        <v>0</v>
      </c>
      <c r="AN333" s="292">
        <f t="shared" si="256"/>
        <v>0</v>
      </c>
      <c r="AO333" s="292">
        <f t="shared" si="257"/>
        <v>0</v>
      </c>
      <c r="AP333" s="292">
        <f t="shared" si="258"/>
        <v>0</v>
      </c>
      <c r="AQ333" s="292">
        <f t="shared" si="259"/>
        <v>0</v>
      </c>
      <c r="AR333" s="292">
        <f t="shared" si="232"/>
        <v>0</v>
      </c>
      <c r="AS333" s="292">
        <f t="shared" si="233"/>
        <v>0</v>
      </c>
      <c r="AT333" s="292">
        <f t="shared" si="260"/>
        <v>0</v>
      </c>
      <c r="AU333" s="292">
        <f t="shared" si="261"/>
        <v>0</v>
      </c>
      <c r="AV333" s="292">
        <f t="shared" si="262"/>
        <v>0</v>
      </c>
      <c r="AW333" s="292">
        <f t="shared" si="263"/>
        <v>0</v>
      </c>
      <c r="AX333" s="292">
        <f t="shared" si="234"/>
        <v>0</v>
      </c>
      <c r="AY333" s="292">
        <f t="shared" si="235"/>
        <v>0</v>
      </c>
      <c r="AZ333" s="292">
        <f t="shared" si="236"/>
        <v>0</v>
      </c>
      <c r="BA333" s="292">
        <f t="shared" si="237"/>
        <v>0</v>
      </c>
    </row>
    <row r="334" spans="1:53" s="289" customFormat="1" ht="16.5" customHeight="1">
      <c r="A334" s="63" t="str">
        <f t="array" ref="A334">IF(C334&lt;&gt;0,SUM(($C$11:C334&lt;&gt;0)*1),"")</f>
        <v/>
      </c>
      <c r="B334" s="290"/>
      <c r="C334" s="290"/>
      <c r="D334" s="290"/>
      <c r="E334" s="396"/>
      <c r="F334" s="345"/>
      <c r="G334" s="347"/>
      <c r="H334" s="347"/>
      <c r="I334" s="63" t="str">
        <f t="shared" si="264"/>
        <v/>
      </c>
      <c r="J334" s="292">
        <f t="shared" si="226"/>
        <v>0</v>
      </c>
      <c r="K334" s="292">
        <f t="shared" si="227"/>
        <v>0</v>
      </c>
      <c r="L334" s="292">
        <f t="shared" si="238"/>
        <v>0</v>
      </c>
      <c r="M334" s="292">
        <f t="shared" si="239"/>
        <v>0</v>
      </c>
      <c r="N334" s="292">
        <f t="shared" si="265"/>
        <v>0</v>
      </c>
      <c r="O334" s="292">
        <f t="shared" si="266"/>
        <v>0</v>
      </c>
      <c r="P334" s="292">
        <f t="shared" si="240"/>
        <v>0</v>
      </c>
      <c r="Q334" s="292">
        <f t="shared" si="241"/>
        <v>0</v>
      </c>
      <c r="R334" s="292">
        <f t="shared" si="242"/>
        <v>0</v>
      </c>
      <c r="S334" s="292">
        <f t="shared" si="243"/>
        <v>0</v>
      </c>
      <c r="T334" s="292">
        <f t="shared" si="222"/>
        <v>0</v>
      </c>
      <c r="U334" s="292">
        <f t="shared" si="223"/>
        <v>0</v>
      </c>
      <c r="V334" s="292">
        <f t="shared" si="244"/>
        <v>0</v>
      </c>
      <c r="W334" s="292">
        <f t="shared" si="245"/>
        <v>0</v>
      </c>
      <c r="X334" s="292">
        <f t="shared" si="246"/>
        <v>0</v>
      </c>
      <c r="Y334" s="292">
        <f t="shared" si="247"/>
        <v>0</v>
      </c>
      <c r="Z334" s="292">
        <f t="shared" si="228"/>
        <v>0</v>
      </c>
      <c r="AA334" s="292">
        <f t="shared" si="229"/>
        <v>0</v>
      </c>
      <c r="AB334" s="292">
        <f t="shared" si="248"/>
        <v>0</v>
      </c>
      <c r="AC334" s="292">
        <f t="shared" si="249"/>
        <v>0</v>
      </c>
      <c r="AD334" s="292">
        <f t="shared" si="230"/>
        <v>0</v>
      </c>
      <c r="AE334" s="292">
        <f t="shared" si="231"/>
        <v>0</v>
      </c>
      <c r="AF334" s="292">
        <f t="shared" si="267"/>
        <v>0</v>
      </c>
      <c r="AG334" s="292">
        <f t="shared" si="268"/>
        <v>0</v>
      </c>
      <c r="AH334" s="292">
        <f t="shared" si="250"/>
        <v>0</v>
      </c>
      <c r="AI334" s="292">
        <f t="shared" si="251"/>
        <v>0</v>
      </c>
      <c r="AJ334" s="292">
        <f t="shared" si="252"/>
        <v>0</v>
      </c>
      <c r="AK334" s="292">
        <f t="shared" si="253"/>
        <v>0</v>
      </c>
      <c r="AL334" s="292">
        <f t="shared" si="254"/>
        <v>0</v>
      </c>
      <c r="AM334" s="292">
        <f t="shared" si="255"/>
        <v>0</v>
      </c>
      <c r="AN334" s="292">
        <f t="shared" si="256"/>
        <v>0</v>
      </c>
      <c r="AO334" s="292">
        <f t="shared" si="257"/>
        <v>0</v>
      </c>
      <c r="AP334" s="292">
        <f t="shared" si="258"/>
        <v>0</v>
      </c>
      <c r="AQ334" s="292">
        <f t="shared" si="259"/>
        <v>0</v>
      </c>
      <c r="AR334" s="292">
        <f t="shared" si="232"/>
        <v>0</v>
      </c>
      <c r="AS334" s="292">
        <f t="shared" si="233"/>
        <v>0</v>
      </c>
      <c r="AT334" s="292">
        <f t="shared" si="260"/>
        <v>0</v>
      </c>
      <c r="AU334" s="292">
        <f t="shared" si="261"/>
        <v>0</v>
      </c>
      <c r="AV334" s="292">
        <f t="shared" si="262"/>
        <v>0</v>
      </c>
      <c r="AW334" s="292">
        <f t="shared" si="263"/>
        <v>0</v>
      </c>
      <c r="AX334" s="292">
        <f t="shared" si="234"/>
        <v>0</v>
      </c>
      <c r="AY334" s="292">
        <f t="shared" si="235"/>
        <v>0</v>
      </c>
      <c r="AZ334" s="292">
        <f t="shared" si="236"/>
        <v>0</v>
      </c>
      <c r="BA334" s="292">
        <f t="shared" si="237"/>
        <v>0</v>
      </c>
    </row>
    <row r="335" spans="1:53" s="289" customFormat="1" ht="16.5" customHeight="1">
      <c r="A335" s="63" t="str">
        <f t="array" ref="A335">IF(C335&lt;&gt;0,SUM(($C$11:C335&lt;&gt;0)*1),"")</f>
        <v/>
      </c>
      <c r="B335" s="290"/>
      <c r="C335" s="290"/>
      <c r="D335" s="290"/>
      <c r="E335" s="396"/>
      <c r="F335" s="345"/>
      <c r="G335" s="347"/>
      <c r="H335" s="347"/>
      <c r="I335" s="63" t="str">
        <f t="shared" si="264"/>
        <v/>
      </c>
      <c r="J335" s="292">
        <f t="shared" si="226"/>
        <v>0</v>
      </c>
      <c r="K335" s="292">
        <f t="shared" si="227"/>
        <v>0</v>
      </c>
      <c r="L335" s="292">
        <f t="shared" si="238"/>
        <v>0</v>
      </c>
      <c r="M335" s="292">
        <f t="shared" si="239"/>
        <v>0</v>
      </c>
      <c r="N335" s="292">
        <f t="shared" si="265"/>
        <v>0</v>
      </c>
      <c r="O335" s="292">
        <f t="shared" si="266"/>
        <v>0</v>
      </c>
      <c r="P335" s="292">
        <f t="shared" si="240"/>
        <v>0</v>
      </c>
      <c r="Q335" s="292">
        <f t="shared" si="241"/>
        <v>0</v>
      </c>
      <c r="R335" s="292">
        <f t="shared" si="242"/>
        <v>0</v>
      </c>
      <c r="S335" s="292">
        <f t="shared" si="243"/>
        <v>0</v>
      </c>
      <c r="T335" s="292">
        <f t="shared" si="222"/>
        <v>0</v>
      </c>
      <c r="U335" s="292">
        <f t="shared" si="223"/>
        <v>0</v>
      </c>
      <c r="V335" s="292">
        <f t="shared" si="244"/>
        <v>0</v>
      </c>
      <c r="W335" s="292">
        <f t="shared" si="245"/>
        <v>0</v>
      </c>
      <c r="X335" s="292">
        <f t="shared" si="246"/>
        <v>0</v>
      </c>
      <c r="Y335" s="292">
        <f t="shared" si="247"/>
        <v>0</v>
      </c>
      <c r="Z335" s="292">
        <f t="shared" si="228"/>
        <v>0</v>
      </c>
      <c r="AA335" s="292">
        <f t="shared" si="229"/>
        <v>0</v>
      </c>
      <c r="AB335" s="292">
        <f t="shared" si="248"/>
        <v>0</v>
      </c>
      <c r="AC335" s="292">
        <f t="shared" si="249"/>
        <v>0</v>
      </c>
      <c r="AD335" s="292">
        <f t="shared" si="230"/>
        <v>0</v>
      </c>
      <c r="AE335" s="292">
        <f t="shared" si="231"/>
        <v>0</v>
      </c>
      <c r="AF335" s="292">
        <f t="shared" si="267"/>
        <v>0</v>
      </c>
      <c r="AG335" s="292">
        <f t="shared" si="268"/>
        <v>0</v>
      </c>
      <c r="AH335" s="292">
        <f t="shared" si="250"/>
        <v>0</v>
      </c>
      <c r="AI335" s="292">
        <f t="shared" si="251"/>
        <v>0</v>
      </c>
      <c r="AJ335" s="292">
        <f t="shared" si="252"/>
        <v>0</v>
      </c>
      <c r="AK335" s="292">
        <f t="shared" si="253"/>
        <v>0</v>
      </c>
      <c r="AL335" s="292">
        <f t="shared" si="254"/>
        <v>0</v>
      </c>
      <c r="AM335" s="292">
        <f t="shared" si="255"/>
        <v>0</v>
      </c>
      <c r="AN335" s="292">
        <f t="shared" si="256"/>
        <v>0</v>
      </c>
      <c r="AO335" s="292">
        <f t="shared" si="257"/>
        <v>0</v>
      </c>
      <c r="AP335" s="292">
        <f t="shared" si="258"/>
        <v>0</v>
      </c>
      <c r="AQ335" s="292">
        <f t="shared" si="259"/>
        <v>0</v>
      </c>
      <c r="AR335" s="292">
        <f t="shared" si="232"/>
        <v>0</v>
      </c>
      <c r="AS335" s="292">
        <f t="shared" si="233"/>
        <v>0</v>
      </c>
      <c r="AT335" s="292">
        <f t="shared" si="260"/>
        <v>0</v>
      </c>
      <c r="AU335" s="292">
        <f t="shared" si="261"/>
        <v>0</v>
      </c>
      <c r="AV335" s="292">
        <f t="shared" si="262"/>
        <v>0</v>
      </c>
      <c r="AW335" s="292">
        <f t="shared" si="263"/>
        <v>0</v>
      </c>
      <c r="AX335" s="292">
        <f t="shared" si="234"/>
        <v>0</v>
      </c>
      <c r="AY335" s="292">
        <f t="shared" si="235"/>
        <v>0</v>
      </c>
      <c r="AZ335" s="292">
        <f t="shared" si="236"/>
        <v>0</v>
      </c>
      <c r="BA335" s="292">
        <f t="shared" si="237"/>
        <v>0</v>
      </c>
    </row>
    <row r="336" spans="1:53" s="289" customFormat="1" ht="16.5" customHeight="1">
      <c r="A336" s="63" t="str">
        <f t="array" ref="A336">IF(C336&lt;&gt;0,SUM(($C$11:C336&lt;&gt;0)*1),"")</f>
        <v/>
      </c>
      <c r="B336" s="290"/>
      <c r="C336" s="290"/>
      <c r="D336" s="290"/>
      <c r="E336" s="396"/>
      <c r="F336" s="345"/>
      <c r="G336" s="347"/>
      <c r="H336" s="347"/>
      <c r="I336" s="63" t="str">
        <f t="shared" si="264"/>
        <v/>
      </c>
      <c r="J336" s="292">
        <f t="shared" si="226"/>
        <v>0</v>
      </c>
      <c r="K336" s="292">
        <f t="shared" si="227"/>
        <v>0</v>
      </c>
      <c r="L336" s="292">
        <f t="shared" si="238"/>
        <v>0</v>
      </c>
      <c r="M336" s="292">
        <f t="shared" si="239"/>
        <v>0</v>
      </c>
      <c r="N336" s="292">
        <f t="shared" si="265"/>
        <v>0</v>
      </c>
      <c r="O336" s="292">
        <f t="shared" si="266"/>
        <v>0</v>
      </c>
      <c r="P336" s="292">
        <f t="shared" si="240"/>
        <v>0</v>
      </c>
      <c r="Q336" s="292">
        <f t="shared" si="241"/>
        <v>0</v>
      </c>
      <c r="R336" s="292">
        <f t="shared" si="242"/>
        <v>0</v>
      </c>
      <c r="S336" s="292">
        <f t="shared" si="243"/>
        <v>0</v>
      </c>
      <c r="T336" s="292">
        <f t="shared" si="222"/>
        <v>0</v>
      </c>
      <c r="U336" s="292">
        <f t="shared" si="223"/>
        <v>0</v>
      </c>
      <c r="V336" s="292">
        <f t="shared" si="244"/>
        <v>0</v>
      </c>
      <c r="W336" s="292">
        <f t="shared" si="245"/>
        <v>0</v>
      </c>
      <c r="X336" s="292">
        <f t="shared" si="246"/>
        <v>0</v>
      </c>
      <c r="Y336" s="292">
        <f t="shared" si="247"/>
        <v>0</v>
      </c>
      <c r="Z336" s="292">
        <f t="shared" si="228"/>
        <v>0</v>
      </c>
      <c r="AA336" s="292">
        <f t="shared" si="229"/>
        <v>0</v>
      </c>
      <c r="AB336" s="292">
        <f t="shared" si="248"/>
        <v>0</v>
      </c>
      <c r="AC336" s="292">
        <f t="shared" si="249"/>
        <v>0</v>
      </c>
      <c r="AD336" s="292">
        <f t="shared" si="230"/>
        <v>0</v>
      </c>
      <c r="AE336" s="292">
        <f t="shared" si="231"/>
        <v>0</v>
      </c>
      <c r="AF336" s="292">
        <f t="shared" si="267"/>
        <v>0</v>
      </c>
      <c r="AG336" s="292">
        <f t="shared" si="268"/>
        <v>0</v>
      </c>
      <c r="AH336" s="292">
        <f t="shared" si="250"/>
        <v>0</v>
      </c>
      <c r="AI336" s="292">
        <f t="shared" si="251"/>
        <v>0</v>
      </c>
      <c r="AJ336" s="292">
        <f t="shared" si="252"/>
        <v>0</v>
      </c>
      <c r="AK336" s="292">
        <f t="shared" si="253"/>
        <v>0</v>
      </c>
      <c r="AL336" s="292">
        <f t="shared" si="254"/>
        <v>0</v>
      </c>
      <c r="AM336" s="292">
        <f t="shared" si="255"/>
        <v>0</v>
      </c>
      <c r="AN336" s="292">
        <f t="shared" si="256"/>
        <v>0</v>
      </c>
      <c r="AO336" s="292">
        <f t="shared" si="257"/>
        <v>0</v>
      </c>
      <c r="AP336" s="292">
        <f t="shared" si="258"/>
        <v>0</v>
      </c>
      <c r="AQ336" s="292">
        <f t="shared" si="259"/>
        <v>0</v>
      </c>
      <c r="AR336" s="292">
        <f t="shared" si="232"/>
        <v>0</v>
      </c>
      <c r="AS336" s="292">
        <f t="shared" si="233"/>
        <v>0</v>
      </c>
      <c r="AT336" s="292">
        <f t="shared" si="260"/>
        <v>0</v>
      </c>
      <c r="AU336" s="292">
        <f t="shared" si="261"/>
        <v>0</v>
      </c>
      <c r="AV336" s="292">
        <f t="shared" si="262"/>
        <v>0</v>
      </c>
      <c r="AW336" s="292">
        <f t="shared" si="263"/>
        <v>0</v>
      </c>
      <c r="AX336" s="292">
        <f t="shared" si="234"/>
        <v>0</v>
      </c>
      <c r="AY336" s="292">
        <f t="shared" si="235"/>
        <v>0</v>
      </c>
      <c r="AZ336" s="292">
        <f t="shared" si="236"/>
        <v>0</v>
      </c>
      <c r="BA336" s="292">
        <f t="shared" si="237"/>
        <v>0</v>
      </c>
    </row>
    <row r="337" spans="1:53" s="289" customFormat="1" ht="16.5" customHeight="1">
      <c r="A337" s="63" t="str">
        <f t="array" ref="A337">IF(C337&lt;&gt;0,SUM(($C$11:C337&lt;&gt;0)*1),"")</f>
        <v/>
      </c>
      <c r="B337" s="290"/>
      <c r="C337" s="290"/>
      <c r="D337" s="290"/>
      <c r="E337" s="396"/>
      <c r="F337" s="345"/>
      <c r="G337" s="347"/>
      <c r="H337" s="347"/>
      <c r="I337" s="63" t="str">
        <f t="shared" si="264"/>
        <v/>
      </c>
      <c r="J337" s="292">
        <f t="shared" si="226"/>
        <v>0</v>
      </c>
      <c r="K337" s="292">
        <f t="shared" si="227"/>
        <v>0</v>
      </c>
      <c r="L337" s="292">
        <f t="shared" si="238"/>
        <v>0</v>
      </c>
      <c r="M337" s="292">
        <f t="shared" si="239"/>
        <v>0</v>
      </c>
      <c r="N337" s="292">
        <f t="shared" si="265"/>
        <v>0</v>
      </c>
      <c r="O337" s="292">
        <f t="shared" si="266"/>
        <v>0</v>
      </c>
      <c r="P337" s="292">
        <f t="shared" si="240"/>
        <v>0</v>
      </c>
      <c r="Q337" s="292">
        <f t="shared" si="241"/>
        <v>0</v>
      </c>
      <c r="R337" s="292">
        <f t="shared" si="242"/>
        <v>0</v>
      </c>
      <c r="S337" s="292">
        <f t="shared" si="243"/>
        <v>0</v>
      </c>
      <c r="T337" s="292">
        <f t="shared" si="222"/>
        <v>0</v>
      </c>
      <c r="U337" s="292">
        <f t="shared" si="223"/>
        <v>0</v>
      </c>
      <c r="V337" s="292">
        <f t="shared" si="244"/>
        <v>0</v>
      </c>
      <c r="W337" s="292">
        <f t="shared" si="245"/>
        <v>0</v>
      </c>
      <c r="X337" s="292">
        <f t="shared" si="246"/>
        <v>0</v>
      </c>
      <c r="Y337" s="292">
        <f t="shared" si="247"/>
        <v>0</v>
      </c>
      <c r="Z337" s="292">
        <f t="shared" si="228"/>
        <v>0</v>
      </c>
      <c r="AA337" s="292">
        <f t="shared" si="229"/>
        <v>0</v>
      </c>
      <c r="AB337" s="292">
        <f t="shared" si="248"/>
        <v>0</v>
      </c>
      <c r="AC337" s="292">
        <f t="shared" si="249"/>
        <v>0</v>
      </c>
      <c r="AD337" s="292">
        <f t="shared" si="230"/>
        <v>0</v>
      </c>
      <c r="AE337" s="292">
        <f t="shared" si="231"/>
        <v>0</v>
      </c>
      <c r="AF337" s="292">
        <f t="shared" si="267"/>
        <v>0</v>
      </c>
      <c r="AG337" s="292">
        <f t="shared" si="268"/>
        <v>0</v>
      </c>
      <c r="AH337" s="292">
        <f t="shared" si="250"/>
        <v>0</v>
      </c>
      <c r="AI337" s="292">
        <f t="shared" si="251"/>
        <v>0</v>
      </c>
      <c r="AJ337" s="292">
        <f t="shared" si="252"/>
        <v>0</v>
      </c>
      <c r="AK337" s="292">
        <f t="shared" si="253"/>
        <v>0</v>
      </c>
      <c r="AL337" s="292">
        <f t="shared" si="254"/>
        <v>0</v>
      </c>
      <c r="AM337" s="292">
        <f t="shared" si="255"/>
        <v>0</v>
      </c>
      <c r="AN337" s="292">
        <f t="shared" si="256"/>
        <v>0</v>
      </c>
      <c r="AO337" s="292">
        <f t="shared" si="257"/>
        <v>0</v>
      </c>
      <c r="AP337" s="292">
        <f t="shared" si="258"/>
        <v>0</v>
      </c>
      <c r="AQ337" s="292">
        <f t="shared" si="259"/>
        <v>0</v>
      </c>
      <c r="AR337" s="292">
        <f t="shared" si="232"/>
        <v>0</v>
      </c>
      <c r="AS337" s="292">
        <f t="shared" si="233"/>
        <v>0</v>
      </c>
      <c r="AT337" s="292">
        <f t="shared" si="260"/>
        <v>0</v>
      </c>
      <c r="AU337" s="292">
        <f t="shared" si="261"/>
        <v>0</v>
      </c>
      <c r="AV337" s="292">
        <f t="shared" si="262"/>
        <v>0</v>
      </c>
      <c r="AW337" s="292">
        <f t="shared" si="263"/>
        <v>0</v>
      </c>
      <c r="AX337" s="292">
        <f t="shared" si="234"/>
        <v>0</v>
      </c>
      <c r="AY337" s="292">
        <f t="shared" si="235"/>
        <v>0</v>
      </c>
      <c r="AZ337" s="292">
        <f t="shared" si="236"/>
        <v>0</v>
      </c>
      <c r="BA337" s="292">
        <f t="shared" si="237"/>
        <v>0</v>
      </c>
    </row>
    <row r="338" spans="1:53" s="289" customFormat="1" ht="16.5" customHeight="1">
      <c r="A338" s="63" t="str">
        <f t="array" ref="A338">IF(C338&lt;&gt;0,SUM(($C$11:C338&lt;&gt;0)*1),"")</f>
        <v/>
      </c>
      <c r="B338" s="290"/>
      <c r="C338" s="290"/>
      <c r="D338" s="290"/>
      <c r="E338" s="396"/>
      <c r="F338" s="345"/>
      <c r="G338" s="347"/>
      <c r="H338" s="347"/>
      <c r="I338" s="63" t="str">
        <f t="shared" si="264"/>
        <v/>
      </c>
      <c r="J338" s="292">
        <f t="shared" si="226"/>
        <v>0</v>
      </c>
      <c r="K338" s="292">
        <f t="shared" si="227"/>
        <v>0</v>
      </c>
      <c r="L338" s="292">
        <f t="shared" si="238"/>
        <v>0</v>
      </c>
      <c r="M338" s="292">
        <f t="shared" si="239"/>
        <v>0</v>
      </c>
      <c r="N338" s="292">
        <f t="shared" si="265"/>
        <v>0</v>
      </c>
      <c r="O338" s="292">
        <f t="shared" si="266"/>
        <v>0</v>
      </c>
      <c r="P338" s="292">
        <f t="shared" si="240"/>
        <v>0</v>
      </c>
      <c r="Q338" s="292">
        <f t="shared" si="241"/>
        <v>0</v>
      </c>
      <c r="R338" s="292">
        <f t="shared" si="242"/>
        <v>0</v>
      </c>
      <c r="S338" s="292">
        <f t="shared" si="243"/>
        <v>0</v>
      </c>
      <c r="T338" s="292">
        <f t="shared" si="222"/>
        <v>0</v>
      </c>
      <c r="U338" s="292">
        <f t="shared" si="223"/>
        <v>0</v>
      </c>
      <c r="V338" s="292">
        <f t="shared" si="244"/>
        <v>0</v>
      </c>
      <c r="W338" s="292">
        <f t="shared" si="245"/>
        <v>0</v>
      </c>
      <c r="X338" s="292">
        <f t="shared" si="246"/>
        <v>0</v>
      </c>
      <c r="Y338" s="292">
        <f t="shared" si="247"/>
        <v>0</v>
      </c>
      <c r="Z338" s="292">
        <f t="shared" si="228"/>
        <v>0</v>
      </c>
      <c r="AA338" s="292">
        <f t="shared" si="229"/>
        <v>0</v>
      </c>
      <c r="AB338" s="292">
        <f t="shared" si="248"/>
        <v>0</v>
      </c>
      <c r="AC338" s="292">
        <f t="shared" si="249"/>
        <v>0</v>
      </c>
      <c r="AD338" s="292">
        <f t="shared" si="230"/>
        <v>0</v>
      </c>
      <c r="AE338" s="292">
        <f t="shared" si="231"/>
        <v>0</v>
      </c>
      <c r="AF338" s="292">
        <f t="shared" si="267"/>
        <v>0</v>
      </c>
      <c r="AG338" s="292">
        <f t="shared" si="268"/>
        <v>0</v>
      </c>
      <c r="AH338" s="292">
        <f t="shared" si="250"/>
        <v>0</v>
      </c>
      <c r="AI338" s="292">
        <f t="shared" si="251"/>
        <v>0</v>
      </c>
      <c r="AJ338" s="292">
        <f t="shared" si="252"/>
        <v>0</v>
      </c>
      <c r="AK338" s="292">
        <f t="shared" si="253"/>
        <v>0</v>
      </c>
      <c r="AL338" s="292">
        <f t="shared" si="254"/>
        <v>0</v>
      </c>
      <c r="AM338" s="292">
        <f t="shared" si="255"/>
        <v>0</v>
      </c>
      <c r="AN338" s="292">
        <f t="shared" si="256"/>
        <v>0</v>
      </c>
      <c r="AO338" s="292">
        <f t="shared" si="257"/>
        <v>0</v>
      </c>
      <c r="AP338" s="292">
        <f t="shared" si="258"/>
        <v>0</v>
      </c>
      <c r="AQ338" s="292">
        <f t="shared" si="259"/>
        <v>0</v>
      </c>
      <c r="AR338" s="292">
        <f t="shared" si="232"/>
        <v>0</v>
      </c>
      <c r="AS338" s="292">
        <f t="shared" si="233"/>
        <v>0</v>
      </c>
      <c r="AT338" s="292">
        <f t="shared" si="260"/>
        <v>0</v>
      </c>
      <c r="AU338" s="292">
        <f t="shared" si="261"/>
        <v>0</v>
      </c>
      <c r="AV338" s="292">
        <f t="shared" si="262"/>
        <v>0</v>
      </c>
      <c r="AW338" s="292">
        <f t="shared" si="263"/>
        <v>0</v>
      </c>
      <c r="AX338" s="292">
        <f t="shared" si="234"/>
        <v>0</v>
      </c>
      <c r="AY338" s="292">
        <f t="shared" si="235"/>
        <v>0</v>
      </c>
      <c r="AZ338" s="292">
        <f t="shared" si="236"/>
        <v>0</v>
      </c>
      <c r="BA338" s="292">
        <f t="shared" si="237"/>
        <v>0</v>
      </c>
    </row>
    <row r="339" spans="1:53" s="289" customFormat="1" ht="16.5" customHeight="1">
      <c r="A339" s="63" t="str">
        <f t="array" ref="A339">IF(C339&lt;&gt;0,SUM(($C$11:C339&lt;&gt;0)*1),"")</f>
        <v/>
      </c>
      <c r="B339" s="290"/>
      <c r="C339" s="290"/>
      <c r="D339" s="290"/>
      <c r="E339" s="396"/>
      <c r="F339" s="345"/>
      <c r="G339" s="347"/>
      <c r="H339" s="347"/>
      <c r="I339" s="63" t="str">
        <f t="shared" si="264"/>
        <v/>
      </c>
      <c r="J339" s="292">
        <f t="shared" si="226"/>
        <v>0</v>
      </c>
      <c r="K339" s="292">
        <f t="shared" si="227"/>
        <v>0</v>
      </c>
      <c r="L339" s="292">
        <f t="shared" si="238"/>
        <v>0</v>
      </c>
      <c r="M339" s="292">
        <f t="shared" si="239"/>
        <v>0</v>
      </c>
      <c r="N339" s="292">
        <f t="shared" si="265"/>
        <v>0</v>
      </c>
      <c r="O339" s="292">
        <f t="shared" si="266"/>
        <v>0</v>
      </c>
      <c r="P339" s="292">
        <f t="shared" si="240"/>
        <v>0</v>
      </c>
      <c r="Q339" s="292">
        <f t="shared" si="241"/>
        <v>0</v>
      </c>
      <c r="R339" s="292">
        <f t="shared" si="242"/>
        <v>0</v>
      </c>
      <c r="S339" s="292">
        <f t="shared" si="243"/>
        <v>0</v>
      </c>
      <c r="T339" s="292">
        <f t="shared" si="222"/>
        <v>0</v>
      </c>
      <c r="U339" s="292">
        <f t="shared" si="223"/>
        <v>0</v>
      </c>
      <c r="V339" s="292">
        <f t="shared" si="244"/>
        <v>0</v>
      </c>
      <c r="W339" s="292">
        <f t="shared" si="245"/>
        <v>0</v>
      </c>
      <c r="X339" s="292">
        <f t="shared" si="246"/>
        <v>0</v>
      </c>
      <c r="Y339" s="292">
        <f t="shared" si="247"/>
        <v>0</v>
      </c>
      <c r="Z339" s="292">
        <f t="shared" si="228"/>
        <v>0</v>
      </c>
      <c r="AA339" s="292">
        <f t="shared" si="229"/>
        <v>0</v>
      </c>
      <c r="AB339" s="292">
        <f t="shared" si="248"/>
        <v>0</v>
      </c>
      <c r="AC339" s="292">
        <f t="shared" si="249"/>
        <v>0</v>
      </c>
      <c r="AD339" s="292">
        <f t="shared" si="230"/>
        <v>0</v>
      </c>
      <c r="AE339" s="292">
        <f t="shared" si="231"/>
        <v>0</v>
      </c>
      <c r="AF339" s="292">
        <f t="shared" si="267"/>
        <v>0</v>
      </c>
      <c r="AG339" s="292">
        <f t="shared" si="268"/>
        <v>0</v>
      </c>
      <c r="AH339" s="292">
        <f t="shared" si="250"/>
        <v>0</v>
      </c>
      <c r="AI339" s="292">
        <f t="shared" si="251"/>
        <v>0</v>
      </c>
      <c r="AJ339" s="292">
        <f t="shared" si="252"/>
        <v>0</v>
      </c>
      <c r="AK339" s="292">
        <f t="shared" si="253"/>
        <v>0</v>
      </c>
      <c r="AL339" s="292">
        <f t="shared" si="254"/>
        <v>0</v>
      </c>
      <c r="AM339" s="292">
        <f t="shared" si="255"/>
        <v>0</v>
      </c>
      <c r="AN339" s="292">
        <f t="shared" si="256"/>
        <v>0</v>
      </c>
      <c r="AO339" s="292">
        <f t="shared" si="257"/>
        <v>0</v>
      </c>
      <c r="AP339" s="292">
        <f t="shared" si="258"/>
        <v>0</v>
      </c>
      <c r="AQ339" s="292">
        <f t="shared" si="259"/>
        <v>0</v>
      </c>
      <c r="AR339" s="292">
        <f t="shared" si="232"/>
        <v>0</v>
      </c>
      <c r="AS339" s="292">
        <f t="shared" si="233"/>
        <v>0</v>
      </c>
      <c r="AT339" s="292">
        <f t="shared" si="260"/>
        <v>0</v>
      </c>
      <c r="AU339" s="292">
        <f t="shared" si="261"/>
        <v>0</v>
      </c>
      <c r="AV339" s="292">
        <f t="shared" si="262"/>
        <v>0</v>
      </c>
      <c r="AW339" s="292">
        <f t="shared" si="263"/>
        <v>0</v>
      </c>
      <c r="AX339" s="292">
        <f t="shared" si="234"/>
        <v>0</v>
      </c>
      <c r="AY339" s="292">
        <f t="shared" si="235"/>
        <v>0</v>
      </c>
      <c r="AZ339" s="292">
        <f t="shared" si="236"/>
        <v>0</v>
      </c>
      <c r="BA339" s="292">
        <f t="shared" si="237"/>
        <v>0</v>
      </c>
    </row>
    <row r="340" spans="1:53" s="289" customFormat="1" ht="16.5" customHeight="1">
      <c r="A340" s="63" t="str">
        <f t="array" ref="A340">IF(C340&lt;&gt;0,SUM(($C$11:C340&lt;&gt;0)*1),"")</f>
        <v/>
      </c>
      <c r="B340" s="290"/>
      <c r="C340" s="290"/>
      <c r="D340" s="290"/>
      <c r="E340" s="396"/>
      <c r="F340" s="345"/>
      <c r="G340" s="347"/>
      <c r="H340" s="347"/>
      <c r="I340" s="63" t="str">
        <f t="shared" si="264"/>
        <v/>
      </c>
      <c r="J340" s="292">
        <f t="shared" si="226"/>
        <v>0</v>
      </c>
      <c r="K340" s="292">
        <f t="shared" si="227"/>
        <v>0</v>
      </c>
      <c r="L340" s="292">
        <f t="shared" si="238"/>
        <v>0</v>
      </c>
      <c r="M340" s="292">
        <f t="shared" si="239"/>
        <v>0</v>
      </c>
      <c r="N340" s="292">
        <f t="shared" si="265"/>
        <v>0</v>
      </c>
      <c r="O340" s="292">
        <f t="shared" si="266"/>
        <v>0</v>
      </c>
      <c r="P340" s="292">
        <f t="shared" si="240"/>
        <v>0</v>
      </c>
      <c r="Q340" s="292">
        <f t="shared" si="241"/>
        <v>0</v>
      </c>
      <c r="R340" s="292">
        <f t="shared" si="242"/>
        <v>0</v>
      </c>
      <c r="S340" s="292">
        <f t="shared" si="243"/>
        <v>0</v>
      </c>
      <c r="T340" s="292">
        <f t="shared" si="222"/>
        <v>0</v>
      </c>
      <c r="U340" s="292">
        <f t="shared" si="223"/>
        <v>0</v>
      </c>
      <c r="V340" s="292">
        <f t="shared" si="244"/>
        <v>0</v>
      </c>
      <c r="W340" s="292">
        <f t="shared" si="245"/>
        <v>0</v>
      </c>
      <c r="X340" s="292">
        <f t="shared" si="246"/>
        <v>0</v>
      </c>
      <c r="Y340" s="292">
        <f t="shared" si="247"/>
        <v>0</v>
      </c>
      <c r="Z340" s="292">
        <f t="shared" si="228"/>
        <v>0</v>
      </c>
      <c r="AA340" s="292">
        <f t="shared" si="229"/>
        <v>0</v>
      </c>
      <c r="AB340" s="292">
        <f t="shared" si="248"/>
        <v>0</v>
      </c>
      <c r="AC340" s="292">
        <f t="shared" si="249"/>
        <v>0</v>
      </c>
      <c r="AD340" s="292">
        <f t="shared" si="230"/>
        <v>0</v>
      </c>
      <c r="AE340" s="292">
        <f t="shared" si="231"/>
        <v>0</v>
      </c>
      <c r="AF340" s="292">
        <f t="shared" si="267"/>
        <v>0</v>
      </c>
      <c r="AG340" s="292">
        <f t="shared" si="268"/>
        <v>0</v>
      </c>
      <c r="AH340" s="292">
        <f t="shared" si="250"/>
        <v>0</v>
      </c>
      <c r="AI340" s="292">
        <f t="shared" si="251"/>
        <v>0</v>
      </c>
      <c r="AJ340" s="292">
        <f t="shared" si="252"/>
        <v>0</v>
      </c>
      <c r="AK340" s="292">
        <f t="shared" si="253"/>
        <v>0</v>
      </c>
      <c r="AL340" s="292">
        <f t="shared" si="254"/>
        <v>0</v>
      </c>
      <c r="AM340" s="292">
        <f t="shared" si="255"/>
        <v>0</v>
      </c>
      <c r="AN340" s="292">
        <f t="shared" si="256"/>
        <v>0</v>
      </c>
      <c r="AO340" s="292">
        <f t="shared" si="257"/>
        <v>0</v>
      </c>
      <c r="AP340" s="292">
        <f t="shared" si="258"/>
        <v>0</v>
      </c>
      <c r="AQ340" s="292">
        <f t="shared" si="259"/>
        <v>0</v>
      </c>
      <c r="AR340" s="292">
        <f t="shared" si="232"/>
        <v>0</v>
      </c>
      <c r="AS340" s="292">
        <f t="shared" si="233"/>
        <v>0</v>
      </c>
      <c r="AT340" s="292">
        <f t="shared" si="260"/>
        <v>0</v>
      </c>
      <c r="AU340" s="292">
        <f t="shared" si="261"/>
        <v>0</v>
      </c>
      <c r="AV340" s="292">
        <f t="shared" si="262"/>
        <v>0</v>
      </c>
      <c r="AW340" s="292">
        <f t="shared" si="263"/>
        <v>0</v>
      </c>
      <c r="AX340" s="292">
        <f t="shared" si="234"/>
        <v>0</v>
      </c>
      <c r="AY340" s="292">
        <f t="shared" si="235"/>
        <v>0</v>
      </c>
      <c r="AZ340" s="292">
        <f t="shared" si="236"/>
        <v>0</v>
      </c>
      <c r="BA340" s="292">
        <f t="shared" si="237"/>
        <v>0</v>
      </c>
    </row>
    <row r="341" spans="1:53" s="289" customFormat="1" ht="16.5" customHeight="1">
      <c r="A341" s="63" t="str">
        <f t="array" ref="A341">IF(C341&lt;&gt;0,SUM(($C$11:C341&lt;&gt;0)*1),"")</f>
        <v/>
      </c>
      <c r="B341" s="290"/>
      <c r="C341" s="290"/>
      <c r="D341" s="290"/>
      <c r="E341" s="396"/>
      <c r="F341" s="345"/>
      <c r="G341" s="347"/>
      <c r="H341" s="347"/>
      <c r="I341" s="63" t="str">
        <f t="shared" si="264"/>
        <v/>
      </c>
      <c r="J341" s="292">
        <f t="shared" si="226"/>
        <v>0</v>
      </c>
      <c r="K341" s="292">
        <f t="shared" si="227"/>
        <v>0</v>
      </c>
      <c r="L341" s="292">
        <f t="shared" si="238"/>
        <v>0</v>
      </c>
      <c r="M341" s="292">
        <f t="shared" si="239"/>
        <v>0</v>
      </c>
      <c r="N341" s="292">
        <f t="shared" si="265"/>
        <v>0</v>
      </c>
      <c r="O341" s="292">
        <f t="shared" si="266"/>
        <v>0</v>
      </c>
      <c r="P341" s="292">
        <f t="shared" si="240"/>
        <v>0</v>
      </c>
      <c r="Q341" s="292">
        <f t="shared" si="241"/>
        <v>0</v>
      </c>
      <c r="R341" s="292">
        <f t="shared" si="242"/>
        <v>0</v>
      </c>
      <c r="S341" s="292">
        <f t="shared" si="243"/>
        <v>0</v>
      </c>
      <c r="T341" s="292">
        <f t="shared" si="222"/>
        <v>0</v>
      </c>
      <c r="U341" s="292">
        <f t="shared" si="223"/>
        <v>0</v>
      </c>
      <c r="V341" s="292">
        <f t="shared" si="244"/>
        <v>0</v>
      </c>
      <c r="W341" s="292">
        <f t="shared" si="245"/>
        <v>0</v>
      </c>
      <c r="X341" s="292">
        <f t="shared" si="246"/>
        <v>0</v>
      </c>
      <c r="Y341" s="292">
        <f t="shared" si="247"/>
        <v>0</v>
      </c>
      <c r="Z341" s="292">
        <f t="shared" si="228"/>
        <v>0</v>
      </c>
      <c r="AA341" s="292">
        <f t="shared" si="229"/>
        <v>0</v>
      </c>
      <c r="AB341" s="292">
        <f t="shared" si="248"/>
        <v>0</v>
      </c>
      <c r="AC341" s="292">
        <f t="shared" si="249"/>
        <v>0</v>
      </c>
      <c r="AD341" s="292">
        <f t="shared" si="230"/>
        <v>0</v>
      </c>
      <c r="AE341" s="292">
        <f t="shared" si="231"/>
        <v>0</v>
      </c>
      <c r="AF341" s="292">
        <f t="shared" si="267"/>
        <v>0</v>
      </c>
      <c r="AG341" s="292">
        <f t="shared" si="268"/>
        <v>0</v>
      </c>
      <c r="AH341" s="292">
        <f t="shared" si="250"/>
        <v>0</v>
      </c>
      <c r="AI341" s="292">
        <f t="shared" si="251"/>
        <v>0</v>
      </c>
      <c r="AJ341" s="292">
        <f t="shared" si="252"/>
        <v>0</v>
      </c>
      <c r="AK341" s="292">
        <f t="shared" si="253"/>
        <v>0</v>
      </c>
      <c r="AL341" s="292">
        <f t="shared" si="254"/>
        <v>0</v>
      </c>
      <c r="AM341" s="292">
        <f t="shared" si="255"/>
        <v>0</v>
      </c>
      <c r="AN341" s="292">
        <f t="shared" si="256"/>
        <v>0</v>
      </c>
      <c r="AO341" s="292">
        <f t="shared" si="257"/>
        <v>0</v>
      </c>
      <c r="AP341" s="292">
        <f t="shared" si="258"/>
        <v>0</v>
      </c>
      <c r="AQ341" s="292">
        <f t="shared" si="259"/>
        <v>0</v>
      </c>
      <c r="AR341" s="292">
        <f t="shared" si="232"/>
        <v>0</v>
      </c>
      <c r="AS341" s="292">
        <f t="shared" si="233"/>
        <v>0</v>
      </c>
      <c r="AT341" s="292">
        <f t="shared" si="260"/>
        <v>0</v>
      </c>
      <c r="AU341" s="292">
        <f t="shared" si="261"/>
        <v>0</v>
      </c>
      <c r="AV341" s="292">
        <f t="shared" si="262"/>
        <v>0</v>
      </c>
      <c r="AW341" s="292">
        <f t="shared" si="263"/>
        <v>0</v>
      </c>
      <c r="AX341" s="292">
        <f t="shared" si="234"/>
        <v>0</v>
      </c>
      <c r="AY341" s="292">
        <f t="shared" si="235"/>
        <v>0</v>
      </c>
      <c r="AZ341" s="292">
        <f t="shared" si="236"/>
        <v>0</v>
      </c>
      <c r="BA341" s="292">
        <f t="shared" si="237"/>
        <v>0</v>
      </c>
    </row>
    <row r="342" spans="1:53" s="289" customFormat="1" ht="16.5" customHeight="1">
      <c r="A342" s="63" t="str">
        <f t="array" ref="A342">IF(C342&lt;&gt;0,SUM(($C$11:C342&lt;&gt;0)*1),"")</f>
        <v/>
      </c>
      <c r="B342" s="290"/>
      <c r="C342" s="290"/>
      <c r="D342" s="290"/>
      <c r="E342" s="396"/>
      <c r="F342" s="345"/>
      <c r="G342" s="347"/>
      <c r="H342" s="347"/>
      <c r="I342" s="63" t="str">
        <f t="shared" si="264"/>
        <v/>
      </c>
      <c r="J342" s="292">
        <f t="shared" si="226"/>
        <v>0</v>
      </c>
      <c r="K342" s="292">
        <f t="shared" si="227"/>
        <v>0</v>
      </c>
      <c r="L342" s="292">
        <f t="shared" si="238"/>
        <v>0</v>
      </c>
      <c r="M342" s="292">
        <f t="shared" si="239"/>
        <v>0</v>
      </c>
      <c r="N342" s="292">
        <f t="shared" si="265"/>
        <v>0</v>
      </c>
      <c r="O342" s="292">
        <f t="shared" si="266"/>
        <v>0</v>
      </c>
      <c r="P342" s="292">
        <f t="shared" si="240"/>
        <v>0</v>
      </c>
      <c r="Q342" s="292">
        <f t="shared" si="241"/>
        <v>0</v>
      </c>
      <c r="R342" s="292">
        <f t="shared" si="242"/>
        <v>0</v>
      </c>
      <c r="S342" s="292">
        <f t="shared" si="243"/>
        <v>0</v>
      </c>
      <c r="T342" s="292">
        <f t="shared" si="222"/>
        <v>0</v>
      </c>
      <c r="U342" s="292">
        <f t="shared" si="223"/>
        <v>0</v>
      </c>
      <c r="V342" s="292">
        <f t="shared" si="244"/>
        <v>0</v>
      </c>
      <c r="W342" s="292">
        <f t="shared" si="245"/>
        <v>0</v>
      </c>
      <c r="X342" s="292">
        <f t="shared" si="246"/>
        <v>0</v>
      </c>
      <c r="Y342" s="292">
        <f t="shared" si="247"/>
        <v>0</v>
      </c>
      <c r="Z342" s="292">
        <f t="shared" si="228"/>
        <v>0</v>
      </c>
      <c r="AA342" s="292">
        <f t="shared" si="229"/>
        <v>0</v>
      </c>
      <c r="AB342" s="292">
        <f t="shared" si="248"/>
        <v>0</v>
      </c>
      <c r="AC342" s="292">
        <f t="shared" si="249"/>
        <v>0</v>
      </c>
      <c r="AD342" s="292">
        <f t="shared" si="230"/>
        <v>0</v>
      </c>
      <c r="AE342" s="292">
        <f t="shared" si="231"/>
        <v>0</v>
      </c>
      <c r="AF342" s="292">
        <f t="shared" si="267"/>
        <v>0</v>
      </c>
      <c r="AG342" s="292">
        <f t="shared" si="268"/>
        <v>0</v>
      </c>
      <c r="AH342" s="292">
        <f t="shared" si="250"/>
        <v>0</v>
      </c>
      <c r="AI342" s="292">
        <f t="shared" si="251"/>
        <v>0</v>
      </c>
      <c r="AJ342" s="292">
        <f t="shared" si="252"/>
        <v>0</v>
      </c>
      <c r="AK342" s="292">
        <f t="shared" si="253"/>
        <v>0</v>
      </c>
      <c r="AL342" s="292">
        <f t="shared" si="254"/>
        <v>0</v>
      </c>
      <c r="AM342" s="292">
        <f t="shared" si="255"/>
        <v>0</v>
      </c>
      <c r="AN342" s="292">
        <f t="shared" si="256"/>
        <v>0</v>
      </c>
      <c r="AO342" s="292">
        <f t="shared" si="257"/>
        <v>0</v>
      </c>
      <c r="AP342" s="292">
        <f t="shared" si="258"/>
        <v>0</v>
      </c>
      <c r="AQ342" s="292">
        <f t="shared" si="259"/>
        <v>0</v>
      </c>
      <c r="AR342" s="292">
        <f t="shared" si="232"/>
        <v>0</v>
      </c>
      <c r="AS342" s="292">
        <f t="shared" si="233"/>
        <v>0</v>
      </c>
      <c r="AT342" s="292">
        <f t="shared" si="260"/>
        <v>0</v>
      </c>
      <c r="AU342" s="292">
        <f t="shared" si="261"/>
        <v>0</v>
      </c>
      <c r="AV342" s="292">
        <f t="shared" si="262"/>
        <v>0</v>
      </c>
      <c r="AW342" s="292">
        <f t="shared" si="263"/>
        <v>0</v>
      </c>
      <c r="AX342" s="292">
        <f t="shared" si="234"/>
        <v>0</v>
      </c>
      <c r="AY342" s="292">
        <f t="shared" si="235"/>
        <v>0</v>
      </c>
      <c r="AZ342" s="292">
        <f t="shared" si="236"/>
        <v>0</v>
      </c>
      <c r="BA342" s="292">
        <f t="shared" si="237"/>
        <v>0</v>
      </c>
    </row>
    <row r="343" spans="1:53" s="289" customFormat="1" ht="16.5" customHeight="1">
      <c r="A343" s="63" t="str">
        <f t="array" ref="A343">IF(C343&lt;&gt;0,SUM(($C$11:C343&lt;&gt;0)*1),"")</f>
        <v/>
      </c>
      <c r="B343" s="290"/>
      <c r="C343" s="290"/>
      <c r="D343" s="290"/>
      <c r="E343" s="396"/>
      <c r="F343" s="345"/>
      <c r="G343" s="347"/>
      <c r="H343" s="347"/>
      <c r="I343" s="63" t="str">
        <f t="shared" si="264"/>
        <v/>
      </c>
      <c r="J343" s="292">
        <f t="shared" si="226"/>
        <v>0</v>
      </c>
      <c r="K343" s="292">
        <f t="shared" si="227"/>
        <v>0</v>
      </c>
      <c r="L343" s="292">
        <f t="shared" si="238"/>
        <v>0</v>
      </c>
      <c r="M343" s="292">
        <f t="shared" si="239"/>
        <v>0</v>
      </c>
      <c r="N343" s="292">
        <f t="shared" si="265"/>
        <v>0</v>
      </c>
      <c r="O343" s="292">
        <f t="shared" si="266"/>
        <v>0</v>
      </c>
      <c r="P343" s="292">
        <f t="shared" si="240"/>
        <v>0</v>
      </c>
      <c r="Q343" s="292">
        <f t="shared" si="241"/>
        <v>0</v>
      </c>
      <c r="R343" s="292">
        <f t="shared" si="242"/>
        <v>0</v>
      </c>
      <c r="S343" s="292">
        <f t="shared" si="243"/>
        <v>0</v>
      </c>
      <c r="T343" s="292">
        <f t="shared" si="222"/>
        <v>0</v>
      </c>
      <c r="U343" s="292">
        <f t="shared" si="223"/>
        <v>0</v>
      </c>
      <c r="V343" s="292">
        <f t="shared" si="244"/>
        <v>0</v>
      </c>
      <c r="W343" s="292">
        <f t="shared" si="245"/>
        <v>0</v>
      </c>
      <c r="X343" s="292">
        <f t="shared" si="246"/>
        <v>0</v>
      </c>
      <c r="Y343" s="292">
        <f t="shared" si="247"/>
        <v>0</v>
      </c>
      <c r="Z343" s="292">
        <f t="shared" si="228"/>
        <v>0</v>
      </c>
      <c r="AA343" s="292">
        <f t="shared" si="229"/>
        <v>0</v>
      </c>
      <c r="AB343" s="292">
        <f t="shared" si="248"/>
        <v>0</v>
      </c>
      <c r="AC343" s="292">
        <f t="shared" si="249"/>
        <v>0</v>
      </c>
      <c r="AD343" s="292">
        <f t="shared" si="230"/>
        <v>0</v>
      </c>
      <c r="AE343" s="292">
        <f t="shared" si="231"/>
        <v>0</v>
      </c>
      <c r="AF343" s="292">
        <f t="shared" si="267"/>
        <v>0</v>
      </c>
      <c r="AG343" s="292">
        <f t="shared" si="268"/>
        <v>0</v>
      </c>
      <c r="AH343" s="292">
        <f t="shared" si="250"/>
        <v>0</v>
      </c>
      <c r="AI343" s="292">
        <f t="shared" si="251"/>
        <v>0</v>
      </c>
      <c r="AJ343" s="292">
        <f t="shared" si="252"/>
        <v>0</v>
      </c>
      <c r="AK343" s="292">
        <f t="shared" si="253"/>
        <v>0</v>
      </c>
      <c r="AL343" s="292">
        <f t="shared" si="254"/>
        <v>0</v>
      </c>
      <c r="AM343" s="292">
        <f t="shared" si="255"/>
        <v>0</v>
      </c>
      <c r="AN343" s="292">
        <f t="shared" si="256"/>
        <v>0</v>
      </c>
      <c r="AO343" s="292">
        <f t="shared" si="257"/>
        <v>0</v>
      </c>
      <c r="AP343" s="292">
        <f t="shared" si="258"/>
        <v>0</v>
      </c>
      <c r="AQ343" s="292">
        <f t="shared" si="259"/>
        <v>0</v>
      </c>
      <c r="AR343" s="292">
        <f t="shared" si="232"/>
        <v>0</v>
      </c>
      <c r="AS343" s="292">
        <f t="shared" si="233"/>
        <v>0</v>
      </c>
      <c r="AT343" s="292">
        <f t="shared" si="260"/>
        <v>0</v>
      </c>
      <c r="AU343" s="292">
        <f t="shared" si="261"/>
        <v>0</v>
      </c>
      <c r="AV343" s="292">
        <f t="shared" si="262"/>
        <v>0</v>
      </c>
      <c r="AW343" s="292">
        <f t="shared" si="263"/>
        <v>0</v>
      </c>
      <c r="AX343" s="292">
        <f t="shared" si="234"/>
        <v>0</v>
      </c>
      <c r="AY343" s="292">
        <f t="shared" si="235"/>
        <v>0</v>
      </c>
      <c r="AZ343" s="292">
        <f t="shared" si="236"/>
        <v>0</v>
      </c>
      <c r="BA343" s="292">
        <f t="shared" si="237"/>
        <v>0</v>
      </c>
    </row>
    <row r="344" spans="1:53" s="289" customFormat="1" ht="16.5" customHeight="1">
      <c r="A344" s="63" t="str">
        <f t="array" ref="A344">IF(C344&lt;&gt;0,SUM(($C$11:C344&lt;&gt;0)*1),"")</f>
        <v/>
      </c>
      <c r="B344" s="290"/>
      <c r="C344" s="290"/>
      <c r="D344" s="290"/>
      <c r="E344" s="396"/>
      <c r="F344" s="345"/>
      <c r="G344" s="347"/>
      <c r="H344" s="347"/>
      <c r="I344" s="63" t="str">
        <f t="shared" si="264"/>
        <v/>
      </c>
      <c r="J344" s="292">
        <f t="shared" si="226"/>
        <v>0</v>
      </c>
      <c r="K344" s="292">
        <f t="shared" si="227"/>
        <v>0</v>
      </c>
      <c r="L344" s="292">
        <f t="shared" si="238"/>
        <v>0</v>
      </c>
      <c r="M344" s="292">
        <f t="shared" si="239"/>
        <v>0</v>
      </c>
      <c r="N344" s="292">
        <f t="shared" si="265"/>
        <v>0</v>
      </c>
      <c r="O344" s="292">
        <f t="shared" si="266"/>
        <v>0</v>
      </c>
      <c r="P344" s="292">
        <f t="shared" si="240"/>
        <v>0</v>
      </c>
      <c r="Q344" s="292">
        <f t="shared" si="241"/>
        <v>0</v>
      </c>
      <c r="R344" s="292">
        <f t="shared" si="242"/>
        <v>0</v>
      </c>
      <c r="S344" s="292">
        <f t="shared" si="243"/>
        <v>0</v>
      </c>
      <c r="T344" s="292">
        <f t="shared" si="222"/>
        <v>0</v>
      </c>
      <c r="U344" s="292">
        <f t="shared" si="223"/>
        <v>0</v>
      </c>
      <c r="V344" s="292">
        <f t="shared" si="244"/>
        <v>0</v>
      </c>
      <c r="W344" s="292">
        <f t="shared" si="245"/>
        <v>0</v>
      </c>
      <c r="X344" s="292">
        <f t="shared" si="246"/>
        <v>0</v>
      </c>
      <c r="Y344" s="292">
        <f t="shared" si="247"/>
        <v>0</v>
      </c>
      <c r="Z344" s="292">
        <f t="shared" si="228"/>
        <v>0</v>
      </c>
      <c r="AA344" s="292">
        <f t="shared" si="229"/>
        <v>0</v>
      </c>
      <c r="AB344" s="292">
        <f t="shared" si="248"/>
        <v>0</v>
      </c>
      <c r="AC344" s="292">
        <f t="shared" si="249"/>
        <v>0</v>
      </c>
      <c r="AD344" s="292">
        <f t="shared" si="230"/>
        <v>0</v>
      </c>
      <c r="AE344" s="292">
        <f t="shared" si="231"/>
        <v>0</v>
      </c>
      <c r="AF344" s="292">
        <f t="shared" si="267"/>
        <v>0</v>
      </c>
      <c r="AG344" s="292">
        <f t="shared" si="268"/>
        <v>0</v>
      </c>
      <c r="AH344" s="292">
        <f t="shared" si="250"/>
        <v>0</v>
      </c>
      <c r="AI344" s="292">
        <f t="shared" si="251"/>
        <v>0</v>
      </c>
      <c r="AJ344" s="292">
        <f t="shared" si="252"/>
        <v>0</v>
      </c>
      <c r="AK344" s="292">
        <f t="shared" si="253"/>
        <v>0</v>
      </c>
      <c r="AL344" s="292">
        <f t="shared" si="254"/>
        <v>0</v>
      </c>
      <c r="AM344" s="292">
        <f t="shared" si="255"/>
        <v>0</v>
      </c>
      <c r="AN344" s="292">
        <f t="shared" si="256"/>
        <v>0</v>
      </c>
      <c r="AO344" s="292">
        <f t="shared" si="257"/>
        <v>0</v>
      </c>
      <c r="AP344" s="292">
        <f t="shared" si="258"/>
        <v>0</v>
      </c>
      <c r="AQ344" s="292">
        <f t="shared" si="259"/>
        <v>0</v>
      </c>
      <c r="AR344" s="292">
        <f t="shared" si="232"/>
        <v>0</v>
      </c>
      <c r="AS344" s="292">
        <f t="shared" si="233"/>
        <v>0</v>
      </c>
      <c r="AT344" s="292">
        <f t="shared" si="260"/>
        <v>0</v>
      </c>
      <c r="AU344" s="292">
        <f t="shared" si="261"/>
        <v>0</v>
      </c>
      <c r="AV344" s="292">
        <f t="shared" si="262"/>
        <v>0</v>
      </c>
      <c r="AW344" s="292">
        <f t="shared" si="263"/>
        <v>0</v>
      </c>
      <c r="AX344" s="292">
        <f t="shared" si="234"/>
        <v>0</v>
      </c>
      <c r="AY344" s="292">
        <f t="shared" si="235"/>
        <v>0</v>
      </c>
      <c r="AZ344" s="292">
        <f t="shared" si="236"/>
        <v>0</v>
      </c>
      <c r="BA344" s="292">
        <f t="shared" si="237"/>
        <v>0</v>
      </c>
    </row>
    <row r="345" spans="1:53" s="289" customFormat="1" ht="16.5" customHeight="1">
      <c r="A345" s="63" t="str">
        <f t="array" ref="A345">IF(C345&lt;&gt;0,SUM(($C$11:C345&lt;&gt;0)*1),"")</f>
        <v/>
      </c>
      <c r="B345" s="290"/>
      <c r="C345" s="290"/>
      <c r="D345" s="290"/>
      <c r="E345" s="396"/>
      <c r="F345" s="345"/>
      <c r="G345" s="347"/>
      <c r="H345" s="347"/>
      <c r="I345" s="63" t="str">
        <f t="shared" si="264"/>
        <v/>
      </c>
      <c r="J345" s="292">
        <f t="shared" si="226"/>
        <v>0</v>
      </c>
      <c r="K345" s="292">
        <f t="shared" si="227"/>
        <v>0</v>
      </c>
      <c r="L345" s="292">
        <f t="shared" si="238"/>
        <v>0</v>
      </c>
      <c r="M345" s="292">
        <f t="shared" si="239"/>
        <v>0</v>
      </c>
      <c r="N345" s="292">
        <f t="shared" si="265"/>
        <v>0</v>
      </c>
      <c r="O345" s="292">
        <f t="shared" si="266"/>
        <v>0</v>
      </c>
      <c r="P345" s="292">
        <f t="shared" si="240"/>
        <v>0</v>
      </c>
      <c r="Q345" s="292">
        <f t="shared" si="241"/>
        <v>0</v>
      </c>
      <c r="R345" s="292">
        <f t="shared" si="242"/>
        <v>0</v>
      </c>
      <c r="S345" s="292">
        <f t="shared" si="243"/>
        <v>0</v>
      </c>
      <c r="T345" s="292">
        <f t="shared" si="222"/>
        <v>0</v>
      </c>
      <c r="U345" s="292">
        <f t="shared" si="223"/>
        <v>0</v>
      </c>
      <c r="V345" s="292">
        <f t="shared" si="244"/>
        <v>0</v>
      </c>
      <c r="W345" s="292">
        <f t="shared" si="245"/>
        <v>0</v>
      </c>
      <c r="X345" s="292">
        <f t="shared" si="246"/>
        <v>0</v>
      </c>
      <c r="Y345" s="292">
        <f t="shared" si="247"/>
        <v>0</v>
      </c>
      <c r="Z345" s="292">
        <f t="shared" si="228"/>
        <v>0</v>
      </c>
      <c r="AA345" s="292">
        <f t="shared" si="229"/>
        <v>0</v>
      </c>
      <c r="AB345" s="292">
        <f t="shared" si="248"/>
        <v>0</v>
      </c>
      <c r="AC345" s="292">
        <f t="shared" si="249"/>
        <v>0</v>
      </c>
      <c r="AD345" s="292">
        <f t="shared" si="230"/>
        <v>0</v>
      </c>
      <c r="AE345" s="292">
        <f t="shared" si="231"/>
        <v>0</v>
      </c>
      <c r="AF345" s="292">
        <f t="shared" si="267"/>
        <v>0</v>
      </c>
      <c r="AG345" s="292">
        <f t="shared" si="268"/>
        <v>0</v>
      </c>
      <c r="AH345" s="292">
        <f t="shared" si="250"/>
        <v>0</v>
      </c>
      <c r="AI345" s="292">
        <f t="shared" si="251"/>
        <v>0</v>
      </c>
      <c r="AJ345" s="292">
        <f t="shared" si="252"/>
        <v>0</v>
      </c>
      <c r="AK345" s="292">
        <f t="shared" si="253"/>
        <v>0</v>
      </c>
      <c r="AL345" s="292">
        <f t="shared" si="254"/>
        <v>0</v>
      </c>
      <c r="AM345" s="292">
        <f t="shared" si="255"/>
        <v>0</v>
      </c>
      <c r="AN345" s="292">
        <f t="shared" si="256"/>
        <v>0</v>
      </c>
      <c r="AO345" s="292">
        <f t="shared" si="257"/>
        <v>0</v>
      </c>
      <c r="AP345" s="292">
        <f t="shared" si="258"/>
        <v>0</v>
      </c>
      <c r="AQ345" s="292">
        <f t="shared" si="259"/>
        <v>0</v>
      </c>
      <c r="AR345" s="292">
        <f t="shared" si="232"/>
        <v>0</v>
      </c>
      <c r="AS345" s="292">
        <f t="shared" si="233"/>
        <v>0</v>
      </c>
      <c r="AT345" s="292">
        <f t="shared" si="260"/>
        <v>0</v>
      </c>
      <c r="AU345" s="292">
        <f t="shared" si="261"/>
        <v>0</v>
      </c>
      <c r="AV345" s="292">
        <f t="shared" si="262"/>
        <v>0</v>
      </c>
      <c r="AW345" s="292">
        <f t="shared" si="263"/>
        <v>0</v>
      </c>
      <c r="AX345" s="292">
        <f t="shared" si="234"/>
        <v>0</v>
      </c>
      <c r="AY345" s="292">
        <f t="shared" si="235"/>
        <v>0</v>
      </c>
      <c r="AZ345" s="292">
        <f t="shared" si="236"/>
        <v>0</v>
      </c>
      <c r="BA345" s="292">
        <f t="shared" si="237"/>
        <v>0</v>
      </c>
    </row>
    <row r="346" spans="1:53" s="289" customFormat="1" ht="16.5" customHeight="1">
      <c r="A346" s="63" t="str">
        <f t="array" ref="A346">IF(C346&lt;&gt;0,SUM(($C$11:C346&lt;&gt;0)*1),"")</f>
        <v/>
      </c>
      <c r="B346" s="290"/>
      <c r="C346" s="290"/>
      <c r="D346" s="290"/>
      <c r="E346" s="396"/>
      <c r="F346" s="345"/>
      <c r="G346" s="347"/>
      <c r="H346" s="347"/>
      <c r="I346" s="63" t="str">
        <f t="shared" si="264"/>
        <v/>
      </c>
      <c r="J346" s="292">
        <f t="shared" si="226"/>
        <v>0</v>
      </c>
      <c r="K346" s="292">
        <f t="shared" si="227"/>
        <v>0</v>
      </c>
      <c r="L346" s="292">
        <f t="shared" si="238"/>
        <v>0</v>
      </c>
      <c r="M346" s="292">
        <f t="shared" si="239"/>
        <v>0</v>
      </c>
      <c r="N346" s="292">
        <f t="shared" si="265"/>
        <v>0</v>
      </c>
      <c r="O346" s="292">
        <f t="shared" si="266"/>
        <v>0</v>
      </c>
      <c r="P346" s="292">
        <f t="shared" si="240"/>
        <v>0</v>
      </c>
      <c r="Q346" s="292">
        <f t="shared" si="241"/>
        <v>0</v>
      </c>
      <c r="R346" s="292">
        <f t="shared" si="242"/>
        <v>0</v>
      </c>
      <c r="S346" s="292">
        <f t="shared" si="243"/>
        <v>0</v>
      </c>
      <c r="T346" s="292">
        <f t="shared" si="222"/>
        <v>0</v>
      </c>
      <c r="U346" s="292">
        <f t="shared" si="223"/>
        <v>0</v>
      </c>
      <c r="V346" s="292">
        <f t="shared" si="244"/>
        <v>0</v>
      </c>
      <c r="W346" s="292">
        <f t="shared" si="245"/>
        <v>0</v>
      </c>
      <c r="X346" s="292">
        <f t="shared" si="246"/>
        <v>0</v>
      </c>
      <c r="Y346" s="292">
        <f t="shared" si="247"/>
        <v>0</v>
      </c>
      <c r="Z346" s="292">
        <f t="shared" si="228"/>
        <v>0</v>
      </c>
      <c r="AA346" s="292">
        <f t="shared" si="229"/>
        <v>0</v>
      </c>
      <c r="AB346" s="292">
        <f t="shared" si="248"/>
        <v>0</v>
      </c>
      <c r="AC346" s="292">
        <f t="shared" si="249"/>
        <v>0</v>
      </c>
      <c r="AD346" s="292">
        <f t="shared" si="230"/>
        <v>0</v>
      </c>
      <c r="AE346" s="292">
        <f t="shared" si="231"/>
        <v>0</v>
      </c>
      <c r="AF346" s="292">
        <f t="shared" si="267"/>
        <v>0</v>
      </c>
      <c r="AG346" s="292">
        <f t="shared" si="268"/>
        <v>0</v>
      </c>
      <c r="AH346" s="292">
        <f t="shared" si="250"/>
        <v>0</v>
      </c>
      <c r="AI346" s="292">
        <f t="shared" si="251"/>
        <v>0</v>
      </c>
      <c r="AJ346" s="292">
        <f t="shared" si="252"/>
        <v>0</v>
      </c>
      <c r="AK346" s="292">
        <f t="shared" si="253"/>
        <v>0</v>
      </c>
      <c r="AL346" s="292">
        <f t="shared" si="254"/>
        <v>0</v>
      </c>
      <c r="AM346" s="292">
        <f t="shared" si="255"/>
        <v>0</v>
      </c>
      <c r="AN346" s="292">
        <f t="shared" si="256"/>
        <v>0</v>
      </c>
      <c r="AO346" s="292">
        <f t="shared" si="257"/>
        <v>0</v>
      </c>
      <c r="AP346" s="292">
        <f t="shared" si="258"/>
        <v>0</v>
      </c>
      <c r="AQ346" s="292">
        <f t="shared" si="259"/>
        <v>0</v>
      </c>
      <c r="AR346" s="292">
        <f t="shared" si="232"/>
        <v>0</v>
      </c>
      <c r="AS346" s="292">
        <f t="shared" si="233"/>
        <v>0</v>
      </c>
      <c r="AT346" s="292">
        <f t="shared" si="260"/>
        <v>0</v>
      </c>
      <c r="AU346" s="292">
        <f t="shared" si="261"/>
        <v>0</v>
      </c>
      <c r="AV346" s="292">
        <f t="shared" si="262"/>
        <v>0</v>
      </c>
      <c r="AW346" s="292">
        <f t="shared" si="263"/>
        <v>0</v>
      </c>
      <c r="AX346" s="292">
        <f t="shared" si="234"/>
        <v>0</v>
      </c>
      <c r="AY346" s="292">
        <f t="shared" si="235"/>
        <v>0</v>
      </c>
      <c r="AZ346" s="292">
        <f t="shared" si="236"/>
        <v>0</v>
      </c>
      <c r="BA346" s="292">
        <f t="shared" si="237"/>
        <v>0</v>
      </c>
    </row>
    <row r="347" spans="1:53" s="289" customFormat="1" ht="16.5" customHeight="1">
      <c r="A347" s="63" t="str">
        <f t="array" ref="A347">IF(C347&lt;&gt;0,SUM(($C$11:C347&lt;&gt;0)*1),"")</f>
        <v/>
      </c>
      <c r="B347" s="290"/>
      <c r="C347" s="290"/>
      <c r="D347" s="290"/>
      <c r="E347" s="396"/>
      <c r="F347" s="345"/>
      <c r="G347" s="347"/>
      <c r="H347" s="347"/>
      <c r="I347" s="63" t="str">
        <f t="shared" si="264"/>
        <v/>
      </c>
      <c r="J347" s="292">
        <f t="shared" si="226"/>
        <v>0</v>
      </c>
      <c r="K347" s="292">
        <f t="shared" si="227"/>
        <v>0</v>
      </c>
      <c r="L347" s="292">
        <f t="shared" si="238"/>
        <v>0</v>
      </c>
      <c r="M347" s="292">
        <f t="shared" si="239"/>
        <v>0</v>
      </c>
      <c r="N347" s="292">
        <f t="shared" si="265"/>
        <v>0</v>
      </c>
      <c r="O347" s="292">
        <f t="shared" si="266"/>
        <v>0</v>
      </c>
      <c r="P347" s="292">
        <f t="shared" si="240"/>
        <v>0</v>
      </c>
      <c r="Q347" s="292">
        <f t="shared" si="241"/>
        <v>0</v>
      </c>
      <c r="R347" s="292">
        <f t="shared" si="242"/>
        <v>0</v>
      </c>
      <c r="S347" s="292">
        <f t="shared" si="243"/>
        <v>0</v>
      </c>
      <c r="T347" s="292">
        <f t="shared" si="222"/>
        <v>0</v>
      </c>
      <c r="U347" s="292">
        <f t="shared" si="223"/>
        <v>0</v>
      </c>
      <c r="V347" s="292">
        <f t="shared" si="244"/>
        <v>0</v>
      </c>
      <c r="W347" s="292">
        <f t="shared" si="245"/>
        <v>0</v>
      </c>
      <c r="X347" s="292">
        <f t="shared" si="246"/>
        <v>0</v>
      </c>
      <c r="Y347" s="292">
        <f t="shared" si="247"/>
        <v>0</v>
      </c>
      <c r="Z347" s="292">
        <f t="shared" si="228"/>
        <v>0</v>
      </c>
      <c r="AA347" s="292">
        <f t="shared" si="229"/>
        <v>0</v>
      </c>
      <c r="AB347" s="292">
        <f t="shared" si="248"/>
        <v>0</v>
      </c>
      <c r="AC347" s="292">
        <f t="shared" si="249"/>
        <v>0</v>
      </c>
      <c r="AD347" s="292">
        <f t="shared" si="230"/>
        <v>0</v>
      </c>
      <c r="AE347" s="292">
        <f t="shared" si="231"/>
        <v>0</v>
      </c>
      <c r="AF347" s="292">
        <f t="shared" si="267"/>
        <v>0</v>
      </c>
      <c r="AG347" s="292">
        <f t="shared" si="268"/>
        <v>0</v>
      </c>
      <c r="AH347" s="292">
        <f t="shared" si="250"/>
        <v>0</v>
      </c>
      <c r="AI347" s="292">
        <f t="shared" si="251"/>
        <v>0</v>
      </c>
      <c r="AJ347" s="292">
        <f t="shared" si="252"/>
        <v>0</v>
      </c>
      <c r="AK347" s="292">
        <f t="shared" si="253"/>
        <v>0</v>
      </c>
      <c r="AL347" s="292">
        <f t="shared" si="254"/>
        <v>0</v>
      </c>
      <c r="AM347" s="292">
        <f t="shared" si="255"/>
        <v>0</v>
      </c>
      <c r="AN347" s="292">
        <f t="shared" si="256"/>
        <v>0</v>
      </c>
      <c r="AO347" s="292">
        <f t="shared" si="257"/>
        <v>0</v>
      </c>
      <c r="AP347" s="292">
        <f t="shared" si="258"/>
        <v>0</v>
      </c>
      <c r="AQ347" s="292">
        <f t="shared" si="259"/>
        <v>0</v>
      </c>
      <c r="AR347" s="292">
        <f t="shared" si="232"/>
        <v>0</v>
      </c>
      <c r="AS347" s="292">
        <f t="shared" si="233"/>
        <v>0</v>
      </c>
      <c r="AT347" s="292">
        <f t="shared" si="260"/>
        <v>0</v>
      </c>
      <c r="AU347" s="292">
        <f t="shared" si="261"/>
        <v>0</v>
      </c>
      <c r="AV347" s="292">
        <f t="shared" si="262"/>
        <v>0</v>
      </c>
      <c r="AW347" s="292">
        <f t="shared" si="263"/>
        <v>0</v>
      </c>
      <c r="AX347" s="292">
        <f t="shared" si="234"/>
        <v>0</v>
      </c>
      <c r="AY347" s="292">
        <f t="shared" si="235"/>
        <v>0</v>
      </c>
      <c r="AZ347" s="292">
        <f t="shared" si="236"/>
        <v>0</v>
      </c>
      <c r="BA347" s="292">
        <f t="shared" si="237"/>
        <v>0</v>
      </c>
    </row>
    <row r="348" spans="1:53" s="289" customFormat="1" ht="16.5" customHeight="1">
      <c r="A348" s="63" t="str">
        <f t="array" ref="A348">IF(C348&lt;&gt;0,SUM(($C$11:C348&lt;&gt;0)*1),"")</f>
        <v/>
      </c>
      <c r="B348" s="290"/>
      <c r="C348" s="290"/>
      <c r="D348" s="290"/>
      <c r="E348" s="396"/>
      <c r="F348" s="345"/>
      <c r="G348" s="347"/>
      <c r="H348" s="347"/>
      <c r="I348" s="63" t="str">
        <f>A348</f>
        <v/>
      </c>
      <c r="J348" s="292">
        <f t="shared" si="226"/>
        <v>0</v>
      </c>
      <c r="K348" s="292">
        <f t="shared" si="227"/>
        <v>0</v>
      </c>
      <c r="L348" s="292">
        <f t="shared" si="238"/>
        <v>0</v>
      </c>
      <c r="M348" s="292">
        <f t="shared" si="239"/>
        <v>0</v>
      </c>
      <c r="N348" s="292">
        <f t="shared" si="265"/>
        <v>0</v>
      </c>
      <c r="O348" s="292">
        <f t="shared" si="266"/>
        <v>0</v>
      </c>
      <c r="P348" s="292">
        <f t="shared" si="240"/>
        <v>0</v>
      </c>
      <c r="Q348" s="292">
        <f t="shared" si="241"/>
        <v>0</v>
      </c>
      <c r="R348" s="292">
        <f t="shared" si="242"/>
        <v>0</v>
      </c>
      <c r="S348" s="292">
        <f t="shared" si="243"/>
        <v>0</v>
      </c>
      <c r="T348" s="292">
        <f t="shared" si="222"/>
        <v>0</v>
      </c>
      <c r="U348" s="292">
        <f t="shared" si="223"/>
        <v>0</v>
      </c>
      <c r="V348" s="292">
        <f t="shared" si="244"/>
        <v>0</v>
      </c>
      <c r="W348" s="292">
        <f t="shared" si="245"/>
        <v>0</v>
      </c>
      <c r="X348" s="292">
        <f t="shared" si="246"/>
        <v>0</v>
      </c>
      <c r="Y348" s="292">
        <f t="shared" si="247"/>
        <v>0</v>
      </c>
      <c r="Z348" s="292">
        <f t="shared" si="228"/>
        <v>0</v>
      </c>
      <c r="AA348" s="292">
        <f t="shared" si="229"/>
        <v>0</v>
      </c>
      <c r="AB348" s="292">
        <f t="shared" si="248"/>
        <v>0</v>
      </c>
      <c r="AC348" s="292">
        <f t="shared" si="249"/>
        <v>0</v>
      </c>
      <c r="AD348" s="292">
        <f t="shared" si="230"/>
        <v>0</v>
      </c>
      <c r="AE348" s="292">
        <f t="shared" si="231"/>
        <v>0</v>
      </c>
      <c r="AF348" s="292">
        <f t="shared" si="267"/>
        <v>0</v>
      </c>
      <c r="AG348" s="292">
        <f t="shared" si="268"/>
        <v>0</v>
      </c>
      <c r="AH348" s="292">
        <f t="shared" si="250"/>
        <v>0</v>
      </c>
      <c r="AI348" s="292">
        <f t="shared" si="251"/>
        <v>0</v>
      </c>
      <c r="AJ348" s="292">
        <f t="shared" si="252"/>
        <v>0</v>
      </c>
      <c r="AK348" s="292">
        <f t="shared" si="253"/>
        <v>0</v>
      </c>
      <c r="AL348" s="292">
        <f t="shared" si="254"/>
        <v>0</v>
      </c>
      <c r="AM348" s="292">
        <f t="shared" si="255"/>
        <v>0</v>
      </c>
      <c r="AN348" s="292">
        <f t="shared" si="256"/>
        <v>0</v>
      </c>
      <c r="AO348" s="292">
        <f t="shared" si="257"/>
        <v>0</v>
      </c>
      <c r="AP348" s="292">
        <f t="shared" si="258"/>
        <v>0</v>
      </c>
      <c r="AQ348" s="292">
        <f t="shared" si="259"/>
        <v>0</v>
      </c>
      <c r="AR348" s="292">
        <f t="shared" si="232"/>
        <v>0</v>
      </c>
      <c r="AS348" s="292">
        <f t="shared" si="233"/>
        <v>0</v>
      </c>
      <c r="AT348" s="292">
        <f t="shared" si="260"/>
        <v>0</v>
      </c>
      <c r="AU348" s="292">
        <f t="shared" si="261"/>
        <v>0</v>
      </c>
      <c r="AV348" s="292">
        <f t="shared" si="262"/>
        <v>0</v>
      </c>
      <c r="AW348" s="292">
        <f t="shared" si="263"/>
        <v>0</v>
      </c>
      <c r="AX348" s="292">
        <f t="shared" si="234"/>
        <v>0</v>
      </c>
      <c r="AY348" s="292">
        <f t="shared" si="235"/>
        <v>0</v>
      </c>
      <c r="AZ348" s="292">
        <f t="shared" si="236"/>
        <v>0</v>
      </c>
      <c r="BA348" s="292">
        <f t="shared" si="237"/>
        <v>0</v>
      </c>
    </row>
    <row r="349" spans="1:53" s="327" customFormat="1" ht="16.5" customHeight="1">
      <c r="A349" s="63">
        <f t="array" aca="1" ref="A349" ca="1">IF(C349&lt;&gt;0,SUM(($C$11:C349&lt;&gt;0)*1),"")</f>
        <v>2</v>
      </c>
      <c r="B349" s="293">
        <v>42369</v>
      </c>
      <c r="C349" s="293" t="s">
        <v>149</v>
      </c>
      <c r="D349" s="293">
        <f t="shared" ref="D349:D354" si="269">B349</f>
        <v>42369</v>
      </c>
      <c r="E349" s="294" t="s">
        <v>150</v>
      </c>
      <c r="F349" s="79">
        <f ca="1">AP356</f>
        <v>0</v>
      </c>
      <c r="G349" s="295" t="s">
        <v>242</v>
      </c>
      <c r="H349" s="295" t="s">
        <v>133</v>
      </c>
      <c r="I349" s="63">
        <f t="shared" ref="I349:I354" ca="1" si="270">A349</f>
        <v>2</v>
      </c>
      <c r="J349" s="292">
        <f t="shared" ref="J349:J355" si="271">IF($G349="1111",$F349,0)</f>
        <v>0</v>
      </c>
      <c r="K349" s="292">
        <f t="shared" ref="K349:K355" si="272">IF($H349="1111",$F349,0)</f>
        <v>0</v>
      </c>
      <c r="L349" s="292">
        <f t="shared" ref="L349:L355" si="273">IF($G349="1121",$F349,0)</f>
        <v>0</v>
      </c>
      <c r="M349" s="292">
        <f t="shared" ref="M349:M355" si="274">IF($H349="1121",$F349,0)</f>
        <v>0</v>
      </c>
      <c r="N349" s="292">
        <f t="shared" si="265"/>
        <v>0</v>
      </c>
      <c r="O349" s="292">
        <f t="shared" si="266"/>
        <v>0</v>
      </c>
      <c r="P349" s="292">
        <f t="shared" ref="P349:P355" si="275">IF($G349="1331",$F349,0)</f>
        <v>0</v>
      </c>
      <c r="Q349" s="292">
        <f t="shared" ref="Q349:Q355" si="276">IF($H349="1331",$F349,0)</f>
        <v>0</v>
      </c>
      <c r="R349" s="292">
        <f t="shared" ref="R349:R355" si="277">IF($G349="1388",$F349,0)</f>
        <v>0</v>
      </c>
      <c r="S349" s="292">
        <f t="shared" ref="S349:S355" si="278">IF($H349="1388",$F349,0)</f>
        <v>0</v>
      </c>
      <c r="T349" s="292">
        <f t="shared" ref="T349:T355" ca="1" si="279">IF($G349="2412",$F349,0)</f>
        <v>0</v>
      </c>
      <c r="U349" s="292">
        <f t="shared" ref="U349:U355" si="280">IF($H349="2412",$F349,0)</f>
        <v>0</v>
      </c>
      <c r="V349" s="292">
        <f t="shared" ref="V349:V355" si="281">IF($G349="331",$F349,0)</f>
        <v>0</v>
      </c>
      <c r="W349" s="292">
        <f t="shared" ref="W349:W355" si="282">IF($H349="331",$F349,0)</f>
        <v>0</v>
      </c>
      <c r="X349" s="292">
        <f t="shared" ref="X349:X355" si="283">IF($G349="3334",$F349,0)</f>
        <v>0</v>
      </c>
      <c r="Y349" s="292">
        <f t="shared" ref="Y349:Y355" si="284">IF($H349="3334",$F349,0)</f>
        <v>0</v>
      </c>
      <c r="Z349" s="292">
        <f t="shared" ref="Z349:Z355" si="285">IF($G349="33382",$F349,0)</f>
        <v>0</v>
      </c>
      <c r="AA349" s="292">
        <f t="shared" ref="AA349:AA355" si="286">IF($H349="33382",$F349,0)</f>
        <v>0</v>
      </c>
      <c r="AB349" s="292">
        <f t="shared" ref="AB349:AB355" si="287">IF($G349="3388",$F349,0)</f>
        <v>0</v>
      </c>
      <c r="AC349" s="292">
        <f t="shared" ref="AC349:AC355" si="288">IF($H349="3388",$F349,0)</f>
        <v>0</v>
      </c>
      <c r="AD349" s="292">
        <f t="shared" ref="AD349:AD355" si="289">IF($G349="3411",$F349,0)</f>
        <v>0</v>
      </c>
      <c r="AE349" s="292">
        <f t="shared" ref="AE349:AE355" si="290">IF($H349="3411",$F349,0)</f>
        <v>0</v>
      </c>
      <c r="AF349" s="292">
        <f t="shared" si="267"/>
        <v>0</v>
      </c>
      <c r="AG349" s="292">
        <f t="shared" si="268"/>
        <v>0</v>
      </c>
      <c r="AH349" s="292">
        <f t="shared" ref="AH349:AH355" si="291">IF($G349="4111",$F349,0)</f>
        <v>0</v>
      </c>
      <c r="AI349" s="292">
        <f t="shared" ref="AI349:AI355" si="292">IF($H349="4111",$F349,0)</f>
        <v>0</v>
      </c>
      <c r="AJ349" s="292">
        <f t="shared" ref="AJ349:AJ355" si="293">IF($G349="4211",$F349,0)</f>
        <v>0</v>
      </c>
      <c r="AK349" s="292">
        <f t="shared" ref="AK349:AK355" si="294">IF($H349="4211",$F349,0)</f>
        <v>0</v>
      </c>
      <c r="AL349" s="292">
        <f t="shared" ref="AL349:AL355" si="295">IF($G349="4212",$F349,0)</f>
        <v>0</v>
      </c>
      <c r="AM349" s="292">
        <f t="shared" ref="AM349:AM355" si="296">IF($H349="4212",$F349,0)</f>
        <v>0</v>
      </c>
      <c r="AN349" s="292">
        <f t="shared" ref="AN349:AN355" si="297">IF($G349="515",$F349,0)</f>
        <v>0</v>
      </c>
      <c r="AO349" s="292">
        <f t="shared" ref="AO349:AO355" si="298">IF($H349="515",$F349,0)</f>
        <v>0</v>
      </c>
      <c r="AP349" s="292">
        <f t="shared" ref="AP349:AP355" si="299">IF($G349="635",$F349,0)</f>
        <v>0</v>
      </c>
      <c r="AQ349" s="292">
        <f t="shared" ref="AQ349:AQ355" ca="1" si="300">IF($H349="635",$F349,0)</f>
        <v>0</v>
      </c>
      <c r="AR349" s="292">
        <f t="shared" ref="AR349:AR355" si="301">IF($G349="642",$F349,0)</f>
        <v>0</v>
      </c>
      <c r="AS349" s="292">
        <f t="shared" ref="AS349:AS355" si="302">IF($H349="642",$F349,0)</f>
        <v>0</v>
      </c>
      <c r="AT349" s="292">
        <f t="shared" ref="AT349:AT355" si="303">IF($G349="711",$F349,0)</f>
        <v>0</v>
      </c>
      <c r="AU349" s="292">
        <f t="shared" ref="AU349:AU355" si="304">IF($H349="711",$F349,0)</f>
        <v>0</v>
      </c>
      <c r="AV349" s="292">
        <f t="shared" ref="AV349:AV355" si="305">IF($G349="811",$F349,0)</f>
        <v>0</v>
      </c>
      <c r="AW349" s="292">
        <f t="shared" ref="AW349:AW355" si="306">IF($H349="811",$F349,0)</f>
        <v>0</v>
      </c>
      <c r="AX349" s="292">
        <f t="shared" ref="AX349:AX355" si="307">IF($G349="821",$F349,0)</f>
        <v>0</v>
      </c>
      <c r="AY349" s="292">
        <f t="shared" ref="AY349:AY355" si="308">IF($H349="821",$F349,0)</f>
        <v>0</v>
      </c>
      <c r="AZ349" s="292">
        <f t="shared" ref="AZ349:AZ355" si="309">IF($G349="911",$F349,0)</f>
        <v>0</v>
      </c>
      <c r="BA349" s="292">
        <f t="shared" ref="BA349:BA355" si="310">IF($H349="911",$F349,0)</f>
        <v>0</v>
      </c>
    </row>
    <row r="350" spans="1:53" s="327" customFormat="1" ht="16.5" customHeight="1">
      <c r="A350" s="63">
        <f t="array" aca="1" ref="A350" ca="1">IF(C350&lt;&gt;0,SUM(($C$11:C350&lt;&gt;0)*1),"")</f>
        <v>3</v>
      </c>
      <c r="B350" s="293">
        <v>42369</v>
      </c>
      <c r="C350" s="293" t="s">
        <v>149</v>
      </c>
      <c r="D350" s="293">
        <f t="shared" si="269"/>
        <v>42369</v>
      </c>
      <c r="E350" s="294" t="s">
        <v>151</v>
      </c>
      <c r="F350" s="79">
        <f ca="1">AR356</f>
        <v>0</v>
      </c>
      <c r="G350" s="295" t="s">
        <v>143</v>
      </c>
      <c r="H350" s="295" t="s">
        <v>135</v>
      </c>
      <c r="I350" s="63">
        <f t="shared" ca="1" si="270"/>
        <v>3</v>
      </c>
      <c r="J350" s="292">
        <f t="shared" si="271"/>
        <v>0</v>
      </c>
      <c r="K350" s="292">
        <f t="shared" si="272"/>
        <v>0</v>
      </c>
      <c r="L350" s="292">
        <f t="shared" si="273"/>
        <v>0</v>
      </c>
      <c r="M350" s="292">
        <f t="shared" si="274"/>
        <v>0</v>
      </c>
      <c r="N350" s="292">
        <f t="shared" si="265"/>
        <v>0</v>
      </c>
      <c r="O350" s="292">
        <f t="shared" si="266"/>
        <v>0</v>
      </c>
      <c r="P350" s="292">
        <f t="shared" si="275"/>
        <v>0</v>
      </c>
      <c r="Q350" s="292">
        <f t="shared" si="276"/>
        <v>0</v>
      </c>
      <c r="R350" s="292">
        <f t="shared" si="277"/>
        <v>0</v>
      </c>
      <c r="S350" s="292">
        <f t="shared" si="278"/>
        <v>0</v>
      </c>
      <c r="T350" s="292">
        <f t="shared" si="279"/>
        <v>0</v>
      </c>
      <c r="U350" s="292">
        <f t="shared" si="280"/>
        <v>0</v>
      </c>
      <c r="V350" s="292">
        <f t="shared" si="281"/>
        <v>0</v>
      </c>
      <c r="W350" s="292">
        <f t="shared" si="282"/>
        <v>0</v>
      </c>
      <c r="X350" s="292">
        <f t="shared" si="283"/>
        <v>0</v>
      </c>
      <c r="Y350" s="292">
        <f t="shared" si="284"/>
        <v>0</v>
      </c>
      <c r="Z350" s="292">
        <f t="shared" si="285"/>
        <v>0</v>
      </c>
      <c r="AA350" s="292">
        <f t="shared" si="286"/>
        <v>0</v>
      </c>
      <c r="AB350" s="292">
        <f t="shared" si="287"/>
        <v>0</v>
      </c>
      <c r="AC350" s="292">
        <f t="shared" si="288"/>
        <v>0</v>
      </c>
      <c r="AD350" s="292">
        <f t="shared" si="289"/>
        <v>0</v>
      </c>
      <c r="AE350" s="292">
        <f t="shared" si="290"/>
        <v>0</v>
      </c>
      <c r="AF350" s="292">
        <f t="shared" si="267"/>
        <v>0</v>
      </c>
      <c r="AG350" s="292">
        <f t="shared" si="268"/>
        <v>0</v>
      </c>
      <c r="AH350" s="292">
        <f t="shared" si="291"/>
        <v>0</v>
      </c>
      <c r="AI350" s="292">
        <f t="shared" si="292"/>
        <v>0</v>
      </c>
      <c r="AJ350" s="292">
        <f t="shared" si="293"/>
        <v>0</v>
      </c>
      <c r="AK350" s="292">
        <f t="shared" si="294"/>
        <v>0</v>
      </c>
      <c r="AL350" s="292">
        <f t="shared" si="295"/>
        <v>0</v>
      </c>
      <c r="AM350" s="292">
        <f t="shared" si="296"/>
        <v>0</v>
      </c>
      <c r="AN350" s="292">
        <f t="shared" si="297"/>
        <v>0</v>
      </c>
      <c r="AO350" s="292">
        <f t="shared" si="298"/>
        <v>0</v>
      </c>
      <c r="AP350" s="292">
        <f t="shared" si="299"/>
        <v>0</v>
      </c>
      <c r="AQ350" s="292">
        <f t="shared" si="300"/>
        <v>0</v>
      </c>
      <c r="AR350" s="292">
        <f t="shared" si="301"/>
        <v>0</v>
      </c>
      <c r="AS350" s="292">
        <f t="shared" ca="1" si="302"/>
        <v>0</v>
      </c>
      <c r="AT350" s="292">
        <f t="shared" si="303"/>
        <v>0</v>
      </c>
      <c r="AU350" s="292">
        <f t="shared" si="304"/>
        <v>0</v>
      </c>
      <c r="AV350" s="292">
        <f t="shared" si="305"/>
        <v>0</v>
      </c>
      <c r="AW350" s="292">
        <f t="shared" si="306"/>
        <v>0</v>
      </c>
      <c r="AX350" s="292">
        <f t="shared" si="307"/>
        <v>0</v>
      </c>
      <c r="AY350" s="292">
        <f t="shared" si="308"/>
        <v>0</v>
      </c>
      <c r="AZ350" s="292">
        <f t="shared" ca="1" si="309"/>
        <v>0</v>
      </c>
      <c r="BA350" s="292">
        <f t="shared" si="310"/>
        <v>0</v>
      </c>
    </row>
    <row r="351" spans="1:53" s="327" customFormat="1" ht="16.5" customHeight="1">
      <c r="A351" s="63">
        <f t="array" aca="1" ref="A351" ca="1">IF(C351&lt;&gt;0,SUM(($C$11:C351&lt;&gt;0)*1),"")</f>
        <v>4</v>
      </c>
      <c r="B351" s="293">
        <v>42369</v>
      </c>
      <c r="C351" s="293" t="s">
        <v>149</v>
      </c>
      <c r="D351" s="293">
        <f t="shared" si="269"/>
        <v>42369</v>
      </c>
      <c r="E351" s="294" t="s">
        <v>300</v>
      </c>
      <c r="F351" s="79">
        <v>304750266</v>
      </c>
      <c r="G351" s="295" t="s">
        <v>128</v>
      </c>
      <c r="H351" s="295" t="s">
        <v>143</v>
      </c>
      <c r="I351" s="63">
        <f t="shared" ca="1" si="270"/>
        <v>4</v>
      </c>
      <c r="J351" s="292">
        <f t="shared" si="271"/>
        <v>0</v>
      </c>
      <c r="K351" s="292">
        <f t="shared" si="272"/>
        <v>0</v>
      </c>
      <c r="L351" s="292">
        <f t="shared" si="273"/>
        <v>0</v>
      </c>
      <c r="M351" s="292">
        <f t="shared" si="274"/>
        <v>0</v>
      </c>
      <c r="N351" s="292">
        <f t="shared" si="265"/>
        <v>0</v>
      </c>
      <c r="O351" s="292">
        <f t="shared" si="266"/>
        <v>0</v>
      </c>
      <c r="P351" s="292">
        <f t="shared" si="275"/>
        <v>0</v>
      </c>
      <c r="Q351" s="292">
        <f t="shared" si="276"/>
        <v>0</v>
      </c>
      <c r="R351" s="292">
        <f t="shared" si="277"/>
        <v>0</v>
      </c>
      <c r="S351" s="292">
        <f t="shared" si="278"/>
        <v>0</v>
      </c>
      <c r="T351" s="292">
        <f t="shared" si="279"/>
        <v>0</v>
      </c>
      <c r="U351" s="292">
        <f t="shared" si="280"/>
        <v>0</v>
      </c>
      <c r="V351" s="292">
        <f t="shared" si="281"/>
        <v>0</v>
      </c>
      <c r="W351" s="292">
        <f t="shared" si="282"/>
        <v>0</v>
      </c>
      <c r="X351" s="292">
        <f t="shared" si="283"/>
        <v>0</v>
      </c>
      <c r="Y351" s="292">
        <f t="shared" si="284"/>
        <v>0</v>
      </c>
      <c r="Z351" s="292">
        <f t="shared" si="285"/>
        <v>0</v>
      </c>
      <c r="AA351" s="292">
        <f t="shared" si="286"/>
        <v>0</v>
      </c>
      <c r="AB351" s="292">
        <f t="shared" si="287"/>
        <v>0</v>
      </c>
      <c r="AC351" s="292">
        <f t="shared" si="288"/>
        <v>0</v>
      </c>
      <c r="AD351" s="292">
        <f t="shared" si="289"/>
        <v>0</v>
      </c>
      <c r="AE351" s="292">
        <f t="shared" si="290"/>
        <v>0</v>
      </c>
      <c r="AF351" s="292">
        <f t="shared" si="267"/>
        <v>0</v>
      </c>
      <c r="AG351" s="292">
        <f t="shared" si="268"/>
        <v>0</v>
      </c>
      <c r="AH351" s="292">
        <f t="shared" si="291"/>
        <v>0</v>
      </c>
      <c r="AI351" s="292">
        <f t="shared" si="292"/>
        <v>0</v>
      </c>
      <c r="AJ351" s="292">
        <f t="shared" si="293"/>
        <v>0</v>
      </c>
      <c r="AK351" s="292">
        <f t="shared" si="294"/>
        <v>0</v>
      </c>
      <c r="AL351" s="292">
        <f t="shared" si="295"/>
        <v>304750266</v>
      </c>
      <c r="AM351" s="292">
        <f t="shared" si="296"/>
        <v>0</v>
      </c>
      <c r="AN351" s="292">
        <f t="shared" si="297"/>
        <v>0</v>
      </c>
      <c r="AO351" s="292">
        <f t="shared" si="298"/>
        <v>0</v>
      </c>
      <c r="AP351" s="292">
        <f t="shared" si="299"/>
        <v>0</v>
      </c>
      <c r="AQ351" s="292">
        <f t="shared" si="300"/>
        <v>0</v>
      </c>
      <c r="AR351" s="292">
        <f t="shared" si="301"/>
        <v>0</v>
      </c>
      <c r="AS351" s="292">
        <f t="shared" si="302"/>
        <v>0</v>
      </c>
      <c r="AT351" s="292">
        <f t="shared" si="303"/>
        <v>0</v>
      </c>
      <c r="AU351" s="292">
        <f t="shared" si="304"/>
        <v>0</v>
      </c>
      <c r="AV351" s="292">
        <f t="shared" si="305"/>
        <v>0</v>
      </c>
      <c r="AW351" s="292">
        <f t="shared" si="306"/>
        <v>0</v>
      </c>
      <c r="AX351" s="292">
        <f t="shared" si="307"/>
        <v>0</v>
      </c>
      <c r="AY351" s="292">
        <f t="shared" si="308"/>
        <v>0</v>
      </c>
      <c r="AZ351" s="292">
        <f t="shared" si="309"/>
        <v>0</v>
      </c>
      <c r="BA351" s="292">
        <f t="shared" si="310"/>
        <v>304750266</v>
      </c>
    </row>
    <row r="352" spans="1:53" s="327" customFormat="1" ht="16.5" customHeight="1">
      <c r="A352" s="63">
        <f t="array" aca="1" ref="A352" ca="1">IF(C352&lt;&gt;0,SUM(($C$11:C352&lt;&gt;0)*1),"")</f>
        <v>5</v>
      </c>
      <c r="B352" s="293">
        <v>42369</v>
      </c>
      <c r="C352" s="293" t="s">
        <v>149</v>
      </c>
      <c r="D352" s="293">
        <f t="shared" si="269"/>
        <v>42369</v>
      </c>
      <c r="E352" s="294" t="s">
        <v>153</v>
      </c>
      <c r="F352" s="79">
        <f ca="1">AO356</f>
        <v>0</v>
      </c>
      <c r="G352" s="295" t="s">
        <v>58</v>
      </c>
      <c r="H352" s="295" t="s">
        <v>143</v>
      </c>
      <c r="I352" s="63">
        <f t="shared" ca="1" si="270"/>
        <v>5</v>
      </c>
      <c r="J352" s="292">
        <f t="shared" si="271"/>
        <v>0</v>
      </c>
      <c r="K352" s="292">
        <f t="shared" si="272"/>
        <v>0</v>
      </c>
      <c r="L352" s="292">
        <f t="shared" si="273"/>
        <v>0</v>
      </c>
      <c r="M352" s="292">
        <f t="shared" si="274"/>
        <v>0</v>
      </c>
      <c r="N352" s="292">
        <f t="shared" si="265"/>
        <v>0</v>
      </c>
      <c r="O352" s="292">
        <f t="shared" si="266"/>
        <v>0</v>
      </c>
      <c r="P352" s="292">
        <f t="shared" si="275"/>
        <v>0</v>
      </c>
      <c r="Q352" s="292">
        <f t="shared" si="276"/>
        <v>0</v>
      </c>
      <c r="R352" s="292">
        <f t="shared" si="277"/>
        <v>0</v>
      </c>
      <c r="S352" s="292">
        <f t="shared" si="278"/>
        <v>0</v>
      </c>
      <c r="T352" s="292">
        <f t="shared" si="279"/>
        <v>0</v>
      </c>
      <c r="U352" s="292">
        <f t="shared" si="280"/>
        <v>0</v>
      </c>
      <c r="V352" s="292">
        <f t="shared" si="281"/>
        <v>0</v>
      </c>
      <c r="W352" s="292">
        <f t="shared" si="282"/>
        <v>0</v>
      </c>
      <c r="X352" s="292">
        <f t="shared" si="283"/>
        <v>0</v>
      </c>
      <c r="Y352" s="292">
        <f t="shared" si="284"/>
        <v>0</v>
      </c>
      <c r="Z352" s="292">
        <f t="shared" si="285"/>
        <v>0</v>
      </c>
      <c r="AA352" s="292">
        <f t="shared" si="286"/>
        <v>0</v>
      </c>
      <c r="AB352" s="292">
        <f t="shared" si="287"/>
        <v>0</v>
      </c>
      <c r="AC352" s="292">
        <f t="shared" si="288"/>
        <v>0</v>
      </c>
      <c r="AD352" s="292">
        <f t="shared" si="289"/>
        <v>0</v>
      </c>
      <c r="AE352" s="292">
        <f t="shared" si="290"/>
        <v>0</v>
      </c>
      <c r="AF352" s="292">
        <f t="shared" si="267"/>
        <v>0</v>
      </c>
      <c r="AG352" s="292">
        <f t="shared" si="268"/>
        <v>0</v>
      </c>
      <c r="AH352" s="292">
        <f t="shared" si="291"/>
        <v>0</v>
      </c>
      <c r="AI352" s="292">
        <f t="shared" si="292"/>
        <v>0</v>
      </c>
      <c r="AJ352" s="292">
        <f t="shared" si="293"/>
        <v>0</v>
      </c>
      <c r="AK352" s="292">
        <f t="shared" si="294"/>
        <v>0</v>
      </c>
      <c r="AL352" s="292">
        <f t="shared" si="295"/>
        <v>0</v>
      </c>
      <c r="AM352" s="292">
        <f t="shared" si="296"/>
        <v>0</v>
      </c>
      <c r="AN352" s="292">
        <f t="shared" ca="1" si="297"/>
        <v>0</v>
      </c>
      <c r="AO352" s="292">
        <f t="shared" si="298"/>
        <v>0</v>
      </c>
      <c r="AP352" s="292">
        <f t="shared" si="299"/>
        <v>0</v>
      </c>
      <c r="AQ352" s="292">
        <f t="shared" si="300"/>
        <v>0</v>
      </c>
      <c r="AR352" s="292">
        <f t="shared" si="301"/>
        <v>0</v>
      </c>
      <c r="AS352" s="292">
        <f t="shared" si="302"/>
        <v>0</v>
      </c>
      <c r="AT352" s="292">
        <f t="shared" si="303"/>
        <v>0</v>
      </c>
      <c r="AU352" s="292">
        <f t="shared" si="304"/>
        <v>0</v>
      </c>
      <c r="AV352" s="292">
        <f t="shared" si="305"/>
        <v>0</v>
      </c>
      <c r="AW352" s="292">
        <f t="shared" si="306"/>
        <v>0</v>
      </c>
      <c r="AX352" s="292">
        <f t="shared" si="307"/>
        <v>0</v>
      </c>
      <c r="AY352" s="292">
        <f t="shared" si="308"/>
        <v>0</v>
      </c>
      <c r="AZ352" s="292">
        <f t="shared" si="309"/>
        <v>0</v>
      </c>
      <c r="BA352" s="292">
        <f t="shared" ca="1" si="310"/>
        <v>0</v>
      </c>
    </row>
    <row r="353" spans="1:53" s="327" customFormat="1" ht="16.5" customHeight="1">
      <c r="A353" s="63">
        <f t="array" aca="1" ref="A353" ca="1">IF(C353&lt;&gt;0,SUM(($C$11:C353&lt;&gt;0)*1),"")</f>
        <v>6</v>
      </c>
      <c r="B353" s="293">
        <v>42369</v>
      </c>
      <c r="C353" s="293" t="s">
        <v>149</v>
      </c>
      <c r="D353" s="293">
        <f t="shared" si="269"/>
        <v>42369</v>
      </c>
      <c r="E353" s="294" t="s">
        <v>154</v>
      </c>
      <c r="F353" s="79">
        <f ca="1">AU356</f>
        <v>0</v>
      </c>
      <c r="G353" s="295" t="s">
        <v>137</v>
      </c>
      <c r="H353" s="295" t="s">
        <v>143</v>
      </c>
      <c r="I353" s="63">
        <f t="shared" ca="1" si="270"/>
        <v>6</v>
      </c>
      <c r="J353" s="292">
        <f t="shared" si="271"/>
        <v>0</v>
      </c>
      <c r="K353" s="292">
        <f t="shared" si="272"/>
        <v>0</v>
      </c>
      <c r="L353" s="292">
        <f t="shared" si="273"/>
        <v>0</v>
      </c>
      <c r="M353" s="292">
        <f t="shared" si="274"/>
        <v>0</v>
      </c>
      <c r="N353" s="292">
        <f t="shared" si="265"/>
        <v>0</v>
      </c>
      <c r="O353" s="292">
        <f t="shared" si="266"/>
        <v>0</v>
      </c>
      <c r="P353" s="292">
        <f t="shared" si="275"/>
        <v>0</v>
      </c>
      <c r="Q353" s="292">
        <f t="shared" si="276"/>
        <v>0</v>
      </c>
      <c r="R353" s="292">
        <f t="shared" si="277"/>
        <v>0</v>
      </c>
      <c r="S353" s="292">
        <f t="shared" si="278"/>
        <v>0</v>
      </c>
      <c r="T353" s="292">
        <f t="shared" si="279"/>
        <v>0</v>
      </c>
      <c r="U353" s="292">
        <f t="shared" si="280"/>
        <v>0</v>
      </c>
      <c r="V353" s="292">
        <f t="shared" si="281"/>
        <v>0</v>
      </c>
      <c r="W353" s="292">
        <f t="shared" si="282"/>
        <v>0</v>
      </c>
      <c r="X353" s="292">
        <f t="shared" si="283"/>
        <v>0</v>
      </c>
      <c r="Y353" s="292">
        <f t="shared" si="284"/>
        <v>0</v>
      </c>
      <c r="Z353" s="292">
        <f t="shared" si="285"/>
        <v>0</v>
      </c>
      <c r="AA353" s="292">
        <f t="shared" si="286"/>
        <v>0</v>
      </c>
      <c r="AB353" s="292">
        <f t="shared" si="287"/>
        <v>0</v>
      </c>
      <c r="AC353" s="292">
        <f t="shared" si="288"/>
        <v>0</v>
      </c>
      <c r="AD353" s="292">
        <f t="shared" si="289"/>
        <v>0</v>
      </c>
      <c r="AE353" s="292">
        <f t="shared" si="290"/>
        <v>0</v>
      </c>
      <c r="AF353" s="292">
        <f t="shared" si="267"/>
        <v>0</v>
      </c>
      <c r="AG353" s="292">
        <f t="shared" si="268"/>
        <v>0</v>
      </c>
      <c r="AH353" s="292">
        <f t="shared" si="291"/>
        <v>0</v>
      </c>
      <c r="AI353" s="292">
        <f t="shared" si="292"/>
        <v>0</v>
      </c>
      <c r="AJ353" s="292">
        <f t="shared" si="293"/>
        <v>0</v>
      </c>
      <c r="AK353" s="292">
        <f t="shared" si="294"/>
        <v>0</v>
      </c>
      <c r="AL353" s="292">
        <f t="shared" si="295"/>
        <v>0</v>
      </c>
      <c r="AM353" s="292">
        <f t="shared" si="296"/>
        <v>0</v>
      </c>
      <c r="AN353" s="292">
        <f t="shared" si="297"/>
        <v>0</v>
      </c>
      <c r="AO353" s="292">
        <f t="shared" si="298"/>
        <v>0</v>
      </c>
      <c r="AP353" s="292">
        <f t="shared" si="299"/>
        <v>0</v>
      </c>
      <c r="AQ353" s="292">
        <f t="shared" si="300"/>
        <v>0</v>
      </c>
      <c r="AR353" s="292">
        <f t="shared" si="301"/>
        <v>0</v>
      </c>
      <c r="AS353" s="292">
        <f t="shared" si="302"/>
        <v>0</v>
      </c>
      <c r="AT353" s="292">
        <f t="shared" ca="1" si="303"/>
        <v>0</v>
      </c>
      <c r="AU353" s="292">
        <f t="shared" si="304"/>
        <v>0</v>
      </c>
      <c r="AV353" s="292">
        <f t="shared" si="305"/>
        <v>0</v>
      </c>
      <c r="AW353" s="292">
        <f t="shared" si="306"/>
        <v>0</v>
      </c>
      <c r="AX353" s="292">
        <f t="shared" si="307"/>
        <v>0</v>
      </c>
      <c r="AY353" s="292">
        <f t="shared" si="308"/>
        <v>0</v>
      </c>
      <c r="AZ353" s="292">
        <f t="shared" si="309"/>
        <v>0</v>
      </c>
      <c r="BA353" s="292">
        <f t="shared" ca="1" si="310"/>
        <v>0</v>
      </c>
    </row>
    <row r="354" spans="1:53" s="327" customFormat="1" ht="16.5" customHeight="1">
      <c r="A354" s="63">
        <f t="array" aca="1" ref="A354" ca="1">IF(C354&lt;&gt;0,SUM(($C$11:C354&lt;&gt;0)*1),"")</f>
        <v>7</v>
      </c>
      <c r="B354" s="293">
        <v>42369</v>
      </c>
      <c r="C354" s="293" t="s">
        <v>149</v>
      </c>
      <c r="D354" s="293">
        <f t="shared" si="269"/>
        <v>42369</v>
      </c>
      <c r="E354" s="294" t="s">
        <v>155</v>
      </c>
      <c r="F354" s="79">
        <f ca="1">AV356</f>
        <v>0</v>
      </c>
      <c r="G354" s="295" t="s">
        <v>143</v>
      </c>
      <c r="H354" s="295" t="s">
        <v>139</v>
      </c>
      <c r="I354" s="63">
        <f t="shared" ca="1" si="270"/>
        <v>7</v>
      </c>
      <c r="J354" s="292">
        <f t="shared" si="271"/>
        <v>0</v>
      </c>
      <c r="K354" s="292">
        <f t="shared" si="272"/>
        <v>0</v>
      </c>
      <c r="L354" s="292">
        <f t="shared" si="273"/>
        <v>0</v>
      </c>
      <c r="M354" s="292">
        <f t="shared" si="274"/>
        <v>0</v>
      </c>
      <c r="N354" s="292">
        <f t="shared" si="265"/>
        <v>0</v>
      </c>
      <c r="O354" s="292">
        <f t="shared" si="266"/>
        <v>0</v>
      </c>
      <c r="P354" s="292">
        <f t="shared" si="275"/>
        <v>0</v>
      </c>
      <c r="Q354" s="292">
        <f t="shared" si="276"/>
        <v>0</v>
      </c>
      <c r="R354" s="292">
        <f t="shared" si="277"/>
        <v>0</v>
      </c>
      <c r="S354" s="292">
        <f t="shared" si="278"/>
        <v>0</v>
      </c>
      <c r="T354" s="292">
        <f t="shared" si="279"/>
        <v>0</v>
      </c>
      <c r="U354" s="292">
        <f t="shared" si="280"/>
        <v>0</v>
      </c>
      <c r="V354" s="292">
        <f t="shared" si="281"/>
        <v>0</v>
      </c>
      <c r="W354" s="292">
        <f t="shared" si="282"/>
        <v>0</v>
      </c>
      <c r="X354" s="292">
        <f t="shared" si="283"/>
        <v>0</v>
      </c>
      <c r="Y354" s="292">
        <f t="shared" si="284"/>
        <v>0</v>
      </c>
      <c r="Z354" s="292">
        <f t="shared" si="285"/>
        <v>0</v>
      </c>
      <c r="AA354" s="292">
        <f t="shared" si="286"/>
        <v>0</v>
      </c>
      <c r="AB354" s="292">
        <f t="shared" si="287"/>
        <v>0</v>
      </c>
      <c r="AC354" s="292">
        <f t="shared" si="288"/>
        <v>0</v>
      </c>
      <c r="AD354" s="292">
        <f t="shared" si="289"/>
        <v>0</v>
      </c>
      <c r="AE354" s="292">
        <f t="shared" si="290"/>
        <v>0</v>
      </c>
      <c r="AF354" s="292">
        <f t="shared" si="267"/>
        <v>0</v>
      </c>
      <c r="AG354" s="292">
        <f t="shared" si="268"/>
        <v>0</v>
      </c>
      <c r="AH354" s="292">
        <f t="shared" si="291"/>
        <v>0</v>
      </c>
      <c r="AI354" s="292">
        <f t="shared" si="292"/>
        <v>0</v>
      </c>
      <c r="AJ354" s="292">
        <f t="shared" si="293"/>
        <v>0</v>
      </c>
      <c r="AK354" s="292">
        <f t="shared" si="294"/>
        <v>0</v>
      </c>
      <c r="AL354" s="292">
        <f t="shared" si="295"/>
        <v>0</v>
      </c>
      <c r="AM354" s="292">
        <f t="shared" si="296"/>
        <v>0</v>
      </c>
      <c r="AN354" s="292">
        <f t="shared" si="297"/>
        <v>0</v>
      </c>
      <c r="AO354" s="292">
        <f t="shared" si="298"/>
        <v>0</v>
      </c>
      <c r="AP354" s="292">
        <f t="shared" si="299"/>
        <v>0</v>
      </c>
      <c r="AQ354" s="292">
        <f t="shared" si="300"/>
        <v>0</v>
      </c>
      <c r="AR354" s="292">
        <f t="shared" si="301"/>
        <v>0</v>
      </c>
      <c r="AS354" s="292">
        <f t="shared" si="302"/>
        <v>0</v>
      </c>
      <c r="AT354" s="292">
        <f t="shared" si="303"/>
        <v>0</v>
      </c>
      <c r="AU354" s="292">
        <f t="shared" si="304"/>
        <v>0</v>
      </c>
      <c r="AV354" s="292">
        <f t="shared" si="305"/>
        <v>0</v>
      </c>
      <c r="AW354" s="292">
        <f t="shared" ca="1" si="306"/>
        <v>0</v>
      </c>
      <c r="AX354" s="292">
        <f t="shared" si="307"/>
        <v>0</v>
      </c>
      <c r="AY354" s="292">
        <f t="shared" si="308"/>
        <v>0</v>
      </c>
      <c r="AZ354" s="292">
        <f t="shared" ca="1" si="309"/>
        <v>0</v>
      </c>
      <c r="BA354" s="292">
        <f t="shared" si="310"/>
        <v>0</v>
      </c>
    </row>
    <row r="355" spans="1:53" s="289" customFormat="1" ht="16.5" customHeight="1">
      <c r="A355" s="63" t="str">
        <f t="array" ref="A355">IF(C355&lt;&gt;0,SUM(($C$11:C355&lt;&gt;0)*1),"")</f>
        <v/>
      </c>
      <c r="B355" s="253"/>
      <c r="C355" s="253"/>
      <c r="D355" s="253"/>
      <c r="E355" s="291"/>
      <c r="F355" s="65"/>
      <c r="G355" s="297"/>
      <c r="H355" s="297"/>
      <c r="I355" s="63" t="str">
        <f>A355</f>
        <v/>
      </c>
      <c r="J355" s="292">
        <f t="shared" si="271"/>
        <v>0</v>
      </c>
      <c r="K355" s="292">
        <f t="shared" si="272"/>
        <v>0</v>
      </c>
      <c r="L355" s="292">
        <f t="shared" si="273"/>
        <v>0</v>
      </c>
      <c r="M355" s="292">
        <f t="shared" si="274"/>
        <v>0</v>
      </c>
      <c r="N355" s="292">
        <f t="shared" si="265"/>
        <v>0</v>
      </c>
      <c r="O355" s="292">
        <f t="shared" si="266"/>
        <v>0</v>
      </c>
      <c r="P355" s="292">
        <f t="shared" si="275"/>
        <v>0</v>
      </c>
      <c r="Q355" s="292">
        <f t="shared" si="276"/>
        <v>0</v>
      </c>
      <c r="R355" s="292">
        <f t="shared" si="277"/>
        <v>0</v>
      </c>
      <c r="S355" s="292">
        <f t="shared" si="278"/>
        <v>0</v>
      </c>
      <c r="T355" s="292">
        <f t="shared" si="279"/>
        <v>0</v>
      </c>
      <c r="U355" s="292">
        <f t="shared" si="280"/>
        <v>0</v>
      </c>
      <c r="V355" s="292">
        <f t="shared" si="281"/>
        <v>0</v>
      </c>
      <c r="W355" s="292">
        <f t="shared" si="282"/>
        <v>0</v>
      </c>
      <c r="X355" s="292">
        <f t="shared" si="283"/>
        <v>0</v>
      </c>
      <c r="Y355" s="292">
        <f t="shared" si="284"/>
        <v>0</v>
      </c>
      <c r="Z355" s="292">
        <f t="shared" si="285"/>
        <v>0</v>
      </c>
      <c r="AA355" s="292">
        <f t="shared" si="286"/>
        <v>0</v>
      </c>
      <c r="AB355" s="292">
        <f t="shared" si="287"/>
        <v>0</v>
      </c>
      <c r="AC355" s="292">
        <f t="shared" si="288"/>
        <v>0</v>
      </c>
      <c r="AD355" s="292">
        <f t="shared" si="289"/>
        <v>0</v>
      </c>
      <c r="AE355" s="292">
        <f t="shared" si="290"/>
        <v>0</v>
      </c>
      <c r="AF355" s="292">
        <f t="shared" si="267"/>
        <v>0</v>
      </c>
      <c r="AG355" s="292">
        <f t="shared" si="268"/>
        <v>0</v>
      </c>
      <c r="AH355" s="292">
        <f t="shared" si="291"/>
        <v>0</v>
      </c>
      <c r="AI355" s="292">
        <f t="shared" si="292"/>
        <v>0</v>
      </c>
      <c r="AJ355" s="292">
        <f t="shared" si="293"/>
        <v>0</v>
      </c>
      <c r="AK355" s="292">
        <f t="shared" si="294"/>
        <v>0</v>
      </c>
      <c r="AL355" s="292">
        <f t="shared" si="295"/>
        <v>0</v>
      </c>
      <c r="AM355" s="292">
        <f t="shared" si="296"/>
        <v>0</v>
      </c>
      <c r="AN355" s="292">
        <f t="shared" si="297"/>
        <v>0</v>
      </c>
      <c r="AO355" s="292">
        <f t="shared" si="298"/>
        <v>0</v>
      </c>
      <c r="AP355" s="292">
        <f t="shared" si="299"/>
        <v>0</v>
      </c>
      <c r="AQ355" s="292">
        <f t="shared" si="300"/>
        <v>0</v>
      </c>
      <c r="AR355" s="292">
        <f t="shared" si="301"/>
        <v>0</v>
      </c>
      <c r="AS355" s="292">
        <f t="shared" si="302"/>
        <v>0</v>
      </c>
      <c r="AT355" s="292">
        <f t="shared" si="303"/>
        <v>0</v>
      </c>
      <c r="AU355" s="292">
        <f t="shared" si="304"/>
        <v>0</v>
      </c>
      <c r="AV355" s="292">
        <f t="shared" si="305"/>
        <v>0</v>
      </c>
      <c r="AW355" s="292">
        <f t="shared" si="306"/>
        <v>0</v>
      </c>
      <c r="AX355" s="292">
        <f t="shared" si="307"/>
        <v>0</v>
      </c>
      <c r="AY355" s="292">
        <f t="shared" si="308"/>
        <v>0</v>
      </c>
      <c r="AZ355" s="292">
        <f t="shared" si="309"/>
        <v>0</v>
      </c>
      <c r="BA355" s="292">
        <f t="shared" si="310"/>
        <v>0</v>
      </c>
    </row>
    <row r="356" spans="1:53" s="289" customFormat="1" ht="16.5" customHeight="1">
      <c r="A356" s="298"/>
      <c r="B356" s="253"/>
      <c r="C356" s="328"/>
      <c r="D356" s="253"/>
      <c r="E356" s="291" t="s">
        <v>260</v>
      </c>
      <c r="F356" s="298"/>
      <c r="G356" s="297"/>
      <c r="H356" s="297"/>
      <c r="I356" s="298"/>
      <c r="J356" s="298">
        <f t="shared" ref="J356:BA356" ca="1" si="311">SUM(J11:J355)</f>
        <v>0</v>
      </c>
      <c r="K356" s="298">
        <f t="shared" ca="1" si="311"/>
        <v>0</v>
      </c>
      <c r="L356" s="298">
        <f t="shared" ca="1" si="311"/>
        <v>0</v>
      </c>
      <c r="M356" s="298">
        <f t="shared" ca="1" si="311"/>
        <v>0</v>
      </c>
      <c r="N356" s="298">
        <f ca="1">SUM(N11:N355)</f>
        <v>0</v>
      </c>
      <c r="O356" s="298">
        <f ca="1">SUM(O11:O355)</f>
        <v>0</v>
      </c>
      <c r="P356" s="298">
        <f t="shared" ca="1" si="311"/>
        <v>0</v>
      </c>
      <c r="Q356" s="298">
        <f t="shared" ca="1" si="311"/>
        <v>0</v>
      </c>
      <c r="R356" s="298">
        <f t="shared" ca="1" si="311"/>
        <v>0</v>
      </c>
      <c r="S356" s="298">
        <f t="shared" ca="1" si="311"/>
        <v>0</v>
      </c>
      <c r="T356" s="298">
        <f t="shared" ca="1" si="311"/>
        <v>0</v>
      </c>
      <c r="U356" s="298">
        <f t="shared" ca="1" si="311"/>
        <v>0</v>
      </c>
      <c r="V356" s="298">
        <f t="shared" ca="1" si="311"/>
        <v>0</v>
      </c>
      <c r="W356" s="298">
        <f t="shared" ca="1" si="311"/>
        <v>0</v>
      </c>
      <c r="X356" s="298">
        <f t="shared" ca="1" si="311"/>
        <v>0</v>
      </c>
      <c r="Y356" s="298">
        <f t="shared" ca="1" si="311"/>
        <v>0</v>
      </c>
      <c r="Z356" s="298">
        <f t="shared" ca="1" si="311"/>
        <v>0</v>
      </c>
      <c r="AA356" s="298">
        <f t="shared" ca="1" si="311"/>
        <v>0</v>
      </c>
      <c r="AB356" s="298">
        <f t="shared" ca="1" si="311"/>
        <v>0</v>
      </c>
      <c r="AC356" s="298">
        <f t="shared" ca="1" si="311"/>
        <v>0</v>
      </c>
      <c r="AD356" s="298">
        <f t="shared" ca="1" si="311"/>
        <v>0</v>
      </c>
      <c r="AE356" s="298">
        <f t="shared" ca="1" si="311"/>
        <v>0</v>
      </c>
      <c r="AF356" s="298">
        <f ca="1">SUM(AF11:AF355)</f>
        <v>0</v>
      </c>
      <c r="AG356" s="298">
        <f ca="1">SUM(AG11:AG355)</f>
        <v>0</v>
      </c>
      <c r="AH356" s="298">
        <f t="shared" ca="1" si="311"/>
        <v>0</v>
      </c>
      <c r="AI356" s="298">
        <f t="shared" ca="1" si="311"/>
        <v>0</v>
      </c>
      <c r="AJ356" s="298">
        <f t="shared" ca="1" si="311"/>
        <v>0</v>
      </c>
      <c r="AK356" s="298">
        <f t="shared" ca="1" si="311"/>
        <v>0</v>
      </c>
      <c r="AL356" s="298">
        <f t="shared" ca="1" si="311"/>
        <v>304750266</v>
      </c>
      <c r="AM356" s="298">
        <f t="shared" ca="1" si="311"/>
        <v>0</v>
      </c>
      <c r="AN356" s="298">
        <f t="shared" ca="1" si="311"/>
        <v>0</v>
      </c>
      <c r="AO356" s="298">
        <f t="shared" ca="1" si="311"/>
        <v>0</v>
      </c>
      <c r="AP356" s="298">
        <f t="shared" ca="1" si="311"/>
        <v>0</v>
      </c>
      <c r="AQ356" s="298">
        <f t="shared" ca="1" si="311"/>
        <v>0</v>
      </c>
      <c r="AR356" s="298">
        <f t="shared" ca="1" si="311"/>
        <v>0</v>
      </c>
      <c r="AS356" s="298">
        <f t="shared" ca="1" si="311"/>
        <v>0</v>
      </c>
      <c r="AT356" s="298">
        <f t="shared" ca="1" si="311"/>
        <v>0</v>
      </c>
      <c r="AU356" s="298">
        <f t="shared" ca="1" si="311"/>
        <v>0</v>
      </c>
      <c r="AV356" s="298">
        <f t="shared" ca="1" si="311"/>
        <v>0</v>
      </c>
      <c r="AW356" s="298">
        <f t="shared" ca="1" si="311"/>
        <v>0</v>
      </c>
      <c r="AX356" s="298">
        <f t="shared" ca="1" si="311"/>
        <v>0</v>
      </c>
      <c r="AY356" s="298">
        <f t="shared" ca="1" si="311"/>
        <v>0</v>
      </c>
      <c r="AZ356" s="298">
        <f t="shared" ca="1" si="311"/>
        <v>0</v>
      </c>
      <c r="BA356" s="298">
        <f t="shared" ca="1" si="311"/>
        <v>304750266</v>
      </c>
    </row>
    <row r="357" spans="1:53" s="289" customFormat="1" ht="16.5" customHeight="1">
      <c r="A357" s="299"/>
      <c r="B357" s="299"/>
      <c r="C357" s="299"/>
      <c r="D357" s="299"/>
      <c r="E357" s="300" t="s">
        <v>301</v>
      </c>
      <c r="F357" s="299"/>
      <c r="G357" s="301"/>
      <c r="H357" s="301"/>
      <c r="I357" s="299"/>
      <c r="J357" s="321">
        <f ca="1">MAX(J10+J356-K10-K356,0)</f>
        <v>481905579</v>
      </c>
      <c r="K357" s="321">
        <f ca="1">MAX(K10+K356-J10-J356,0)</f>
        <v>0</v>
      </c>
      <c r="L357" s="321">
        <f ca="1">MAX(L10+L356-M10-M356,0)</f>
        <v>1518304</v>
      </c>
      <c r="M357" s="321">
        <f ca="1">MAX(M10+M356-L10-L356,0)</f>
        <v>0</v>
      </c>
      <c r="N357" s="321">
        <f ca="1">MAX(N10+N356-O10-O356,0)</f>
        <v>0</v>
      </c>
      <c r="O357" s="321">
        <f ca="1">MAX(O10+O356-N10-N356,0)</f>
        <v>0</v>
      </c>
      <c r="P357" s="321">
        <f ca="1">MAX(P10+P356-Q10-Q356,0)</f>
        <v>62811209</v>
      </c>
      <c r="Q357" s="321">
        <f ca="1">MAX(Q10+Q356-P10-P356,0)</f>
        <v>0</v>
      </c>
      <c r="R357" s="321">
        <f ca="1">MAX(R10+R356-S10-S356,0)</f>
        <v>1219554047</v>
      </c>
      <c r="S357" s="321">
        <f ca="1">MAX(S10+S356-R10-R356,0)</f>
        <v>0</v>
      </c>
      <c r="T357" s="321">
        <f ca="1">MAX(T10+T356-U10-U356,0)</f>
        <v>31348179853</v>
      </c>
      <c r="U357" s="321">
        <f ca="1">MAX(U10+U356-T10-T356,0)</f>
        <v>0</v>
      </c>
      <c r="V357" s="321">
        <f ca="1">MAX(V10+V356-W10-W356,0)</f>
        <v>0</v>
      </c>
      <c r="W357" s="321">
        <f ca="1">MAX(W10+W356-V10-V356,0)</f>
        <v>1597487431</v>
      </c>
      <c r="X357" s="321">
        <f ca="1">MAX(X10+X356-Y10-Y356,0)</f>
        <v>0</v>
      </c>
      <c r="Y357" s="321">
        <f ca="1">MAX(Y10+Y356-X10-X356,0)</f>
        <v>0</v>
      </c>
      <c r="Z357" s="321">
        <f ca="1">MAX(Z10+Z356-AA10-AA356,0)</f>
        <v>0</v>
      </c>
      <c r="AA357" s="321">
        <f ca="1">MAX(AA10+AA356-Z10-Z356,0)</f>
        <v>0</v>
      </c>
      <c r="AB357" s="321">
        <f ca="1">MAX(AB10+AB356-AC10-AC356,0)</f>
        <v>0</v>
      </c>
      <c r="AC357" s="321">
        <f ca="1">MAX(AC10+AC356-AB10-AB356,0)</f>
        <v>7000000000</v>
      </c>
      <c r="AD357" s="321">
        <f ca="1">MAX(AD10+AD356-AE10-AE356,0)</f>
        <v>0</v>
      </c>
      <c r="AE357" s="321">
        <f ca="1">MAX(AE10+AE356-AD10-AD356,0)</f>
        <v>20000000000</v>
      </c>
      <c r="AF357" s="321">
        <f ca="1">MAX(AF10+AF356-AG10-AG356,0)</f>
        <v>0</v>
      </c>
      <c r="AG357" s="321">
        <f ca="1">MAX(AG10+AG356-AF10-AF356,0)</f>
        <v>1961520000</v>
      </c>
      <c r="AH357" s="321">
        <f ca="1">MAX(AH10+AH356-AI10-AI356,0)</f>
        <v>0</v>
      </c>
      <c r="AI357" s="321">
        <f ca="1">MAX(AI10+AI356-AH10-AH356,0)</f>
        <v>4000000000</v>
      </c>
      <c r="AJ357" s="321">
        <f ca="1">MAX(AJ10+AJ356-AK10-AK356,0)</f>
        <v>583066238</v>
      </c>
      <c r="AK357" s="321">
        <f ca="1">MAX(AK10+AK356-AJ10-AJ356,0)</f>
        <v>0</v>
      </c>
      <c r="AL357" s="321">
        <f ca="1">MAX(AL10+AL356-AM10-AM356,0)</f>
        <v>1007970500</v>
      </c>
      <c r="AM357" s="321">
        <f ca="1">MAX(AM10+AM356-AL10-AL356,0)</f>
        <v>0</v>
      </c>
      <c r="AN357" s="321">
        <f ca="1">MAX(AN10+AN356-AO10-AO356,0)</f>
        <v>0</v>
      </c>
      <c r="AO357" s="321">
        <f ca="1">MAX(AO10+AO356-AN10-AN356,0)</f>
        <v>0</v>
      </c>
      <c r="AP357" s="321">
        <f ca="1">MAX(AP10+AP356-AQ10-AQ356,0)</f>
        <v>0</v>
      </c>
      <c r="AQ357" s="321">
        <f ca="1">MAX(AQ10+AQ356-AP10-AP356,0)</f>
        <v>0</v>
      </c>
      <c r="AR357" s="321">
        <f ca="1">MAX(AR10+AR356-AS10-AS356,0)</f>
        <v>0</v>
      </c>
      <c r="AS357" s="321">
        <f ca="1">MAX(AS10+AS356-AR10-AR356,0)</f>
        <v>0</v>
      </c>
      <c r="AT357" s="321">
        <f ca="1">MAX(AT10+AT356-AU10-AU356,0)</f>
        <v>0</v>
      </c>
      <c r="AU357" s="321">
        <f ca="1">MAX(AU10+AU356-AT10-AT356,0)</f>
        <v>0</v>
      </c>
      <c r="AV357" s="321">
        <f ca="1">MAX(AV10+AV356-AW10-AW356,0)</f>
        <v>0</v>
      </c>
      <c r="AW357" s="321">
        <f ca="1">MAX(AW10+AW356-AV10-AV356,0)</f>
        <v>0</v>
      </c>
      <c r="AX357" s="321">
        <f ca="1">MAX(AX10+AX356-AY10-AY356,0)</f>
        <v>0</v>
      </c>
      <c r="AY357" s="321">
        <f ca="1">MAX(AY10+AY356-AX10-AX356,0)</f>
        <v>0</v>
      </c>
      <c r="AZ357" s="321">
        <f ca="1">MAX(AZ10+AZ356-BA10-BA356,0)</f>
        <v>0</v>
      </c>
      <c r="BA357" s="321">
        <f ca="1">MAX(BA10+BA356-AZ10-AZ356,0)</f>
        <v>357035874</v>
      </c>
    </row>
    <row r="358" spans="1:53" s="289" customFormat="1" ht="16.5" customHeight="1">
      <c r="A358" s="303"/>
      <c r="B358" s="303"/>
      <c r="C358" s="304"/>
      <c r="D358" s="303"/>
      <c r="E358" s="305" t="s">
        <v>302</v>
      </c>
      <c r="F358" s="303"/>
      <c r="G358" s="306"/>
      <c r="H358" s="306"/>
      <c r="I358" s="303"/>
      <c r="J358" s="303">
        <f ca="1">J356+'SC-III'!J245</f>
        <v>4472000000</v>
      </c>
      <c r="K358" s="303">
        <f ca="1">K356+'SC-III'!K245</f>
        <v>5332259831</v>
      </c>
      <c r="L358" s="303">
        <f ca="1">L356+'SC-III'!L245</f>
        <v>6620715947</v>
      </c>
      <c r="M358" s="303">
        <f ca="1">M356+'SC-III'!M245</f>
        <v>8313972335</v>
      </c>
      <c r="N358" s="303">
        <f ca="1">N356+'SC-III'!N245</f>
        <v>1962840000</v>
      </c>
      <c r="O358" s="303">
        <f ca="1">O356+'SC-III'!O245</f>
        <v>1962840000</v>
      </c>
      <c r="P358" s="303">
        <f ca="1">P356+'SC-III'!P245</f>
        <v>62811209</v>
      </c>
      <c r="Q358" s="303">
        <f ca="1">Q356+'SC-III'!Q245</f>
        <v>0</v>
      </c>
      <c r="R358" s="303">
        <f ca="1">R356+'SC-III'!R245</f>
        <v>1219554047</v>
      </c>
      <c r="S358" s="303">
        <f ca="1">S356+'SC-III'!S245</f>
        <v>0</v>
      </c>
      <c r="T358" s="303">
        <f ca="1">T356+'SC-III'!T245</f>
        <v>8748192551</v>
      </c>
      <c r="U358" s="303">
        <f ca="1">U356+'SC-III'!U245</f>
        <v>0</v>
      </c>
      <c r="V358" s="303">
        <f ca="1">V356+'SC-III'!V245</f>
        <v>2854957314</v>
      </c>
      <c r="W358" s="303">
        <f ca="1">W356+'SC-III'!W245</f>
        <v>8762476509</v>
      </c>
      <c r="X358" s="303">
        <f ca="1">X356+'SC-III'!X245</f>
        <v>0</v>
      </c>
      <c r="Y358" s="303">
        <f ca="1">Y356+'SC-III'!Y245</f>
        <v>0</v>
      </c>
      <c r="Z358" s="303">
        <f ca="1">Z356+'SC-III'!Z245</f>
        <v>1500000</v>
      </c>
      <c r="AA358" s="303">
        <f ca="1">AA356+'SC-III'!AA245</f>
        <v>1500000</v>
      </c>
      <c r="AB358" s="303">
        <f ca="1">AB356+'SC-III'!AB245</f>
        <v>2405000000</v>
      </c>
      <c r="AC358" s="303">
        <f ca="1">AC356+'SC-III'!AC245</f>
        <v>4405000000</v>
      </c>
      <c r="AD358" s="303">
        <f ca="1">AD356+'SC-III'!AD245</f>
        <v>0</v>
      </c>
      <c r="AE358" s="303">
        <f ca="1">AE356+'SC-III'!AE245</f>
        <v>0</v>
      </c>
      <c r="AF358" s="303">
        <f ca="1">AF356+'SC-III'!AF245</f>
        <v>1982640000</v>
      </c>
      <c r="AG358" s="303">
        <f ca="1">AG356+'SC-III'!AG245</f>
        <v>1961520000</v>
      </c>
      <c r="AH358" s="303">
        <f ca="1">AH356+'SC-III'!AH245</f>
        <v>0</v>
      </c>
      <c r="AI358" s="303">
        <f ca="1">AI356+'SC-III'!AI245</f>
        <v>0</v>
      </c>
      <c r="AJ358" s="303">
        <f ca="1">AJ356+'SC-III'!AJ245</f>
        <v>359476733</v>
      </c>
      <c r="AK358" s="303">
        <f ca="1">AK356+'SC-III'!AK245</f>
        <v>0</v>
      </c>
      <c r="AL358" s="303">
        <f ca="1">AL356+'SC-III'!AL245</f>
        <v>1007970500</v>
      </c>
      <c r="AM358" s="303">
        <f ca="1">AM356+'SC-III'!AM245</f>
        <v>359476733</v>
      </c>
      <c r="AN358" s="303">
        <f ca="1">AN356+'SC-III'!AN245</f>
        <v>19995947</v>
      </c>
      <c r="AO358" s="303">
        <f ca="1">AO356+'SC-III'!AO245</f>
        <v>19995947</v>
      </c>
      <c r="AP358" s="303">
        <f ca="1">AP356+'SC-III'!AP245</f>
        <v>1005486220</v>
      </c>
      <c r="AQ358" s="303">
        <f ca="1">AQ356+'SC-III'!AQ245</f>
        <v>1005486220</v>
      </c>
      <c r="AR358" s="303">
        <f ca="1">AR356+'SC-III'!AR245</f>
        <v>670930573</v>
      </c>
      <c r="AS358" s="303">
        <f ca="1">AS356+'SC-III'!AS245</f>
        <v>670930573</v>
      </c>
      <c r="AT358" s="303">
        <f ca="1">AT356+'SC-III'!AT245</f>
        <v>0</v>
      </c>
      <c r="AU358" s="303">
        <f ca="1">AU356+'SC-III'!AU245</f>
        <v>0</v>
      </c>
      <c r="AV358" s="303">
        <f ca="1">AV356+'SC-III'!AV245</f>
        <v>0</v>
      </c>
      <c r="AW358" s="303">
        <f ca="1">AW356+'SC-III'!AW245</f>
        <v>0</v>
      </c>
      <c r="AX358" s="303">
        <f ca="1">AX356+'SC-III'!AX245</f>
        <v>0</v>
      </c>
      <c r="AY358" s="303">
        <f ca="1">AY356+'SC-III'!AY245</f>
        <v>0</v>
      </c>
      <c r="AZ358" s="303">
        <f ca="1">AZ356+'SC-III'!AZ245</f>
        <v>670930573</v>
      </c>
      <c r="BA358" s="303">
        <f ca="1">BA356+'SC-III'!BA245</f>
        <v>1027966447</v>
      </c>
    </row>
    <row r="359" spans="1:53" ht="12" customHeight="1">
      <c r="B359" s="308"/>
      <c r="C359" s="309"/>
      <c r="D359" s="309"/>
      <c r="E359" s="309"/>
      <c r="F359" s="309"/>
      <c r="G359" s="310"/>
      <c r="H359" s="310"/>
      <c r="I359" s="309"/>
      <c r="J359" s="309"/>
      <c r="K359" s="309"/>
      <c r="AB359" s="309"/>
      <c r="AC359" s="309"/>
      <c r="AD359" s="309"/>
      <c r="AE359" s="310"/>
      <c r="AF359" s="309"/>
      <c r="AG359" s="310"/>
      <c r="AH359" s="310"/>
      <c r="AI359" s="310"/>
      <c r="AJ359" s="310"/>
      <c r="AK359" s="326"/>
      <c r="AL359" s="309"/>
      <c r="AM359" s="309"/>
      <c r="AN359" s="309"/>
      <c r="AO359" s="309"/>
      <c r="AR359" s="309"/>
      <c r="AS359" s="309"/>
      <c r="AT359" s="309"/>
      <c r="AU359" s="309"/>
      <c r="AV359" s="309"/>
      <c r="AW359" s="309"/>
      <c r="AZ359" s="309"/>
      <c r="BA359" s="309"/>
    </row>
    <row r="360" spans="1:53" ht="12" customHeight="1">
      <c r="B360" s="308"/>
      <c r="C360" s="309"/>
      <c r="D360" s="309"/>
      <c r="E360" s="309"/>
      <c r="F360" s="309"/>
      <c r="G360" s="310"/>
      <c r="H360" s="310"/>
      <c r="I360" s="309"/>
      <c r="J360" s="309"/>
      <c r="K360" s="309"/>
      <c r="AB360" s="309"/>
      <c r="AC360" s="309"/>
      <c r="AD360" s="309"/>
      <c r="AE360" s="310"/>
      <c r="AF360" s="309"/>
      <c r="AG360" s="310"/>
      <c r="AH360" s="310"/>
      <c r="AI360" s="310"/>
      <c r="AJ360" s="310"/>
      <c r="AK360" s="326"/>
      <c r="AL360" s="312" t="s">
        <v>351</v>
      </c>
      <c r="AM360" s="313"/>
      <c r="AN360" s="313"/>
      <c r="AO360" s="313"/>
      <c r="AP360" s="313"/>
      <c r="AQ360" s="313"/>
      <c r="AR360" s="314"/>
      <c r="AS360" s="314"/>
      <c r="AT360" s="313"/>
    </row>
    <row r="361" spans="1:53" ht="12" customHeight="1">
      <c r="J361" s="311"/>
      <c r="K361" s="311"/>
      <c r="L361" s="311"/>
      <c r="M361" s="329"/>
      <c r="N361" s="311"/>
      <c r="O361" s="329"/>
      <c r="P361" s="329"/>
      <c r="Q361" s="329"/>
      <c r="R361" s="311"/>
      <c r="AE361" s="268"/>
      <c r="AG361" s="268"/>
      <c r="AH361" s="268"/>
      <c r="AI361" s="268"/>
      <c r="AJ361" s="268"/>
      <c r="AK361" s="330"/>
      <c r="AL361" s="315" t="s">
        <v>332</v>
      </c>
      <c r="AM361" s="313"/>
      <c r="AN361" s="313"/>
      <c r="AO361" s="313"/>
      <c r="AP361" s="313"/>
      <c r="AQ361" s="313"/>
      <c r="AR361" s="314"/>
      <c r="AS361" s="314"/>
      <c r="AT361" s="313"/>
    </row>
    <row r="362" spans="1:53" s="274" customFormat="1" ht="12" customHeight="1">
      <c r="F362" s="331"/>
      <c r="G362" s="332"/>
      <c r="H362" s="332"/>
      <c r="R362" s="333"/>
      <c r="Z362" s="267"/>
      <c r="AA362" s="267"/>
      <c r="AE362" s="332"/>
      <c r="AG362" s="332"/>
      <c r="AH362" s="332"/>
      <c r="AI362" s="332"/>
      <c r="AJ362" s="332"/>
      <c r="AK362" s="334"/>
      <c r="AL362" s="313"/>
      <c r="AM362" s="313"/>
      <c r="AN362" s="313"/>
      <c r="AO362" s="313"/>
      <c r="AP362" s="313"/>
      <c r="AQ362" s="313"/>
      <c r="AR362" s="313"/>
      <c r="AS362" s="313"/>
      <c r="AT362" s="314"/>
      <c r="AU362" s="267"/>
      <c r="AV362" s="267"/>
      <c r="AW362" s="267"/>
      <c r="AX362" s="267"/>
      <c r="AY362" s="267"/>
      <c r="AZ362" s="267"/>
      <c r="BA362" s="267"/>
    </row>
    <row r="363" spans="1:53" ht="12" customHeight="1">
      <c r="L363" s="289"/>
      <c r="N363" s="289"/>
      <c r="AE363" s="268"/>
      <c r="AG363" s="268"/>
      <c r="AH363" s="268"/>
      <c r="AI363" s="268"/>
      <c r="AJ363" s="268"/>
      <c r="AK363" s="330"/>
      <c r="AL363" s="313"/>
      <c r="AM363" s="313"/>
      <c r="AN363" s="313"/>
      <c r="AO363" s="313"/>
      <c r="AP363" s="313"/>
      <c r="AQ363" s="313"/>
      <c r="AR363" s="313"/>
      <c r="AS363" s="313"/>
      <c r="AT363" s="314"/>
      <c r="AZ363" s="316" t="str">
        <f>"Ngày 31 tháng 12 năm 2015 "</f>
        <v xml:space="preserve">Ngày 31 tháng 12 năm 2015 </v>
      </c>
    </row>
    <row r="364" spans="1:53">
      <c r="J364" s="289"/>
      <c r="K364" s="289"/>
      <c r="AL364" s="313"/>
      <c r="AM364" s="317" t="s">
        <v>14</v>
      </c>
      <c r="AN364" s="313"/>
      <c r="AO364" s="313"/>
      <c r="AP364" s="313"/>
      <c r="AQ364" s="313"/>
      <c r="AR364" s="313"/>
      <c r="AS364" s="318" t="s">
        <v>15</v>
      </c>
      <c r="AT364" s="314"/>
      <c r="AZ364" s="317" t="s">
        <v>205</v>
      </c>
    </row>
    <row r="365" spans="1:53">
      <c r="T365" s="289"/>
      <c r="AL365" s="313"/>
      <c r="AM365" s="319" t="s">
        <v>16</v>
      </c>
      <c r="AN365" s="313"/>
      <c r="AO365" s="313"/>
      <c r="AP365" s="313"/>
      <c r="AQ365" s="313"/>
      <c r="AR365" s="313"/>
      <c r="AS365" s="320" t="s">
        <v>16</v>
      </c>
      <c r="AT365" s="314"/>
      <c r="AZ365" s="319" t="s">
        <v>240</v>
      </c>
    </row>
    <row r="366" spans="1:53">
      <c r="F366" s="289"/>
      <c r="T366" s="289"/>
      <c r="AL366" s="313"/>
      <c r="AM366" s="313"/>
      <c r="AN366" s="313"/>
      <c r="AO366" s="313"/>
      <c r="AP366" s="313"/>
      <c r="AQ366" s="313"/>
      <c r="AR366" s="313"/>
      <c r="AS366" s="313"/>
      <c r="AT366" s="314"/>
      <c r="AZ366" s="313"/>
    </row>
    <row r="367" spans="1:53">
      <c r="F367" s="289"/>
      <c r="T367" s="289"/>
      <c r="AZ367" s="313"/>
    </row>
    <row r="368" spans="1:53">
      <c r="F368" s="289"/>
      <c r="G368" s="289"/>
      <c r="T368" s="289"/>
    </row>
    <row r="369" spans="5:20">
      <c r="F369" s="289"/>
      <c r="T369" s="289"/>
    </row>
    <row r="370" spans="5:20">
      <c r="F370" s="289"/>
      <c r="T370" s="289"/>
    </row>
    <row r="371" spans="5:20">
      <c r="F371" s="289"/>
      <c r="M371" s="311"/>
      <c r="O371" s="311"/>
      <c r="P371" s="311"/>
      <c r="Q371" s="311"/>
      <c r="R371" s="311"/>
      <c r="T371" s="289"/>
    </row>
    <row r="372" spans="5:20">
      <c r="E372" s="322"/>
      <c r="F372" s="289"/>
      <c r="M372" s="311"/>
      <c r="O372" s="311"/>
      <c r="P372" s="311"/>
      <c r="Q372" s="311"/>
      <c r="R372" s="311"/>
    </row>
    <row r="373" spans="5:20">
      <c r="F373" s="311"/>
      <c r="M373" s="311"/>
      <c r="O373" s="311"/>
      <c r="P373" s="311"/>
      <c r="Q373" s="311"/>
      <c r="R373" s="311"/>
    </row>
    <row r="374" spans="5:20">
      <c r="F374" s="311"/>
      <c r="M374" s="311"/>
      <c r="O374" s="311"/>
      <c r="P374" s="311"/>
      <c r="Q374" s="311"/>
      <c r="R374" s="311"/>
    </row>
    <row r="375" spans="5:20">
      <c r="E375" s="311"/>
      <c r="F375" s="311"/>
      <c r="M375" s="311"/>
      <c r="O375" s="311"/>
      <c r="P375" s="311"/>
      <c r="Q375" s="311"/>
      <c r="R375" s="311"/>
    </row>
    <row r="376" spans="5:20">
      <c r="E376" s="311"/>
      <c r="F376" s="311"/>
      <c r="M376" s="311"/>
      <c r="O376" s="311"/>
      <c r="P376" s="311"/>
      <c r="Q376" s="311"/>
      <c r="R376" s="311"/>
    </row>
    <row r="377" spans="5:20">
      <c r="E377" s="311"/>
      <c r="F377" s="311"/>
      <c r="M377" s="311"/>
      <c r="O377" s="311"/>
      <c r="P377" s="311"/>
      <c r="Q377" s="311"/>
      <c r="R377" s="311"/>
    </row>
    <row r="378" spans="5:20">
      <c r="E378" s="311"/>
      <c r="F378" s="311"/>
      <c r="M378" s="311"/>
      <c r="O378" s="311"/>
      <c r="P378" s="311"/>
      <c r="Q378" s="311"/>
      <c r="R378" s="311"/>
    </row>
    <row r="379" spans="5:20">
      <c r="E379" s="311"/>
      <c r="F379" s="311"/>
      <c r="M379" s="311"/>
      <c r="O379" s="311"/>
      <c r="P379" s="311"/>
      <c r="Q379" s="311"/>
      <c r="R379" s="311"/>
    </row>
    <row r="380" spans="5:20">
      <c r="E380" s="311"/>
      <c r="F380" s="311"/>
      <c r="M380" s="311"/>
      <c r="O380" s="311"/>
      <c r="P380" s="311"/>
      <c r="Q380" s="311"/>
      <c r="R380" s="311"/>
    </row>
    <row r="381" spans="5:20">
      <c r="F381" s="311"/>
      <c r="M381" s="311"/>
      <c r="O381" s="311"/>
      <c r="P381" s="311"/>
      <c r="Q381" s="311"/>
      <c r="R381" s="311"/>
    </row>
    <row r="382" spans="5:20">
      <c r="F382" s="311"/>
      <c r="M382" s="311"/>
      <c r="O382" s="311"/>
      <c r="P382" s="311"/>
      <c r="Q382" s="311"/>
      <c r="R382" s="311"/>
    </row>
    <row r="383" spans="5:20">
      <c r="F383" s="311"/>
      <c r="M383" s="311"/>
      <c r="O383" s="311"/>
      <c r="P383" s="311"/>
      <c r="Q383" s="311"/>
      <c r="R383" s="311"/>
    </row>
    <row r="384" spans="5:20">
      <c r="F384" s="311"/>
      <c r="M384" s="311"/>
      <c r="O384" s="311"/>
      <c r="P384" s="311"/>
      <c r="Q384" s="311"/>
      <c r="R384" s="311"/>
    </row>
    <row r="385" spans="6:18">
      <c r="F385" s="311"/>
      <c r="M385" s="311"/>
      <c r="O385" s="311"/>
      <c r="P385" s="311"/>
      <c r="Q385" s="311"/>
      <c r="R385" s="311"/>
    </row>
    <row r="386" spans="6:18">
      <c r="F386" s="311"/>
      <c r="M386" s="311"/>
      <c r="O386" s="311"/>
      <c r="P386" s="311"/>
      <c r="Q386" s="311"/>
      <c r="R386" s="311"/>
    </row>
    <row r="387" spans="6:18">
      <c r="M387" s="311"/>
      <c r="O387" s="311"/>
      <c r="P387" s="311"/>
      <c r="Q387" s="311"/>
      <c r="R387" s="311"/>
    </row>
    <row r="389" spans="6:18">
      <c r="M389" s="311"/>
      <c r="O389" s="311"/>
      <c r="P389" s="311"/>
      <c r="Q389" s="311"/>
      <c r="R389" s="311"/>
    </row>
    <row r="390" spans="6:18">
      <c r="M390" s="311"/>
      <c r="O390" s="311"/>
      <c r="P390" s="311"/>
      <c r="Q390" s="311"/>
      <c r="R390" s="311"/>
    </row>
    <row r="391" spans="6:18">
      <c r="M391" s="311"/>
      <c r="O391" s="311"/>
      <c r="P391" s="311"/>
      <c r="Q391" s="311"/>
      <c r="R391" s="311"/>
    </row>
    <row r="392" spans="6:18">
      <c r="M392" s="311"/>
      <c r="O392" s="311"/>
      <c r="P392" s="311"/>
      <c r="Q392" s="311"/>
      <c r="R392" s="311"/>
    </row>
    <row r="393" spans="6:18">
      <c r="M393" s="311"/>
      <c r="O393" s="311"/>
      <c r="P393" s="311"/>
      <c r="Q393" s="311"/>
      <c r="R393" s="311"/>
    </row>
    <row r="394" spans="6:18">
      <c r="M394" s="311"/>
      <c r="O394" s="311"/>
      <c r="P394" s="311"/>
      <c r="Q394" s="311"/>
      <c r="R394" s="311"/>
    </row>
    <row r="407" spans="13:17">
      <c r="M407" s="311"/>
      <c r="O407" s="311"/>
      <c r="P407" s="311"/>
      <c r="Q407" s="311"/>
    </row>
    <row r="424" spans="13:18">
      <c r="R424" s="311"/>
    </row>
    <row r="425" spans="13:18">
      <c r="R425" s="311"/>
    </row>
    <row r="426" spans="13:18">
      <c r="M426" s="311"/>
      <c r="O426" s="311"/>
      <c r="P426" s="311"/>
      <c r="Q426" s="311"/>
      <c r="R426" s="311"/>
    </row>
    <row r="427" spans="13:18">
      <c r="M427" s="311"/>
      <c r="O427" s="311"/>
      <c r="P427" s="311"/>
      <c r="Q427" s="311"/>
      <c r="R427" s="311"/>
    </row>
    <row r="428" spans="13:18">
      <c r="M428" s="311"/>
      <c r="O428" s="311"/>
      <c r="P428" s="311"/>
      <c r="Q428" s="311"/>
    </row>
    <row r="429" spans="13:18">
      <c r="M429" s="311"/>
      <c r="O429" s="311"/>
      <c r="P429" s="311"/>
      <c r="Q429" s="311"/>
    </row>
    <row r="431" spans="13:18">
      <c r="M431" s="311"/>
      <c r="O431" s="311"/>
      <c r="P431" s="311"/>
      <c r="Q431" s="311"/>
      <c r="R431" s="311"/>
    </row>
    <row r="432" spans="13:18">
      <c r="M432" s="311"/>
      <c r="O432" s="311"/>
      <c r="P432" s="311"/>
      <c r="Q432" s="311"/>
      <c r="R432" s="311"/>
    </row>
    <row r="439" spans="13:18">
      <c r="M439" s="311"/>
      <c r="O439" s="311"/>
      <c r="P439" s="311"/>
      <c r="Q439" s="311"/>
      <c r="R439" s="311"/>
    </row>
    <row r="440" spans="13:18">
      <c r="M440" s="311"/>
      <c r="O440" s="311"/>
      <c r="P440" s="311"/>
      <c r="Q440" s="311"/>
      <c r="R440" s="311"/>
    </row>
    <row r="441" spans="13:18">
      <c r="M441" s="311"/>
      <c r="O441" s="311"/>
      <c r="P441" s="311"/>
      <c r="Q441" s="311"/>
      <c r="R441" s="311"/>
    </row>
    <row r="445" spans="13:18">
      <c r="M445" s="311"/>
      <c r="O445" s="311"/>
      <c r="P445" s="311"/>
      <c r="Q445" s="311"/>
      <c r="R445" s="311"/>
    </row>
    <row r="446" spans="13:18">
      <c r="M446" s="311"/>
      <c r="O446" s="311"/>
      <c r="P446" s="311"/>
      <c r="Q446" s="311"/>
      <c r="R446" s="311"/>
    </row>
    <row r="447" spans="13:18">
      <c r="M447" s="311"/>
      <c r="O447" s="311"/>
      <c r="P447" s="311"/>
      <c r="Q447" s="311"/>
      <c r="R447" s="311"/>
    </row>
    <row r="448" spans="13:18">
      <c r="M448" s="311"/>
      <c r="O448" s="311"/>
      <c r="P448" s="311"/>
      <c r="Q448" s="311"/>
      <c r="R448" s="311"/>
    </row>
    <row r="449" spans="13:18">
      <c r="M449" s="311"/>
      <c r="O449" s="311"/>
      <c r="P449" s="311"/>
      <c r="Q449" s="311"/>
      <c r="R449" s="311"/>
    </row>
    <row r="450" spans="13:18">
      <c r="M450" s="311"/>
      <c r="O450" s="311"/>
      <c r="P450" s="311"/>
      <c r="Q450" s="311"/>
      <c r="R450" s="311"/>
    </row>
    <row r="451" spans="13:18">
      <c r="M451" s="311"/>
      <c r="O451" s="311"/>
      <c r="P451" s="311"/>
      <c r="Q451" s="311"/>
      <c r="R451" s="311"/>
    </row>
    <row r="452" spans="13:18">
      <c r="M452" s="311"/>
      <c r="O452" s="311"/>
      <c r="P452" s="311"/>
      <c r="Q452" s="311"/>
      <c r="R452" s="311"/>
    </row>
    <row r="453" spans="13:18">
      <c r="M453" s="311"/>
      <c r="O453" s="311"/>
      <c r="P453" s="311"/>
      <c r="Q453" s="311"/>
      <c r="R453" s="311"/>
    </row>
    <row r="454" spans="13:18">
      <c r="M454" s="311"/>
      <c r="O454" s="311"/>
      <c r="P454" s="311"/>
      <c r="Q454" s="311"/>
      <c r="R454" s="311"/>
    </row>
    <row r="455" spans="13:18">
      <c r="M455" s="311"/>
      <c r="O455" s="311"/>
      <c r="P455" s="311"/>
      <c r="Q455" s="311"/>
      <c r="R455" s="311"/>
    </row>
    <row r="456" spans="13:18">
      <c r="M456" s="311"/>
      <c r="O456" s="311"/>
      <c r="P456" s="311"/>
      <c r="Q456" s="311"/>
      <c r="R456" s="311"/>
    </row>
    <row r="457" spans="13:18">
      <c r="M457" s="311"/>
      <c r="O457" s="311"/>
      <c r="P457" s="311"/>
      <c r="Q457" s="311"/>
      <c r="R457" s="311"/>
    </row>
    <row r="458" spans="13:18">
      <c r="M458" s="311"/>
      <c r="O458" s="311"/>
      <c r="P458" s="311"/>
      <c r="Q458" s="311"/>
      <c r="R458" s="311"/>
    </row>
    <row r="459" spans="13:18">
      <c r="M459" s="311"/>
      <c r="O459" s="311"/>
      <c r="P459" s="311"/>
      <c r="Q459" s="311"/>
      <c r="R459" s="311"/>
    </row>
    <row r="460" spans="13:18">
      <c r="M460" s="311"/>
      <c r="O460" s="311"/>
      <c r="P460" s="311"/>
      <c r="Q460" s="311"/>
      <c r="R460" s="311"/>
    </row>
    <row r="461" spans="13:18">
      <c r="M461" s="311"/>
      <c r="O461" s="311"/>
      <c r="P461" s="311"/>
      <c r="Q461" s="311"/>
      <c r="R461" s="311"/>
    </row>
    <row r="462" spans="13:18">
      <c r="M462" s="311"/>
      <c r="O462" s="311"/>
      <c r="P462" s="311"/>
      <c r="Q462" s="311"/>
      <c r="R462" s="311"/>
    </row>
    <row r="463" spans="13:18">
      <c r="M463" s="311"/>
      <c r="O463" s="311"/>
      <c r="P463" s="311"/>
      <c r="Q463" s="311"/>
      <c r="R463" s="311"/>
    </row>
    <row r="464" spans="13:18">
      <c r="M464" s="311"/>
      <c r="O464" s="311"/>
      <c r="P464" s="311"/>
      <c r="Q464" s="311"/>
      <c r="R464" s="311"/>
    </row>
    <row r="465" spans="13:18">
      <c r="M465" s="311"/>
      <c r="O465" s="311"/>
      <c r="P465" s="311"/>
      <c r="Q465" s="311"/>
      <c r="R465" s="311"/>
    </row>
    <row r="466" spans="13:18">
      <c r="M466" s="311"/>
      <c r="O466" s="311"/>
      <c r="P466" s="311"/>
      <c r="Q466" s="311"/>
      <c r="R466" s="311"/>
    </row>
    <row r="467" spans="13:18">
      <c r="M467" s="311"/>
      <c r="O467" s="311"/>
      <c r="P467" s="311"/>
      <c r="Q467" s="311"/>
      <c r="R467" s="311"/>
    </row>
    <row r="468" spans="13:18">
      <c r="M468" s="311"/>
      <c r="O468" s="311"/>
      <c r="P468" s="311"/>
      <c r="Q468" s="311"/>
      <c r="R468" s="311"/>
    </row>
    <row r="469" spans="13:18">
      <c r="M469" s="311"/>
      <c r="O469" s="311"/>
      <c r="P469" s="311"/>
      <c r="Q469" s="311"/>
      <c r="R469" s="311"/>
    </row>
    <row r="470" spans="13:18">
      <c r="M470" s="311"/>
      <c r="O470" s="311"/>
      <c r="P470" s="311"/>
      <c r="Q470" s="311"/>
      <c r="R470" s="311"/>
    </row>
    <row r="471" spans="13:18">
      <c r="M471" s="311"/>
      <c r="O471" s="311"/>
      <c r="P471" s="311"/>
      <c r="Q471" s="311"/>
      <c r="R471" s="311"/>
    </row>
    <row r="472" spans="13:18">
      <c r="M472" s="311"/>
      <c r="O472" s="311"/>
      <c r="P472" s="311"/>
      <c r="Q472" s="311"/>
      <c r="R472" s="311"/>
    </row>
    <row r="473" spans="13:18">
      <c r="M473" s="311"/>
      <c r="O473" s="311"/>
      <c r="P473" s="311"/>
      <c r="Q473" s="311"/>
      <c r="R473" s="311"/>
    </row>
    <row r="474" spans="13:18">
      <c r="M474" s="311"/>
      <c r="O474" s="311"/>
      <c r="P474" s="311"/>
      <c r="Q474" s="311"/>
      <c r="R474" s="311"/>
    </row>
    <row r="475" spans="13:18">
      <c r="M475" s="311"/>
      <c r="O475" s="311"/>
      <c r="P475" s="311"/>
      <c r="Q475" s="311"/>
      <c r="R475" s="311"/>
    </row>
    <row r="476" spans="13:18">
      <c r="M476" s="311"/>
      <c r="O476" s="311"/>
      <c r="P476" s="311"/>
      <c r="Q476" s="311"/>
      <c r="R476" s="311"/>
    </row>
    <row r="477" spans="13:18">
      <c r="M477" s="311"/>
      <c r="O477" s="311"/>
      <c r="P477" s="311"/>
      <c r="Q477" s="311"/>
      <c r="R477" s="311"/>
    </row>
    <row r="478" spans="13:18">
      <c r="M478" s="311"/>
      <c r="O478" s="311"/>
      <c r="P478" s="311"/>
      <c r="Q478" s="311"/>
      <c r="R478" s="311"/>
    </row>
    <row r="479" spans="13:18">
      <c r="M479" s="311"/>
      <c r="O479" s="311"/>
      <c r="P479" s="311"/>
      <c r="Q479" s="311"/>
      <c r="R479" s="311"/>
    </row>
    <row r="480" spans="13:18">
      <c r="M480" s="311"/>
      <c r="O480" s="311"/>
      <c r="P480" s="311"/>
      <c r="Q480" s="311"/>
      <c r="R480" s="311"/>
    </row>
    <row r="481" spans="13:18">
      <c r="M481" s="311"/>
      <c r="O481" s="311"/>
      <c r="P481" s="311"/>
      <c r="Q481" s="311"/>
      <c r="R481" s="311"/>
    </row>
    <row r="482" spans="13:18">
      <c r="M482" s="311"/>
      <c r="O482" s="311"/>
      <c r="P482" s="311"/>
      <c r="Q482" s="311"/>
      <c r="R482" s="311"/>
    </row>
    <row r="483" spans="13:18">
      <c r="M483" s="311"/>
      <c r="O483" s="311"/>
      <c r="P483" s="311"/>
      <c r="Q483" s="311"/>
      <c r="R483" s="311"/>
    </row>
    <row r="484" spans="13:18">
      <c r="M484" s="311"/>
      <c r="O484" s="311"/>
      <c r="P484" s="311"/>
      <c r="Q484" s="311"/>
      <c r="R484" s="311"/>
    </row>
    <row r="485" spans="13:18">
      <c r="M485" s="311"/>
      <c r="O485" s="311"/>
      <c r="P485" s="311"/>
      <c r="Q485" s="311"/>
      <c r="R485" s="311"/>
    </row>
    <row r="486" spans="13:18">
      <c r="M486" s="311"/>
      <c r="O486" s="311"/>
      <c r="P486" s="311"/>
      <c r="Q486" s="311"/>
      <c r="R486" s="311"/>
    </row>
    <row r="487" spans="13:18">
      <c r="M487" s="311"/>
      <c r="O487" s="311"/>
      <c r="P487" s="311"/>
      <c r="Q487" s="311"/>
      <c r="R487" s="311"/>
    </row>
    <row r="488" spans="13:18">
      <c r="M488" s="311"/>
      <c r="O488" s="311"/>
      <c r="P488" s="311"/>
      <c r="Q488" s="311"/>
      <c r="R488" s="311"/>
    </row>
    <row r="489" spans="13:18">
      <c r="M489" s="311"/>
      <c r="O489" s="311"/>
      <c r="P489" s="311"/>
      <c r="Q489" s="311"/>
      <c r="R489" s="311"/>
    </row>
    <row r="490" spans="13:18">
      <c r="M490" s="311"/>
      <c r="O490" s="311"/>
      <c r="P490" s="311"/>
      <c r="Q490" s="311"/>
      <c r="R490" s="311"/>
    </row>
    <row r="491" spans="13:18">
      <c r="M491" s="311"/>
      <c r="O491" s="311"/>
      <c r="P491" s="311"/>
      <c r="Q491" s="311"/>
      <c r="R491" s="311"/>
    </row>
    <row r="492" spans="13:18">
      <c r="M492" s="311"/>
      <c r="O492" s="311"/>
      <c r="P492" s="311"/>
      <c r="Q492" s="311"/>
      <c r="R492" s="311"/>
    </row>
    <row r="493" spans="13:18">
      <c r="M493" s="311"/>
      <c r="O493" s="311"/>
      <c r="P493" s="311"/>
      <c r="Q493" s="311"/>
      <c r="R493" s="311"/>
    </row>
    <row r="494" spans="13:18">
      <c r="M494" s="311"/>
      <c r="O494" s="311"/>
      <c r="P494" s="311"/>
      <c r="Q494" s="311"/>
      <c r="R494" s="311"/>
    </row>
    <row r="495" spans="13:18">
      <c r="M495" s="311"/>
      <c r="O495" s="311"/>
      <c r="P495" s="311"/>
      <c r="Q495" s="311"/>
      <c r="R495" s="311"/>
    </row>
    <row r="496" spans="13:18">
      <c r="M496" s="311"/>
      <c r="O496" s="311"/>
      <c r="P496" s="311"/>
      <c r="Q496" s="311"/>
      <c r="R496" s="311"/>
    </row>
    <row r="497" spans="13:18">
      <c r="M497" s="311"/>
      <c r="O497" s="311"/>
      <c r="P497" s="311"/>
      <c r="Q497" s="311"/>
      <c r="R497" s="311"/>
    </row>
    <row r="498" spans="13:18">
      <c r="M498" s="311"/>
      <c r="O498" s="311"/>
      <c r="P498" s="311"/>
      <c r="Q498" s="311"/>
      <c r="R498" s="311"/>
    </row>
    <row r="499" spans="13:18">
      <c r="M499" s="311"/>
      <c r="O499" s="311"/>
      <c r="P499" s="311"/>
      <c r="Q499" s="311"/>
      <c r="R499" s="311"/>
    </row>
    <row r="500" spans="13:18">
      <c r="M500" s="311"/>
      <c r="O500" s="311"/>
      <c r="P500" s="311"/>
      <c r="Q500" s="311"/>
      <c r="R500" s="311"/>
    </row>
    <row r="501" spans="13:18">
      <c r="M501" s="311"/>
      <c r="O501" s="311"/>
      <c r="P501" s="311"/>
      <c r="Q501" s="311"/>
      <c r="R501" s="311"/>
    </row>
    <row r="502" spans="13:18">
      <c r="M502" s="311"/>
      <c r="O502" s="311"/>
      <c r="P502" s="311"/>
      <c r="Q502" s="311"/>
      <c r="R502" s="311"/>
    </row>
    <row r="503" spans="13:18">
      <c r="M503" s="311"/>
      <c r="O503" s="311"/>
      <c r="P503" s="311"/>
      <c r="Q503" s="311"/>
      <c r="R503" s="311"/>
    </row>
    <row r="504" spans="13:18">
      <c r="M504" s="311"/>
      <c r="O504" s="311"/>
      <c r="P504" s="311"/>
      <c r="Q504" s="311"/>
      <c r="R504" s="311"/>
    </row>
    <row r="505" spans="13:18">
      <c r="M505" s="311"/>
      <c r="O505" s="311"/>
      <c r="P505" s="311"/>
      <c r="Q505" s="311"/>
      <c r="R505" s="311"/>
    </row>
    <row r="506" spans="13:18">
      <c r="M506" s="311"/>
      <c r="O506" s="311"/>
      <c r="P506" s="311"/>
      <c r="Q506" s="311"/>
      <c r="R506" s="311"/>
    </row>
    <row r="507" spans="13:18">
      <c r="M507" s="311"/>
      <c r="O507" s="311"/>
      <c r="P507" s="311"/>
      <c r="Q507" s="311"/>
      <c r="R507" s="311"/>
    </row>
    <row r="508" spans="13:18">
      <c r="M508" s="311"/>
      <c r="O508" s="311"/>
      <c r="P508" s="311"/>
      <c r="Q508" s="311"/>
      <c r="R508" s="311"/>
    </row>
    <row r="509" spans="13:18">
      <c r="M509" s="311"/>
      <c r="O509" s="311"/>
      <c r="P509" s="311"/>
      <c r="Q509" s="311"/>
      <c r="R509" s="311"/>
    </row>
    <row r="510" spans="13:18">
      <c r="M510" s="311"/>
      <c r="O510" s="311"/>
      <c r="P510" s="311"/>
      <c r="Q510" s="311"/>
      <c r="R510" s="311"/>
    </row>
    <row r="511" spans="13:18">
      <c r="M511" s="311"/>
      <c r="O511" s="311"/>
      <c r="P511" s="311"/>
      <c r="Q511" s="311"/>
      <c r="R511" s="311"/>
    </row>
    <row r="512" spans="13:18">
      <c r="M512" s="311"/>
      <c r="O512" s="311"/>
      <c r="P512" s="311"/>
      <c r="Q512" s="311"/>
      <c r="R512" s="311"/>
    </row>
    <row r="513" spans="13:18">
      <c r="M513" s="311"/>
      <c r="O513" s="311"/>
      <c r="P513" s="311"/>
      <c r="Q513" s="311"/>
      <c r="R513" s="311"/>
    </row>
    <row r="514" spans="13:18">
      <c r="M514" s="311"/>
      <c r="O514" s="311"/>
      <c r="P514" s="311"/>
      <c r="Q514" s="311"/>
      <c r="R514" s="311"/>
    </row>
    <row r="515" spans="13:18">
      <c r="M515" s="311"/>
      <c r="O515" s="311"/>
      <c r="P515" s="311"/>
      <c r="Q515" s="311"/>
      <c r="R515" s="311"/>
    </row>
    <row r="516" spans="13:18">
      <c r="M516" s="311"/>
      <c r="O516" s="311"/>
      <c r="P516" s="311"/>
      <c r="Q516" s="311"/>
      <c r="R516" s="311"/>
    </row>
    <row r="517" spans="13:18">
      <c r="M517" s="311"/>
      <c r="O517" s="311"/>
      <c r="P517" s="311"/>
      <c r="Q517" s="311"/>
      <c r="R517" s="311"/>
    </row>
    <row r="518" spans="13:18">
      <c r="M518" s="311"/>
      <c r="O518" s="311"/>
      <c r="P518" s="311"/>
      <c r="Q518" s="311"/>
      <c r="R518" s="311"/>
    </row>
    <row r="519" spans="13:18">
      <c r="M519" s="311"/>
      <c r="O519" s="311"/>
      <c r="P519" s="311"/>
      <c r="Q519" s="311"/>
      <c r="R519" s="311"/>
    </row>
  </sheetData>
  <autoFilter ref="A9:BA358"/>
  <mergeCells count="33">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8.xml><?xml version="1.0" encoding="utf-8"?>
<worksheet xmlns="http://schemas.openxmlformats.org/spreadsheetml/2006/main" xmlns:r="http://schemas.openxmlformats.org/officeDocument/2006/relationships">
  <sheetPr>
    <tabColor rgb="FFFFFF00"/>
  </sheetPr>
  <dimension ref="A2:I65"/>
  <sheetViews>
    <sheetView topLeftCell="A7" workbookViewId="0">
      <pane ySplit="8" topLeftCell="A26" activePane="bottomLeft" state="frozen"/>
      <selection activeCell="A7" sqref="A7"/>
      <selection pane="bottomLeft" activeCell="E32" sqref="E32"/>
    </sheetView>
  </sheetViews>
  <sheetFormatPr defaultRowHeight="15"/>
  <cols>
    <col min="1" max="1" width="9.140625" style="215" customWidth="1"/>
    <col min="2" max="2" width="6.28515625" style="215" customWidth="1"/>
    <col min="3" max="3" width="10" style="215" customWidth="1"/>
    <col min="4" max="4" width="42.5703125" style="5" customWidth="1"/>
    <col min="5" max="5" width="6.28515625" style="215"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
        <v>268</v>
      </c>
      <c r="G2" s="1213" t="s">
        <v>269</v>
      </c>
      <c r="H2" s="1213"/>
      <c r="I2" s="1213"/>
    </row>
    <row r="3" spans="1:9" ht="15.75" customHeight="1">
      <c r="A3" s="1" t="s">
        <v>270</v>
      </c>
      <c r="G3" s="1214" t="s">
        <v>223</v>
      </c>
      <c r="H3" s="1214"/>
      <c r="I3" s="1214"/>
    </row>
    <row r="4" spans="1:9">
      <c r="F4" s="17"/>
      <c r="G4" s="1214"/>
      <c r="H4" s="1214"/>
      <c r="I4" s="1214"/>
    </row>
    <row r="5" spans="1:9" ht="17.25" customHeight="1">
      <c r="A5" s="1215" t="s">
        <v>271</v>
      </c>
      <c r="B5" s="1215"/>
      <c r="C5" s="1215"/>
      <c r="D5" s="1215"/>
      <c r="E5" s="1215"/>
      <c r="F5" s="1215"/>
      <c r="G5" s="1215"/>
      <c r="H5" s="1215"/>
      <c r="I5" s="1215"/>
    </row>
    <row r="6" spans="1:9">
      <c r="A6" s="1216" t="s">
        <v>272</v>
      </c>
      <c r="B6" s="1217"/>
      <c r="C6" s="1217"/>
      <c r="D6" s="1217"/>
      <c r="E6" s="1217"/>
      <c r="F6" s="1217"/>
      <c r="G6" s="1217"/>
      <c r="H6" s="1217"/>
      <c r="I6" s="1217"/>
    </row>
    <row r="7" spans="1:9">
      <c r="B7" s="5"/>
      <c r="C7" s="5"/>
      <c r="D7" s="259" t="s">
        <v>273</v>
      </c>
      <c r="E7" s="260" t="s">
        <v>24</v>
      </c>
    </row>
    <row r="8" spans="1:9">
      <c r="B8" s="5"/>
      <c r="C8" s="5"/>
      <c r="D8" s="259" t="s">
        <v>274</v>
      </c>
      <c r="E8" s="5" t="str">
        <f>VLOOKUP($E$7,DSTK,2,0)</f>
        <v xml:space="preserve"> Phải Trả Phải Nộp Khác </v>
      </c>
    </row>
    <row r="9" spans="1:9">
      <c r="A9" s="1217" t="s">
        <v>36</v>
      </c>
      <c r="B9" s="1218"/>
      <c r="C9" s="1218"/>
      <c r="D9" s="1218"/>
      <c r="E9" s="1218"/>
      <c r="F9" s="1218"/>
      <c r="G9" s="1218"/>
      <c r="H9" s="1218"/>
      <c r="I9" s="1218"/>
    </row>
    <row r="10" spans="1:9" ht="9.75" customHeight="1">
      <c r="C10" s="1219"/>
      <c r="D10" s="1220"/>
      <c r="E10" s="1220"/>
      <c r="F10" s="1220"/>
      <c r="G10" s="1220"/>
      <c r="H10" s="1220"/>
      <c r="I10" s="1220"/>
    </row>
    <row r="11" spans="1:9" s="18" customFormat="1" ht="19.5" customHeight="1">
      <c r="A11" s="1221" t="s">
        <v>27</v>
      </c>
      <c r="B11" s="1211" t="s">
        <v>1</v>
      </c>
      <c r="C11" s="1222"/>
      <c r="D11" s="1221" t="s">
        <v>0</v>
      </c>
      <c r="E11" s="1221" t="s">
        <v>19</v>
      </c>
      <c r="F11" s="1211" t="s">
        <v>28</v>
      </c>
      <c r="G11" s="1222"/>
      <c r="H11" s="1211" t="s">
        <v>38</v>
      </c>
      <c r="I11" s="1212"/>
    </row>
    <row r="12" spans="1:9" s="18" customFormat="1" ht="32.25" customHeight="1">
      <c r="A12" s="1221"/>
      <c r="B12" s="441" t="s">
        <v>20</v>
      </c>
      <c r="C12" s="441" t="s">
        <v>39</v>
      </c>
      <c r="D12" s="1221"/>
      <c r="E12" s="1221"/>
      <c r="F12" s="441" t="s">
        <v>29</v>
      </c>
      <c r="G12" s="441" t="s">
        <v>30</v>
      </c>
      <c r="H12" s="441" t="s">
        <v>29</v>
      </c>
      <c r="I12" s="441" t="s">
        <v>30</v>
      </c>
    </row>
    <row r="13" spans="1:9" s="386" customFormat="1" ht="11.25" customHeight="1">
      <c r="A13" s="390" t="s">
        <v>2</v>
      </c>
      <c r="B13" s="391" t="s">
        <v>3</v>
      </c>
      <c r="C13" s="390" t="s">
        <v>4</v>
      </c>
      <c r="D13" s="390" t="s">
        <v>5</v>
      </c>
      <c r="E13" s="390" t="s">
        <v>6</v>
      </c>
      <c r="F13" s="390">
        <v>1</v>
      </c>
      <c r="G13" s="390">
        <v>2</v>
      </c>
      <c r="H13" s="390">
        <v>3</v>
      </c>
      <c r="I13" s="390">
        <v>4</v>
      </c>
    </row>
    <row r="14" spans="1:9" s="18" customFormat="1" ht="18" customHeight="1">
      <c r="A14" s="442"/>
      <c r="B14" s="418"/>
      <c r="C14" s="442"/>
      <c r="D14" s="417" t="s">
        <v>7</v>
      </c>
      <c r="E14" s="418"/>
      <c r="F14" s="443"/>
      <c r="G14" s="443"/>
      <c r="H14" s="443">
        <f>VLOOKUP($E$7,DSTK,3,0)</f>
        <v>0</v>
      </c>
      <c r="I14" s="443">
        <f>VLOOKUP($E$7,DSTK,4,0)</f>
        <v>5000000000</v>
      </c>
    </row>
    <row r="15" spans="1:9" s="18" customFormat="1" ht="18" customHeight="1">
      <c r="A15" s="353">
        <f ca="1">IF(ROWS($1:1)&gt;COUNT(Dong5),"",OFFSET(TH!C$1,SMALL(Dong5,ROWS($1:1)),))</f>
        <v>42403</v>
      </c>
      <c r="B15" s="353" t="str">
        <f ca="1">IF(ROWS($1:1)&gt;COUNT(Dong5),"",OFFSET(TH!D$1,SMALL(Dong5,ROWS($1:1)),))</f>
        <v>GBN</v>
      </c>
      <c r="C15" s="353">
        <f ca="1">IF(ROWS($1:1)&gt;COUNT(Dong5),"",OFFSET(TH!E$1,SMALL(Dong5,ROWS($1:1)),))</f>
        <v>42403</v>
      </c>
      <c r="D15" s="444" t="str">
        <f ca="1">IF(ROWS($1:1)&gt;COUNT(Dong5),"",OFFSET(TH!F$1,SMALL(Dong5,ROWS($1:1)),)&amp;" - "&amp;OFFSET(TH!H$1,SMALL(Dong5,ROWS($1:1)),))</f>
        <v>Ứng vốn - Cty TNHH Hải Sản An Lạc</v>
      </c>
      <c r="E15" s="353" t="str">
        <f ca="1">IF(ROWS($1:1)&gt;COUNT(Dong5),"",IF(OFFSET(TH!O$1,SMALL(Dong5,ROWS($1:1)),)=$E$7,OFFSET(TH!P$1,SMALL(Dong5,ROWS($1:1)),),OFFSET(TH!O$1,SMALL(Dong5,ROWS($1:1)),)))</f>
        <v>1121</v>
      </c>
      <c r="F15" s="445">
        <f ca="1">IF(ROWS($1:1)&gt;COUNT(Dong5),0,IF(OFFSET(TH!O$1,SMALL(Dong5,ROWS($1:1)),)=$E$7,OFFSET(TH!M$1,SMALL(Dong5,ROWS($1:1)),),0))</f>
        <v>110000000</v>
      </c>
      <c r="G15" s="443">
        <f ca="1">IF(ROWS($1:1)&gt;COUNT(Dong5),0,IF(OFFSET(TH!P$1,SMALL(Dong5,ROWS($1:1)),)=$E$7,OFFSET(TH!M$1,SMALL(Dong5,ROWS($1:1)),),0))</f>
        <v>0</v>
      </c>
      <c r="H15" s="446">
        <f ca="1">IF(D15&lt;&gt;"",MAX(H14+F15-G15-I14,0),0)</f>
        <v>0</v>
      </c>
      <c r="I15" s="446">
        <f ca="1">IF(D15&lt;&gt;"",MAX(I14+G15-H14-F15,0),0)</f>
        <v>4890000000</v>
      </c>
    </row>
    <row r="16" spans="1:9" s="18" customFormat="1" ht="18" customHeight="1">
      <c r="A16" s="353">
        <f ca="1">IF(ROWS($1:2)&gt;COUNT(Dong5),"",OFFSET(TH!C$1,SMALL(Dong5,ROWS($1:2)),))</f>
        <v>42403</v>
      </c>
      <c r="B16" s="353" t="str">
        <f ca="1">IF(ROWS($1:2)&gt;COUNT(Dong5),"",OFFSET(TH!D$1,SMALL(Dong5,ROWS($1:2)),))</f>
        <v>T02</v>
      </c>
      <c r="C16" s="353">
        <f ca="1">IF(ROWS($1:2)&gt;COUNT(Dong5),"",OFFSET(TH!E$1,SMALL(Dong5,ROWS($1:2)),))</f>
        <v>42403</v>
      </c>
      <c r="D16" s="444" t="str">
        <f ca="1">IF(ROWS($1:2)&gt;COUNT(Dong5),"",OFFSET(TH!F$1,SMALL(Dong5,ROWS($1:2)),)&amp;" - "&amp;OFFSET(TH!H$1,SMALL(Dong5,ROWS($1:2)),))</f>
        <v>Thu hoàn trả vốn mượn - Cty TNHH Hải Sản An Lạc</v>
      </c>
      <c r="E16" s="353" t="str">
        <f ca="1">IF(ROWS($1:2)&gt;COUNT(Dong5),"",IF(OFFSET(TH!O$1,SMALL(Dong5,ROWS($1:2)),)=$E$7,OFFSET(TH!P$1,SMALL(Dong5,ROWS($1:2)),),OFFSET(TH!O$1,SMALL(Dong5,ROWS($1:2)),)))</f>
        <v>1111</v>
      </c>
      <c r="F16" s="445">
        <f ca="1">IF(ROWS($1:2)&gt;COUNT(Dong5),0,IF(OFFSET(TH!O$1,SMALL(Dong5,ROWS($1:2)),)=$E$7,OFFSET(TH!M$1,SMALL(Dong5,ROWS($1:2)),),0))</f>
        <v>0</v>
      </c>
      <c r="G16" s="443">
        <f ca="1">IF(ROWS($1:2)&gt;COUNT(Dong5),0,IF(OFFSET(TH!P$1,SMALL(Dong5,ROWS($1:2)),)=$E$7,OFFSET(TH!M$1,SMALL(Dong5,ROWS($1:2)),),0))</f>
        <v>110000000</v>
      </c>
      <c r="H16" s="446">
        <f t="shared" ref="H16:H32" ca="1" si="0">IF(D16&lt;&gt;"",MAX(H15+F16-G16-I15,0),0)</f>
        <v>0</v>
      </c>
      <c r="I16" s="446">
        <f t="shared" ref="I16:I32" ca="1" si="1">IF(D16&lt;&gt;"",MAX(I15+G16-H15-F16,0),0)</f>
        <v>5000000000</v>
      </c>
    </row>
    <row r="17" spans="1:9" s="18" customFormat="1" ht="18" customHeight="1">
      <c r="A17" s="353">
        <f ca="1">IF(ROWS($1:3)&gt;COUNT(Dong5),"",OFFSET(TH!C$1,SMALL(Dong5,ROWS($1:3)),))</f>
        <v>42425</v>
      </c>
      <c r="B17" s="353" t="str">
        <f ca="1">IF(ROWS($1:3)&gt;COUNT(Dong5),"",OFFSET(TH!D$1,SMALL(Dong5,ROWS($1:3)),))</f>
        <v>C30</v>
      </c>
      <c r="C17" s="353">
        <f ca="1">IF(ROWS($1:3)&gt;COUNT(Dong5),"",OFFSET(TH!E$1,SMALL(Dong5,ROWS($1:3)),))</f>
        <v>42425</v>
      </c>
      <c r="D17" s="444" t="str">
        <f ca="1">IF(ROWS($1:3)&gt;COUNT(Dong5),"",OFFSET(TH!F$1,SMALL(Dong5,ROWS($1:3)),)&amp;" - "&amp;OFFSET(TH!H$1,SMALL(Dong5,ROWS($1:3)),))</f>
        <v>Trả vốn mượn - Cty TNHH Hải Sản An Lạc</v>
      </c>
      <c r="E17" s="353" t="str">
        <f ca="1">IF(ROWS($1:3)&gt;COUNT(Dong5),"",IF(OFFSET(TH!O$1,SMALL(Dong5,ROWS($1:3)),)=$E$7,OFFSET(TH!P$1,SMALL(Dong5,ROWS($1:3)),),OFFSET(TH!O$1,SMALL(Dong5,ROWS($1:3)),)))</f>
        <v>1111</v>
      </c>
      <c r="F17" s="445">
        <f ca="1">IF(ROWS($1:3)&gt;COUNT(Dong5),0,IF(OFFSET(TH!O$1,SMALL(Dong5,ROWS($1:3)),)=$E$7,OFFSET(TH!M$1,SMALL(Dong5,ROWS($1:3)),),0))</f>
        <v>5000000</v>
      </c>
      <c r="G17" s="443">
        <f ca="1">IF(ROWS($1:3)&gt;COUNT(Dong5),0,IF(OFFSET(TH!P$1,SMALL(Dong5,ROWS($1:3)),)=$E$7,OFFSET(TH!M$1,SMALL(Dong5,ROWS($1:3)),),0))</f>
        <v>0</v>
      </c>
      <c r="H17" s="446">
        <f t="shared" ca="1" si="0"/>
        <v>0</v>
      </c>
      <c r="I17" s="446">
        <f t="shared" ca="1" si="1"/>
        <v>4995000000</v>
      </c>
    </row>
    <row r="18" spans="1:9" s="18" customFormat="1" ht="18" customHeight="1">
      <c r="A18" s="353">
        <f ca="1">IF(ROWS($1:4)&gt;COUNT(Dong5),"",OFFSET(TH!C$1,SMALL(Dong5,ROWS($1:4)),))</f>
        <v>42425</v>
      </c>
      <c r="B18" s="353" t="str">
        <f ca="1">IF(ROWS($1:4)&gt;COUNT(Dong5),"",OFFSET(TH!D$1,SMALL(Dong5,ROWS($1:4)),))</f>
        <v>GBC</v>
      </c>
      <c r="C18" s="353">
        <f ca="1">IF(ROWS($1:4)&gt;COUNT(Dong5),"",OFFSET(TH!E$1,SMALL(Dong5,ROWS($1:4)),))</f>
        <v>42425</v>
      </c>
      <c r="D18" s="444" t="str">
        <f ca="1">IF(ROWS($1:4)&gt;COUNT(Dong5),"",OFFSET(TH!F$1,SMALL(Dong5,ROWS($1:4)),)&amp;" - "&amp;OFFSET(TH!H$1,SMALL(Dong5,ROWS($1:4)),))</f>
        <v>Ứng vốn - Cty TNHH Hải Sản An Lạc</v>
      </c>
      <c r="E18" s="353" t="str">
        <f ca="1">IF(ROWS($1:4)&gt;COUNT(Dong5),"",IF(OFFSET(TH!O$1,SMALL(Dong5,ROWS($1:4)),)=$E$7,OFFSET(TH!P$1,SMALL(Dong5,ROWS($1:4)),),OFFSET(TH!O$1,SMALL(Dong5,ROWS($1:4)),)))</f>
        <v>1121</v>
      </c>
      <c r="F18" s="445">
        <f ca="1">IF(ROWS($1:4)&gt;COUNT(Dong5),0,IF(OFFSET(TH!O$1,SMALL(Dong5,ROWS($1:4)),)=$E$7,OFFSET(TH!M$1,SMALL(Dong5,ROWS($1:4)),),0))</f>
        <v>0</v>
      </c>
      <c r="G18" s="443">
        <f ca="1">IF(ROWS($1:4)&gt;COUNT(Dong5),0,IF(OFFSET(TH!P$1,SMALL(Dong5,ROWS($1:4)),)=$E$7,OFFSET(TH!M$1,SMALL(Dong5,ROWS($1:4)),),0))</f>
        <v>5000000</v>
      </c>
      <c r="H18" s="446">
        <f t="shared" ca="1" si="0"/>
        <v>0</v>
      </c>
      <c r="I18" s="446">
        <f t="shared" ca="1" si="1"/>
        <v>5000000000</v>
      </c>
    </row>
    <row r="19" spans="1:9" s="18" customFormat="1" ht="18" customHeight="1">
      <c r="A19" s="353">
        <f ca="1">IF(ROWS($1:5)&gt;COUNT(Dong5),"",OFFSET(TH!C$1,SMALL(Dong5,ROWS($1:5)),))</f>
        <v>42444</v>
      </c>
      <c r="B19" s="353" t="str">
        <f ca="1">IF(ROWS($1:5)&gt;COUNT(Dong5),"",OFFSET(TH!D$1,SMALL(Dong5,ROWS($1:5)),))</f>
        <v>T03</v>
      </c>
      <c r="C19" s="353">
        <f ca="1">IF(ROWS($1:5)&gt;COUNT(Dong5),"",OFFSET(TH!E$1,SMALL(Dong5,ROWS($1:5)),))</f>
        <v>42444</v>
      </c>
      <c r="D19" s="444" t="str">
        <f ca="1">IF(ROWS($1:5)&gt;COUNT(Dong5),"",OFFSET(TH!F$1,SMALL(Dong5,ROWS($1:5)),)&amp;" - "&amp;OFFSET(TH!H$1,SMALL(Dong5,ROWS($1:5)),))</f>
        <v>Ứng vốn - Nguyễn Thiện Duy</v>
      </c>
      <c r="E19" s="353" t="str">
        <f ca="1">IF(ROWS($1:5)&gt;COUNT(Dong5),"",IF(OFFSET(TH!O$1,SMALL(Dong5,ROWS($1:5)),)=$E$7,OFFSET(TH!P$1,SMALL(Dong5,ROWS($1:5)),),OFFSET(TH!O$1,SMALL(Dong5,ROWS($1:5)),)))</f>
        <v>1111</v>
      </c>
      <c r="F19" s="445">
        <f ca="1">IF(ROWS($1:5)&gt;COUNT(Dong5),0,IF(OFFSET(TH!O$1,SMALL(Dong5,ROWS($1:5)),)=$E$7,OFFSET(TH!M$1,SMALL(Dong5,ROWS($1:5)),),0))</f>
        <v>0</v>
      </c>
      <c r="G19" s="443">
        <f ca="1">IF(ROWS($1:5)&gt;COUNT(Dong5),0,IF(OFFSET(TH!P$1,SMALL(Dong5,ROWS($1:5)),)=$E$7,OFFSET(TH!M$1,SMALL(Dong5,ROWS($1:5)),),0))</f>
        <v>1000000000</v>
      </c>
      <c r="H19" s="446">
        <f t="shared" ca="1" si="0"/>
        <v>0</v>
      </c>
      <c r="I19" s="446">
        <f t="shared" ca="1" si="1"/>
        <v>6000000000</v>
      </c>
    </row>
    <row r="20" spans="1:9" s="18" customFormat="1" ht="18" customHeight="1">
      <c r="A20" s="353">
        <f ca="1">IF(ROWS($1:6)&gt;COUNT(Dong5),"",OFFSET(TH!C$1,SMALL(Dong5,ROWS($1:6)),))</f>
        <v>42448</v>
      </c>
      <c r="B20" s="353" t="str">
        <f ca="1">IF(ROWS($1:6)&gt;COUNT(Dong5),"",OFFSET(TH!D$1,SMALL(Dong5,ROWS($1:6)),))</f>
        <v>GBN</v>
      </c>
      <c r="C20" s="353">
        <f ca="1">IF(ROWS($1:6)&gt;COUNT(Dong5),"",OFFSET(TH!E$1,SMALL(Dong5,ROWS($1:6)),))</f>
        <v>42448</v>
      </c>
      <c r="D20" s="444" t="str">
        <f ca="1">IF(ROWS($1:6)&gt;COUNT(Dong5),"",OFFSET(TH!F$1,SMALL(Dong5,ROWS($1:6)),)&amp;" - "&amp;OFFSET(TH!H$1,SMALL(Dong5,ROWS($1:6)),))</f>
        <v>Ứng vốn - Cty TNHH Hải Sản An Lạc</v>
      </c>
      <c r="E20" s="353" t="str">
        <f ca="1">IF(ROWS($1:6)&gt;COUNT(Dong5),"",IF(OFFSET(TH!O$1,SMALL(Dong5,ROWS($1:6)),)=$E$7,OFFSET(TH!P$1,SMALL(Dong5,ROWS($1:6)),),OFFSET(TH!O$1,SMALL(Dong5,ROWS($1:6)),)))</f>
        <v>1121</v>
      </c>
      <c r="F20" s="445">
        <f ca="1">IF(ROWS($1:6)&gt;COUNT(Dong5),0,IF(OFFSET(TH!O$1,SMALL(Dong5,ROWS($1:6)),)=$E$7,OFFSET(TH!M$1,SMALL(Dong5,ROWS($1:6)),),0))</f>
        <v>50000000</v>
      </c>
      <c r="G20" s="443">
        <f ca="1">IF(ROWS($1:6)&gt;COUNT(Dong5),0,IF(OFFSET(TH!P$1,SMALL(Dong5,ROWS($1:6)),)=$E$7,OFFSET(TH!M$1,SMALL(Dong5,ROWS($1:6)),),0))</f>
        <v>0</v>
      </c>
      <c r="H20" s="446">
        <f t="shared" ca="1" si="0"/>
        <v>0</v>
      </c>
      <c r="I20" s="446">
        <f t="shared" ca="1" si="1"/>
        <v>5950000000</v>
      </c>
    </row>
    <row r="21" spans="1:9" s="18" customFormat="1" ht="18" customHeight="1">
      <c r="A21" s="353">
        <f ca="1">IF(ROWS($1:7)&gt;COUNT(Dong5),"",OFFSET(TH!C$1,SMALL(Dong5,ROWS($1:7)),))</f>
        <v>42448</v>
      </c>
      <c r="B21" s="353" t="str">
        <f ca="1">IF(ROWS($1:7)&gt;COUNT(Dong5),"",OFFSET(TH!D$1,SMALL(Dong5,ROWS($1:7)),))</f>
        <v>T04</v>
      </c>
      <c r="C21" s="353">
        <f ca="1">IF(ROWS($1:7)&gt;COUNT(Dong5),"",OFFSET(TH!E$1,SMALL(Dong5,ROWS($1:7)),))</f>
        <v>42448</v>
      </c>
      <c r="D21" s="444" t="str">
        <f ca="1">IF(ROWS($1:7)&gt;COUNT(Dong5),"",OFFSET(TH!F$1,SMALL(Dong5,ROWS($1:7)),)&amp;" - "&amp;OFFSET(TH!H$1,SMALL(Dong5,ROWS($1:7)),))</f>
        <v>Thu vốn mượn - Cty TNHH Hải Sản An Lạc</v>
      </c>
      <c r="E21" s="353" t="str">
        <f ca="1">IF(ROWS($1:7)&gt;COUNT(Dong5),"",IF(OFFSET(TH!O$1,SMALL(Dong5,ROWS($1:7)),)=$E$7,OFFSET(TH!P$1,SMALL(Dong5,ROWS($1:7)),),OFFSET(TH!O$1,SMALL(Dong5,ROWS($1:7)),)))</f>
        <v>1111</v>
      </c>
      <c r="F21" s="445">
        <f ca="1">IF(ROWS($1:7)&gt;COUNT(Dong5),0,IF(OFFSET(TH!O$1,SMALL(Dong5,ROWS($1:7)),)=$E$7,OFFSET(TH!M$1,SMALL(Dong5,ROWS($1:7)),),0))</f>
        <v>0</v>
      </c>
      <c r="G21" s="443">
        <f ca="1">IF(ROWS($1:7)&gt;COUNT(Dong5),0,IF(OFFSET(TH!P$1,SMALL(Dong5,ROWS($1:7)),)=$E$7,OFFSET(TH!M$1,SMALL(Dong5,ROWS($1:7)),),0))</f>
        <v>50000000</v>
      </c>
      <c r="H21" s="446">
        <f t="shared" ca="1" si="0"/>
        <v>0</v>
      </c>
      <c r="I21" s="446">
        <f t="shared" ca="1" si="1"/>
        <v>6000000000</v>
      </c>
    </row>
    <row r="22" spans="1:9" s="18" customFormat="1" ht="18" customHeight="1">
      <c r="A22" s="353">
        <f ca="1">IF(ROWS($1:8)&gt;COUNT(Dong5),"",OFFSET(TH!C$1,SMALL(Dong5,ROWS($1:8)),))</f>
        <v>42481</v>
      </c>
      <c r="B22" s="353" t="str">
        <f ca="1">IF(ROWS($1:8)&gt;COUNT(Dong5),"",OFFSET(TH!D$1,SMALL(Dong5,ROWS($1:8)),))</f>
        <v>C18</v>
      </c>
      <c r="C22" s="353">
        <f ca="1">IF(ROWS($1:8)&gt;COUNT(Dong5),"",OFFSET(TH!E$1,SMALL(Dong5,ROWS($1:8)),))</f>
        <v>42481</v>
      </c>
      <c r="D22" s="444" t="str">
        <f ca="1">IF(ROWS($1:8)&gt;COUNT(Dong5),"",OFFSET(TH!F$1,SMALL(Dong5,ROWS($1:8)),)&amp;" - "&amp;OFFSET(TH!H$1,SMALL(Dong5,ROWS($1:8)),))</f>
        <v>Trả vốn mượn - Cty TNHH Hải Sản An Lạc</v>
      </c>
      <c r="E22" s="353" t="str">
        <f ca="1">IF(ROWS($1:8)&gt;COUNT(Dong5),"",IF(OFFSET(TH!O$1,SMALL(Dong5,ROWS($1:8)),)=$E$7,OFFSET(TH!P$1,SMALL(Dong5,ROWS($1:8)),),OFFSET(TH!O$1,SMALL(Dong5,ROWS($1:8)),)))</f>
        <v>1111</v>
      </c>
      <c r="F22" s="445">
        <f ca="1">IF(ROWS($1:8)&gt;COUNT(Dong5),0,IF(OFFSET(TH!O$1,SMALL(Dong5,ROWS($1:8)),)=$E$7,OFFSET(TH!M$1,SMALL(Dong5,ROWS($1:8)),),0))</f>
        <v>40000000</v>
      </c>
      <c r="G22" s="443">
        <f ca="1">IF(ROWS($1:8)&gt;COUNT(Dong5),0,IF(OFFSET(TH!P$1,SMALL(Dong5,ROWS($1:8)),)=$E$7,OFFSET(TH!M$1,SMALL(Dong5,ROWS($1:8)),),0))</f>
        <v>0</v>
      </c>
      <c r="H22" s="446">
        <f t="shared" ca="1" si="0"/>
        <v>0</v>
      </c>
      <c r="I22" s="446">
        <f t="shared" ca="1" si="1"/>
        <v>5960000000</v>
      </c>
    </row>
    <row r="23" spans="1:9" s="18" customFormat="1" ht="18" customHeight="1">
      <c r="A23" s="353">
        <f ca="1">IF(ROWS($1:9)&gt;COUNT(Dong5),"",OFFSET(TH!C$1,SMALL(Dong5,ROWS($1:9)),))</f>
        <v>42481</v>
      </c>
      <c r="B23" s="353" t="str">
        <f ca="1">IF(ROWS($1:9)&gt;COUNT(Dong5),"",OFFSET(TH!D$1,SMALL(Dong5,ROWS($1:9)),))</f>
        <v>GBC</v>
      </c>
      <c r="C23" s="353">
        <f ca="1">IF(ROWS($1:9)&gt;COUNT(Dong5),"",OFFSET(TH!E$1,SMALL(Dong5,ROWS($1:9)),))</f>
        <v>42481</v>
      </c>
      <c r="D23" s="444" t="str">
        <f ca="1">IF(ROWS($1:9)&gt;COUNT(Dong5),"",OFFSET(TH!F$1,SMALL(Dong5,ROWS($1:9)),)&amp;" - "&amp;OFFSET(TH!H$1,SMALL(Dong5,ROWS($1:9)),))</f>
        <v>Ứng vốn - Cty TNHH Hải Sản An Lạc</v>
      </c>
      <c r="E23" s="353" t="str">
        <f ca="1">IF(ROWS($1:9)&gt;COUNT(Dong5),"",IF(OFFSET(TH!O$1,SMALL(Dong5,ROWS($1:9)),)=$E$7,OFFSET(TH!P$1,SMALL(Dong5,ROWS($1:9)),),OFFSET(TH!O$1,SMALL(Dong5,ROWS($1:9)),)))</f>
        <v>1121</v>
      </c>
      <c r="F23" s="445">
        <f ca="1">IF(ROWS($1:9)&gt;COUNT(Dong5),0,IF(OFFSET(TH!O$1,SMALL(Dong5,ROWS($1:9)),)=$E$7,OFFSET(TH!M$1,SMALL(Dong5,ROWS($1:9)),),0))</f>
        <v>0</v>
      </c>
      <c r="G23" s="443">
        <f ca="1">IF(ROWS($1:9)&gt;COUNT(Dong5),0,IF(OFFSET(TH!P$1,SMALL(Dong5,ROWS($1:9)),)=$E$7,OFFSET(TH!M$1,SMALL(Dong5,ROWS($1:9)),),0))</f>
        <v>40000000</v>
      </c>
      <c r="H23" s="446">
        <f t="shared" ca="1" si="0"/>
        <v>0</v>
      </c>
      <c r="I23" s="446">
        <f t="shared" ca="1" si="1"/>
        <v>6000000000</v>
      </c>
    </row>
    <row r="24" spans="1:9" s="18" customFormat="1" ht="18" customHeight="1">
      <c r="A24" s="353">
        <f ca="1">IF(ROWS($1:10)&gt;COUNT(Dong5),"",OFFSET(TH!C$1,SMALL(Dong5,ROWS($1:10)),))</f>
        <v>42491</v>
      </c>
      <c r="B24" s="353" t="str">
        <f ca="1">IF(ROWS($1:10)&gt;COUNT(Dong5),"",OFFSET(TH!D$1,SMALL(Dong5,ROWS($1:10)),))</f>
        <v>T01</v>
      </c>
      <c r="C24" s="353">
        <f ca="1">IF(ROWS($1:10)&gt;COUNT(Dong5),"",OFFSET(TH!E$1,SMALL(Dong5,ROWS($1:10)),))</f>
        <v>42491</v>
      </c>
      <c r="D24" s="444" t="str">
        <f ca="1">IF(ROWS($1:10)&gt;COUNT(Dong5),"",OFFSET(TH!F$1,SMALL(Dong5,ROWS($1:10)),)&amp;" - "&amp;OFFSET(TH!H$1,SMALL(Dong5,ROWS($1:10)),))</f>
        <v>Ứng vốn - Nguyễn Thiện Duy</v>
      </c>
      <c r="E24" s="353" t="str">
        <f ca="1">IF(ROWS($1:10)&gt;COUNT(Dong5),"",IF(OFFSET(TH!O$1,SMALL(Dong5,ROWS($1:10)),)=$E$7,OFFSET(TH!P$1,SMALL(Dong5,ROWS($1:10)),),OFFSET(TH!O$1,SMALL(Dong5,ROWS($1:10)),)))</f>
        <v>1111</v>
      </c>
      <c r="F24" s="445">
        <f ca="1">IF(ROWS($1:10)&gt;COUNT(Dong5),0,IF(OFFSET(TH!O$1,SMALL(Dong5,ROWS($1:10)),)=$E$7,OFFSET(TH!M$1,SMALL(Dong5,ROWS($1:10)),),0))</f>
        <v>0</v>
      </c>
      <c r="G24" s="443">
        <f ca="1">IF(ROWS($1:10)&gt;COUNT(Dong5),0,IF(OFFSET(TH!P$1,SMALL(Dong5,ROWS($1:10)),)=$E$7,OFFSET(TH!M$1,SMALL(Dong5,ROWS($1:10)),),0))</f>
        <v>1000000000</v>
      </c>
      <c r="H24" s="446">
        <f t="shared" ca="1" si="0"/>
        <v>0</v>
      </c>
      <c r="I24" s="446">
        <f t="shared" ca="1" si="1"/>
        <v>7000000000</v>
      </c>
    </row>
    <row r="25" spans="1:9" s="18" customFormat="1" ht="18" customHeight="1">
      <c r="A25" s="353">
        <f ca="1">IF(ROWS($1:11)&gt;COUNT(Dong5),"",OFFSET(TH!C$1,SMALL(Dong5,ROWS($1:11)),))</f>
        <v>42494</v>
      </c>
      <c r="B25" s="353" t="str">
        <f ca="1">IF(ROWS($1:11)&gt;COUNT(Dong5),"",OFFSET(TH!D$1,SMALL(Dong5,ROWS($1:11)),))</f>
        <v>C25</v>
      </c>
      <c r="C25" s="353">
        <f ca="1">IF(ROWS($1:11)&gt;COUNT(Dong5),"",OFFSET(TH!E$1,SMALL(Dong5,ROWS($1:11)),))</f>
        <v>42494</v>
      </c>
      <c r="D25" s="444" t="str">
        <f ca="1">IF(ROWS($1:11)&gt;COUNT(Dong5),"",OFFSET(TH!F$1,SMALL(Dong5,ROWS($1:11)),)&amp;" - "&amp;OFFSET(TH!H$1,SMALL(Dong5,ROWS($1:11)),))</f>
        <v>Trả vốn mượn - Cty TNHH Hải Sản An Lạc</v>
      </c>
      <c r="E25" s="353" t="str">
        <f ca="1">IF(ROWS($1:11)&gt;COUNT(Dong5),"",IF(OFFSET(TH!O$1,SMALL(Dong5,ROWS($1:11)),)=$E$7,OFFSET(TH!P$1,SMALL(Dong5,ROWS($1:11)),),OFFSET(TH!O$1,SMALL(Dong5,ROWS($1:11)),)))</f>
        <v>1111</v>
      </c>
      <c r="F25" s="445">
        <f ca="1">IF(ROWS($1:11)&gt;COUNT(Dong5),0,IF(OFFSET(TH!O$1,SMALL(Dong5,ROWS($1:11)),)=$E$7,OFFSET(TH!M$1,SMALL(Dong5,ROWS($1:11)),),0))</f>
        <v>95000000</v>
      </c>
      <c r="G25" s="443">
        <f ca="1">IF(ROWS($1:11)&gt;COUNT(Dong5),0,IF(OFFSET(TH!P$1,SMALL(Dong5,ROWS($1:11)),)=$E$7,OFFSET(TH!M$1,SMALL(Dong5,ROWS($1:11)),),0))</f>
        <v>0</v>
      </c>
      <c r="H25" s="446">
        <f t="shared" ca="1" si="0"/>
        <v>0</v>
      </c>
      <c r="I25" s="446">
        <f t="shared" ca="1" si="1"/>
        <v>6905000000</v>
      </c>
    </row>
    <row r="26" spans="1:9" s="18" customFormat="1" ht="18" customHeight="1">
      <c r="A26" s="353">
        <f ca="1">IF(ROWS($1:12)&gt;COUNT(Dong5),"",OFFSET(TH!C$1,SMALL(Dong5,ROWS($1:12)),))</f>
        <v>42494</v>
      </c>
      <c r="B26" s="353" t="str">
        <f ca="1">IF(ROWS($1:12)&gt;COUNT(Dong5),"",OFFSET(TH!D$1,SMALL(Dong5,ROWS($1:12)),))</f>
        <v>GBC</v>
      </c>
      <c r="C26" s="353">
        <f ca="1">IF(ROWS($1:12)&gt;COUNT(Dong5),"",OFFSET(TH!E$1,SMALL(Dong5,ROWS($1:12)),))</f>
        <v>42494</v>
      </c>
      <c r="D26" s="444" t="str">
        <f ca="1">IF(ROWS($1:12)&gt;COUNT(Dong5),"",OFFSET(TH!F$1,SMALL(Dong5,ROWS($1:12)),)&amp;" - "&amp;OFFSET(TH!H$1,SMALL(Dong5,ROWS($1:12)),))</f>
        <v>Ứng vốn - Cty TNHH Hải Sản An Lạc</v>
      </c>
      <c r="E26" s="353" t="str">
        <f ca="1">IF(ROWS($1:12)&gt;COUNT(Dong5),"",IF(OFFSET(TH!O$1,SMALL(Dong5,ROWS($1:12)),)=$E$7,OFFSET(TH!P$1,SMALL(Dong5,ROWS($1:12)),),OFFSET(TH!O$1,SMALL(Dong5,ROWS($1:12)),)))</f>
        <v>1121</v>
      </c>
      <c r="F26" s="445">
        <f ca="1">IF(ROWS($1:12)&gt;COUNT(Dong5),0,IF(OFFSET(TH!O$1,SMALL(Dong5,ROWS($1:12)),)=$E$7,OFFSET(TH!M$1,SMALL(Dong5,ROWS($1:12)),),0))</f>
        <v>0</v>
      </c>
      <c r="G26" s="443">
        <f ca="1">IF(ROWS($1:12)&gt;COUNT(Dong5),0,IF(OFFSET(TH!P$1,SMALL(Dong5,ROWS($1:12)),)=$E$7,OFFSET(TH!M$1,SMALL(Dong5,ROWS($1:12)),),0))</f>
        <v>95000000</v>
      </c>
      <c r="H26" s="446">
        <f t="shared" ca="1" si="0"/>
        <v>0</v>
      </c>
      <c r="I26" s="446">
        <f t="shared" ca="1" si="1"/>
        <v>7000000000</v>
      </c>
    </row>
    <row r="27" spans="1:9" s="18" customFormat="1" ht="18" customHeight="1">
      <c r="A27" s="353">
        <f ca="1">IF(ROWS($1:13)&gt;COUNT(Dong5),"",OFFSET(TH!C$1,SMALL(Dong5,ROWS($1:13)),))</f>
        <v>42509</v>
      </c>
      <c r="B27" s="353" t="str">
        <f ca="1">IF(ROWS($1:13)&gt;COUNT(Dong5),"",OFFSET(TH!D$1,SMALL(Dong5,ROWS($1:13)),))</f>
        <v>C32</v>
      </c>
      <c r="C27" s="353">
        <f ca="1">IF(ROWS($1:13)&gt;COUNT(Dong5),"",OFFSET(TH!E$1,SMALL(Dong5,ROWS($1:13)),))</f>
        <v>42509</v>
      </c>
      <c r="D27" s="444" t="str">
        <f ca="1">IF(ROWS($1:13)&gt;COUNT(Dong5),"",OFFSET(TH!F$1,SMALL(Dong5,ROWS($1:13)),)&amp;" - "&amp;OFFSET(TH!H$1,SMALL(Dong5,ROWS($1:13)),))</f>
        <v>Trả vốn mượn - Cty TNHH Hải Sản An Lạc</v>
      </c>
      <c r="E27" s="353" t="str">
        <f ca="1">IF(ROWS($1:13)&gt;COUNT(Dong5),"",IF(OFFSET(TH!O$1,SMALL(Dong5,ROWS($1:13)),)=$E$7,OFFSET(TH!P$1,SMALL(Dong5,ROWS($1:13)),),OFFSET(TH!O$1,SMALL(Dong5,ROWS($1:13)),)))</f>
        <v>1111</v>
      </c>
      <c r="F27" s="445">
        <f ca="1">IF(ROWS($1:13)&gt;COUNT(Dong5),0,IF(OFFSET(TH!O$1,SMALL(Dong5,ROWS($1:13)),)=$E$7,OFFSET(TH!M$1,SMALL(Dong5,ROWS($1:13)),),0))</f>
        <v>14000000</v>
      </c>
      <c r="G27" s="443">
        <f ca="1">IF(ROWS($1:13)&gt;COUNT(Dong5),0,IF(OFFSET(TH!P$1,SMALL(Dong5,ROWS($1:13)),)=$E$7,OFFSET(TH!M$1,SMALL(Dong5,ROWS($1:13)),),0))</f>
        <v>0</v>
      </c>
      <c r="H27" s="446">
        <f t="shared" ca="1" si="0"/>
        <v>0</v>
      </c>
      <c r="I27" s="446">
        <f t="shared" ca="1" si="1"/>
        <v>6986000000</v>
      </c>
    </row>
    <row r="28" spans="1:9" s="18" customFormat="1" ht="18" customHeight="1">
      <c r="A28" s="353">
        <f ca="1">IF(ROWS($1:14)&gt;COUNT(Dong5),"",OFFSET(TH!C$1,SMALL(Dong5,ROWS($1:14)),))</f>
        <v>42509</v>
      </c>
      <c r="B28" s="353" t="str">
        <f ca="1">IF(ROWS($1:14)&gt;COUNT(Dong5),"",OFFSET(TH!D$1,SMALL(Dong5,ROWS($1:14)),))</f>
        <v>GBC</v>
      </c>
      <c r="C28" s="353">
        <f ca="1">IF(ROWS($1:14)&gt;COUNT(Dong5),"",OFFSET(TH!E$1,SMALL(Dong5,ROWS($1:14)),))</f>
        <v>42509</v>
      </c>
      <c r="D28" s="444" t="str">
        <f ca="1">IF(ROWS($1:14)&gt;COUNT(Dong5),"",OFFSET(TH!F$1,SMALL(Dong5,ROWS($1:14)),)&amp;" - "&amp;OFFSET(TH!H$1,SMALL(Dong5,ROWS($1:14)),))</f>
        <v>Ứng vốn - Cty TNHH Hải Sản An Lạc</v>
      </c>
      <c r="E28" s="353" t="str">
        <f ca="1">IF(ROWS($1:14)&gt;COUNT(Dong5),"",IF(OFFSET(TH!O$1,SMALL(Dong5,ROWS($1:14)),)=$E$7,OFFSET(TH!P$1,SMALL(Dong5,ROWS($1:14)),),OFFSET(TH!O$1,SMALL(Dong5,ROWS($1:14)),)))</f>
        <v>1121</v>
      </c>
      <c r="F28" s="445">
        <f ca="1">IF(ROWS($1:14)&gt;COUNT(Dong5),0,IF(OFFSET(TH!O$1,SMALL(Dong5,ROWS($1:14)),)=$E$7,OFFSET(TH!M$1,SMALL(Dong5,ROWS($1:14)),),0))</f>
        <v>0</v>
      </c>
      <c r="G28" s="443">
        <f ca="1">IF(ROWS($1:14)&gt;COUNT(Dong5),0,IF(OFFSET(TH!P$1,SMALL(Dong5,ROWS($1:14)),)=$E$7,OFFSET(TH!M$1,SMALL(Dong5,ROWS($1:14)),),0))</f>
        <v>14000000</v>
      </c>
      <c r="H28" s="446">
        <f t="shared" ca="1" si="0"/>
        <v>0</v>
      </c>
      <c r="I28" s="446">
        <f t="shared" ca="1" si="1"/>
        <v>7000000000</v>
      </c>
    </row>
    <row r="29" spans="1:9" s="18" customFormat="1" ht="18" customHeight="1">
      <c r="A29" s="353">
        <f ca="1">IF(ROWS($1:15)&gt;COUNT(Dong5),"",OFFSET(TH!C$1,SMALL(Dong5,ROWS($1:15)),))</f>
        <v>42515</v>
      </c>
      <c r="B29" s="353" t="str">
        <f ca="1">IF(ROWS($1:15)&gt;COUNT(Dong5),"",OFFSET(TH!D$1,SMALL(Dong5,ROWS($1:15)),))</f>
        <v>C33</v>
      </c>
      <c r="C29" s="353">
        <f ca="1">IF(ROWS($1:15)&gt;COUNT(Dong5),"",OFFSET(TH!E$1,SMALL(Dong5,ROWS($1:15)),))</f>
        <v>42515</v>
      </c>
      <c r="D29" s="444" t="str">
        <f ca="1">IF(ROWS($1:15)&gt;COUNT(Dong5),"",OFFSET(TH!F$1,SMALL(Dong5,ROWS($1:15)),)&amp;" - "&amp;OFFSET(TH!H$1,SMALL(Dong5,ROWS($1:15)),))</f>
        <v>Trả vốn mượn - Cty TNHH Hải Sản An Lạc</v>
      </c>
      <c r="E29" s="353" t="str">
        <f ca="1">IF(ROWS($1:15)&gt;COUNT(Dong5),"",IF(OFFSET(TH!O$1,SMALL(Dong5,ROWS($1:15)),)=$E$7,OFFSET(TH!P$1,SMALL(Dong5,ROWS($1:15)),),OFFSET(TH!O$1,SMALL(Dong5,ROWS($1:15)),)))</f>
        <v>1111</v>
      </c>
      <c r="F29" s="445">
        <f ca="1">IF(ROWS($1:15)&gt;COUNT(Dong5),0,IF(OFFSET(TH!O$1,SMALL(Dong5,ROWS($1:15)),)=$E$7,OFFSET(TH!M$1,SMALL(Dong5,ROWS($1:15)),),0))</f>
        <v>85000000</v>
      </c>
      <c r="G29" s="443">
        <f ca="1">IF(ROWS($1:15)&gt;COUNT(Dong5),0,IF(OFFSET(TH!P$1,SMALL(Dong5,ROWS($1:15)),)=$E$7,OFFSET(TH!M$1,SMALL(Dong5,ROWS($1:15)),),0))</f>
        <v>0</v>
      </c>
      <c r="H29" s="446">
        <f t="shared" ca="1" si="0"/>
        <v>0</v>
      </c>
      <c r="I29" s="446">
        <f t="shared" ca="1" si="1"/>
        <v>6915000000</v>
      </c>
    </row>
    <row r="30" spans="1:9" s="18" customFormat="1" ht="18" customHeight="1">
      <c r="A30" s="353">
        <f ca="1">IF(ROWS($1:16)&gt;COUNT(Dong5),"",OFFSET(TH!C$1,SMALL(Dong5,ROWS($1:16)),))</f>
        <v>42515</v>
      </c>
      <c r="B30" s="353" t="str">
        <f ca="1">IF(ROWS($1:16)&gt;COUNT(Dong5),"",OFFSET(TH!D$1,SMALL(Dong5,ROWS($1:16)),))</f>
        <v>GBC</v>
      </c>
      <c r="C30" s="353">
        <f ca="1">IF(ROWS($1:16)&gt;COUNT(Dong5),"",OFFSET(TH!E$1,SMALL(Dong5,ROWS($1:16)),))</f>
        <v>42515</v>
      </c>
      <c r="D30" s="444" t="str">
        <f ca="1">IF(ROWS($1:16)&gt;COUNT(Dong5),"",OFFSET(TH!F$1,SMALL(Dong5,ROWS($1:16)),)&amp;" - "&amp;OFFSET(TH!H$1,SMALL(Dong5,ROWS($1:16)),))</f>
        <v>Ứng vốn - Cty TNHH Hải Sản An Lạc</v>
      </c>
      <c r="E30" s="353" t="str">
        <f ca="1">IF(ROWS($1:16)&gt;COUNT(Dong5),"",IF(OFFSET(TH!O$1,SMALL(Dong5,ROWS($1:16)),)=$E$7,OFFSET(TH!P$1,SMALL(Dong5,ROWS($1:16)),),OFFSET(TH!O$1,SMALL(Dong5,ROWS($1:16)),)))</f>
        <v>1121</v>
      </c>
      <c r="F30" s="445">
        <f ca="1">IF(ROWS($1:16)&gt;COUNT(Dong5),0,IF(OFFSET(TH!O$1,SMALL(Dong5,ROWS($1:16)),)=$E$7,OFFSET(TH!M$1,SMALL(Dong5,ROWS($1:16)),),0))</f>
        <v>0</v>
      </c>
      <c r="G30" s="443">
        <f ca="1">IF(ROWS($1:16)&gt;COUNT(Dong5),0,IF(OFFSET(TH!P$1,SMALL(Dong5,ROWS($1:16)),)=$E$7,OFFSET(TH!M$1,SMALL(Dong5,ROWS($1:16)),),0))</f>
        <v>85000000</v>
      </c>
      <c r="H30" s="446">
        <f t="shared" ca="1" si="0"/>
        <v>0</v>
      </c>
      <c r="I30" s="446">
        <f t="shared" ca="1" si="1"/>
        <v>7000000000</v>
      </c>
    </row>
    <row r="31" spans="1:9" s="18" customFormat="1" ht="18" customHeight="1">
      <c r="A31" s="353">
        <f ca="1">IF(ROWS($1:17)&gt;COUNT(Dong5),"",OFFSET(TH!C$1,SMALL(Dong5,ROWS($1:17)),))</f>
        <v>42538</v>
      </c>
      <c r="B31" s="353" t="str">
        <f ca="1">IF(ROWS($1:17)&gt;COUNT(Dong5),"",OFFSET(TH!D$1,SMALL(Dong5,ROWS($1:17)),))</f>
        <v>GBC</v>
      </c>
      <c r="C31" s="353">
        <f ca="1">IF(ROWS($1:17)&gt;COUNT(Dong5),"",OFFSET(TH!E$1,SMALL(Dong5,ROWS($1:17)),))</f>
        <v>42538</v>
      </c>
      <c r="D31" s="444" t="str">
        <f ca="1">IF(ROWS($1:17)&gt;COUNT(Dong5),"",OFFSET(TH!F$1,SMALL(Dong5,ROWS($1:17)),)&amp;" - "&amp;OFFSET(TH!H$1,SMALL(Dong5,ROWS($1:17)),))</f>
        <v>Ứng vốn - Cty TNHH Hải Sản An Lạc</v>
      </c>
      <c r="E31" s="353" t="str">
        <f ca="1">IF(ROWS($1:17)&gt;COUNT(Dong5),"",IF(OFFSET(TH!O$1,SMALL(Dong5,ROWS($1:17)),)=$E$7,OFFSET(TH!P$1,SMALL(Dong5,ROWS($1:17)),),OFFSET(TH!O$1,SMALL(Dong5,ROWS($1:17)),)))</f>
        <v>1121</v>
      </c>
      <c r="F31" s="445">
        <f ca="1">IF(ROWS($1:17)&gt;COUNT(Dong5),0,IF(OFFSET(TH!O$1,SMALL(Dong5,ROWS($1:17)),)=$E$7,OFFSET(TH!M$1,SMALL(Dong5,ROWS($1:17)),),0))</f>
        <v>0</v>
      </c>
      <c r="G31" s="443">
        <f ca="1">IF(ROWS($1:17)&gt;COUNT(Dong5),0,IF(OFFSET(TH!P$1,SMALL(Dong5,ROWS($1:17)),)=$E$7,OFFSET(TH!M$1,SMALL(Dong5,ROWS($1:17)),),0))</f>
        <v>1975000000</v>
      </c>
      <c r="H31" s="446">
        <f t="shared" ca="1" si="0"/>
        <v>0</v>
      </c>
      <c r="I31" s="446">
        <f t="shared" ca="1" si="1"/>
        <v>8975000000</v>
      </c>
    </row>
    <row r="32" spans="1:9" s="18" customFormat="1" ht="18" customHeight="1">
      <c r="A32" s="353">
        <f ca="1">IF(ROWS($1:18)&gt;COUNT(Dong5),"",OFFSET(TH!C$1,SMALL(Dong5,ROWS($1:18)),))</f>
        <v>42543</v>
      </c>
      <c r="B32" s="353" t="str">
        <f ca="1">IF(ROWS($1:18)&gt;COUNT(Dong5),"",OFFSET(TH!D$1,SMALL(Dong5,ROWS($1:18)),))</f>
        <v>GBN</v>
      </c>
      <c r="C32" s="353">
        <f ca="1">IF(ROWS($1:18)&gt;COUNT(Dong5),"",OFFSET(TH!E$1,SMALL(Dong5,ROWS($1:18)),))</f>
        <v>42543</v>
      </c>
      <c r="D32" s="444" t="str">
        <f ca="1">IF(ROWS($1:18)&gt;COUNT(Dong5),"",OFFSET(TH!F$1,SMALL(Dong5,ROWS($1:18)),)&amp;" - "&amp;OFFSET(TH!H$1,SMALL(Dong5,ROWS($1:18)),))</f>
        <v>Hoàn vốn - Cty TNHH Hải Sản An Lạc</v>
      </c>
      <c r="E32" s="353" t="str">
        <f ca="1">IF(ROWS($1:18)&gt;COUNT(Dong5),"",IF(OFFSET(TH!O$1,SMALL(Dong5,ROWS($1:18)),)=$E$7,OFFSET(TH!P$1,SMALL(Dong5,ROWS($1:18)),),OFFSET(TH!O$1,SMALL(Dong5,ROWS($1:18)),)))</f>
        <v>1121</v>
      </c>
      <c r="F32" s="445">
        <f ca="1">IF(ROWS($1:18)&gt;COUNT(Dong5),0,IF(OFFSET(TH!O$1,SMALL(Dong5,ROWS($1:18)),)=$E$7,OFFSET(TH!M$1,SMALL(Dong5,ROWS($1:18)),),0))</f>
        <v>8000000</v>
      </c>
      <c r="G32" s="443">
        <f ca="1">IF(ROWS($1:18)&gt;COUNT(Dong5),0,IF(OFFSET(TH!P$1,SMALL(Dong5,ROWS($1:18)),)=$E$7,OFFSET(TH!M$1,SMALL(Dong5,ROWS($1:18)),),0))</f>
        <v>0</v>
      </c>
      <c r="H32" s="446">
        <f t="shared" ca="1" si="0"/>
        <v>0</v>
      </c>
      <c r="I32" s="446">
        <f t="shared" ca="1" si="1"/>
        <v>8967000000</v>
      </c>
    </row>
    <row r="33" spans="1:9" s="18" customFormat="1" ht="18" customHeight="1">
      <c r="A33" s="353">
        <f ca="1">IF(ROWS($1:19)&gt;COUNT(Dong5),"",OFFSET(TH!C$1,SMALL(Dong5,ROWS($1:19)),))</f>
        <v>42543</v>
      </c>
      <c r="B33" s="353" t="str">
        <f ca="1">IF(ROWS($1:19)&gt;COUNT(Dong5),"",OFFSET(TH!D$1,SMALL(Dong5,ROWS($1:19)),))</f>
        <v>GBN</v>
      </c>
      <c r="C33" s="353">
        <f ca="1">IF(ROWS($1:19)&gt;COUNT(Dong5),"",OFFSET(TH!E$1,SMALL(Dong5,ROWS($1:19)),))</f>
        <v>42543</v>
      </c>
      <c r="D33" s="444" t="str">
        <f ca="1">IF(ROWS($1:19)&gt;COUNT(Dong5),"",OFFSET(TH!F$1,SMALL(Dong5,ROWS($1:19)),)&amp;" - "&amp;OFFSET(TH!H$1,SMALL(Dong5,ROWS($1:19)),))</f>
        <v>Hoàn vốn - Cty TNHH Hải Sản An Lạc</v>
      </c>
      <c r="E33" s="353" t="str">
        <f ca="1">IF(ROWS($1:19)&gt;COUNT(Dong5),"",IF(OFFSET(TH!O$1,SMALL(Dong5,ROWS($1:19)),)=$E$7,OFFSET(TH!P$1,SMALL(Dong5,ROWS($1:19)),),OFFSET(TH!O$1,SMALL(Dong5,ROWS($1:19)),)))</f>
        <v>1121</v>
      </c>
      <c r="F33" s="445">
        <f ca="1">IF(ROWS($1:19)&gt;COUNT(Dong5),0,IF(OFFSET(TH!O$1,SMALL(Dong5,ROWS($1:19)),)=$E$7,OFFSET(TH!M$1,SMALL(Dong5,ROWS($1:19)),),0))</f>
        <v>7000000</v>
      </c>
      <c r="G33" s="443">
        <f ca="1">IF(ROWS($1:19)&gt;COUNT(Dong5),0,IF(OFFSET(TH!P$1,SMALL(Dong5,ROWS($1:19)),)=$E$7,OFFSET(TH!M$1,SMALL(Dong5,ROWS($1:19)),),0))</f>
        <v>0</v>
      </c>
      <c r="H33" s="446">
        <f t="shared" ref="H33:H46" ca="1" si="2">IF(D33&lt;&gt;"",MAX(H32+F33-G33-I32,0),0)</f>
        <v>0</v>
      </c>
      <c r="I33" s="446">
        <f t="shared" ref="I33:I46" ca="1" si="3">IF(D33&lt;&gt;"",MAX(I32+G33-H32-F33,0),0)</f>
        <v>8960000000</v>
      </c>
    </row>
    <row r="34" spans="1:9" s="18" customFormat="1" ht="18" customHeight="1">
      <c r="A34" s="353">
        <f ca="1">IF(ROWS($1:20)&gt;COUNT(Dong5),"",OFFSET(TH!C$1,SMALL(Dong5,ROWS($1:20)),))</f>
        <v>42544</v>
      </c>
      <c r="B34" s="353" t="str">
        <f ca="1">IF(ROWS($1:20)&gt;COUNT(Dong5),"",OFFSET(TH!D$1,SMALL(Dong5,ROWS($1:20)),))</f>
        <v>C45</v>
      </c>
      <c r="C34" s="353">
        <f ca="1">IF(ROWS($1:20)&gt;COUNT(Dong5),"",OFFSET(TH!E$1,SMALL(Dong5,ROWS($1:20)),))</f>
        <v>42544</v>
      </c>
      <c r="D34" s="444" t="str">
        <f ca="1">IF(ROWS($1:20)&gt;COUNT(Dong5),"",OFFSET(TH!F$1,SMALL(Dong5,ROWS($1:20)),)&amp;" - "&amp;OFFSET(TH!H$1,SMALL(Dong5,ROWS($1:20)),))</f>
        <v>Hoàn vốn mượn - Cty TNHH Hải Sản An Lạc</v>
      </c>
      <c r="E34" s="353" t="str">
        <f ca="1">IF(ROWS($1:20)&gt;COUNT(Dong5),"",IF(OFFSET(TH!O$1,SMALL(Dong5,ROWS($1:20)),)=$E$7,OFFSET(TH!P$1,SMALL(Dong5,ROWS($1:20)),),OFFSET(TH!O$1,SMALL(Dong5,ROWS($1:20)),)))</f>
        <v>1111</v>
      </c>
      <c r="F34" s="445">
        <f ca="1">IF(ROWS($1:20)&gt;COUNT(Dong5),0,IF(OFFSET(TH!O$1,SMALL(Dong5,ROWS($1:20)),)=$E$7,OFFSET(TH!M$1,SMALL(Dong5,ROWS($1:20)),),0))</f>
        <v>1960000000</v>
      </c>
      <c r="G34" s="443">
        <f ca="1">IF(ROWS($1:20)&gt;COUNT(Dong5),0,IF(OFFSET(TH!P$1,SMALL(Dong5,ROWS($1:20)),)=$E$7,OFFSET(TH!M$1,SMALL(Dong5,ROWS($1:20)),),0))</f>
        <v>0</v>
      </c>
      <c r="H34" s="446">
        <f t="shared" ca="1" si="2"/>
        <v>0</v>
      </c>
      <c r="I34" s="446">
        <f t="shared" ca="1" si="3"/>
        <v>7000000000</v>
      </c>
    </row>
    <row r="35" spans="1:9" s="18" customFormat="1" ht="18" customHeight="1">
      <c r="A35" s="353">
        <f ca="1">IF(ROWS($1:21)&gt;COUNT(Dong5),"",OFFSET(TH!C$1,SMALL(Dong5,ROWS($1:21)),))</f>
        <v>42549</v>
      </c>
      <c r="B35" s="353" t="str">
        <f ca="1">IF(ROWS($1:21)&gt;COUNT(Dong5),"",OFFSET(TH!D$1,SMALL(Dong5,ROWS($1:21)),))</f>
        <v>C49</v>
      </c>
      <c r="C35" s="353">
        <f ca="1">IF(ROWS($1:21)&gt;COUNT(Dong5),"",OFFSET(TH!E$1,SMALL(Dong5,ROWS($1:21)),))</f>
        <v>42549</v>
      </c>
      <c r="D35" s="444" t="str">
        <f ca="1">IF(ROWS($1:21)&gt;COUNT(Dong5),"",OFFSET(TH!F$1,SMALL(Dong5,ROWS($1:21)),)&amp;" - "&amp;OFFSET(TH!H$1,SMALL(Dong5,ROWS($1:21)),))</f>
        <v>Hoàn trả vốn mượn - Cty TNHH Hải Sản An Lạc</v>
      </c>
      <c r="E35" s="353" t="str">
        <f ca="1">IF(ROWS($1:21)&gt;COUNT(Dong5),"",IF(OFFSET(TH!O$1,SMALL(Dong5,ROWS($1:21)),)=$E$7,OFFSET(TH!P$1,SMALL(Dong5,ROWS($1:21)),),OFFSET(TH!O$1,SMALL(Dong5,ROWS($1:21)),)))</f>
        <v>1111</v>
      </c>
      <c r="F35" s="445">
        <f ca="1">IF(ROWS($1:21)&gt;COUNT(Dong5),0,IF(OFFSET(TH!O$1,SMALL(Dong5,ROWS($1:21)),)=$E$7,OFFSET(TH!M$1,SMALL(Dong5,ROWS($1:21)),),0))</f>
        <v>31000000</v>
      </c>
      <c r="G35" s="443">
        <f ca="1">IF(ROWS($1:21)&gt;COUNT(Dong5),0,IF(OFFSET(TH!P$1,SMALL(Dong5,ROWS($1:21)),)=$E$7,OFFSET(TH!M$1,SMALL(Dong5,ROWS($1:21)),),0))</f>
        <v>0</v>
      </c>
      <c r="H35" s="446">
        <f t="shared" ca="1" si="2"/>
        <v>0</v>
      </c>
      <c r="I35" s="446">
        <f t="shared" ca="1" si="3"/>
        <v>6969000000</v>
      </c>
    </row>
    <row r="36" spans="1:9" s="18" customFormat="1" ht="18" customHeight="1">
      <c r="A36" s="353">
        <f ca="1">IF(ROWS($1:22)&gt;COUNT(Dong5),"",OFFSET(TH!C$1,SMALL(Dong5,ROWS($1:22)),))</f>
        <v>42549</v>
      </c>
      <c r="B36" s="353" t="str">
        <f ca="1">IF(ROWS($1:22)&gt;COUNT(Dong5),"",OFFSET(TH!D$1,SMALL(Dong5,ROWS($1:22)),))</f>
        <v>GBC</v>
      </c>
      <c r="C36" s="353">
        <f ca="1">IF(ROWS($1:22)&gt;COUNT(Dong5),"",OFFSET(TH!E$1,SMALL(Dong5,ROWS($1:22)),))</f>
        <v>42549</v>
      </c>
      <c r="D36" s="444" t="str">
        <f ca="1">IF(ROWS($1:22)&gt;COUNT(Dong5),"",OFFSET(TH!F$1,SMALL(Dong5,ROWS($1:22)),)&amp;" - "&amp;OFFSET(TH!H$1,SMALL(Dong5,ROWS($1:22)),))</f>
        <v>Ứng vốn - Cty TNHH Hải Sản An Lạc</v>
      </c>
      <c r="E36" s="353" t="str">
        <f ca="1">IF(ROWS($1:22)&gt;COUNT(Dong5),"",IF(OFFSET(TH!O$1,SMALL(Dong5,ROWS($1:22)),)=$E$7,OFFSET(TH!P$1,SMALL(Dong5,ROWS($1:22)),),OFFSET(TH!O$1,SMALL(Dong5,ROWS($1:22)),)))</f>
        <v>1121</v>
      </c>
      <c r="F36" s="445">
        <f ca="1">IF(ROWS($1:22)&gt;COUNT(Dong5),0,IF(OFFSET(TH!O$1,SMALL(Dong5,ROWS($1:22)),)=$E$7,OFFSET(TH!M$1,SMALL(Dong5,ROWS($1:22)),),0))</f>
        <v>0</v>
      </c>
      <c r="G36" s="443">
        <f ca="1">IF(ROWS($1:22)&gt;COUNT(Dong5),0,IF(OFFSET(TH!P$1,SMALL(Dong5,ROWS($1:22)),)=$E$7,OFFSET(TH!M$1,SMALL(Dong5,ROWS($1:22)),),0))</f>
        <v>31000000</v>
      </c>
      <c r="H36" s="446">
        <f t="shared" ca="1" si="2"/>
        <v>0</v>
      </c>
      <c r="I36" s="446">
        <f t="shared" ca="1" si="3"/>
        <v>7000000000</v>
      </c>
    </row>
    <row r="37" spans="1:9" s="18" customFormat="1" ht="18" customHeight="1">
      <c r="A37" s="353">
        <f ca="1">IF(ROWS($1:23)&gt;COUNT(Dong5),"",OFFSET(TH!C$1,SMALL(Dong5,ROWS($1:23)),))</f>
        <v>42566</v>
      </c>
      <c r="B37" s="353" t="str">
        <f ca="1">IF(ROWS($1:23)&gt;COUNT(Dong5),"",OFFSET(TH!D$1,SMALL(Dong5,ROWS($1:23)),))</f>
        <v>C12</v>
      </c>
      <c r="C37" s="353">
        <f ca="1">IF(ROWS($1:23)&gt;COUNT(Dong5),"",OFFSET(TH!E$1,SMALL(Dong5,ROWS($1:23)),))</f>
        <v>42566</v>
      </c>
      <c r="D37" s="444" t="str">
        <f ca="1">IF(ROWS($1:23)&gt;COUNT(Dong5),"",OFFSET(TH!F$1,SMALL(Dong5,ROWS($1:23)),)&amp;" - "&amp;OFFSET(TH!H$1,SMALL(Dong5,ROWS($1:23)),))</f>
        <v>Hoàn vốn - Cty TNHH Hải Sản An Lạc</v>
      </c>
      <c r="E37" s="353" t="str">
        <f ca="1">IF(ROWS($1:23)&gt;COUNT(Dong5),"",IF(OFFSET(TH!O$1,SMALL(Dong5,ROWS($1:23)),)=$E$7,OFFSET(TH!P$1,SMALL(Dong5,ROWS($1:23)),),OFFSET(TH!O$1,SMALL(Dong5,ROWS($1:23)),)))</f>
        <v>1111</v>
      </c>
      <c r="F37" s="445">
        <f ca="1">IF(ROWS($1:23)&gt;COUNT(Dong5),0,IF(OFFSET(TH!O$1,SMALL(Dong5,ROWS($1:23)),)=$E$7,OFFSET(TH!M$1,SMALL(Dong5,ROWS($1:23)),),0))</f>
        <v>29000000</v>
      </c>
      <c r="G37" s="443">
        <f ca="1">IF(ROWS($1:23)&gt;COUNT(Dong5),0,IF(OFFSET(TH!P$1,SMALL(Dong5,ROWS($1:23)),)=$E$7,OFFSET(TH!M$1,SMALL(Dong5,ROWS($1:23)),),0))</f>
        <v>0</v>
      </c>
      <c r="H37" s="446">
        <f t="shared" ca="1" si="2"/>
        <v>0</v>
      </c>
      <c r="I37" s="446">
        <f t="shared" ca="1" si="3"/>
        <v>6971000000</v>
      </c>
    </row>
    <row r="38" spans="1:9" s="18" customFormat="1" ht="18" customHeight="1">
      <c r="A38" s="353">
        <f ca="1">IF(ROWS($1:24)&gt;COUNT(Dong5),"",OFFSET(TH!C$1,SMALL(Dong5,ROWS($1:24)),))</f>
        <v>42566</v>
      </c>
      <c r="B38" s="353" t="str">
        <f ca="1">IF(ROWS($1:24)&gt;COUNT(Dong5),"",OFFSET(TH!D$1,SMALL(Dong5,ROWS($1:24)),))</f>
        <v>C13</v>
      </c>
      <c r="C38" s="353">
        <f ca="1">IF(ROWS($1:24)&gt;COUNT(Dong5),"",OFFSET(TH!E$1,SMALL(Dong5,ROWS($1:24)),))</f>
        <v>42573</v>
      </c>
      <c r="D38" s="444" t="str">
        <f ca="1">IF(ROWS($1:24)&gt;COUNT(Dong5),"",OFFSET(TH!F$1,SMALL(Dong5,ROWS($1:24)),)&amp;" - "&amp;OFFSET(TH!H$1,SMALL(Dong5,ROWS($1:24)),))</f>
        <v>Hoàn vốn - Cty TNHH Hải Sản An Lạc</v>
      </c>
      <c r="E38" s="353" t="str">
        <f ca="1">IF(ROWS($1:24)&gt;COUNT(Dong5),"",IF(OFFSET(TH!O$1,SMALL(Dong5,ROWS($1:24)),)=$E$7,OFFSET(TH!P$1,SMALL(Dong5,ROWS($1:24)),),OFFSET(TH!O$1,SMALL(Dong5,ROWS($1:24)),)))</f>
        <v>1111</v>
      </c>
      <c r="F38" s="445">
        <f ca="1">IF(ROWS($1:24)&gt;COUNT(Dong5),0,IF(OFFSET(TH!O$1,SMALL(Dong5,ROWS($1:24)),)=$E$7,OFFSET(TH!M$1,SMALL(Dong5,ROWS($1:24)),),0))</f>
        <v>160000000</v>
      </c>
      <c r="G38" s="443">
        <f ca="1">IF(ROWS($1:24)&gt;COUNT(Dong5),0,IF(OFFSET(TH!P$1,SMALL(Dong5,ROWS($1:24)),)=$E$7,OFFSET(TH!M$1,SMALL(Dong5,ROWS($1:24)),),0))</f>
        <v>0</v>
      </c>
      <c r="H38" s="446">
        <f t="shared" ca="1" si="2"/>
        <v>0</v>
      </c>
      <c r="I38" s="446">
        <f t="shared" ca="1" si="3"/>
        <v>6811000000</v>
      </c>
    </row>
    <row r="39" spans="1:9" s="18" customFormat="1" ht="18" customHeight="1">
      <c r="A39" s="353">
        <f ca="1">IF(ROWS($1:25)&gt;COUNT(Dong5),"",OFFSET(TH!C$1,SMALL(Dong5,ROWS($1:25)),))</f>
        <v>42566</v>
      </c>
      <c r="B39" s="353" t="str">
        <f ca="1">IF(ROWS($1:25)&gt;COUNT(Dong5),"",OFFSET(TH!D$1,SMALL(Dong5,ROWS($1:25)),))</f>
        <v>GBC</v>
      </c>
      <c r="C39" s="353">
        <f ca="1">IF(ROWS($1:25)&gt;COUNT(Dong5),"",OFFSET(TH!E$1,SMALL(Dong5,ROWS($1:25)),))</f>
        <v>42566</v>
      </c>
      <c r="D39" s="444" t="str">
        <f ca="1">IF(ROWS($1:25)&gt;COUNT(Dong5),"",OFFSET(TH!F$1,SMALL(Dong5,ROWS($1:25)),)&amp;" - "&amp;OFFSET(TH!H$1,SMALL(Dong5,ROWS($1:25)),))</f>
        <v>Ứng vốn - Cty TNHH Hải Sản An Lạc</v>
      </c>
      <c r="E39" s="353" t="str">
        <f ca="1">IF(ROWS($1:25)&gt;COUNT(Dong5),"",IF(OFFSET(TH!O$1,SMALL(Dong5,ROWS($1:25)),)=$E$7,OFFSET(TH!P$1,SMALL(Dong5,ROWS($1:25)),),OFFSET(TH!O$1,SMALL(Dong5,ROWS($1:25)),)))</f>
        <v>1121</v>
      </c>
      <c r="F39" s="445">
        <f ca="1">IF(ROWS($1:25)&gt;COUNT(Dong5),0,IF(OFFSET(TH!O$1,SMALL(Dong5,ROWS($1:25)),)=$E$7,OFFSET(TH!M$1,SMALL(Dong5,ROWS($1:25)),),0))</f>
        <v>0</v>
      </c>
      <c r="G39" s="443">
        <f ca="1">IF(ROWS($1:25)&gt;COUNT(Dong5),0,IF(OFFSET(TH!P$1,SMALL(Dong5,ROWS($1:25)),)=$E$7,OFFSET(TH!M$1,SMALL(Dong5,ROWS($1:25)),),0))</f>
        <v>29000000</v>
      </c>
      <c r="H39" s="446">
        <f t="shared" ca="1" si="2"/>
        <v>0</v>
      </c>
      <c r="I39" s="446">
        <f t="shared" ca="1" si="3"/>
        <v>6840000000</v>
      </c>
    </row>
    <row r="40" spans="1:9" s="18" customFormat="1" ht="18" customHeight="1">
      <c r="A40" s="353">
        <f ca="1">IF(ROWS($1:26)&gt;COUNT(Dong5),"",OFFSET(TH!C$1,SMALL(Dong5,ROWS($1:26)),))</f>
        <v>42573</v>
      </c>
      <c r="B40" s="353" t="str">
        <f ca="1">IF(ROWS($1:26)&gt;COUNT(Dong5),"",OFFSET(TH!D$1,SMALL(Dong5,ROWS($1:26)),))</f>
        <v>GBC</v>
      </c>
      <c r="C40" s="353">
        <f ca="1">IF(ROWS($1:26)&gt;COUNT(Dong5),"",OFFSET(TH!E$1,SMALL(Dong5,ROWS($1:26)),))</f>
        <v>42573</v>
      </c>
      <c r="D40" s="444" t="str">
        <f ca="1">IF(ROWS($1:26)&gt;COUNT(Dong5),"",OFFSET(TH!F$1,SMALL(Dong5,ROWS($1:26)),)&amp;" - "&amp;OFFSET(TH!H$1,SMALL(Dong5,ROWS($1:26)),))</f>
        <v>Ứng vốn - Cty TNHH Hải Sản An Lạc</v>
      </c>
      <c r="E40" s="353" t="str">
        <f ca="1">IF(ROWS($1:26)&gt;COUNT(Dong5),"",IF(OFFSET(TH!O$1,SMALL(Dong5,ROWS($1:26)),)=$E$7,OFFSET(TH!P$1,SMALL(Dong5,ROWS($1:26)),),OFFSET(TH!O$1,SMALL(Dong5,ROWS($1:26)),)))</f>
        <v>1121</v>
      </c>
      <c r="F40" s="445">
        <f ca="1">IF(ROWS($1:26)&gt;COUNT(Dong5),0,IF(OFFSET(TH!O$1,SMALL(Dong5,ROWS($1:26)),)=$E$7,OFFSET(TH!M$1,SMALL(Dong5,ROWS($1:26)),),0))</f>
        <v>0</v>
      </c>
      <c r="G40" s="443">
        <f ca="1">IF(ROWS($1:26)&gt;COUNT(Dong5),0,IF(OFFSET(TH!P$1,SMALL(Dong5,ROWS($1:26)),)=$E$7,OFFSET(TH!M$1,SMALL(Dong5,ROWS($1:26)),),0))</f>
        <v>160000000</v>
      </c>
      <c r="H40" s="446">
        <f t="shared" ca="1" si="2"/>
        <v>0</v>
      </c>
      <c r="I40" s="446">
        <f t="shared" ca="1" si="3"/>
        <v>7000000000</v>
      </c>
    </row>
    <row r="41" spans="1:9" s="18" customFormat="1" ht="18" customHeight="1">
      <c r="A41" s="353">
        <f ca="1">IF(ROWS($1:27)&gt;COUNT(Dong5),"",OFFSET(TH!C$1,SMALL(Dong5,ROWS($1:27)),))</f>
        <v>42586</v>
      </c>
      <c r="B41" s="353" t="str">
        <f ca="1">IF(ROWS($1:27)&gt;COUNT(Dong5),"",OFFSET(TH!D$1,SMALL(Dong5,ROWS($1:27)),))</f>
        <v>C22</v>
      </c>
      <c r="C41" s="353">
        <f ca="1">IF(ROWS($1:27)&gt;COUNT(Dong5),"",OFFSET(TH!E$1,SMALL(Dong5,ROWS($1:27)),))</f>
        <v>42586</v>
      </c>
      <c r="D41" s="444" t="str">
        <f ca="1">IF(ROWS($1:27)&gt;COUNT(Dong5),"",OFFSET(TH!F$1,SMALL(Dong5,ROWS($1:27)),)&amp;" - "&amp;OFFSET(TH!H$1,SMALL(Dong5,ROWS($1:27)),))</f>
        <v>Hoàn vốn - Cty TNHH Hải Sản An Lạc</v>
      </c>
      <c r="E41" s="353" t="str">
        <f ca="1">IF(ROWS($1:27)&gt;COUNT(Dong5),"",IF(OFFSET(TH!O$1,SMALL(Dong5,ROWS($1:27)),)=$E$7,OFFSET(TH!P$1,SMALL(Dong5,ROWS($1:27)),),OFFSET(TH!O$1,SMALL(Dong5,ROWS($1:27)),)))</f>
        <v>1111</v>
      </c>
      <c r="F41" s="445">
        <f ca="1">IF(ROWS($1:27)&gt;COUNT(Dong5),0,IF(OFFSET(TH!O$1,SMALL(Dong5,ROWS($1:27)),)=$E$7,OFFSET(TH!M$1,SMALL(Dong5,ROWS($1:27)),),0))</f>
        <v>43000000</v>
      </c>
      <c r="G41" s="443">
        <f ca="1">IF(ROWS($1:27)&gt;COUNT(Dong5),0,IF(OFFSET(TH!P$1,SMALL(Dong5,ROWS($1:27)),)=$E$7,OFFSET(TH!M$1,SMALL(Dong5,ROWS($1:27)),),0))</f>
        <v>0</v>
      </c>
      <c r="H41" s="446">
        <f t="shared" ca="1" si="2"/>
        <v>0</v>
      </c>
      <c r="I41" s="446">
        <f t="shared" ca="1" si="3"/>
        <v>6957000000</v>
      </c>
    </row>
    <row r="42" spans="1:9" s="18" customFormat="1" ht="18" customHeight="1">
      <c r="A42" s="353">
        <f ca="1">IF(ROWS($1:28)&gt;COUNT(Dong5),"",OFFSET(TH!C$1,SMALL(Dong5,ROWS($1:28)),))</f>
        <v>42586</v>
      </c>
      <c r="B42" s="353" t="str">
        <f ca="1">IF(ROWS($1:28)&gt;COUNT(Dong5),"",OFFSET(TH!D$1,SMALL(Dong5,ROWS($1:28)),))</f>
        <v>GBC</v>
      </c>
      <c r="C42" s="353">
        <f ca="1">IF(ROWS($1:28)&gt;COUNT(Dong5),"",OFFSET(TH!E$1,SMALL(Dong5,ROWS($1:28)),))</f>
        <v>42586</v>
      </c>
      <c r="D42" s="444" t="str">
        <f ca="1">IF(ROWS($1:28)&gt;COUNT(Dong5),"",OFFSET(TH!F$1,SMALL(Dong5,ROWS($1:28)),)&amp;" - "&amp;OFFSET(TH!H$1,SMALL(Dong5,ROWS($1:28)),))</f>
        <v>Ứng vốn - Cty TNHH Hải Sản An Lạc</v>
      </c>
      <c r="E42" s="353" t="str">
        <f ca="1">IF(ROWS($1:28)&gt;COUNT(Dong5),"",IF(OFFSET(TH!O$1,SMALL(Dong5,ROWS($1:28)),)=$E$7,OFFSET(TH!P$1,SMALL(Dong5,ROWS($1:28)),),OFFSET(TH!O$1,SMALL(Dong5,ROWS($1:28)),)))</f>
        <v>1121</v>
      </c>
      <c r="F42" s="445">
        <f ca="1">IF(ROWS($1:28)&gt;COUNT(Dong5),0,IF(OFFSET(TH!O$1,SMALL(Dong5,ROWS($1:28)),)=$E$7,OFFSET(TH!M$1,SMALL(Dong5,ROWS($1:28)),),0))</f>
        <v>0</v>
      </c>
      <c r="G42" s="443">
        <f ca="1">IF(ROWS($1:28)&gt;COUNT(Dong5),0,IF(OFFSET(TH!P$1,SMALL(Dong5,ROWS($1:28)),)=$E$7,OFFSET(TH!M$1,SMALL(Dong5,ROWS($1:28)),),0))</f>
        <v>61000000</v>
      </c>
      <c r="H42" s="446">
        <f t="shared" ca="1" si="2"/>
        <v>0</v>
      </c>
      <c r="I42" s="446">
        <f t="shared" ca="1" si="3"/>
        <v>7018000000</v>
      </c>
    </row>
    <row r="43" spans="1:9" s="18" customFormat="1" ht="18" customHeight="1">
      <c r="A43" s="353">
        <f ca="1">IF(ROWS($1:29)&gt;COUNT(Dong5),"",OFFSET(TH!C$1,SMALL(Dong5,ROWS($1:29)),))</f>
        <v>42594</v>
      </c>
      <c r="B43" s="353" t="str">
        <f ca="1">IF(ROWS($1:29)&gt;COUNT(Dong5),"",OFFSET(TH!D$1,SMALL(Dong5,ROWS($1:29)),))</f>
        <v>GBN</v>
      </c>
      <c r="C43" s="353">
        <f ca="1">IF(ROWS($1:29)&gt;COUNT(Dong5),"",OFFSET(TH!E$1,SMALL(Dong5,ROWS($1:29)),))</f>
        <v>42594</v>
      </c>
      <c r="D43" s="444" t="str">
        <f ca="1">IF(ROWS($1:29)&gt;COUNT(Dong5),"",OFFSET(TH!F$1,SMALL(Dong5,ROWS($1:29)),)&amp;" - "&amp;OFFSET(TH!H$1,SMALL(Dong5,ROWS($1:29)),))</f>
        <v>Hoàn vốn AL - Q4 - Cty TNHH Hải Sản An Lạc</v>
      </c>
      <c r="E43" s="353" t="str">
        <f ca="1">IF(ROWS($1:29)&gt;COUNT(Dong5),"",IF(OFFSET(TH!O$1,SMALL(Dong5,ROWS($1:29)),)=$E$7,OFFSET(TH!P$1,SMALL(Dong5,ROWS($1:29)),),OFFSET(TH!O$1,SMALL(Dong5,ROWS($1:29)),)))</f>
        <v>1121</v>
      </c>
      <c r="F43" s="445">
        <f ca="1">IF(ROWS($1:29)&gt;COUNT(Dong5),0,IF(OFFSET(TH!O$1,SMALL(Dong5,ROWS($1:29)),)=$E$7,OFFSET(TH!M$1,SMALL(Dong5,ROWS($1:29)),),0))</f>
        <v>18000000</v>
      </c>
      <c r="G43" s="443">
        <f ca="1">IF(ROWS($1:29)&gt;COUNT(Dong5),0,IF(OFFSET(TH!P$1,SMALL(Dong5,ROWS($1:29)),)=$E$7,OFFSET(TH!M$1,SMALL(Dong5,ROWS($1:29)),),0))</f>
        <v>0</v>
      </c>
      <c r="H43" s="446">
        <f t="shared" ca="1" si="2"/>
        <v>0</v>
      </c>
      <c r="I43" s="446">
        <f t="shared" ca="1" si="3"/>
        <v>7000000000</v>
      </c>
    </row>
    <row r="44" spans="1:9" s="18" customFormat="1" ht="18" customHeight="1">
      <c r="A44" s="353">
        <f ca="1">IF(ROWS($1:30)&gt;COUNT(Dong5),"",OFFSET(TH!C$1,SMALL(Dong5,ROWS($1:30)),))</f>
        <v>42601</v>
      </c>
      <c r="B44" s="353" t="str">
        <f ca="1">IF(ROWS($1:30)&gt;COUNT(Dong5),"",OFFSET(TH!D$1,SMALL(Dong5,ROWS($1:30)),))</f>
        <v>C20</v>
      </c>
      <c r="C44" s="353">
        <f ca="1">IF(ROWS($1:30)&gt;COUNT(Dong5),"",OFFSET(TH!E$1,SMALL(Dong5,ROWS($1:30)),))</f>
        <v>42601</v>
      </c>
      <c r="D44" s="444" t="str">
        <f ca="1">IF(ROWS($1:30)&gt;COUNT(Dong5),"",OFFSET(TH!F$1,SMALL(Dong5,ROWS($1:30)),)&amp;" - "&amp;OFFSET(TH!H$1,SMALL(Dong5,ROWS($1:30)),))</f>
        <v>Hoàn vốn - Cty TNHH Hải Sản An Lạc</v>
      </c>
      <c r="E44" s="353" t="str">
        <f ca="1">IF(ROWS($1:30)&gt;COUNT(Dong5),"",IF(OFFSET(TH!O$1,SMALL(Dong5,ROWS($1:30)),)=$E$7,OFFSET(TH!P$1,SMALL(Dong5,ROWS($1:30)),),OFFSET(TH!O$1,SMALL(Dong5,ROWS($1:30)),)))</f>
        <v>1111</v>
      </c>
      <c r="F44" s="445">
        <f ca="1">IF(ROWS($1:30)&gt;COUNT(Dong5),0,IF(OFFSET(TH!O$1,SMALL(Dong5,ROWS($1:30)),)=$E$7,OFFSET(TH!M$1,SMALL(Dong5,ROWS($1:30)),),0))</f>
        <v>50000000</v>
      </c>
      <c r="G44" s="443">
        <f ca="1">IF(ROWS($1:30)&gt;COUNT(Dong5),0,IF(OFFSET(TH!P$1,SMALL(Dong5,ROWS($1:30)),)=$E$7,OFFSET(TH!M$1,SMALL(Dong5,ROWS($1:30)),),0))</f>
        <v>0</v>
      </c>
      <c r="H44" s="446">
        <f t="shared" ca="1" si="2"/>
        <v>0</v>
      </c>
      <c r="I44" s="446">
        <f t="shared" ca="1" si="3"/>
        <v>6950000000</v>
      </c>
    </row>
    <row r="45" spans="1:9" s="18" customFormat="1" ht="18" customHeight="1">
      <c r="A45" s="353">
        <f ca="1">IF(ROWS($1:31)&gt;COUNT(Dong5),"",OFFSET(TH!C$1,SMALL(Dong5,ROWS($1:31)),))</f>
        <v>42601</v>
      </c>
      <c r="B45" s="353" t="str">
        <f ca="1">IF(ROWS($1:31)&gt;COUNT(Dong5),"",OFFSET(TH!D$1,SMALL(Dong5,ROWS($1:31)),))</f>
        <v>GBC</v>
      </c>
      <c r="C45" s="353">
        <f ca="1">IF(ROWS($1:31)&gt;COUNT(Dong5),"",OFFSET(TH!E$1,SMALL(Dong5,ROWS($1:31)),))</f>
        <v>42601</v>
      </c>
      <c r="D45" s="444" t="str">
        <f ca="1">IF(ROWS($1:31)&gt;COUNT(Dong5),"",OFFSET(TH!F$1,SMALL(Dong5,ROWS($1:31)),)&amp;" - "&amp;OFFSET(TH!H$1,SMALL(Dong5,ROWS($1:31)),))</f>
        <v>Ứng vốn - Cty TNHH Hải Sản An Lạc</v>
      </c>
      <c r="E45" s="353" t="str">
        <f ca="1">IF(ROWS($1:31)&gt;COUNT(Dong5),"",IF(OFFSET(TH!O$1,SMALL(Dong5,ROWS($1:31)),)=$E$7,OFFSET(TH!P$1,SMALL(Dong5,ROWS($1:31)),),OFFSET(TH!O$1,SMALL(Dong5,ROWS($1:31)),)))</f>
        <v>1121</v>
      </c>
      <c r="F45" s="445">
        <f ca="1">IF(ROWS($1:31)&gt;COUNT(Dong5),0,IF(OFFSET(TH!O$1,SMALL(Dong5,ROWS($1:31)),)=$E$7,OFFSET(TH!M$1,SMALL(Dong5,ROWS($1:31)),),0))</f>
        <v>0</v>
      </c>
      <c r="G45" s="443">
        <f ca="1">IF(ROWS($1:31)&gt;COUNT(Dong5),0,IF(OFFSET(TH!P$1,SMALL(Dong5,ROWS($1:31)),)=$E$7,OFFSET(TH!M$1,SMALL(Dong5,ROWS($1:31)),),0))</f>
        <v>30000000</v>
      </c>
      <c r="H45" s="446">
        <f t="shared" ca="1" si="2"/>
        <v>0</v>
      </c>
      <c r="I45" s="446">
        <f t="shared" ca="1" si="3"/>
        <v>6980000000</v>
      </c>
    </row>
    <row r="46" spans="1:9" s="18" customFormat="1" ht="18" customHeight="1">
      <c r="A46" s="353">
        <f ca="1">IF(ROWS($1:32)&gt;COUNT(Dong5),"",OFFSET(TH!C$1,SMALL(Dong5,ROWS($1:32)),))</f>
        <v>42601</v>
      </c>
      <c r="B46" s="353" t="str">
        <f ca="1">IF(ROWS($1:32)&gt;COUNT(Dong5),"",OFFSET(TH!D$1,SMALL(Dong5,ROWS($1:32)),))</f>
        <v>GBC</v>
      </c>
      <c r="C46" s="353">
        <f ca="1">IF(ROWS($1:32)&gt;COUNT(Dong5),"",OFFSET(TH!E$1,SMALL(Dong5,ROWS($1:32)),))</f>
        <v>42601</v>
      </c>
      <c r="D46" s="444" t="str">
        <f ca="1">IF(ROWS($1:32)&gt;COUNT(Dong5),"",OFFSET(TH!F$1,SMALL(Dong5,ROWS($1:32)),)&amp;" - "&amp;OFFSET(TH!H$1,SMALL(Dong5,ROWS($1:32)),))</f>
        <v>Ứng vốn - Cty TNHH Hải Sản An Lạc</v>
      </c>
      <c r="E46" s="353" t="str">
        <f ca="1">IF(ROWS($1:32)&gt;COUNT(Dong5),"",IF(OFFSET(TH!O$1,SMALL(Dong5,ROWS($1:32)),)=$E$7,OFFSET(TH!P$1,SMALL(Dong5,ROWS($1:32)),),OFFSET(TH!O$1,SMALL(Dong5,ROWS($1:32)),)))</f>
        <v>1121</v>
      </c>
      <c r="F46" s="445">
        <f ca="1">IF(ROWS($1:32)&gt;COUNT(Dong5),0,IF(OFFSET(TH!O$1,SMALL(Dong5,ROWS($1:32)),)=$E$7,OFFSET(TH!M$1,SMALL(Dong5,ROWS($1:32)),),0))</f>
        <v>0</v>
      </c>
      <c r="G46" s="443">
        <f ca="1">IF(ROWS($1:32)&gt;COUNT(Dong5),0,IF(OFFSET(TH!P$1,SMALL(Dong5,ROWS($1:32)),)=$E$7,OFFSET(TH!M$1,SMALL(Dong5,ROWS($1:32)),),0))</f>
        <v>20000000</v>
      </c>
      <c r="H46" s="446">
        <f t="shared" ca="1" si="2"/>
        <v>0</v>
      </c>
      <c r="I46" s="446">
        <f t="shared" ca="1" si="3"/>
        <v>7000000000</v>
      </c>
    </row>
    <row r="47" spans="1:9" s="18" customFormat="1" ht="18" customHeight="1">
      <c r="A47" s="353">
        <f ca="1">IF(ROWS($1:33)&gt;COUNT(Dong5),"",OFFSET(TH!C$1,SMALL(Dong5,ROWS($1:33)),))</f>
        <v>42613</v>
      </c>
      <c r="B47" s="353" t="str">
        <f ca="1">IF(ROWS($1:33)&gt;COUNT(Dong5),"",OFFSET(TH!D$1,SMALL(Dong5,ROWS($1:33)),))</f>
        <v>C26</v>
      </c>
      <c r="C47" s="353">
        <f ca="1">IF(ROWS($1:33)&gt;COUNT(Dong5),"",OFFSET(TH!E$1,SMALL(Dong5,ROWS($1:33)),))</f>
        <v>42613</v>
      </c>
      <c r="D47" s="444" t="str">
        <f ca="1">IF(ROWS($1:33)&gt;COUNT(Dong5),"",OFFSET(TH!F$1,SMALL(Dong5,ROWS($1:33)),)&amp;" - "&amp;OFFSET(TH!H$1,SMALL(Dong5,ROWS($1:33)),))</f>
        <v>Hoàn vốn - Cty TNHH Hải Sản An Lạc</v>
      </c>
      <c r="E47" s="353" t="str">
        <f ca="1">IF(ROWS($1:33)&gt;COUNT(Dong5),"",IF(OFFSET(TH!O$1,SMALL(Dong5,ROWS($1:33)),)=$E$7,OFFSET(TH!P$1,SMALL(Dong5,ROWS($1:33)),),OFFSET(TH!O$1,SMALL(Dong5,ROWS($1:33)),)))</f>
        <v>1111</v>
      </c>
      <c r="F47" s="445">
        <f ca="1">IF(ROWS($1:33)&gt;COUNT(Dong5),0,IF(OFFSET(TH!O$1,SMALL(Dong5,ROWS($1:33)),)=$E$7,OFFSET(TH!M$1,SMALL(Dong5,ROWS($1:33)),),0))</f>
        <v>23000000</v>
      </c>
      <c r="G47" s="443">
        <f ca="1">IF(ROWS($1:33)&gt;COUNT(Dong5),0,IF(OFFSET(TH!P$1,SMALL(Dong5,ROWS($1:33)),)=$E$7,OFFSET(TH!M$1,SMALL(Dong5,ROWS($1:33)),),0))</f>
        <v>0</v>
      </c>
      <c r="H47" s="446">
        <f ca="1">IF(D47&lt;&gt;"",MAX(H46+F47-G47-I46,0),0)</f>
        <v>0</v>
      </c>
      <c r="I47" s="446">
        <f ca="1">IF(D47&lt;&gt;"",MAX(I46+G47-H46-F47,0),0)</f>
        <v>6977000000</v>
      </c>
    </row>
    <row r="48" spans="1:9" s="18" customFormat="1" ht="18" customHeight="1">
      <c r="A48" s="353">
        <f ca="1">IF(ROWS($1:34)&gt;COUNT(Dong5),"",OFFSET(TH!C$1,SMALL(Dong5,ROWS($1:34)),))</f>
        <v>42613</v>
      </c>
      <c r="B48" s="353" t="str">
        <f ca="1">IF(ROWS($1:34)&gt;COUNT(Dong5),"",OFFSET(TH!D$1,SMALL(Dong5,ROWS($1:34)),))</f>
        <v>GBC</v>
      </c>
      <c r="C48" s="353">
        <f ca="1">IF(ROWS($1:34)&gt;COUNT(Dong5),"",OFFSET(TH!E$1,SMALL(Dong5,ROWS($1:34)),))</f>
        <v>42613</v>
      </c>
      <c r="D48" s="444" t="str">
        <f ca="1">IF(ROWS($1:34)&gt;COUNT(Dong5),"",OFFSET(TH!F$1,SMALL(Dong5,ROWS($1:34)),)&amp;" - "&amp;OFFSET(TH!H$1,SMALL(Dong5,ROWS($1:34)),))</f>
        <v>Ứng vốn - Cty TNHH Hải Sản An Lạc</v>
      </c>
      <c r="E48" s="353" t="str">
        <f ca="1">IF(ROWS($1:34)&gt;COUNT(Dong5),"",IF(OFFSET(TH!O$1,SMALL(Dong5,ROWS($1:34)),)=$E$7,OFFSET(TH!P$1,SMALL(Dong5,ROWS($1:34)),),OFFSET(TH!O$1,SMALL(Dong5,ROWS($1:34)),)))</f>
        <v>1121</v>
      </c>
      <c r="F48" s="445">
        <f ca="1">IF(ROWS($1:34)&gt;COUNT(Dong5),0,IF(OFFSET(TH!O$1,SMALL(Dong5,ROWS($1:34)),)=$E$7,OFFSET(TH!M$1,SMALL(Dong5,ROWS($1:34)),),0))</f>
        <v>0</v>
      </c>
      <c r="G48" s="443">
        <f ca="1">IF(ROWS($1:34)&gt;COUNT(Dong5),0,IF(OFFSET(TH!P$1,SMALL(Dong5,ROWS($1:34)),)=$E$7,OFFSET(TH!M$1,SMALL(Dong5,ROWS($1:34)),),0))</f>
        <v>23000000</v>
      </c>
      <c r="H48" s="446">
        <f ca="1">IF(D48&lt;&gt;"",MAX(H47+F48-G48-I47,0),0)</f>
        <v>0</v>
      </c>
      <c r="I48" s="446">
        <f ca="1">IF(D48&lt;&gt;"",MAX(I47+G48-H47-F48,0),0)</f>
        <v>7000000000</v>
      </c>
    </row>
    <row r="49" spans="1:9" s="18" customFormat="1" ht="18" customHeight="1">
      <c r="A49" s="353">
        <f ca="1">IF(ROWS($1:35)&gt;COUNT(Dong5),"",OFFSET(TH!C$1,SMALL(Dong5,ROWS($1:35)),))</f>
        <v>42642</v>
      </c>
      <c r="B49" s="353" t="str">
        <f ca="1">IF(ROWS($1:35)&gt;COUNT(Dong5),"",OFFSET(TH!D$1,SMALL(Dong5,ROWS($1:35)),))</f>
        <v>C36</v>
      </c>
      <c r="C49" s="353">
        <f ca="1">IF(ROWS($1:35)&gt;COUNT(Dong5),"",OFFSET(TH!E$1,SMALL(Dong5,ROWS($1:35)),))</f>
        <v>42642</v>
      </c>
      <c r="D49" s="444" t="str">
        <f ca="1">IF(ROWS($1:35)&gt;COUNT(Dong5),"",OFFSET(TH!F$1,SMALL(Dong5,ROWS($1:35)),)&amp;" - "&amp;OFFSET(TH!H$1,SMALL(Dong5,ROWS($1:35)),))</f>
        <v>Hoàn vốn - Cty TNHH Hải Sản An Lạc</v>
      </c>
      <c r="E49" s="353" t="str">
        <f ca="1">IF(ROWS($1:35)&gt;COUNT(Dong5),"",IF(OFFSET(TH!O$1,SMALL(Dong5,ROWS($1:35)),)=$E$7,OFFSET(TH!P$1,SMALL(Dong5,ROWS($1:35)),),OFFSET(TH!O$1,SMALL(Dong5,ROWS($1:35)),)))</f>
        <v>1111</v>
      </c>
      <c r="F49" s="445">
        <f ca="1">IF(ROWS($1:35)&gt;COUNT(Dong5),0,IF(OFFSET(TH!O$1,SMALL(Dong5,ROWS($1:35)),)=$E$7,OFFSET(TH!M$1,SMALL(Dong5,ROWS($1:35)),),0))</f>
        <v>60000000</v>
      </c>
      <c r="G49" s="443">
        <f ca="1">IF(ROWS($1:35)&gt;COUNT(Dong5),0,IF(OFFSET(TH!P$1,SMALL(Dong5,ROWS($1:35)),)=$E$7,OFFSET(TH!M$1,SMALL(Dong5,ROWS($1:35)),),0))</f>
        <v>0</v>
      </c>
      <c r="H49" s="446">
        <f ca="1">IF(D49&lt;&gt;"",MAX(H48+F49-G49-I48,0),0)</f>
        <v>0</v>
      </c>
      <c r="I49" s="446">
        <f ca="1">IF(D49&lt;&gt;"",MAX(I48+G49-H48-F49,0),0)</f>
        <v>6940000000</v>
      </c>
    </row>
    <row r="50" spans="1:9" s="18" customFormat="1" ht="18" customHeight="1">
      <c r="A50" s="353">
        <f ca="1">IF(ROWS($1:36)&gt;COUNT(Dong5),"",OFFSET(TH!C$1,SMALL(Dong5,ROWS($1:36)),))</f>
        <v>42642</v>
      </c>
      <c r="B50" s="353" t="str">
        <f ca="1">IF(ROWS($1:36)&gt;COUNT(Dong5),"",OFFSET(TH!D$1,SMALL(Dong5,ROWS($1:36)),))</f>
        <v>GBC</v>
      </c>
      <c r="C50" s="353">
        <f ca="1">IF(ROWS($1:36)&gt;COUNT(Dong5),"",OFFSET(TH!E$1,SMALL(Dong5,ROWS($1:36)),))</f>
        <v>42642</v>
      </c>
      <c r="D50" s="444" t="str">
        <f ca="1">IF(ROWS($1:36)&gt;COUNT(Dong5),"",OFFSET(TH!F$1,SMALL(Dong5,ROWS($1:36)),)&amp;" - "&amp;OFFSET(TH!H$1,SMALL(Dong5,ROWS($1:36)),))</f>
        <v>Mượn vốn - Cty TNHH Hải Sản An Lạc</v>
      </c>
      <c r="E50" s="353" t="str">
        <f ca="1">IF(ROWS($1:36)&gt;COUNT(Dong5),"",IF(OFFSET(TH!O$1,SMALL(Dong5,ROWS($1:36)),)=$E$7,OFFSET(TH!P$1,SMALL(Dong5,ROWS($1:36)),),OFFSET(TH!O$1,SMALL(Dong5,ROWS($1:36)),)))</f>
        <v>1121</v>
      </c>
      <c r="F50" s="445">
        <f ca="1">IF(ROWS($1:36)&gt;COUNT(Dong5),0,IF(OFFSET(TH!O$1,SMALL(Dong5,ROWS($1:36)),)=$E$7,OFFSET(TH!M$1,SMALL(Dong5,ROWS($1:36)),),0))</f>
        <v>0</v>
      </c>
      <c r="G50" s="443">
        <f ca="1">IF(ROWS($1:36)&gt;COUNT(Dong5),0,IF(OFFSET(TH!P$1,SMALL(Dong5,ROWS($1:36)),)=$E$7,OFFSET(TH!M$1,SMALL(Dong5,ROWS($1:36)),),0))</f>
        <v>60000000</v>
      </c>
      <c r="H50" s="446">
        <f ca="1">IF(D50&lt;&gt;"",MAX(H49+F50-G50-I49,0),0)</f>
        <v>0</v>
      </c>
      <c r="I50" s="446">
        <f ca="1">IF(D50&lt;&gt;"",MAX(I49+G50-H49-F50,0),0)</f>
        <v>7000000000</v>
      </c>
    </row>
    <row r="51" spans="1:9" s="18" customFormat="1" ht="18" customHeight="1">
      <c r="A51" s="353"/>
      <c r="B51" s="354"/>
      <c r="C51" s="353"/>
      <c r="D51" s="431" t="s">
        <v>237</v>
      </c>
      <c r="E51" s="354" t="s">
        <v>26</v>
      </c>
      <c r="F51" s="447">
        <f ca="1">SUM(F15:F50)</f>
        <v>2788000000</v>
      </c>
      <c r="G51" s="447">
        <f ca="1">SUM(G15:G50)</f>
        <v>4788000000</v>
      </c>
      <c r="H51" s="447" t="s">
        <v>26</v>
      </c>
      <c r="I51" s="447" t="s">
        <v>26</v>
      </c>
    </row>
    <row r="52" spans="1:9" s="18" customFormat="1" ht="18" customHeight="1">
      <c r="A52" s="448"/>
      <c r="B52" s="436"/>
      <c r="C52" s="448"/>
      <c r="D52" s="435" t="s">
        <v>13</v>
      </c>
      <c r="E52" s="436" t="s">
        <v>26</v>
      </c>
      <c r="F52" s="449" t="s">
        <v>26</v>
      </c>
      <c r="G52" s="449" t="s">
        <v>26</v>
      </c>
      <c r="H52" s="450">
        <f ca="1">MAX(H14+F51-G51-I14,0)</f>
        <v>0</v>
      </c>
      <c r="I52" s="450">
        <f ca="1">MAX(I14+G51-F51-H14,0)</f>
        <v>7000000000</v>
      </c>
    </row>
    <row r="53" spans="1:9" s="18" customFormat="1" ht="9.75" customHeight="1">
      <c r="A53" s="386"/>
      <c r="B53" s="386"/>
      <c r="C53" s="386"/>
      <c r="E53" s="386"/>
    </row>
    <row r="54" spans="1:9" s="18" customFormat="1" ht="12.75">
      <c r="A54" s="386"/>
      <c r="B54" s="386"/>
      <c r="C54" s="451" t="s">
        <v>352</v>
      </c>
      <c r="E54" s="386"/>
    </row>
    <row r="55" spans="1:9" s="18" customFormat="1" ht="12.75">
      <c r="A55" s="386"/>
      <c r="B55" s="386"/>
      <c r="C55" s="28" t="s">
        <v>275</v>
      </c>
      <c r="E55" s="386"/>
    </row>
    <row r="56" spans="1:9" s="18" customFormat="1" ht="13.5" customHeight="1">
      <c r="A56" s="386"/>
      <c r="B56" s="386"/>
      <c r="C56" s="386"/>
      <c r="E56" s="1209" t="s">
        <v>276</v>
      </c>
      <c r="F56" s="1209"/>
      <c r="G56" s="1209"/>
      <c r="H56" s="1209"/>
      <c r="I56" s="1209"/>
    </row>
    <row r="57" spans="1:9" s="18" customFormat="1" ht="12.75">
      <c r="A57" s="1209" t="s">
        <v>14</v>
      </c>
      <c r="B57" s="1209"/>
      <c r="C57" s="1209"/>
      <c r="D57" s="1209"/>
      <c r="E57" s="1209" t="s">
        <v>15</v>
      </c>
      <c r="F57" s="1209"/>
      <c r="G57" s="1209"/>
      <c r="H57" s="1209"/>
      <c r="I57" s="1209"/>
    </row>
    <row r="58" spans="1:9" s="18" customFormat="1" ht="12.75">
      <c r="A58" s="1209" t="s">
        <v>16</v>
      </c>
      <c r="B58" s="1209"/>
      <c r="C58" s="1209"/>
      <c r="D58" s="1209"/>
      <c r="E58" s="1209" t="s">
        <v>16</v>
      </c>
      <c r="F58" s="1209"/>
      <c r="G58" s="1209"/>
      <c r="H58" s="1209"/>
      <c r="I58" s="1209"/>
    </row>
    <row r="59" spans="1:9" s="18" customFormat="1" ht="12.75">
      <c r="A59" s="386"/>
      <c r="B59" s="386"/>
      <c r="C59" s="386"/>
      <c r="E59" s="386"/>
    </row>
    <row r="60" spans="1:9">
      <c r="D60" s="261"/>
      <c r="F60" s="262"/>
    </row>
    <row r="65" spans="1:4">
      <c r="A65" s="1210" t="s">
        <v>329</v>
      </c>
      <c r="B65" s="1210"/>
      <c r="C65" s="1210"/>
      <c r="D65" s="1210"/>
    </row>
  </sheetData>
  <autoFilter ref="A13:I52"/>
  <mergeCells count="18">
    <mergeCell ref="E56:I56"/>
    <mergeCell ref="H11:I11"/>
    <mergeCell ref="G2:I2"/>
    <mergeCell ref="G3:I4"/>
    <mergeCell ref="A5:I5"/>
    <mergeCell ref="A6:I6"/>
    <mergeCell ref="A9:I9"/>
    <mergeCell ref="C10:I10"/>
    <mergeCell ref="A11:A12"/>
    <mergeCell ref="B11:C11"/>
    <mergeCell ref="D11:D12"/>
    <mergeCell ref="E11:E12"/>
    <mergeCell ref="F11:G11"/>
    <mergeCell ref="A57:D57"/>
    <mergeCell ref="E57:I57"/>
    <mergeCell ref="A58:D58"/>
    <mergeCell ref="E58:I58"/>
    <mergeCell ref="A65:D65"/>
  </mergeCells>
  <dataValidations count="1">
    <dataValidation type="list" allowBlank="1" showInputMessage="1" showErrorMessage="1" sqref="E7">
      <formula1>"1388,2412,3334,33382,3388,4211,4212,515,635,642,711,811,821,911"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2" customWidth="1"/>
    <col min="2" max="2" width="5.28515625" style="92" customWidth="1"/>
    <col min="3" max="3" width="15.140625" style="92" customWidth="1"/>
    <col min="4" max="4" width="16" style="92" customWidth="1"/>
    <col min="5" max="5" width="3.85546875" style="92" customWidth="1"/>
    <col min="6" max="6" width="6" style="92" customWidth="1"/>
    <col min="7" max="8" width="6.7109375" style="92" customWidth="1"/>
    <col min="9" max="9" width="10.42578125" style="92" customWidth="1"/>
    <col min="10" max="10" width="5.85546875" style="92" customWidth="1"/>
    <col min="11" max="11" width="8.28515625" style="92" customWidth="1"/>
    <col min="12" max="12" width="5" style="92" customWidth="1"/>
    <col min="13" max="13" width="6.42578125" style="92" customWidth="1"/>
    <col min="14" max="14" width="3.140625" style="92" customWidth="1"/>
    <col min="15" max="15" width="6.42578125" style="92" customWidth="1"/>
    <col min="16" max="16" width="5" style="128" customWidth="1"/>
    <col min="17" max="17" width="6.7109375" style="92" customWidth="1"/>
    <col min="18" max="18" width="1.5703125" style="92" customWidth="1"/>
    <col min="19" max="19" width="5.7109375" style="92" customWidth="1"/>
    <col min="20" max="20" width="1.5703125" style="92" customWidth="1"/>
    <col min="21" max="21" width="5" style="92" customWidth="1"/>
    <col min="22" max="22" width="1.5703125" style="92" customWidth="1"/>
    <col min="23" max="23" width="5.5703125" style="92" customWidth="1"/>
  </cols>
  <sheetData>
    <row r="1" spans="1:23" ht="13.5" customHeight="1">
      <c r="B1" s="90" t="s">
        <v>212</v>
      </c>
      <c r="C1" s="101"/>
      <c r="D1" s="91"/>
      <c r="E1" s="91"/>
      <c r="F1" s="91"/>
      <c r="G1" s="91"/>
      <c r="I1" s="93"/>
      <c r="L1" s="94" t="str">
        <f>+IF(LEFT($U$4,1)="T","Mẫu số 01 - TT","Mẫu số 02 - TT")</f>
        <v>Mẫu số 01 - TT</v>
      </c>
      <c r="N1" s="95"/>
      <c r="O1" s="95"/>
      <c r="P1" s="96"/>
      <c r="Q1" s="97"/>
      <c r="R1" s="97"/>
      <c r="S1" s="97"/>
      <c r="T1" s="97"/>
      <c r="U1" s="97"/>
      <c r="V1" s="98"/>
      <c r="W1" s="97"/>
    </row>
    <row r="2" spans="1:23" ht="13.5" customHeight="1">
      <c r="B2" s="101" t="s">
        <v>213</v>
      </c>
      <c r="C2" s="101"/>
      <c r="D2" s="91"/>
      <c r="E2" s="91"/>
      <c r="F2" s="91"/>
      <c r="G2" s="91"/>
      <c r="H2" s="93"/>
      <c r="I2" s="93"/>
      <c r="L2" s="102" t="str">
        <f>IF($Q$4&gt;=2015,"(Ban hành theo Thông tư số 200/2014/TT-BTC ","(Ban hành kèm theo QĐ 48/2006/QĐ-BTC")</f>
        <v xml:space="preserve">(Ban hành theo Thông tư số 200/2014/TT-BTC </v>
      </c>
      <c r="N2" s="103"/>
      <c r="O2" s="103"/>
      <c r="P2" s="96"/>
      <c r="Q2" s="97"/>
      <c r="R2" s="97"/>
      <c r="S2" s="97"/>
      <c r="T2" s="97"/>
      <c r="U2" s="97"/>
      <c r="V2" s="104"/>
      <c r="W2" s="105" t="s">
        <v>200</v>
      </c>
    </row>
    <row r="3" spans="1:23" ht="13.5" customHeight="1">
      <c r="B3" s="101"/>
      <c r="C3" s="91"/>
      <c r="D3" s="91"/>
      <c r="E3" s="91"/>
      <c r="G3" s="91"/>
      <c r="I3" s="106"/>
      <c r="L3" s="102" t="str">
        <f>IF($Q$4=2015,"Ngày 22/12/2014 của Bộ Tài chính)","ngày 24/09/2006 của Bộ trưởng BTC)")</f>
        <v>ngày 24/09/2006 của Bộ trưởng BTC)</v>
      </c>
      <c r="N3" s="103"/>
      <c r="O3" s="103"/>
      <c r="P3" s="107"/>
      <c r="Q3" s="105" t="s">
        <v>215</v>
      </c>
      <c r="R3" s="342"/>
      <c r="S3" s="343" t="s">
        <v>313</v>
      </c>
      <c r="T3" s="342"/>
      <c r="U3" s="343" t="s">
        <v>201</v>
      </c>
      <c r="V3" s="104"/>
      <c r="W3" s="105" t="s">
        <v>201</v>
      </c>
    </row>
    <row r="4" spans="1:23" ht="21.75">
      <c r="B4" s="101"/>
      <c r="C4" s="91"/>
      <c r="D4" s="91"/>
      <c r="E4" s="91"/>
      <c r="G4" s="108"/>
      <c r="H4" s="109" t="str">
        <f>IF(LEFT($U$4,1)="T","PHIẾU THU","PHIẾU CHI")</f>
        <v>PHIẾU THU</v>
      </c>
      <c r="J4" s="108"/>
      <c r="K4" s="110"/>
      <c r="M4" s="110"/>
      <c r="N4" s="110"/>
      <c r="O4" s="110"/>
      <c r="P4" s="111"/>
      <c r="Q4" s="138">
        <v>2016</v>
      </c>
      <c r="R4" s="112"/>
      <c r="S4" s="341">
        <v>2</v>
      </c>
      <c r="T4" s="112"/>
      <c r="U4" s="139" t="s">
        <v>1048</v>
      </c>
      <c r="V4" s="140"/>
      <c r="W4" s="141">
        <v>1</v>
      </c>
    </row>
    <row r="5" spans="1:23">
      <c r="B5" s="101"/>
      <c r="C5" s="91"/>
      <c r="D5" s="91"/>
      <c r="E5" s="91"/>
      <c r="G5" s="108"/>
      <c r="H5" s="113" t="str">
        <f>IF(ISNA(VLOOKUP($M$7,TM,3,0)),"","Ngày  "&amp;DAY(VLOOKUP($M$7,TM,3,0))&amp;"  tháng  "&amp;MONTH(VLOOKUP($M$7,TM,3,0))&amp;"  năm  "&amp;$Q$4)</f>
        <v>Ngày  1  tháng  5  năm  2016</v>
      </c>
      <c r="J5" s="108"/>
      <c r="K5" s="110"/>
      <c r="M5" s="110"/>
      <c r="N5" s="110"/>
      <c r="O5" s="110"/>
      <c r="P5" s="111"/>
      <c r="Q5" s="105"/>
      <c r="V5" s="100"/>
      <c r="W5" s="105"/>
    </row>
    <row r="6" spans="1:23" ht="13.5">
      <c r="A6" s="116"/>
      <c r="B6" s="114"/>
      <c r="C6" s="115"/>
      <c r="D6" s="115"/>
      <c r="E6" s="115"/>
      <c r="F6" s="116"/>
      <c r="G6" s="117"/>
      <c r="H6" s="117"/>
      <c r="I6" s="117"/>
      <c r="J6" s="116"/>
      <c r="K6" s="116"/>
      <c r="L6" s="118" t="str">
        <f>"Quyển số: 0"&amp;$S$4</f>
        <v>Quyển số: 02</v>
      </c>
      <c r="M6" s="116"/>
      <c r="N6" s="116"/>
      <c r="O6" s="119"/>
      <c r="P6" s="120"/>
      <c r="Q6" s="116"/>
      <c r="R6" s="116"/>
      <c r="S6" s="116"/>
      <c r="T6" s="116"/>
      <c r="U6" s="116"/>
      <c r="V6" s="121"/>
      <c r="W6" s="105"/>
    </row>
    <row r="7" spans="1:23" ht="13.5" customHeight="1">
      <c r="A7" s="116"/>
      <c r="B7" s="116"/>
      <c r="C7" s="116"/>
      <c r="D7" s="116"/>
      <c r="E7" s="114"/>
      <c r="F7" s="117"/>
      <c r="G7" s="117"/>
      <c r="H7" s="117"/>
      <c r="I7" s="117"/>
      <c r="J7" s="116"/>
      <c r="K7" s="116"/>
      <c r="L7" s="122" t="str">
        <f>"Số :    "</f>
        <v xml:space="preserve">Số :    </v>
      </c>
      <c r="M7" s="123" t="str">
        <f>$U$4&amp;IF($W$4&gt;=10,$W$4,"0"&amp;$W$4)</f>
        <v>T01</v>
      </c>
      <c r="N7" s="119"/>
      <c r="O7" s="119"/>
      <c r="P7" s="120"/>
      <c r="Q7" s="116"/>
      <c r="R7" s="116"/>
      <c r="S7" s="116"/>
      <c r="T7" s="116"/>
      <c r="U7" s="116"/>
      <c r="V7" s="116"/>
      <c r="W7" s="116"/>
    </row>
    <row r="8" spans="1:23" ht="13.5">
      <c r="A8" s="116"/>
      <c r="B8" s="116"/>
      <c r="C8" s="116"/>
      <c r="D8" s="116"/>
      <c r="E8" s="114"/>
      <c r="F8" s="114"/>
      <c r="G8" s="114"/>
      <c r="H8" s="114"/>
      <c r="I8" s="114"/>
      <c r="J8" s="116"/>
      <c r="K8" s="124"/>
      <c r="L8" s="118" t="s">
        <v>202</v>
      </c>
      <c r="M8" s="125" t="str">
        <f>IF($U$4="T","1111",IF($U$4="C",IF(ISNA(VLOOKUP($M$7,TM,15,0)),"",VLOOKUP($M$7,TM,14,0)),""))</f>
        <v>1111</v>
      </c>
      <c r="N8" s="119"/>
      <c r="O8" s="119"/>
      <c r="P8" s="126"/>
      <c r="Q8" s="116"/>
      <c r="R8" s="116"/>
      <c r="S8" s="116"/>
      <c r="T8" s="116"/>
      <c r="U8" s="116"/>
      <c r="V8" s="116"/>
      <c r="W8" s="116"/>
    </row>
    <row r="9" spans="1:23" ht="13.5">
      <c r="A9" s="116"/>
      <c r="B9" s="116"/>
      <c r="C9" s="116"/>
      <c r="D9" s="116"/>
      <c r="E9" s="114"/>
      <c r="F9" s="114"/>
      <c r="G9" s="114"/>
      <c r="H9" s="114"/>
      <c r="I9" s="114"/>
      <c r="J9" s="116"/>
      <c r="K9" s="124"/>
      <c r="L9" s="122" t="s">
        <v>203</v>
      </c>
      <c r="M9" s="125" t="str">
        <f>IF($U$4="C","1111",IF($U$4="T",IF(ISNA(VLOOKUP($M$7,TM,14,0)),"",VLOOKUP($M$7,TM,15,0)),""))</f>
        <v>1111</v>
      </c>
      <c r="N9" s="119"/>
      <c r="O9" s="119"/>
      <c r="P9" s="126"/>
      <c r="Q9" s="116"/>
      <c r="R9" s="116"/>
      <c r="S9" s="116"/>
      <c r="T9" s="116"/>
      <c r="U9" s="116"/>
      <c r="V9" s="116"/>
      <c r="W9" s="116"/>
    </row>
    <row r="10" spans="1:23">
      <c r="A10" s="116"/>
      <c r="B10" s="116"/>
      <c r="C10" s="127" t="str">
        <f>IF($U$4="T","Họ tên người nộp tiền :","Họ và tên người nhận tiền :")&amp;" "&amp;IF(ISNA(VLOOKUP($M$7,TM,8,0)),"",VLOOKUP($M$7,TM,8,0))</f>
        <v>Họ tên người nộp tiền : Nguyễn Thiện Duy</v>
      </c>
      <c r="D10" s="114"/>
      <c r="E10" s="116"/>
      <c r="F10" s="114"/>
      <c r="G10" s="114"/>
      <c r="H10" s="114"/>
      <c r="I10" s="114"/>
      <c r="J10" s="116"/>
      <c r="K10" s="114"/>
      <c r="L10" s="122"/>
      <c r="M10" s="125"/>
      <c r="N10" s="119"/>
      <c r="O10" s="114"/>
      <c r="P10" s="120"/>
      <c r="Q10" s="116"/>
      <c r="R10" s="116"/>
      <c r="S10" s="116"/>
      <c r="T10" s="116"/>
      <c r="U10" s="116"/>
      <c r="V10" s="116"/>
      <c r="W10" s="116"/>
    </row>
    <row r="11" spans="1:23">
      <c r="C11" s="127" t="str">
        <f>"Địa chỉ :"</f>
        <v>Địa chỉ :</v>
      </c>
      <c r="E11" s="127"/>
      <c r="F11" s="127"/>
      <c r="G11" s="127"/>
      <c r="H11" s="127"/>
      <c r="I11" s="127"/>
      <c r="J11" s="127"/>
      <c r="K11" s="127"/>
      <c r="L11" s="127"/>
      <c r="M11" s="127"/>
      <c r="N11" s="127"/>
      <c r="O11" s="127"/>
      <c r="P11" s="107"/>
    </row>
    <row r="12" spans="1:23">
      <c r="C12" s="127" t="str">
        <f>IF($U$4="T","Lý do nộp :","Lý do chi :")&amp;" "&amp;IF(ISNA(VLOOKUP($M$7,TM,6,0)),"",VLOOKUP($M$7,TM,6,0))</f>
        <v>Lý do nộp : Ứng vốn</v>
      </c>
      <c r="E12" s="127"/>
      <c r="F12" s="127"/>
      <c r="G12" s="127"/>
      <c r="H12" s="127"/>
      <c r="I12" s="127"/>
      <c r="J12" s="127"/>
      <c r="K12" s="127"/>
      <c r="L12" s="127"/>
      <c r="M12" s="127"/>
      <c r="N12" s="127"/>
      <c r="O12" s="127"/>
    </row>
    <row r="13" spans="1:23">
      <c r="C13" s="92" t="s">
        <v>218</v>
      </c>
      <c r="D13" s="129">
        <f ca="1">SUMIF(TM,$M$7,TH)</f>
        <v>1000000000</v>
      </c>
      <c r="E13" s="92" t="s">
        <v>204</v>
      </c>
      <c r="F13" s="129"/>
      <c r="G13" s="129"/>
      <c r="P13" s="92"/>
    </row>
    <row r="14" spans="1:23">
      <c r="C14" s="92" t="str">
        <f ca="1">"Viết bằng chữ: " &amp;[1]!VND('IN-TC'!D13, TRUE)</f>
        <v>Viết bằng chữ: Một tỷ đồng</v>
      </c>
      <c r="P14" s="107"/>
    </row>
    <row r="15" spans="1:23">
      <c r="C15" s="127" t="str">
        <f>"Kèm theo :     " &amp;IF(OR(ISNA(VLOOKUP($M$7,TM,7,0)),VLOOKUP($M$7,TM,7,0)=""),"                           ",IF(VLOOKUP($M$7,TM,7,0)&lt;&gt;"","    HĐ  "&amp;(VLOOKUP($M$7,TM,7,0)))) &amp; "     chứng từ gốc. "</f>
        <v xml:space="preserve">Kèm theo :         HĐ  Q4     chứng từ gốc. </v>
      </c>
      <c r="D15" s="127"/>
      <c r="F15" s="127"/>
      <c r="G15" s="127"/>
      <c r="H15" s="127"/>
      <c r="I15" s="127"/>
      <c r="J15" s="127"/>
      <c r="K15" s="127"/>
      <c r="L15" s="127"/>
      <c r="M15" s="127"/>
      <c r="N15" s="127"/>
      <c r="O15" s="127"/>
      <c r="P15" s="130"/>
    </row>
    <row r="16" spans="1:23">
      <c r="K16" s="131"/>
      <c r="L16" s="131"/>
      <c r="M16" s="144" t="str">
        <f>H5</f>
        <v>Ngày  1  tháng  5  năm  2016</v>
      </c>
      <c r="N16" s="131"/>
      <c r="O16" s="131"/>
      <c r="P16" s="92"/>
    </row>
    <row r="17" spans="1:23">
      <c r="C17" s="132" t="s">
        <v>205</v>
      </c>
      <c r="D17" s="133"/>
      <c r="E17" s="132" t="s">
        <v>15</v>
      </c>
      <c r="F17" s="133"/>
      <c r="G17" s="133"/>
      <c r="H17" s="132" t="str">
        <f>IF($U$4="C","Thủ quỹ","Người nộp tiền")</f>
        <v>Người nộp tiền</v>
      </c>
      <c r="J17" s="132" t="s">
        <v>206</v>
      </c>
      <c r="K17" s="133"/>
      <c r="M17" s="134" t="str">
        <f>IF($U$4="T","Thủ quỹ","Người nhận tiền")</f>
        <v>Thủ quỹ</v>
      </c>
      <c r="N17" s="135"/>
      <c r="O17" s="135"/>
      <c r="P17" s="92"/>
    </row>
    <row r="18" spans="1:23">
      <c r="A18" s="133"/>
      <c r="B18" s="133"/>
      <c r="C18" s="136" t="s">
        <v>207</v>
      </c>
      <c r="E18" s="136" t="s">
        <v>208</v>
      </c>
      <c r="H18" s="136" t="s">
        <v>208</v>
      </c>
      <c r="I18" s="133"/>
      <c r="J18" s="136" t="s">
        <v>208</v>
      </c>
      <c r="L18" s="133"/>
      <c r="M18" s="136" t="s">
        <v>208</v>
      </c>
      <c r="P18" s="133"/>
      <c r="Q18" s="133"/>
      <c r="R18" s="133"/>
      <c r="S18" s="133"/>
      <c r="T18" s="133"/>
      <c r="U18" s="133"/>
      <c r="V18" s="133"/>
      <c r="W18" s="133"/>
    </row>
    <row r="19" spans="1:23">
      <c r="P19" s="92"/>
    </row>
    <row r="20" spans="1:23">
      <c r="P20" s="92"/>
    </row>
    <row r="21" spans="1:23">
      <c r="P21" s="92"/>
    </row>
    <row r="22" spans="1:23">
      <c r="P22" s="92"/>
    </row>
    <row r="23" spans="1:23">
      <c r="I23" s="99"/>
      <c r="P23" s="92"/>
    </row>
    <row r="24" spans="1:23">
      <c r="C24" s="377" t="s">
        <v>182</v>
      </c>
      <c r="H24" s="377" t="str">
        <f>IF($U$4="T","","Phạm Thị Đông")</f>
        <v/>
      </c>
      <c r="J24" s="377" t="s">
        <v>329</v>
      </c>
      <c r="M24" s="377" t="str">
        <f>IF($U$4="C","","Phạm Thị Đông")</f>
        <v>Phạm Thị Đông</v>
      </c>
      <c r="P24" s="92"/>
    </row>
    <row r="25" spans="1:23">
      <c r="B25" s="92" t="s">
        <v>209</v>
      </c>
      <c r="P25" s="92"/>
    </row>
    <row r="26" spans="1:23">
      <c r="B26" s="127"/>
      <c r="C26" s="127" t="s">
        <v>210</v>
      </c>
      <c r="D26" s="127"/>
      <c r="E26" s="127"/>
      <c r="F26" s="127"/>
      <c r="G26" s="127"/>
      <c r="H26" s="127"/>
      <c r="I26" s="127"/>
      <c r="J26" s="127"/>
      <c r="K26" s="127"/>
      <c r="L26" s="127"/>
      <c r="M26" s="127"/>
      <c r="N26" s="127"/>
      <c r="O26" s="127"/>
      <c r="P26" s="92"/>
    </row>
    <row r="27" spans="1:23">
      <c r="B27" s="127"/>
      <c r="C27" s="127" t="s">
        <v>211</v>
      </c>
      <c r="D27" s="127"/>
      <c r="E27" s="127"/>
      <c r="F27" s="127"/>
      <c r="G27" s="127"/>
      <c r="H27" s="127"/>
      <c r="I27" s="127"/>
      <c r="J27" s="127"/>
      <c r="K27" s="127"/>
      <c r="L27" s="127"/>
      <c r="M27" s="127"/>
      <c r="N27" s="127"/>
      <c r="O27" s="127"/>
      <c r="P27" s="92"/>
    </row>
    <row r="46" spans="5:5">
      <c r="E46" s="137"/>
    </row>
    <row r="47" spans="5:5">
      <c r="E47" s="137"/>
    </row>
    <row r="48" spans="5:5">
      <c r="E48" s="137"/>
    </row>
    <row r="49" spans="5:5">
      <c r="E49" s="137"/>
    </row>
    <row r="50" spans="5:5">
      <c r="E50" s="137"/>
    </row>
    <row r="51" spans="5:5">
      <c r="E51" s="137"/>
    </row>
    <row r="52" spans="5:5">
      <c r="E52" s="137"/>
    </row>
    <row r="53" spans="5:5">
      <c r="E53" s="137"/>
    </row>
    <row r="54" spans="5:5">
      <c r="E54" s="137"/>
    </row>
    <row r="55" spans="5:5">
      <c r="E55" s="137"/>
    </row>
    <row r="56" spans="5:5">
      <c r="E56" s="137"/>
    </row>
    <row r="57" spans="5:5">
      <c r="E57" s="137"/>
    </row>
    <row r="58" spans="5:5">
      <c r="E58" s="137"/>
    </row>
    <row r="59" spans="5:5">
      <c r="E59" s="137"/>
    </row>
    <row r="60" spans="5:5">
      <c r="E60" s="137"/>
    </row>
    <row r="61" spans="5:5">
      <c r="E61" s="137"/>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10.xml><?xml version="1.0" encoding="utf-8"?>
<worksheet xmlns="http://schemas.openxmlformats.org/spreadsheetml/2006/main" xmlns:r="http://schemas.openxmlformats.org/officeDocument/2006/relationships">
  <sheetPr>
    <tabColor rgb="FF0000FF"/>
  </sheetPr>
  <dimension ref="A1:P120"/>
  <sheetViews>
    <sheetView topLeftCell="A10" zoomScale="90" workbookViewId="0">
      <pane ySplit="4" topLeftCell="A62" activePane="bottomLeft" state="frozen"/>
      <selection activeCell="A10" sqref="A10"/>
      <selection pane="bottomLeft" activeCell="E24" sqref="E24"/>
    </sheetView>
  </sheetViews>
  <sheetFormatPr defaultRowHeight="15"/>
  <cols>
    <col min="1" max="2" width="8.7109375" style="1090" customWidth="1"/>
    <col min="3" max="4" width="6.5703125" style="148" customWidth="1"/>
    <col min="5" max="5" width="34.5703125" style="148" customWidth="1"/>
    <col min="6" max="6" width="6.28515625" style="148" customWidth="1"/>
    <col min="7" max="9" width="14.42578125" style="148" customWidth="1"/>
    <col min="10" max="10" width="6.28515625" style="148" customWidth="1"/>
    <col min="11" max="11" width="2.140625" style="148" customWidth="1"/>
    <col min="12" max="12" width="10" style="148" customWidth="1"/>
    <col min="13" max="13" width="3.28515625" style="148" customWidth="1"/>
    <col min="14" max="15" width="5" style="148" hidden="1" customWidth="1"/>
    <col min="16" max="16" width="9.140625" style="148" hidden="1" customWidth="1"/>
    <col min="17" max="16384" width="9.140625" style="148"/>
  </cols>
  <sheetData>
    <row r="1" spans="1:15" s="3" customFormat="1" ht="16.5" customHeight="1">
      <c r="A1" s="1079" t="s">
        <v>212</v>
      </c>
      <c r="B1" s="1094"/>
      <c r="C1" s="2"/>
      <c r="D1" s="2"/>
      <c r="E1" s="2"/>
      <c r="G1" s="1213" t="s">
        <v>222</v>
      </c>
      <c r="H1" s="1213"/>
      <c r="I1" s="1213"/>
      <c r="J1" s="1213"/>
    </row>
    <row r="2" spans="1:15" s="3" customFormat="1" ht="16.5" customHeight="1">
      <c r="A2" s="1080" t="s">
        <v>213</v>
      </c>
      <c r="B2" s="1082"/>
      <c r="C2" s="16"/>
      <c r="D2" s="16"/>
      <c r="E2" s="16"/>
      <c r="G2" s="1214" t="s">
        <v>223</v>
      </c>
      <c r="H2" s="1214"/>
      <c r="I2" s="1214"/>
      <c r="J2" s="1214"/>
    </row>
    <row r="3" spans="1:15" s="3" customFormat="1" ht="16.5" customHeight="1">
      <c r="A3" s="1081"/>
      <c r="B3" s="1082"/>
      <c r="C3" s="146"/>
      <c r="D3" s="146"/>
      <c r="E3" s="16"/>
      <c r="G3" s="1214"/>
      <c r="H3" s="1214"/>
      <c r="I3" s="1214"/>
      <c r="J3" s="1214"/>
    </row>
    <row r="4" spans="1:15" s="3" customFormat="1" ht="6.75" customHeight="1">
      <c r="A4" s="1082"/>
      <c r="B4" s="1082"/>
      <c r="C4" s="16"/>
      <c r="D4" s="16"/>
      <c r="E4" s="16"/>
      <c r="G4" s="147"/>
      <c r="H4" s="147"/>
      <c r="I4" s="147"/>
      <c r="J4" s="147"/>
    </row>
    <row r="5" spans="1:15" ht="24.75" customHeight="1">
      <c r="A5" s="1223" t="s">
        <v>224</v>
      </c>
      <c r="B5" s="1223"/>
      <c r="C5" s="1223"/>
      <c r="D5" s="1223"/>
      <c r="E5" s="1223"/>
      <c r="F5" s="1223"/>
      <c r="G5" s="1223"/>
      <c r="H5" s="1223"/>
      <c r="I5" s="1223"/>
      <c r="J5" s="1223"/>
    </row>
    <row r="6" spans="1:15" ht="14.25" customHeight="1">
      <c r="A6" s="1225" t="str">
        <f>$L$11&amp;" / 2015"</f>
        <v>Quý III / 2015</v>
      </c>
      <c r="B6" s="1225"/>
      <c r="C6" s="1225"/>
      <c r="D6" s="1225"/>
      <c r="E6" s="1225"/>
      <c r="F6" s="1225"/>
      <c r="G6" s="1225"/>
      <c r="H6" s="1225"/>
      <c r="I6" s="1225"/>
      <c r="J6" s="1225"/>
    </row>
    <row r="7" spans="1:15">
      <c r="A7" s="1224" t="s">
        <v>225</v>
      </c>
      <c r="B7" s="1224"/>
      <c r="C7" s="1224"/>
      <c r="D7" s="1224"/>
      <c r="E7" s="1224"/>
      <c r="F7" s="1224"/>
      <c r="G7" s="1224"/>
      <c r="H7" s="1224"/>
      <c r="I7" s="1224"/>
      <c r="J7" s="1224"/>
    </row>
    <row r="8" spans="1:15">
      <c r="A8" s="1224" t="s">
        <v>226</v>
      </c>
      <c r="B8" s="1224"/>
      <c r="C8" s="1224"/>
      <c r="D8" s="1224"/>
      <c r="E8" s="1224"/>
      <c r="F8" s="1224"/>
      <c r="G8" s="1224"/>
      <c r="H8" s="1224"/>
      <c r="I8" s="1224"/>
      <c r="J8" s="1224"/>
    </row>
    <row r="9" spans="1:15">
      <c r="A9" s="1083"/>
      <c r="I9" s="149" t="s">
        <v>227</v>
      </c>
    </row>
    <row r="10" spans="1:15" ht="33" customHeight="1" thickBot="1">
      <c r="A10" s="1226" t="s">
        <v>27</v>
      </c>
      <c r="B10" s="1226" t="s">
        <v>228</v>
      </c>
      <c r="C10" s="1228" t="s">
        <v>229</v>
      </c>
      <c r="D10" s="1228"/>
      <c r="E10" s="1228" t="s">
        <v>0</v>
      </c>
      <c r="F10" s="1229" t="s">
        <v>19</v>
      </c>
      <c r="G10" s="1228" t="s">
        <v>28</v>
      </c>
      <c r="H10" s="1228"/>
      <c r="I10" s="1228" t="s">
        <v>230</v>
      </c>
      <c r="J10" s="1228" t="s">
        <v>231</v>
      </c>
      <c r="L10" s="173"/>
      <c r="N10" s="1224" t="s">
        <v>241</v>
      </c>
      <c r="O10" s="1224"/>
    </row>
    <row r="11" spans="1:15" ht="24" customHeight="1" thickBot="1">
      <c r="A11" s="1227"/>
      <c r="B11" s="1227"/>
      <c r="C11" s="150" t="s">
        <v>232</v>
      </c>
      <c r="D11" s="150" t="s">
        <v>233</v>
      </c>
      <c r="E11" s="1228"/>
      <c r="F11" s="1230"/>
      <c r="G11" s="150" t="s">
        <v>29</v>
      </c>
      <c r="H11" s="150" t="s">
        <v>30</v>
      </c>
      <c r="I11" s="1228"/>
      <c r="J11" s="1228"/>
      <c r="L11" s="211" t="s">
        <v>1218</v>
      </c>
      <c r="N11" s="212">
        <f>IF(L11="Quý I",1,IF(L11="Quý II",4,IF(L11="Quý III",7,IF(L11="Quý IV",10,""))))</f>
        <v>7</v>
      </c>
      <c r="O11" s="213">
        <f>IF(L11="Quý I",3,IF(L11="Quý II",6,IF(L11="Quý III",9,IF(L11="Quý IV",12,""))))</f>
        <v>9</v>
      </c>
    </row>
    <row r="12" spans="1:15" s="151" customFormat="1" ht="11.25" customHeight="1">
      <c r="A12" s="1084" t="s">
        <v>2</v>
      </c>
      <c r="B12" s="1084" t="s">
        <v>3</v>
      </c>
      <c r="C12" s="152" t="s">
        <v>4</v>
      </c>
      <c r="D12" s="152" t="s">
        <v>5</v>
      </c>
      <c r="E12" s="152" t="s">
        <v>6</v>
      </c>
      <c r="F12" s="152" t="s">
        <v>234</v>
      </c>
      <c r="G12" s="152">
        <v>1</v>
      </c>
      <c r="H12" s="152">
        <v>2</v>
      </c>
      <c r="I12" s="152">
        <v>3</v>
      </c>
      <c r="J12" s="152" t="s">
        <v>235</v>
      </c>
    </row>
    <row r="13" spans="1:15" s="153" customFormat="1" ht="19.5" customHeight="1">
      <c r="A13" s="1085"/>
      <c r="B13" s="1085"/>
      <c r="C13" s="154"/>
      <c r="D13" s="154"/>
      <c r="E13" s="154" t="s">
        <v>236</v>
      </c>
      <c r="F13" s="155"/>
      <c r="G13" s="156"/>
      <c r="H13" s="154"/>
      <c r="I13" s="174">
        <f>IF($L$11="All",CDPS!$C$10,CDPS!$C$10+SUMIF(_N111,"x",TH)-SUMIF(_C111,"x",TH))</f>
        <v>481905579</v>
      </c>
      <c r="J13" s="154"/>
    </row>
    <row r="14" spans="1:15" ht="19.5" customHeight="1">
      <c r="A14" s="1086">
        <f ca="1">IF(ROWS($1:1)&gt;COUNT(Dong1),"",OFFSET(TH!C$1,SMALL(Dong1,ROWS($1:1)),))</f>
        <v>42552</v>
      </c>
      <c r="B14" s="1086">
        <f ca="1">IF(ROWS($1:1)&gt;COUNT(Dong1),"",OFFSET(TH!E$1,SMALL(Dong1,ROWS($1:1)),))</f>
        <v>42546</v>
      </c>
      <c r="C14" s="157" t="str">
        <f ca="1">IF(ROWS($1:1)&gt;COUNT(Dong1),"",IF(OFFSET(TH!O$1,SMALL(Dong1,ROWS($1:1)),)="1111",OFFSET(TH!D$1,SMALL(Dong1,ROWS($1:1)),),""))</f>
        <v/>
      </c>
      <c r="D14" s="158" t="str">
        <f ca="1">IF(ROWS($1:1)&gt;COUNT(Dong1),"",IF(OFFSET(TH!P$1,SMALL(Dong1,ROWS($1:1)),)="1111",OFFSET(TH!D$1,SMALL(Dong1,ROWS($1:1)),),""))</f>
        <v>C01</v>
      </c>
      <c r="E14" s="406" t="str">
        <f ca="1">IF(ROWS($1:1)&gt;COUNT(Dong1),"",OFFSET(TH!F$1,SMALL(Dong1,ROWS($1:1)),))</f>
        <v>Tiền nước tháng 06/2016</v>
      </c>
      <c r="F14" s="160" t="str">
        <f ca="1">IF(ROWS($1:1)&gt;COUNT(Dong1),"",IF(OFFSET(TH!P$1,SMALL(Dong1,ROWS($1:1)),)="1111",OFFSET(TH!O$1,SMALL(Dong1,ROWS($1:1)),),OFFSET(TH!P$1,SMALL(Dong1,ROWS($1:1)),)))</f>
        <v>642</v>
      </c>
      <c r="G14" s="161">
        <f ca="1">IF(ROWS($1:1)&gt;COUNT(Dong1),"",IF(OFFSET(TH!O$1,SMALL(Dong1,ROWS($1:1)),)="1111",OFFSET(TH!M$1,SMALL(Dong1,ROWS($1:1)),),0))</f>
        <v>0</v>
      </c>
      <c r="H14" s="159">
        <f ca="1">IF(ROWS($1:1)&gt;COUNT(Dong1),"",IF(OFFSET(TH!P$1,SMALL(Dong1,ROWS($1:1)),)="1111",OFFSET(TH!M$1,SMALL(Dong1,ROWS($1:1)),),0))</f>
        <v>10471000</v>
      </c>
      <c r="I14" s="157">
        <f ca="1">IF(E14&lt;&gt;"",I13+G14-H14,0)</f>
        <v>471434579</v>
      </c>
      <c r="J14" s="162"/>
    </row>
    <row r="15" spans="1:15" ht="19.5" customHeight="1">
      <c r="A15" s="1086">
        <f ca="1">IF(ROWS($1:2)&gt;COUNT(Dong1),"",OFFSET(TH!C$1,SMALL(Dong1,ROWS($1:2)),))</f>
        <v>42552</v>
      </c>
      <c r="B15" s="1086">
        <f ca="1">IF(ROWS($1:2)&gt;COUNT(Dong1),"",OFFSET(TH!E$1,SMALL(Dong1,ROWS($1:2)),))</f>
        <v>42546</v>
      </c>
      <c r="C15" s="157" t="str">
        <f ca="1">IF(ROWS($1:2)&gt;COUNT(Dong1),"",IF(OFFSET(TH!O$1,SMALL(Dong1,ROWS($1:2)),)="1111",OFFSET(TH!D$1,SMALL(Dong1,ROWS($1:2)),),""))</f>
        <v/>
      </c>
      <c r="D15" s="158" t="str">
        <f ca="1">IF(ROWS($1:2)&gt;COUNT(Dong1),"",IF(OFFSET(TH!P$1,SMALL(Dong1,ROWS($1:2)),)="1111",OFFSET(TH!D$1,SMALL(Dong1,ROWS($1:2)),),""))</f>
        <v>C01</v>
      </c>
      <c r="E15" s="406" t="str">
        <f ca="1">IF(ROWS($1:2)&gt;COUNT(Dong1),"",OFFSET(TH!F$1,SMALL(Dong1,ROWS($1:2)),))</f>
        <v>VAT Tiền nước tháng 6/2016</v>
      </c>
      <c r="F15" s="160" t="str">
        <f ca="1">IF(ROWS($1:2)&gt;COUNT(Dong1),"",IF(OFFSET(TH!P$1,SMALL(Dong1,ROWS($1:2)),)="1111",OFFSET(TH!O$1,SMALL(Dong1,ROWS($1:2)),),OFFSET(TH!P$1,SMALL(Dong1,ROWS($1:2)),)))</f>
        <v>1331</v>
      </c>
      <c r="G15" s="161">
        <f ca="1">IF(ROWS($1:2)&gt;COUNT(Dong1),"",IF(OFFSET(TH!O$1,SMALL(Dong1,ROWS($1:2)),)="1111",OFFSET(TH!M$1,SMALL(Dong1,ROWS($1:2)),),0))</f>
        <v>0</v>
      </c>
      <c r="H15" s="159">
        <f ca="1">IF(ROWS($1:2)&gt;COUNT(Dong1),"",IF(OFFSET(TH!P$1,SMALL(Dong1,ROWS($1:2)),)="1111",OFFSET(TH!M$1,SMALL(Dong1,ROWS($1:2)),),0))</f>
        <v>523550</v>
      </c>
      <c r="I15" s="157">
        <f t="shared" ref="I15:I78" ca="1" si="0">IF(E15&lt;&gt;"",I14+G15-H15,0)</f>
        <v>470911029</v>
      </c>
      <c r="J15" s="162"/>
    </row>
    <row r="16" spans="1:15" ht="19.5" customHeight="1">
      <c r="A16" s="1086">
        <f ca="1">IF(ROWS($1:3)&gt;COUNT(Dong1),"",OFFSET(TH!C$1,SMALL(Dong1,ROWS($1:3)),))</f>
        <v>42552</v>
      </c>
      <c r="B16" s="1086">
        <f ca="1">IF(ROWS($1:3)&gt;COUNT(Dong1),"",OFFSET(TH!E$1,SMALL(Dong1,ROWS($1:3)),))</f>
        <v>42552</v>
      </c>
      <c r="C16" s="157" t="str">
        <f ca="1">IF(ROWS($1:3)&gt;COUNT(Dong1),"",IF(OFFSET(TH!O$1,SMALL(Dong1,ROWS($1:3)),)="1111",OFFSET(TH!D$1,SMALL(Dong1,ROWS($1:3)),),""))</f>
        <v/>
      </c>
      <c r="D16" s="158" t="str">
        <f ca="1">IF(ROWS($1:3)&gt;COUNT(Dong1),"",IF(OFFSET(TH!P$1,SMALL(Dong1,ROWS($1:3)),)="1111",OFFSET(TH!D$1,SMALL(Dong1,ROWS($1:3)),),""))</f>
        <v>C02</v>
      </c>
      <c r="E16" s="406" t="str">
        <f ca="1">IF(ROWS($1:3)&gt;COUNT(Dong1),"",OFFSET(TH!F$1,SMALL(Dong1,ROWS($1:3)),))</f>
        <v>Cước Điện Thoại - Internet</v>
      </c>
      <c r="F16" s="160" t="str">
        <f ca="1">IF(ROWS($1:3)&gt;COUNT(Dong1),"",IF(OFFSET(TH!P$1,SMALL(Dong1,ROWS($1:3)),)="1111",OFFSET(TH!O$1,SMALL(Dong1,ROWS($1:3)),),OFFSET(TH!P$1,SMALL(Dong1,ROWS($1:3)),)))</f>
        <v>642</v>
      </c>
      <c r="G16" s="161">
        <f ca="1">IF(ROWS($1:3)&gt;COUNT(Dong1),"",IF(OFFSET(TH!O$1,SMALL(Dong1,ROWS($1:3)),)="1111",OFFSET(TH!M$1,SMALL(Dong1,ROWS($1:3)),),0))</f>
        <v>0</v>
      </c>
      <c r="H16" s="159">
        <f ca="1">IF(ROWS($1:3)&gt;COUNT(Dong1),"",IF(OFFSET(TH!P$1,SMALL(Dong1,ROWS($1:3)),)="1111",OFFSET(TH!M$1,SMALL(Dong1,ROWS($1:3)),),0))</f>
        <v>423194</v>
      </c>
      <c r="I16" s="157">
        <f t="shared" ca="1" si="0"/>
        <v>470487835</v>
      </c>
      <c r="J16" s="162"/>
    </row>
    <row r="17" spans="1:10" ht="19.5" customHeight="1">
      <c r="A17" s="1086">
        <f ca="1">IF(ROWS($1:4)&gt;COUNT(Dong1),"",OFFSET(TH!C$1,SMALL(Dong1,ROWS($1:4)),))</f>
        <v>42552</v>
      </c>
      <c r="B17" s="1086">
        <f ca="1">IF(ROWS($1:4)&gt;COUNT(Dong1),"",OFFSET(TH!E$1,SMALL(Dong1,ROWS($1:4)),))</f>
        <v>42552</v>
      </c>
      <c r="C17" s="157" t="str">
        <f ca="1">IF(ROWS($1:4)&gt;COUNT(Dong1),"",IF(OFFSET(TH!O$1,SMALL(Dong1,ROWS($1:4)),)="1111",OFFSET(TH!D$1,SMALL(Dong1,ROWS($1:4)),),""))</f>
        <v/>
      </c>
      <c r="D17" s="158" t="str">
        <f ca="1">IF(ROWS($1:4)&gt;COUNT(Dong1),"",IF(OFFSET(TH!P$1,SMALL(Dong1,ROWS($1:4)),)="1111",OFFSET(TH!D$1,SMALL(Dong1,ROWS($1:4)),),""))</f>
        <v>C02</v>
      </c>
      <c r="E17" s="406" t="str">
        <f ca="1">IF(ROWS($1:4)&gt;COUNT(Dong1),"",OFFSET(TH!F$1,SMALL(Dong1,ROWS($1:4)),))</f>
        <v>VAT Cước Điện Thoại - Internet 6/2016</v>
      </c>
      <c r="F17" s="160" t="str">
        <f ca="1">IF(ROWS($1:4)&gt;COUNT(Dong1),"",IF(OFFSET(TH!P$1,SMALL(Dong1,ROWS($1:4)),)="1111",OFFSET(TH!O$1,SMALL(Dong1,ROWS($1:4)),),OFFSET(TH!P$1,SMALL(Dong1,ROWS($1:4)),)))</f>
        <v>1331</v>
      </c>
      <c r="G17" s="161">
        <f ca="1">IF(ROWS($1:4)&gt;COUNT(Dong1),"",IF(OFFSET(TH!O$1,SMALL(Dong1,ROWS($1:4)),)="1111",OFFSET(TH!M$1,SMALL(Dong1,ROWS($1:4)),),0))</f>
        <v>0</v>
      </c>
      <c r="H17" s="159">
        <f ca="1">IF(ROWS($1:4)&gt;COUNT(Dong1),"",IF(OFFSET(TH!P$1,SMALL(Dong1,ROWS($1:4)),)="1111",OFFSET(TH!M$1,SMALL(Dong1,ROWS($1:4)),),0))</f>
        <v>42319</v>
      </c>
      <c r="I17" s="157">
        <f t="shared" ca="1" si="0"/>
        <v>470445516</v>
      </c>
      <c r="J17" s="162"/>
    </row>
    <row r="18" spans="1:10" ht="19.5" customHeight="1">
      <c r="A18" s="1086">
        <f ca="1">IF(ROWS($1:5)&gt;COUNT(Dong1),"",OFFSET(TH!C$1,SMALL(Dong1,ROWS($1:5)),))</f>
        <v>42552</v>
      </c>
      <c r="B18" s="1086">
        <f ca="1">IF(ROWS($1:5)&gt;COUNT(Dong1),"",OFFSET(TH!E$1,SMALL(Dong1,ROWS($1:5)),))</f>
        <v>42552</v>
      </c>
      <c r="C18" s="157" t="str">
        <f ca="1">IF(ROWS($1:5)&gt;COUNT(Dong1),"",IF(OFFSET(TH!O$1,SMALL(Dong1,ROWS($1:5)),)="1111",OFFSET(TH!D$1,SMALL(Dong1,ROWS($1:5)),),""))</f>
        <v/>
      </c>
      <c r="D18" s="158" t="str">
        <f ca="1">IF(ROWS($1:5)&gt;COUNT(Dong1),"",IF(OFFSET(TH!P$1,SMALL(Dong1,ROWS($1:5)),)="1111",OFFSET(TH!D$1,SMALL(Dong1,ROWS($1:5)),),""))</f>
        <v>C03</v>
      </c>
      <c r="E18" s="406" t="str">
        <f ca="1">IF(ROWS($1:5)&gt;COUNT(Dong1),"",OFFSET(TH!F$1,SMALL(Dong1,ROWS($1:5)),))</f>
        <v>Khây Nhôm</v>
      </c>
      <c r="F18" s="160" t="str">
        <f ca="1">IF(ROWS($1:5)&gt;COUNT(Dong1),"",IF(OFFSET(TH!P$1,SMALL(Dong1,ROWS($1:5)),)="1111",OFFSET(TH!O$1,SMALL(Dong1,ROWS($1:5)),),OFFSET(TH!P$1,SMALL(Dong1,ROWS($1:5)),)))</f>
        <v>642</v>
      </c>
      <c r="G18" s="161">
        <f ca="1">IF(ROWS($1:5)&gt;COUNT(Dong1),"",IF(OFFSET(TH!O$1,SMALL(Dong1,ROWS($1:5)),)="1111",OFFSET(TH!M$1,SMALL(Dong1,ROWS($1:5)),),0))</f>
        <v>0</v>
      </c>
      <c r="H18" s="159">
        <f ca="1">IF(ROWS($1:5)&gt;COUNT(Dong1),"",IF(OFFSET(TH!P$1,SMALL(Dong1,ROWS($1:5)),)="1111",OFFSET(TH!M$1,SMALL(Dong1,ROWS($1:5)),),0))</f>
        <v>17000000</v>
      </c>
      <c r="I18" s="157">
        <f t="shared" ca="1" si="0"/>
        <v>453445516</v>
      </c>
      <c r="J18" s="162"/>
    </row>
    <row r="19" spans="1:10" ht="19.5" customHeight="1">
      <c r="A19" s="1086">
        <f ca="1">IF(ROWS($1:6)&gt;COUNT(Dong1),"",OFFSET(TH!C$1,SMALL(Dong1,ROWS($1:6)),))</f>
        <v>42552</v>
      </c>
      <c r="B19" s="1086">
        <f ca="1">IF(ROWS($1:6)&gt;COUNT(Dong1),"",OFFSET(TH!E$1,SMALL(Dong1,ROWS($1:6)),))</f>
        <v>42552</v>
      </c>
      <c r="C19" s="157" t="str">
        <f ca="1">IF(ROWS($1:6)&gt;COUNT(Dong1),"",IF(OFFSET(TH!O$1,SMALL(Dong1,ROWS($1:6)),)="1111",OFFSET(TH!D$1,SMALL(Dong1,ROWS($1:6)),),""))</f>
        <v/>
      </c>
      <c r="D19" s="158" t="str">
        <f ca="1">IF(ROWS($1:6)&gt;COUNT(Dong1),"",IF(OFFSET(TH!P$1,SMALL(Dong1,ROWS($1:6)),)="1111",OFFSET(TH!D$1,SMALL(Dong1,ROWS($1:6)),),""))</f>
        <v>C03</v>
      </c>
      <c r="E19" s="406" t="str">
        <f ca="1">IF(ROWS($1:6)&gt;COUNT(Dong1),"",OFFSET(TH!F$1,SMALL(Dong1,ROWS($1:6)),))</f>
        <v>VAT Khây Nhôm</v>
      </c>
      <c r="F19" s="160" t="str">
        <f ca="1">IF(ROWS($1:6)&gt;COUNT(Dong1),"",IF(OFFSET(TH!P$1,SMALL(Dong1,ROWS($1:6)),)="1111",OFFSET(TH!O$1,SMALL(Dong1,ROWS($1:6)),),OFFSET(TH!P$1,SMALL(Dong1,ROWS($1:6)),)))</f>
        <v>1331</v>
      </c>
      <c r="G19" s="161">
        <f ca="1">IF(ROWS($1:6)&gt;COUNT(Dong1),"",IF(OFFSET(TH!O$1,SMALL(Dong1,ROWS($1:6)),)="1111",OFFSET(TH!M$1,SMALL(Dong1,ROWS($1:6)),),0))</f>
        <v>0</v>
      </c>
      <c r="H19" s="159">
        <f ca="1">IF(ROWS($1:6)&gt;COUNT(Dong1),"",IF(OFFSET(TH!P$1,SMALL(Dong1,ROWS($1:6)),)="1111",OFFSET(TH!M$1,SMALL(Dong1,ROWS($1:6)),),0))</f>
        <v>1700000</v>
      </c>
      <c r="I19" s="157">
        <f t="shared" ca="1" si="0"/>
        <v>451745516</v>
      </c>
      <c r="J19" s="162"/>
    </row>
    <row r="20" spans="1:10" ht="19.5" customHeight="1">
      <c r="A20" s="1086">
        <f ca="1">IF(ROWS($1:7)&gt;COUNT(Dong1),"",OFFSET(TH!C$1,SMALL(Dong1,ROWS($1:7)),))</f>
        <v>42555</v>
      </c>
      <c r="B20" s="1086">
        <f ca="1">IF(ROWS($1:7)&gt;COUNT(Dong1),"",OFFSET(TH!E$1,SMALL(Dong1,ROWS($1:7)),))</f>
        <v>42555</v>
      </c>
      <c r="C20" s="157" t="str">
        <f ca="1">IF(ROWS($1:7)&gt;COUNT(Dong1),"",IF(OFFSET(TH!O$1,SMALL(Dong1,ROWS($1:7)),)="1111",OFFSET(TH!D$1,SMALL(Dong1,ROWS($1:7)),),""))</f>
        <v/>
      </c>
      <c r="D20" s="158" t="str">
        <f ca="1">IF(ROWS($1:7)&gt;COUNT(Dong1),"",IF(OFFSET(TH!P$1,SMALL(Dong1,ROWS($1:7)),)="1111",OFFSET(TH!D$1,SMALL(Dong1,ROWS($1:7)),),""))</f>
        <v>C04</v>
      </c>
      <c r="E20" s="406" t="str">
        <f ca="1">IF(ROWS($1:7)&gt;COUNT(Dong1),"",OFFSET(TH!F$1,SMALL(Dong1,ROWS($1:7)),))</f>
        <v>Tiền xử lý nước thải T06/2016</v>
      </c>
      <c r="F20" s="160" t="str">
        <f ca="1">IF(ROWS($1:7)&gt;COUNT(Dong1),"",IF(OFFSET(TH!P$1,SMALL(Dong1,ROWS($1:7)),)="1111",OFFSET(TH!O$1,SMALL(Dong1,ROWS($1:7)),),OFFSET(TH!P$1,SMALL(Dong1,ROWS($1:7)),)))</f>
        <v>642</v>
      </c>
      <c r="G20" s="161">
        <f ca="1">IF(ROWS($1:7)&gt;COUNT(Dong1),"",IF(OFFSET(TH!O$1,SMALL(Dong1,ROWS($1:7)),)="1111",OFFSET(TH!M$1,SMALL(Dong1,ROWS($1:7)),),0))</f>
        <v>0</v>
      </c>
      <c r="H20" s="159">
        <f ca="1">IF(ROWS($1:7)&gt;COUNT(Dong1),"",IF(OFFSET(TH!P$1,SMALL(Dong1,ROWS($1:7)),)="1111",OFFSET(TH!M$1,SMALL(Dong1,ROWS($1:7)),),0))</f>
        <v>6279273</v>
      </c>
      <c r="I20" s="157">
        <f t="shared" ca="1" si="0"/>
        <v>445466243</v>
      </c>
      <c r="J20" s="162"/>
    </row>
    <row r="21" spans="1:10" ht="19.5" customHeight="1">
      <c r="A21" s="1086">
        <f ca="1">IF(ROWS($1:8)&gt;COUNT(Dong1),"",OFFSET(TH!C$1,SMALL(Dong1,ROWS($1:8)),))</f>
        <v>42555</v>
      </c>
      <c r="B21" s="1086">
        <f ca="1">IF(ROWS($1:8)&gt;COUNT(Dong1),"",OFFSET(TH!E$1,SMALL(Dong1,ROWS($1:8)),))</f>
        <v>42555</v>
      </c>
      <c r="C21" s="157" t="str">
        <f ca="1">IF(ROWS($1:8)&gt;COUNT(Dong1),"",IF(OFFSET(TH!O$1,SMALL(Dong1,ROWS($1:8)),)="1111",OFFSET(TH!D$1,SMALL(Dong1,ROWS($1:8)),),""))</f>
        <v/>
      </c>
      <c r="D21" s="158" t="str">
        <f ca="1">IF(ROWS($1:8)&gt;COUNT(Dong1),"",IF(OFFSET(TH!P$1,SMALL(Dong1,ROWS($1:8)),)="1111",OFFSET(TH!D$1,SMALL(Dong1,ROWS($1:8)),),""))</f>
        <v>C04</v>
      </c>
      <c r="E21" s="406" t="str">
        <f ca="1">IF(ROWS($1:8)&gt;COUNT(Dong1),"",OFFSET(TH!F$1,SMALL(Dong1,ROWS($1:8)),))</f>
        <v>GTGT Tiền xử lý nước thải T06/2016</v>
      </c>
      <c r="F21" s="160" t="str">
        <f ca="1">IF(ROWS($1:8)&gt;COUNT(Dong1),"",IF(OFFSET(TH!P$1,SMALL(Dong1,ROWS($1:8)),)="1111",OFFSET(TH!O$1,SMALL(Dong1,ROWS($1:8)),),OFFSET(TH!P$1,SMALL(Dong1,ROWS($1:8)),)))</f>
        <v>1331</v>
      </c>
      <c r="G21" s="161">
        <f ca="1">IF(ROWS($1:8)&gt;COUNT(Dong1),"",IF(OFFSET(TH!O$1,SMALL(Dong1,ROWS($1:8)),)="1111",OFFSET(TH!M$1,SMALL(Dong1,ROWS($1:8)),),0))</f>
        <v>0</v>
      </c>
      <c r="H21" s="159">
        <f ca="1">IF(ROWS($1:8)&gt;COUNT(Dong1),"",IF(OFFSET(TH!P$1,SMALL(Dong1,ROWS($1:8)),)="1111",OFFSET(TH!M$1,SMALL(Dong1,ROWS($1:8)),),0))</f>
        <v>627927</v>
      </c>
      <c r="I21" s="157">
        <f t="shared" ca="1" si="0"/>
        <v>444838316</v>
      </c>
      <c r="J21" s="162"/>
    </row>
    <row r="22" spans="1:10" ht="19.5" customHeight="1">
      <c r="A22" s="1086">
        <f ca="1">IF(ROWS($1:9)&gt;COUNT(Dong1),"",OFFSET(TH!C$1,SMALL(Dong1,ROWS($1:9)),))</f>
        <v>42559</v>
      </c>
      <c r="B22" s="1086">
        <f ca="1">IF(ROWS($1:9)&gt;COUNT(Dong1),"",OFFSET(TH!E$1,SMALL(Dong1,ROWS($1:9)),))</f>
        <v>42559</v>
      </c>
      <c r="C22" s="157" t="str">
        <f ca="1">IF(ROWS($1:9)&gt;COUNT(Dong1),"",IF(OFFSET(TH!O$1,SMALL(Dong1,ROWS($1:9)),)="1111",OFFSET(TH!D$1,SMALL(Dong1,ROWS($1:9)),),""))</f>
        <v/>
      </c>
      <c r="D22" s="158" t="str">
        <f ca="1">IF(ROWS($1:9)&gt;COUNT(Dong1),"",IF(OFFSET(TH!P$1,SMALL(Dong1,ROWS($1:9)),)="1111",OFFSET(TH!D$1,SMALL(Dong1,ROWS($1:9)),),""))</f>
        <v>C05</v>
      </c>
      <c r="E22" s="406" t="str">
        <f ca="1">IF(ROWS($1:9)&gt;COUNT(Dong1),"",OFFSET(TH!F$1,SMALL(Dong1,ROWS($1:9)),))</f>
        <v>Sơn xịt, vật liệu điện</v>
      </c>
      <c r="F22" s="160" t="str">
        <f ca="1">IF(ROWS($1:9)&gt;COUNT(Dong1),"",IF(OFFSET(TH!P$1,SMALL(Dong1,ROWS($1:9)),)="1111",OFFSET(TH!O$1,SMALL(Dong1,ROWS($1:9)),),OFFSET(TH!P$1,SMALL(Dong1,ROWS($1:9)),)))</f>
        <v>2412</v>
      </c>
      <c r="G22" s="161">
        <f ca="1">IF(ROWS($1:9)&gt;COUNT(Dong1),"",IF(OFFSET(TH!O$1,SMALL(Dong1,ROWS($1:9)),)="1111",OFFSET(TH!M$1,SMALL(Dong1,ROWS($1:9)),),0))</f>
        <v>0</v>
      </c>
      <c r="H22" s="159">
        <f ca="1">IF(ROWS($1:9)&gt;COUNT(Dong1),"",IF(OFFSET(TH!P$1,SMALL(Dong1,ROWS($1:9)),)="1111",OFFSET(TH!M$1,SMALL(Dong1,ROWS($1:9)),),0))</f>
        <v>867000</v>
      </c>
      <c r="I22" s="157">
        <f t="shared" ca="1" si="0"/>
        <v>443971316</v>
      </c>
      <c r="J22" s="162"/>
    </row>
    <row r="23" spans="1:10" ht="19.5" customHeight="1">
      <c r="A23" s="1086">
        <f ca="1">IF(ROWS($1:10)&gt;COUNT(Dong1),"",OFFSET(TH!C$1,SMALL(Dong1,ROWS($1:10)),))</f>
        <v>42561</v>
      </c>
      <c r="B23" s="1086">
        <f ca="1">IF(ROWS($1:10)&gt;COUNT(Dong1),"",OFFSET(TH!E$1,SMALL(Dong1,ROWS($1:10)),))</f>
        <v>42561</v>
      </c>
      <c r="C23" s="157" t="str">
        <f ca="1">IF(ROWS($1:10)&gt;COUNT(Dong1),"",IF(OFFSET(TH!O$1,SMALL(Dong1,ROWS($1:10)),)="1111",OFFSET(TH!D$1,SMALL(Dong1,ROWS($1:10)),),""))</f>
        <v/>
      </c>
      <c r="D23" s="158" t="str">
        <f ca="1">IF(ROWS($1:10)&gt;COUNT(Dong1),"",IF(OFFSET(TH!P$1,SMALL(Dong1,ROWS($1:10)),)="1111",OFFSET(TH!D$1,SMALL(Dong1,ROWS($1:10)),),""))</f>
        <v>C06</v>
      </c>
      <c r="E23" s="406" t="str">
        <f ca="1">IF(ROWS($1:10)&gt;COUNT(Dong1),"",OFFSET(TH!F$1,SMALL(Dong1,ROWS($1:10)),))</f>
        <v>Phí Bảo Vệ T6/2016</v>
      </c>
      <c r="F23" s="160" t="str">
        <f ca="1">IF(ROWS($1:10)&gt;COUNT(Dong1),"",IF(OFFSET(TH!P$1,SMALL(Dong1,ROWS($1:10)),)="1111",OFFSET(TH!O$1,SMALL(Dong1,ROWS($1:10)),),OFFSET(TH!P$1,SMALL(Dong1,ROWS($1:10)),)))</f>
        <v>642</v>
      </c>
      <c r="G23" s="161">
        <f ca="1">IF(ROWS($1:10)&gt;COUNT(Dong1),"",IF(OFFSET(TH!O$1,SMALL(Dong1,ROWS($1:10)),)="1111",OFFSET(TH!M$1,SMALL(Dong1,ROWS($1:10)),),0))</f>
        <v>0</v>
      </c>
      <c r="H23" s="159">
        <f ca="1">IF(ROWS($1:10)&gt;COUNT(Dong1),"",IF(OFFSET(TH!P$1,SMALL(Dong1,ROWS($1:10)),)="1111",OFFSET(TH!M$1,SMALL(Dong1,ROWS($1:10)),),0))</f>
        <v>7272727</v>
      </c>
      <c r="I23" s="157">
        <f t="shared" ca="1" si="0"/>
        <v>436698589</v>
      </c>
      <c r="J23" s="162"/>
    </row>
    <row r="24" spans="1:10" ht="19.5" customHeight="1">
      <c r="A24" s="1086">
        <f ca="1">IF(ROWS($1:11)&gt;COUNT(Dong1),"",OFFSET(TH!C$1,SMALL(Dong1,ROWS($1:11)),))</f>
        <v>42561</v>
      </c>
      <c r="B24" s="1086">
        <f ca="1">IF(ROWS($1:11)&gt;COUNT(Dong1),"",OFFSET(TH!E$1,SMALL(Dong1,ROWS($1:11)),))</f>
        <v>42561</v>
      </c>
      <c r="C24" s="157" t="str">
        <f ca="1">IF(ROWS($1:11)&gt;COUNT(Dong1),"",IF(OFFSET(TH!O$1,SMALL(Dong1,ROWS($1:11)),)="1111",OFFSET(TH!D$1,SMALL(Dong1,ROWS($1:11)),),""))</f>
        <v/>
      </c>
      <c r="D24" s="158" t="str">
        <f ca="1">IF(ROWS($1:11)&gt;COUNT(Dong1),"",IF(OFFSET(TH!P$1,SMALL(Dong1,ROWS($1:11)),)="1111",OFFSET(TH!D$1,SMALL(Dong1,ROWS($1:11)),),""))</f>
        <v>C06</v>
      </c>
      <c r="E24" s="406" t="str">
        <f ca="1">IF(ROWS($1:11)&gt;COUNT(Dong1),"",OFFSET(TH!F$1,SMALL(Dong1,ROWS($1:11)),))</f>
        <v>VAT Phí Bảo Vệ T6/2016</v>
      </c>
      <c r="F24" s="160" t="str">
        <f ca="1">IF(ROWS($1:11)&gt;COUNT(Dong1),"",IF(OFFSET(TH!P$1,SMALL(Dong1,ROWS($1:11)),)="1111",OFFSET(TH!O$1,SMALL(Dong1,ROWS($1:11)),),OFFSET(TH!P$1,SMALL(Dong1,ROWS($1:11)),)))</f>
        <v>1331</v>
      </c>
      <c r="G24" s="161">
        <f ca="1">IF(ROWS($1:11)&gt;COUNT(Dong1),"",IF(OFFSET(TH!O$1,SMALL(Dong1,ROWS($1:11)),)="1111",OFFSET(TH!M$1,SMALL(Dong1,ROWS($1:11)),),0))</f>
        <v>0</v>
      </c>
      <c r="H24" s="159">
        <f ca="1">IF(ROWS($1:11)&gt;COUNT(Dong1),"",IF(OFFSET(TH!P$1,SMALL(Dong1,ROWS($1:11)),)="1111",OFFSET(TH!M$1,SMALL(Dong1,ROWS($1:11)),),0))</f>
        <v>727273</v>
      </c>
      <c r="I24" s="157">
        <f t="shared" ca="1" si="0"/>
        <v>435971316</v>
      </c>
      <c r="J24" s="162"/>
    </row>
    <row r="25" spans="1:10" ht="19.5" customHeight="1">
      <c r="A25" s="1086">
        <f ca="1">IF(ROWS($1:12)&gt;COUNT(Dong1),"",OFFSET(TH!C$1,SMALL(Dong1,ROWS($1:12)),))</f>
        <v>42561</v>
      </c>
      <c r="B25" s="1086">
        <f ca="1">IF(ROWS($1:12)&gt;COUNT(Dong1),"",OFFSET(TH!E$1,SMALL(Dong1,ROWS($1:12)),))</f>
        <v>42561</v>
      </c>
      <c r="C25" s="157" t="str">
        <f ca="1">IF(ROWS($1:12)&gt;COUNT(Dong1),"",IF(OFFSET(TH!O$1,SMALL(Dong1,ROWS($1:12)),)="1111",OFFSET(TH!D$1,SMALL(Dong1,ROWS($1:12)),),""))</f>
        <v/>
      </c>
      <c r="D25" s="158" t="str">
        <f ca="1">IF(ROWS($1:12)&gt;COUNT(Dong1),"",IF(OFFSET(TH!P$1,SMALL(Dong1,ROWS($1:12)),)="1111",OFFSET(TH!D$1,SMALL(Dong1,ROWS($1:12)),),""))</f>
        <v>C07</v>
      </c>
      <c r="E25" s="406" t="str">
        <f ca="1">IF(ROWS($1:12)&gt;COUNT(Dong1),"",OFFSET(TH!F$1,SMALL(Dong1,ROWS($1:12)),))</f>
        <v>Khây Nhôm</v>
      </c>
      <c r="F25" s="160" t="str">
        <f ca="1">IF(ROWS($1:12)&gt;COUNT(Dong1),"",IF(OFFSET(TH!P$1,SMALL(Dong1,ROWS($1:12)),)="1111",OFFSET(TH!O$1,SMALL(Dong1,ROWS($1:12)),),OFFSET(TH!P$1,SMALL(Dong1,ROWS($1:12)),)))</f>
        <v>642</v>
      </c>
      <c r="G25" s="161">
        <f ca="1">IF(ROWS($1:12)&gt;COUNT(Dong1),"",IF(OFFSET(TH!O$1,SMALL(Dong1,ROWS($1:12)),)="1111",OFFSET(TH!M$1,SMALL(Dong1,ROWS($1:12)),),0))</f>
        <v>0</v>
      </c>
      <c r="H25" s="159">
        <f ca="1">IF(ROWS($1:12)&gt;COUNT(Dong1),"",IF(OFFSET(TH!P$1,SMALL(Dong1,ROWS($1:12)),)="1111",OFFSET(TH!M$1,SMALL(Dong1,ROWS($1:12)),),0))</f>
        <v>17000000</v>
      </c>
      <c r="I25" s="157">
        <f t="shared" ca="1" si="0"/>
        <v>418971316</v>
      </c>
      <c r="J25" s="162"/>
    </row>
    <row r="26" spans="1:10" ht="19.5" customHeight="1">
      <c r="A26" s="1086">
        <f ca="1">IF(ROWS($1:13)&gt;COUNT(Dong1),"",OFFSET(TH!C$1,SMALL(Dong1,ROWS($1:13)),))</f>
        <v>42561</v>
      </c>
      <c r="B26" s="1086">
        <f ca="1">IF(ROWS($1:13)&gt;COUNT(Dong1),"",OFFSET(TH!E$1,SMALL(Dong1,ROWS($1:13)),))</f>
        <v>42561</v>
      </c>
      <c r="C26" s="157" t="str">
        <f ca="1">IF(ROWS($1:13)&gt;COUNT(Dong1),"",IF(OFFSET(TH!O$1,SMALL(Dong1,ROWS($1:13)),)="1111",OFFSET(TH!D$1,SMALL(Dong1,ROWS($1:13)),),""))</f>
        <v/>
      </c>
      <c r="D26" s="158" t="str">
        <f ca="1">IF(ROWS($1:13)&gt;COUNT(Dong1),"",IF(OFFSET(TH!P$1,SMALL(Dong1,ROWS($1:13)),)="1111",OFFSET(TH!D$1,SMALL(Dong1,ROWS($1:13)),),""))</f>
        <v>C07</v>
      </c>
      <c r="E26" s="406" t="str">
        <f ca="1">IF(ROWS($1:13)&gt;COUNT(Dong1),"",OFFSET(TH!F$1,SMALL(Dong1,ROWS($1:13)),))</f>
        <v>VAT Khây Nhôm</v>
      </c>
      <c r="F26" s="160" t="str">
        <f ca="1">IF(ROWS($1:13)&gt;COUNT(Dong1),"",IF(OFFSET(TH!P$1,SMALL(Dong1,ROWS($1:13)),)="1111",OFFSET(TH!O$1,SMALL(Dong1,ROWS($1:13)),),OFFSET(TH!P$1,SMALL(Dong1,ROWS($1:13)),)))</f>
        <v>1331</v>
      </c>
      <c r="G26" s="161">
        <f ca="1">IF(ROWS($1:13)&gt;COUNT(Dong1),"",IF(OFFSET(TH!O$1,SMALL(Dong1,ROWS($1:13)),)="1111",OFFSET(TH!M$1,SMALL(Dong1,ROWS($1:13)),),0))</f>
        <v>0</v>
      </c>
      <c r="H26" s="159">
        <f ca="1">IF(ROWS($1:13)&gt;COUNT(Dong1),"",IF(OFFSET(TH!P$1,SMALL(Dong1,ROWS($1:13)),)="1111",OFFSET(TH!M$1,SMALL(Dong1,ROWS($1:13)),),0))</f>
        <v>1700000</v>
      </c>
      <c r="I26" s="157">
        <f t="shared" ca="1" si="0"/>
        <v>417271316</v>
      </c>
      <c r="J26" s="162"/>
    </row>
    <row r="27" spans="1:10" ht="19.5" customHeight="1">
      <c r="A27" s="1086">
        <f ca="1">IF(ROWS($1:14)&gt;COUNT(Dong1),"",OFFSET(TH!C$1,SMALL(Dong1,ROWS($1:14)),))</f>
        <v>42562</v>
      </c>
      <c r="B27" s="1086">
        <f ca="1">IF(ROWS($1:14)&gt;COUNT(Dong1),"",OFFSET(TH!E$1,SMALL(Dong1,ROWS($1:14)),))</f>
        <v>42562</v>
      </c>
      <c r="C27" s="157" t="str">
        <f ca="1">IF(ROWS($1:14)&gt;COUNT(Dong1),"",IF(OFFSET(TH!O$1,SMALL(Dong1,ROWS($1:14)),)="1111",OFFSET(TH!D$1,SMALL(Dong1,ROWS($1:14)),),""))</f>
        <v/>
      </c>
      <c r="D27" s="158" t="str">
        <f ca="1">IF(ROWS($1:14)&gt;COUNT(Dong1),"",IF(OFFSET(TH!P$1,SMALL(Dong1,ROWS($1:14)),)="1111",OFFSET(TH!D$1,SMALL(Dong1,ROWS($1:14)),),""))</f>
        <v>C08</v>
      </c>
      <c r="E27" s="406" t="str">
        <f ca="1">IF(ROWS($1:14)&gt;COUNT(Dong1),"",OFFSET(TH!F$1,SMALL(Dong1,ROWS($1:14)),))</f>
        <v>Vật liệu điện, xây tư sản xuất</v>
      </c>
      <c r="F27" s="160" t="str">
        <f ca="1">IF(ROWS($1:14)&gt;COUNT(Dong1),"",IF(OFFSET(TH!P$1,SMALL(Dong1,ROWS($1:14)),)="1111",OFFSET(TH!O$1,SMALL(Dong1,ROWS($1:14)),),OFFSET(TH!P$1,SMALL(Dong1,ROWS($1:14)),)))</f>
        <v>2412</v>
      </c>
      <c r="G27" s="161">
        <f ca="1">IF(ROWS($1:14)&gt;COUNT(Dong1),"",IF(OFFSET(TH!O$1,SMALL(Dong1,ROWS($1:14)),)="1111",OFFSET(TH!M$1,SMALL(Dong1,ROWS($1:14)),),0))</f>
        <v>0</v>
      </c>
      <c r="H27" s="159">
        <f ca="1">IF(ROWS($1:14)&gt;COUNT(Dong1),"",IF(OFFSET(TH!P$1,SMALL(Dong1,ROWS($1:14)),)="1111",OFFSET(TH!M$1,SMALL(Dong1,ROWS($1:14)),),0))</f>
        <v>1553000</v>
      </c>
      <c r="I27" s="157">
        <f t="shared" ca="1" si="0"/>
        <v>415718316</v>
      </c>
      <c r="J27" s="162"/>
    </row>
    <row r="28" spans="1:10" ht="19.5" customHeight="1">
      <c r="A28" s="1086">
        <f ca="1">IF(ROWS($1:15)&gt;COUNT(Dong1),"",OFFSET(TH!C$1,SMALL(Dong1,ROWS($1:15)),))</f>
        <v>42562</v>
      </c>
      <c r="B28" s="1086">
        <f ca="1">IF(ROWS($1:15)&gt;COUNT(Dong1),"",OFFSET(TH!E$1,SMALL(Dong1,ROWS($1:15)),))</f>
        <v>42562</v>
      </c>
      <c r="C28" s="157" t="str">
        <f ca="1">IF(ROWS($1:15)&gt;COUNT(Dong1),"",IF(OFFSET(TH!O$1,SMALL(Dong1,ROWS($1:15)),)="1111",OFFSET(TH!D$1,SMALL(Dong1,ROWS($1:15)),),""))</f>
        <v/>
      </c>
      <c r="D28" s="158" t="str">
        <f ca="1">IF(ROWS($1:15)&gt;COUNT(Dong1),"",IF(OFFSET(TH!P$1,SMALL(Dong1,ROWS($1:15)),)="1111",OFFSET(TH!D$1,SMALL(Dong1,ROWS($1:15)),),""))</f>
        <v>C09</v>
      </c>
      <c r="E28" s="406" t="str">
        <f ca="1">IF(ROWS($1:15)&gt;COUNT(Dong1),"",OFFSET(TH!F$1,SMALL(Dong1,ROWS($1:15)),))</f>
        <v>Nộp TM</v>
      </c>
      <c r="F28" s="160" t="str">
        <f ca="1">IF(ROWS($1:15)&gt;COUNT(Dong1),"",IF(OFFSET(TH!P$1,SMALL(Dong1,ROWS($1:15)),)="1111",OFFSET(TH!O$1,SMALL(Dong1,ROWS($1:15)),),OFFSET(TH!P$1,SMALL(Dong1,ROWS($1:15)),)))</f>
        <v>1121</v>
      </c>
      <c r="G28" s="161">
        <f ca="1">IF(ROWS($1:15)&gt;COUNT(Dong1),"",IF(OFFSET(TH!O$1,SMALL(Dong1,ROWS($1:15)),)="1111",OFFSET(TH!M$1,SMALL(Dong1,ROWS($1:15)),),0))</f>
        <v>0</v>
      </c>
      <c r="H28" s="159">
        <f ca="1">IF(ROWS($1:15)&gt;COUNT(Dong1),"",IF(OFFSET(TH!P$1,SMALL(Dong1,ROWS($1:15)),)="1111",OFFSET(TH!M$1,SMALL(Dong1,ROWS($1:15)),),0))</f>
        <v>100000000</v>
      </c>
      <c r="I28" s="157">
        <f t="shared" ca="1" si="0"/>
        <v>315718316</v>
      </c>
      <c r="J28" s="162"/>
    </row>
    <row r="29" spans="1:10" ht="19.5" customHeight="1">
      <c r="A29" s="1086">
        <f ca="1">IF(ROWS($1:16)&gt;COUNT(Dong1),"",OFFSET(TH!C$1,SMALL(Dong1,ROWS($1:16)),))</f>
        <v>42565</v>
      </c>
      <c r="B29" s="1086">
        <f ca="1">IF(ROWS($1:16)&gt;COUNT(Dong1),"",OFFSET(TH!E$1,SMALL(Dong1,ROWS($1:16)),))</f>
        <v>42565</v>
      </c>
      <c r="C29" s="157" t="str">
        <f ca="1">IF(ROWS($1:16)&gt;COUNT(Dong1),"",IF(OFFSET(TH!O$1,SMALL(Dong1,ROWS($1:16)),)="1111",OFFSET(TH!D$1,SMALL(Dong1,ROWS($1:16)),),""))</f>
        <v/>
      </c>
      <c r="D29" s="158" t="str">
        <f ca="1">IF(ROWS($1:16)&gt;COUNT(Dong1),"",IF(OFFSET(TH!P$1,SMALL(Dong1,ROWS($1:16)),)="1111",OFFSET(TH!D$1,SMALL(Dong1,ROWS($1:16)),),""))</f>
        <v>C10</v>
      </c>
      <c r="E29" s="406" t="str">
        <f ca="1">IF(ROWS($1:16)&gt;COUNT(Dong1),"",OFFSET(TH!F$1,SMALL(Dong1,ROWS($1:16)),))</f>
        <v>Phí lấy và thử nghiệm mẫu không khí và nước thải</v>
      </c>
      <c r="F29" s="160" t="str">
        <f ca="1">IF(ROWS($1:16)&gt;COUNT(Dong1),"",IF(OFFSET(TH!P$1,SMALL(Dong1,ROWS($1:16)),)="1111",OFFSET(TH!O$1,SMALL(Dong1,ROWS($1:16)),),OFFSET(TH!P$1,SMALL(Dong1,ROWS($1:16)),)))</f>
        <v>642</v>
      </c>
      <c r="G29" s="161">
        <f ca="1">IF(ROWS($1:16)&gt;COUNT(Dong1),"",IF(OFFSET(TH!O$1,SMALL(Dong1,ROWS($1:16)),)="1111",OFFSET(TH!M$1,SMALL(Dong1,ROWS($1:16)),),0))</f>
        <v>0</v>
      </c>
      <c r="H29" s="159">
        <f ca="1">IF(ROWS($1:16)&gt;COUNT(Dong1),"",IF(OFFSET(TH!P$1,SMALL(Dong1,ROWS($1:16)),)="1111",OFFSET(TH!M$1,SMALL(Dong1,ROWS($1:16)),),0))</f>
        <v>4008182</v>
      </c>
      <c r="I29" s="157">
        <f t="shared" ca="1" si="0"/>
        <v>311710134</v>
      </c>
      <c r="J29" s="162"/>
    </row>
    <row r="30" spans="1:10" ht="19.5" customHeight="1">
      <c r="A30" s="1086">
        <f ca="1">IF(ROWS($1:17)&gt;COUNT(Dong1),"",OFFSET(TH!C$1,SMALL(Dong1,ROWS($1:17)),))</f>
        <v>42565</v>
      </c>
      <c r="B30" s="1086">
        <f ca="1">IF(ROWS($1:17)&gt;COUNT(Dong1),"",OFFSET(TH!E$1,SMALL(Dong1,ROWS($1:17)),))</f>
        <v>42565</v>
      </c>
      <c r="C30" s="157" t="str">
        <f ca="1">IF(ROWS($1:17)&gt;COUNT(Dong1),"",IF(OFFSET(TH!O$1,SMALL(Dong1,ROWS($1:17)),)="1111",OFFSET(TH!D$1,SMALL(Dong1,ROWS($1:17)),),""))</f>
        <v/>
      </c>
      <c r="D30" s="158" t="str">
        <f ca="1">IF(ROWS($1:17)&gt;COUNT(Dong1),"",IF(OFFSET(TH!P$1,SMALL(Dong1,ROWS($1:17)),)="1111",OFFSET(TH!D$1,SMALL(Dong1,ROWS($1:17)),),""))</f>
        <v>C10</v>
      </c>
      <c r="E30" s="406" t="str">
        <f ca="1">IF(ROWS($1:17)&gt;COUNT(Dong1),"",OFFSET(TH!F$1,SMALL(Dong1,ROWS($1:17)),))</f>
        <v>VAT Phí lấy và thử nghiệm mẫu không khí và nước thải</v>
      </c>
      <c r="F30" s="160" t="str">
        <f ca="1">IF(ROWS($1:17)&gt;COUNT(Dong1),"",IF(OFFSET(TH!P$1,SMALL(Dong1,ROWS($1:17)),)="1111",OFFSET(TH!O$1,SMALL(Dong1,ROWS($1:17)),),OFFSET(TH!P$1,SMALL(Dong1,ROWS($1:17)),)))</f>
        <v>1331</v>
      </c>
      <c r="G30" s="161">
        <f ca="1">IF(ROWS($1:17)&gt;COUNT(Dong1),"",IF(OFFSET(TH!O$1,SMALL(Dong1,ROWS($1:17)),)="1111",OFFSET(TH!M$1,SMALL(Dong1,ROWS($1:17)),),0))</f>
        <v>0</v>
      </c>
      <c r="H30" s="159">
        <f ca="1">IF(ROWS($1:17)&gt;COUNT(Dong1),"",IF(OFFSET(TH!P$1,SMALL(Dong1,ROWS($1:17)),)="1111",OFFSET(TH!M$1,SMALL(Dong1,ROWS($1:17)),),0))</f>
        <v>400818</v>
      </c>
      <c r="I30" s="157">
        <f t="shared" ca="1" si="0"/>
        <v>311309316</v>
      </c>
      <c r="J30" s="162"/>
    </row>
    <row r="31" spans="1:10" ht="19.5" customHeight="1">
      <c r="A31" s="1086">
        <f ca="1">IF(ROWS($1:18)&gt;COUNT(Dong1),"",OFFSET(TH!C$1,SMALL(Dong1,ROWS($1:18)),))</f>
        <v>42566</v>
      </c>
      <c r="B31" s="1086">
        <f ca="1">IF(ROWS($1:18)&gt;COUNT(Dong1),"",OFFSET(TH!E$1,SMALL(Dong1,ROWS($1:18)),))</f>
        <v>42566</v>
      </c>
      <c r="C31" s="157" t="str">
        <f ca="1">IF(ROWS($1:18)&gt;COUNT(Dong1),"",IF(OFFSET(TH!O$1,SMALL(Dong1,ROWS($1:18)),)="1111",OFFSET(TH!D$1,SMALL(Dong1,ROWS($1:18)),),""))</f>
        <v/>
      </c>
      <c r="D31" s="158" t="str">
        <f ca="1">IF(ROWS($1:18)&gt;COUNT(Dong1),"",IF(OFFSET(TH!P$1,SMALL(Dong1,ROWS($1:18)),)="1111",OFFSET(TH!D$1,SMALL(Dong1,ROWS($1:18)),),""))</f>
        <v>C11</v>
      </c>
      <c r="E31" s="406" t="str">
        <f ca="1">IF(ROWS($1:18)&gt;COUNT(Dong1),"",OFFSET(TH!F$1,SMALL(Dong1,ROWS($1:18)),))</f>
        <v>Vật tư xây dựng, điện</v>
      </c>
      <c r="F31" s="160" t="str">
        <f ca="1">IF(ROWS($1:18)&gt;COUNT(Dong1),"",IF(OFFSET(TH!P$1,SMALL(Dong1,ROWS($1:18)),)="1111",OFFSET(TH!O$1,SMALL(Dong1,ROWS($1:18)),),OFFSET(TH!P$1,SMALL(Dong1,ROWS($1:18)),)))</f>
        <v>2412</v>
      </c>
      <c r="G31" s="161">
        <f ca="1">IF(ROWS($1:18)&gt;COUNT(Dong1),"",IF(OFFSET(TH!O$1,SMALL(Dong1,ROWS($1:18)),)="1111",OFFSET(TH!M$1,SMALL(Dong1,ROWS($1:18)),),0))</f>
        <v>0</v>
      </c>
      <c r="H31" s="159">
        <f ca="1">IF(ROWS($1:18)&gt;COUNT(Dong1),"",IF(OFFSET(TH!P$1,SMALL(Dong1,ROWS($1:18)),)="1111",OFFSET(TH!M$1,SMALL(Dong1,ROWS($1:18)),),0))</f>
        <v>3426000</v>
      </c>
      <c r="I31" s="157">
        <f t="shared" ca="1" si="0"/>
        <v>307883316</v>
      </c>
      <c r="J31" s="162"/>
    </row>
    <row r="32" spans="1:10" ht="19.5" customHeight="1">
      <c r="A32" s="1086">
        <f ca="1">IF(ROWS($1:19)&gt;COUNT(Dong1),"",OFFSET(TH!C$1,SMALL(Dong1,ROWS($1:19)),))</f>
        <v>42566</v>
      </c>
      <c r="B32" s="1086">
        <f ca="1">IF(ROWS($1:19)&gt;COUNT(Dong1),"",OFFSET(TH!E$1,SMALL(Dong1,ROWS($1:19)),))</f>
        <v>42566</v>
      </c>
      <c r="C32" s="157" t="str">
        <f ca="1">IF(ROWS($1:19)&gt;COUNT(Dong1),"",IF(OFFSET(TH!O$1,SMALL(Dong1,ROWS($1:19)),)="1111",OFFSET(TH!D$1,SMALL(Dong1,ROWS($1:19)),),""))</f>
        <v/>
      </c>
      <c r="D32" s="158" t="str">
        <f ca="1">IF(ROWS($1:19)&gt;COUNT(Dong1),"",IF(OFFSET(TH!P$1,SMALL(Dong1,ROWS($1:19)),)="1111",OFFSET(TH!D$1,SMALL(Dong1,ROWS($1:19)),),""))</f>
        <v>C12</v>
      </c>
      <c r="E32" s="406" t="str">
        <f ca="1">IF(ROWS($1:19)&gt;COUNT(Dong1),"",OFFSET(TH!F$1,SMALL(Dong1,ROWS($1:19)),))</f>
        <v>Hoàn vốn</v>
      </c>
      <c r="F32" s="160" t="str">
        <f ca="1">IF(ROWS($1:19)&gt;COUNT(Dong1),"",IF(OFFSET(TH!P$1,SMALL(Dong1,ROWS($1:19)),)="1111",OFFSET(TH!O$1,SMALL(Dong1,ROWS($1:19)),),OFFSET(TH!P$1,SMALL(Dong1,ROWS($1:19)),)))</f>
        <v>3388</v>
      </c>
      <c r="G32" s="161">
        <f ca="1">IF(ROWS($1:19)&gt;COUNT(Dong1),"",IF(OFFSET(TH!O$1,SMALL(Dong1,ROWS($1:19)),)="1111",OFFSET(TH!M$1,SMALL(Dong1,ROWS($1:19)),),0))</f>
        <v>0</v>
      </c>
      <c r="H32" s="159">
        <f ca="1">IF(ROWS($1:19)&gt;COUNT(Dong1),"",IF(OFFSET(TH!P$1,SMALL(Dong1,ROWS($1:19)),)="1111",OFFSET(TH!M$1,SMALL(Dong1,ROWS($1:19)),),0))</f>
        <v>29000000</v>
      </c>
      <c r="I32" s="157">
        <f t="shared" ca="1" si="0"/>
        <v>278883316</v>
      </c>
      <c r="J32" s="162"/>
    </row>
    <row r="33" spans="1:10" ht="19.5" customHeight="1">
      <c r="A33" s="1086">
        <f ca="1">IF(ROWS($1:20)&gt;COUNT(Dong1),"",OFFSET(TH!C$1,SMALL(Dong1,ROWS($1:20)),))</f>
        <v>42566</v>
      </c>
      <c r="B33" s="1086">
        <f ca="1">IF(ROWS($1:20)&gt;COUNT(Dong1),"",OFFSET(TH!E$1,SMALL(Dong1,ROWS($1:20)),))</f>
        <v>42573</v>
      </c>
      <c r="C33" s="157" t="str">
        <f ca="1">IF(ROWS($1:20)&gt;COUNT(Dong1),"",IF(OFFSET(TH!O$1,SMALL(Dong1,ROWS($1:20)),)="1111",OFFSET(TH!D$1,SMALL(Dong1,ROWS($1:20)),),""))</f>
        <v/>
      </c>
      <c r="D33" s="158" t="str">
        <f ca="1">IF(ROWS($1:20)&gt;COUNT(Dong1),"",IF(OFFSET(TH!P$1,SMALL(Dong1,ROWS($1:20)),)="1111",OFFSET(TH!D$1,SMALL(Dong1,ROWS($1:20)),),""))</f>
        <v>C13</v>
      </c>
      <c r="E33" s="406" t="str">
        <f ca="1">IF(ROWS($1:20)&gt;COUNT(Dong1),"",OFFSET(TH!F$1,SMALL(Dong1,ROWS($1:20)),))</f>
        <v>Hoàn vốn</v>
      </c>
      <c r="F33" s="160" t="str">
        <f ca="1">IF(ROWS($1:20)&gt;COUNT(Dong1),"",IF(OFFSET(TH!P$1,SMALL(Dong1,ROWS($1:20)),)="1111",OFFSET(TH!O$1,SMALL(Dong1,ROWS($1:20)),),OFFSET(TH!P$1,SMALL(Dong1,ROWS($1:20)),)))</f>
        <v>3388</v>
      </c>
      <c r="G33" s="161">
        <f ca="1">IF(ROWS($1:20)&gt;COUNT(Dong1),"",IF(OFFSET(TH!O$1,SMALL(Dong1,ROWS($1:20)),)="1111",OFFSET(TH!M$1,SMALL(Dong1,ROWS($1:20)),),0))</f>
        <v>0</v>
      </c>
      <c r="H33" s="159">
        <f ca="1">IF(ROWS($1:20)&gt;COUNT(Dong1),"",IF(OFFSET(TH!P$1,SMALL(Dong1,ROWS($1:20)),)="1111",OFFSET(TH!M$1,SMALL(Dong1,ROWS($1:20)),),0))</f>
        <v>160000000</v>
      </c>
      <c r="I33" s="157">
        <f t="shared" ca="1" si="0"/>
        <v>118883316</v>
      </c>
      <c r="J33" s="162"/>
    </row>
    <row r="34" spans="1:10" ht="19.5" customHeight="1">
      <c r="A34" s="1086">
        <f ca="1">IF(ROWS($1:21)&gt;COUNT(Dong1),"",OFFSET(TH!C$1,SMALL(Dong1,ROWS($1:21)),))</f>
        <v>42569</v>
      </c>
      <c r="B34" s="1086">
        <f ca="1">IF(ROWS($1:21)&gt;COUNT(Dong1),"",OFFSET(TH!E$1,SMALL(Dong1,ROWS($1:21)),))</f>
        <v>42569</v>
      </c>
      <c r="C34" s="157" t="str">
        <f ca="1">IF(ROWS($1:21)&gt;COUNT(Dong1),"",IF(OFFSET(TH!O$1,SMALL(Dong1,ROWS($1:21)),)="1111",OFFSET(TH!D$1,SMALL(Dong1,ROWS($1:21)),),""))</f>
        <v/>
      </c>
      <c r="D34" s="158" t="str">
        <f ca="1">IF(ROWS($1:21)&gt;COUNT(Dong1),"",IF(OFFSET(TH!P$1,SMALL(Dong1,ROWS($1:21)),)="1111",OFFSET(TH!D$1,SMALL(Dong1,ROWS($1:21)),),""))</f>
        <v>C14</v>
      </c>
      <c r="E34" s="406" t="str">
        <f ca="1">IF(ROWS($1:21)&gt;COUNT(Dong1),"",OFFSET(TH!F$1,SMALL(Dong1,ROWS($1:21)),))</f>
        <v>Phí đo đất</v>
      </c>
      <c r="F34" s="160" t="str">
        <f ca="1">IF(ROWS($1:21)&gt;COUNT(Dong1),"",IF(OFFSET(TH!P$1,SMALL(Dong1,ROWS($1:21)),)="1111",OFFSET(TH!O$1,SMALL(Dong1,ROWS($1:21)),),OFFSET(TH!P$1,SMALL(Dong1,ROWS($1:21)),)))</f>
        <v>642</v>
      </c>
      <c r="G34" s="161">
        <f ca="1">IF(ROWS($1:21)&gt;COUNT(Dong1),"",IF(OFFSET(TH!O$1,SMALL(Dong1,ROWS($1:21)),)="1111",OFFSET(TH!M$1,SMALL(Dong1,ROWS($1:21)),),0))</f>
        <v>0</v>
      </c>
      <c r="H34" s="159">
        <f ca="1">IF(ROWS($1:21)&gt;COUNT(Dong1),"",IF(OFFSET(TH!P$1,SMALL(Dong1,ROWS($1:21)),)="1111",OFFSET(TH!M$1,SMALL(Dong1,ROWS($1:21)),),0))</f>
        <v>5576350</v>
      </c>
      <c r="I34" s="157">
        <f t="shared" ca="1" si="0"/>
        <v>113306966</v>
      </c>
      <c r="J34" s="162"/>
    </row>
    <row r="35" spans="1:10" ht="19.5" customHeight="1">
      <c r="A35" s="1086">
        <f ca="1">IF(ROWS($1:22)&gt;COUNT(Dong1),"",OFFSET(TH!C$1,SMALL(Dong1,ROWS($1:22)),))</f>
        <v>42569</v>
      </c>
      <c r="B35" s="1086">
        <f ca="1">IF(ROWS($1:22)&gt;COUNT(Dong1),"",OFFSET(TH!E$1,SMALL(Dong1,ROWS($1:22)),))</f>
        <v>42569</v>
      </c>
      <c r="C35" s="157" t="str">
        <f ca="1">IF(ROWS($1:22)&gt;COUNT(Dong1),"",IF(OFFSET(TH!O$1,SMALL(Dong1,ROWS($1:22)),)="1111",OFFSET(TH!D$1,SMALL(Dong1,ROWS($1:22)),),""))</f>
        <v/>
      </c>
      <c r="D35" s="158" t="str">
        <f ca="1">IF(ROWS($1:22)&gt;COUNT(Dong1),"",IF(OFFSET(TH!P$1,SMALL(Dong1,ROWS($1:22)),)="1111",OFFSET(TH!D$1,SMALL(Dong1,ROWS($1:22)),),""))</f>
        <v>C14</v>
      </c>
      <c r="E35" s="406" t="str">
        <f ca="1">IF(ROWS($1:22)&gt;COUNT(Dong1),"",OFFSET(TH!F$1,SMALL(Dong1,ROWS($1:22)),))</f>
        <v>VAT Phí đo đất</v>
      </c>
      <c r="F35" s="160" t="str">
        <f ca="1">IF(ROWS($1:22)&gt;COUNT(Dong1),"",IF(OFFSET(TH!P$1,SMALL(Dong1,ROWS($1:22)),)="1111",OFFSET(TH!O$1,SMALL(Dong1,ROWS($1:22)),),OFFSET(TH!P$1,SMALL(Dong1,ROWS($1:22)),)))</f>
        <v>1331</v>
      </c>
      <c r="G35" s="161">
        <f ca="1">IF(ROWS($1:22)&gt;COUNT(Dong1),"",IF(OFFSET(TH!O$1,SMALL(Dong1,ROWS($1:22)),)="1111",OFFSET(TH!M$1,SMALL(Dong1,ROWS($1:22)),),0))</f>
        <v>0</v>
      </c>
      <c r="H35" s="159">
        <f ca="1">IF(ROWS($1:22)&gt;COUNT(Dong1),"",IF(OFFSET(TH!P$1,SMALL(Dong1,ROWS($1:22)),)="1111",OFFSET(TH!M$1,SMALL(Dong1,ROWS($1:22)),),0))</f>
        <v>557635</v>
      </c>
      <c r="I35" s="157">
        <f t="shared" ca="1" si="0"/>
        <v>112749331</v>
      </c>
      <c r="J35" s="162"/>
    </row>
    <row r="36" spans="1:10" ht="19.5" customHeight="1">
      <c r="A36" s="1086">
        <f ca="1">IF(ROWS($1:23)&gt;COUNT(Dong1),"",OFFSET(TH!C$1,SMALL(Dong1,ROWS($1:23)),))</f>
        <v>42569</v>
      </c>
      <c r="B36" s="1086">
        <f ca="1">IF(ROWS($1:23)&gt;COUNT(Dong1),"",OFFSET(TH!E$1,SMALL(Dong1,ROWS($1:23)),))</f>
        <v>42569</v>
      </c>
      <c r="C36" s="157" t="str">
        <f ca="1">IF(ROWS($1:23)&gt;COUNT(Dong1),"",IF(OFFSET(TH!O$1,SMALL(Dong1,ROWS($1:23)),)="1111",OFFSET(TH!D$1,SMALL(Dong1,ROWS($1:23)),),""))</f>
        <v/>
      </c>
      <c r="D36" s="158" t="str">
        <f ca="1">IF(ROWS($1:23)&gt;COUNT(Dong1),"",IF(OFFSET(TH!P$1,SMALL(Dong1,ROWS($1:23)),)="1111",OFFSET(TH!D$1,SMALL(Dong1,ROWS($1:23)),),""))</f>
        <v>C15</v>
      </c>
      <c r="E36" s="406" t="str">
        <f ca="1">IF(ROWS($1:23)&gt;COUNT(Dong1),"",OFFSET(TH!F$1,SMALL(Dong1,ROWS($1:23)),))</f>
        <v>Phí nước thải T06/16</v>
      </c>
      <c r="F36" s="160" t="str">
        <f ca="1">IF(ROWS($1:23)&gt;COUNT(Dong1),"",IF(OFFSET(TH!P$1,SMALL(Dong1,ROWS($1:23)),)="1111",OFFSET(TH!O$1,SMALL(Dong1,ROWS($1:23)),),OFFSET(TH!P$1,SMALL(Dong1,ROWS($1:23)),)))</f>
        <v>642</v>
      </c>
      <c r="G36" s="161">
        <f ca="1">IF(ROWS($1:23)&gt;COUNT(Dong1),"",IF(OFFSET(TH!O$1,SMALL(Dong1,ROWS($1:23)),)="1111",OFFSET(TH!M$1,SMALL(Dong1,ROWS($1:23)),),0))</f>
        <v>0</v>
      </c>
      <c r="H36" s="159">
        <f ca="1">IF(ROWS($1:23)&gt;COUNT(Dong1),"",IF(OFFSET(TH!P$1,SMALL(Dong1,ROWS($1:23)),)="1111",OFFSET(TH!M$1,SMALL(Dong1,ROWS($1:23)),),0))</f>
        <v>6174545</v>
      </c>
      <c r="I36" s="157">
        <f t="shared" ca="1" si="0"/>
        <v>106574786</v>
      </c>
      <c r="J36" s="162"/>
    </row>
    <row r="37" spans="1:10" ht="19.5" customHeight="1">
      <c r="A37" s="1086">
        <f ca="1">IF(ROWS($1:24)&gt;COUNT(Dong1),"",OFFSET(TH!C$1,SMALL(Dong1,ROWS($1:24)),))</f>
        <v>42569</v>
      </c>
      <c r="B37" s="1086">
        <f ca="1">IF(ROWS($1:24)&gt;COUNT(Dong1),"",OFFSET(TH!E$1,SMALL(Dong1,ROWS($1:24)),))</f>
        <v>42569</v>
      </c>
      <c r="C37" s="157" t="str">
        <f ca="1">IF(ROWS($1:24)&gt;COUNT(Dong1),"",IF(OFFSET(TH!O$1,SMALL(Dong1,ROWS($1:24)),)="1111",OFFSET(TH!D$1,SMALL(Dong1,ROWS($1:24)),),""))</f>
        <v/>
      </c>
      <c r="D37" s="158" t="str">
        <f ca="1">IF(ROWS($1:24)&gt;COUNT(Dong1),"",IF(OFFSET(TH!P$1,SMALL(Dong1,ROWS($1:24)),)="1111",OFFSET(TH!D$1,SMALL(Dong1,ROWS($1:24)),),""))</f>
        <v>C15</v>
      </c>
      <c r="E37" s="406" t="str">
        <f ca="1">IF(ROWS($1:24)&gt;COUNT(Dong1),"",OFFSET(TH!F$1,SMALL(Dong1,ROWS($1:24)),))</f>
        <v>VAT Phí nước thải T06/17</v>
      </c>
      <c r="F37" s="160" t="str">
        <f ca="1">IF(ROWS($1:24)&gt;COUNT(Dong1),"",IF(OFFSET(TH!P$1,SMALL(Dong1,ROWS($1:24)),)="1111",OFFSET(TH!O$1,SMALL(Dong1,ROWS($1:24)),),OFFSET(TH!P$1,SMALL(Dong1,ROWS($1:24)),)))</f>
        <v>1331</v>
      </c>
      <c r="G37" s="161">
        <f ca="1">IF(ROWS($1:24)&gt;COUNT(Dong1),"",IF(OFFSET(TH!O$1,SMALL(Dong1,ROWS($1:24)),)="1111",OFFSET(TH!M$1,SMALL(Dong1,ROWS($1:24)),),0))</f>
        <v>0</v>
      </c>
      <c r="H37" s="159">
        <f ca="1">IF(ROWS($1:24)&gt;COUNT(Dong1),"",IF(OFFSET(TH!P$1,SMALL(Dong1,ROWS($1:24)),)="1111",OFFSET(TH!M$1,SMALL(Dong1,ROWS($1:24)),),0))</f>
        <v>617455</v>
      </c>
      <c r="I37" s="157">
        <f t="shared" ca="1" si="0"/>
        <v>105957331</v>
      </c>
      <c r="J37" s="162"/>
    </row>
    <row r="38" spans="1:10" ht="19.5" customHeight="1">
      <c r="A38" s="1086">
        <f ca="1">IF(ROWS($1:25)&gt;COUNT(Dong1),"",OFFSET(TH!C$1,SMALL(Dong1,ROWS($1:25)),))</f>
        <v>42571</v>
      </c>
      <c r="B38" s="1086">
        <f ca="1">IF(ROWS($1:25)&gt;COUNT(Dong1),"",OFFSET(TH!E$1,SMALL(Dong1,ROWS($1:25)),))</f>
        <v>42571</v>
      </c>
      <c r="C38" s="157" t="str">
        <f ca="1">IF(ROWS($1:25)&gt;COUNT(Dong1),"",IF(OFFSET(TH!O$1,SMALL(Dong1,ROWS($1:25)),)="1111",OFFSET(TH!D$1,SMALL(Dong1,ROWS($1:25)),),""))</f>
        <v/>
      </c>
      <c r="D38" s="158" t="str">
        <f ca="1">IF(ROWS($1:25)&gt;COUNT(Dong1),"",IF(OFFSET(TH!P$1,SMALL(Dong1,ROWS($1:25)),)="1111",OFFSET(TH!D$1,SMALL(Dong1,ROWS($1:25)),),""))</f>
        <v>C16</v>
      </c>
      <c r="E38" s="406" t="str">
        <f ca="1">IF(ROWS($1:25)&gt;COUNT(Dong1),"",OFFSET(TH!F$1,SMALL(Dong1,ROWS($1:25)),))</f>
        <v>Vật tư xây dựng, điện</v>
      </c>
      <c r="F38" s="160" t="str">
        <f ca="1">IF(ROWS($1:25)&gt;COUNT(Dong1),"",IF(OFFSET(TH!P$1,SMALL(Dong1,ROWS($1:25)),)="1111",OFFSET(TH!O$1,SMALL(Dong1,ROWS($1:25)),),OFFSET(TH!P$1,SMALL(Dong1,ROWS($1:25)),)))</f>
        <v>2412</v>
      </c>
      <c r="G38" s="161">
        <f ca="1">IF(ROWS($1:25)&gt;COUNT(Dong1),"",IF(OFFSET(TH!O$1,SMALL(Dong1,ROWS($1:25)),)="1111",OFFSET(TH!M$1,SMALL(Dong1,ROWS($1:25)),),0))</f>
        <v>0</v>
      </c>
      <c r="H38" s="159">
        <f ca="1">IF(ROWS($1:25)&gt;COUNT(Dong1),"",IF(OFFSET(TH!P$1,SMALL(Dong1,ROWS($1:25)),)="1111",OFFSET(TH!M$1,SMALL(Dong1,ROWS($1:25)),),0))</f>
        <v>1895000</v>
      </c>
      <c r="I38" s="157">
        <f t="shared" ca="1" si="0"/>
        <v>104062331</v>
      </c>
      <c r="J38" s="162"/>
    </row>
    <row r="39" spans="1:10" ht="19.5" customHeight="1">
      <c r="A39" s="1086">
        <f ca="1">IF(ROWS($1:26)&gt;COUNT(Dong1),"",OFFSET(TH!C$1,SMALL(Dong1,ROWS($1:26)),))</f>
        <v>42579</v>
      </c>
      <c r="B39" s="1086">
        <f ca="1">IF(ROWS($1:26)&gt;COUNT(Dong1),"",OFFSET(TH!E$1,SMALL(Dong1,ROWS($1:26)),))</f>
        <v>42579</v>
      </c>
      <c r="C39" s="157" t="str">
        <f ca="1">IF(ROWS($1:26)&gt;COUNT(Dong1),"",IF(OFFSET(TH!O$1,SMALL(Dong1,ROWS($1:26)),)="1111",OFFSET(TH!D$1,SMALL(Dong1,ROWS($1:26)),),""))</f>
        <v/>
      </c>
      <c r="D39" s="158" t="str">
        <f ca="1">IF(ROWS($1:26)&gt;COUNT(Dong1),"",IF(OFFSET(TH!P$1,SMALL(Dong1,ROWS($1:26)),)="1111",OFFSET(TH!D$1,SMALL(Dong1,ROWS($1:26)),),""))</f>
        <v>C17</v>
      </c>
      <c r="E39" s="406" t="str">
        <f ca="1">IF(ROWS($1:26)&gt;COUNT(Dong1),"",OFFSET(TH!F$1,SMALL(Dong1,ROWS($1:26)),))</f>
        <v>Phí địa chính cấp GCNQSDĐ</v>
      </c>
      <c r="F39" s="160" t="str">
        <f ca="1">IF(ROWS($1:26)&gt;COUNT(Dong1),"",IF(OFFSET(TH!P$1,SMALL(Dong1,ROWS($1:26)),)="1111",OFFSET(TH!O$1,SMALL(Dong1,ROWS($1:26)),),OFFSET(TH!P$1,SMALL(Dong1,ROWS($1:26)),)))</f>
        <v>642</v>
      </c>
      <c r="G39" s="161">
        <f ca="1">IF(ROWS($1:26)&gt;COUNT(Dong1),"",IF(OFFSET(TH!O$1,SMALL(Dong1,ROWS($1:26)),)="1111",OFFSET(TH!M$1,SMALL(Dong1,ROWS($1:26)),),0))</f>
        <v>0</v>
      </c>
      <c r="H39" s="159">
        <f ca="1">IF(ROWS($1:26)&gt;COUNT(Dong1),"",IF(OFFSET(TH!P$1,SMALL(Dong1,ROWS($1:26)),)="1111",OFFSET(TH!M$1,SMALL(Dong1,ROWS($1:26)),),0))</f>
        <v>500000</v>
      </c>
      <c r="I39" s="157">
        <f t="shared" ca="1" si="0"/>
        <v>103562331</v>
      </c>
      <c r="J39" s="162"/>
    </row>
    <row r="40" spans="1:10" ht="19.5" customHeight="1">
      <c r="A40" s="1086">
        <f ca="1">IF(ROWS($1:27)&gt;COUNT(Dong1),"",OFFSET(TH!C$1,SMALL(Dong1,ROWS($1:27)),))</f>
        <v>42580</v>
      </c>
      <c r="B40" s="1086">
        <f ca="1">IF(ROWS($1:27)&gt;COUNT(Dong1),"",OFFSET(TH!E$1,SMALL(Dong1,ROWS($1:27)),))</f>
        <v>42580</v>
      </c>
      <c r="C40" s="157" t="str">
        <f ca="1">IF(ROWS($1:27)&gt;COUNT(Dong1),"",IF(OFFSET(TH!O$1,SMALL(Dong1,ROWS($1:27)),)="1111",OFFSET(TH!D$1,SMALL(Dong1,ROWS($1:27)),),""))</f>
        <v/>
      </c>
      <c r="D40" s="158" t="str">
        <f ca="1">IF(ROWS($1:27)&gt;COUNT(Dong1),"",IF(OFFSET(TH!P$1,SMALL(Dong1,ROWS($1:27)),)="1111",OFFSET(TH!D$1,SMALL(Dong1,ROWS($1:27)),),""))</f>
        <v>C18</v>
      </c>
      <c r="E40" s="406" t="str">
        <f ca="1">IF(ROWS($1:27)&gt;COUNT(Dong1),"",OFFSET(TH!F$1,SMALL(Dong1,ROWS($1:27)),))</f>
        <v>Nộp TM</v>
      </c>
      <c r="F40" s="160" t="str">
        <f ca="1">IF(ROWS($1:27)&gt;COUNT(Dong1),"",IF(OFFSET(TH!P$1,SMALL(Dong1,ROWS($1:27)),)="1111",OFFSET(TH!O$1,SMALL(Dong1,ROWS($1:27)),),OFFSET(TH!P$1,SMALL(Dong1,ROWS($1:27)),)))</f>
        <v>1121</v>
      </c>
      <c r="G40" s="161">
        <f ca="1">IF(ROWS($1:27)&gt;COUNT(Dong1),"",IF(OFFSET(TH!O$1,SMALL(Dong1,ROWS($1:27)),)="1111",OFFSET(TH!M$1,SMALL(Dong1,ROWS($1:27)),),0))</f>
        <v>0</v>
      </c>
      <c r="H40" s="159">
        <f ca="1">IF(ROWS($1:27)&gt;COUNT(Dong1),"",IF(OFFSET(TH!P$1,SMALL(Dong1,ROWS($1:27)),)="1111",OFFSET(TH!M$1,SMALL(Dong1,ROWS($1:27)),),0))</f>
        <v>53000000</v>
      </c>
      <c r="I40" s="157">
        <f t="shared" ca="1" si="0"/>
        <v>50562331</v>
      </c>
      <c r="J40" s="162"/>
    </row>
    <row r="41" spans="1:10" ht="19.5" customHeight="1">
      <c r="A41" s="1086">
        <f ca="1">IF(ROWS($1:28)&gt;COUNT(Dong1),"",OFFSET(TH!C$1,SMALL(Dong1,ROWS($1:28)),))</f>
        <v>42581</v>
      </c>
      <c r="B41" s="1086">
        <f ca="1">IF(ROWS($1:28)&gt;COUNT(Dong1),"",OFFSET(TH!E$1,SMALL(Dong1,ROWS($1:28)),))</f>
        <v>42581</v>
      </c>
      <c r="C41" s="157" t="str">
        <f ca="1">IF(ROWS($1:28)&gt;COUNT(Dong1),"",IF(OFFSET(TH!O$1,SMALL(Dong1,ROWS($1:28)),)="1111",OFFSET(TH!D$1,SMALL(Dong1,ROWS($1:28)),),""))</f>
        <v/>
      </c>
      <c r="D41" s="158" t="str">
        <f ca="1">IF(ROWS($1:28)&gt;COUNT(Dong1),"",IF(OFFSET(TH!P$1,SMALL(Dong1,ROWS($1:28)),)="1111",OFFSET(TH!D$1,SMALL(Dong1,ROWS($1:28)),),""))</f>
        <v>C19</v>
      </c>
      <c r="E41" s="406" t="str">
        <f ca="1">IF(ROWS($1:28)&gt;COUNT(Dong1),"",OFFSET(TH!F$1,SMALL(Dong1,ROWS($1:28)),))</f>
        <v>Chi lương T7</v>
      </c>
      <c r="F41" s="160" t="str">
        <f ca="1">IF(ROWS($1:28)&gt;COUNT(Dong1),"",IF(OFFSET(TH!P$1,SMALL(Dong1,ROWS($1:28)),)="1111",OFFSET(TH!O$1,SMALL(Dong1,ROWS($1:28)),),OFFSET(TH!P$1,SMALL(Dong1,ROWS($1:28)),)))</f>
        <v>3341</v>
      </c>
      <c r="G41" s="161">
        <f ca="1">IF(ROWS($1:28)&gt;COUNT(Dong1),"",IF(OFFSET(TH!O$1,SMALL(Dong1,ROWS($1:28)),)="1111",OFFSET(TH!M$1,SMALL(Dong1,ROWS($1:28)),),0))</f>
        <v>0</v>
      </c>
      <c r="H41" s="159">
        <f ca="1">IF(ROWS($1:28)&gt;COUNT(Dong1),"",IF(OFFSET(TH!P$1,SMALL(Dong1,ROWS($1:28)),)="1111",OFFSET(TH!M$1,SMALL(Dong1,ROWS($1:28)),),0))</f>
        <v>198582809</v>
      </c>
      <c r="I41" s="157">
        <f t="shared" ca="1" si="0"/>
        <v>-148020478</v>
      </c>
      <c r="J41" s="162"/>
    </row>
    <row r="42" spans="1:10" ht="19.5" customHeight="1">
      <c r="A42" s="1086">
        <f ca="1">IF(ROWS($1:29)&gt;COUNT(Dong1),"",OFFSET(TH!C$1,SMALL(Dong1,ROWS($1:29)),))</f>
        <v>42585</v>
      </c>
      <c r="B42" s="1086">
        <f ca="1">IF(ROWS($1:29)&gt;COUNT(Dong1),"",OFFSET(TH!E$1,SMALL(Dong1,ROWS($1:29)),))</f>
        <v>42585</v>
      </c>
      <c r="C42" s="157" t="str">
        <f ca="1">IF(ROWS($1:29)&gt;COUNT(Dong1),"",IF(OFFSET(TH!O$1,SMALL(Dong1,ROWS($1:29)),)="1111",OFFSET(TH!D$1,SMALL(Dong1,ROWS($1:29)),),""))</f>
        <v/>
      </c>
      <c r="D42" s="158" t="str">
        <f ca="1">IF(ROWS($1:29)&gt;COUNT(Dong1),"",IF(OFFSET(TH!P$1,SMALL(Dong1,ROWS($1:29)),)="1111",OFFSET(TH!D$1,SMALL(Dong1,ROWS($1:29)),),""))</f>
        <v>C20</v>
      </c>
      <c r="E42" s="406" t="str">
        <f ca="1">IF(ROWS($1:29)&gt;COUNT(Dong1),"",OFFSET(TH!F$1,SMALL(Dong1,ROWS($1:29)),))</f>
        <v>Phí Điện Thoại - Internet T7/2016</v>
      </c>
      <c r="F42" s="160" t="str">
        <f ca="1">IF(ROWS($1:29)&gt;COUNT(Dong1),"",IF(OFFSET(TH!P$1,SMALL(Dong1,ROWS($1:29)),)="1111",OFFSET(TH!O$1,SMALL(Dong1,ROWS($1:29)),),OFFSET(TH!P$1,SMALL(Dong1,ROWS($1:29)),)))</f>
        <v>642</v>
      </c>
      <c r="G42" s="161">
        <f ca="1">IF(ROWS($1:29)&gt;COUNT(Dong1),"",IF(OFFSET(TH!O$1,SMALL(Dong1,ROWS($1:29)),)="1111",OFFSET(TH!M$1,SMALL(Dong1,ROWS($1:29)),),0))</f>
        <v>0</v>
      </c>
      <c r="H42" s="159">
        <f ca="1">IF(ROWS($1:29)&gt;COUNT(Dong1),"",IF(OFFSET(TH!P$1,SMALL(Dong1,ROWS($1:29)),)="1111",OFFSET(TH!M$1,SMALL(Dong1,ROWS($1:29)),),0))</f>
        <v>382006</v>
      </c>
      <c r="I42" s="157">
        <f t="shared" ca="1" si="0"/>
        <v>-148402484</v>
      </c>
      <c r="J42" s="162"/>
    </row>
    <row r="43" spans="1:10" ht="19.5" customHeight="1">
      <c r="A43" s="1086">
        <f ca="1">IF(ROWS($1:30)&gt;COUNT(Dong1),"",OFFSET(TH!C$1,SMALL(Dong1,ROWS($1:30)),))</f>
        <v>42585</v>
      </c>
      <c r="B43" s="1086">
        <f ca="1">IF(ROWS($1:30)&gt;COUNT(Dong1),"",OFFSET(TH!E$1,SMALL(Dong1,ROWS($1:30)),))</f>
        <v>42585</v>
      </c>
      <c r="C43" s="157" t="str">
        <f ca="1">IF(ROWS($1:30)&gt;COUNT(Dong1),"",IF(OFFSET(TH!O$1,SMALL(Dong1,ROWS($1:30)),)="1111",OFFSET(TH!D$1,SMALL(Dong1,ROWS($1:30)),),""))</f>
        <v/>
      </c>
      <c r="D43" s="158" t="str">
        <f ca="1">IF(ROWS($1:30)&gt;COUNT(Dong1),"",IF(OFFSET(TH!P$1,SMALL(Dong1,ROWS($1:30)),)="1111",OFFSET(TH!D$1,SMALL(Dong1,ROWS($1:30)),),""))</f>
        <v>C20</v>
      </c>
      <c r="E43" s="406" t="str">
        <f ca="1">IF(ROWS($1:30)&gt;COUNT(Dong1),"",OFFSET(TH!F$1,SMALL(Dong1,ROWS($1:30)),))</f>
        <v>VAT Phí Điện Thoại - Internet</v>
      </c>
      <c r="F43" s="160" t="str">
        <f ca="1">IF(ROWS($1:30)&gt;COUNT(Dong1),"",IF(OFFSET(TH!P$1,SMALL(Dong1,ROWS($1:30)),)="1111",OFFSET(TH!O$1,SMALL(Dong1,ROWS($1:30)),),OFFSET(TH!P$1,SMALL(Dong1,ROWS($1:30)),)))</f>
        <v>1331</v>
      </c>
      <c r="G43" s="161">
        <f ca="1">IF(ROWS($1:30)&gt;COUNT(Dong1),"",IF(OFFSET(TH!O$1,SMALL(Dong1,ROWS($1:30)),)="1111",OFFSET(TH!M$1,SMALL(Dong1,ROWS($1:30)),),0))</f>
        <v>0</v>
      </c>
      <c r="H43" s="159">
        <f ca="1">IF(ROWS($1:30)&gt;COUNT(Dong1),"",IF(OFFSET(TH!P$1,SMALL(Dong1,ROWS($1:30)),)="1111",OFFSET(TH!M$1,SMALL(Dong1,ROWS($1:30)),),0))</f>
        <v>38201</v>
      </c>
      <c r="I43" s="157">
        <f t="shared" ca="1" si="0"/>
        <v>-148440685</v>
      </c>
      <c r="J43" s="162"/>
    </row>
    <row r="44" spans="1:10" ht="19.5" customHeight="1">
      <c r="A44" s="1086">
        <f ca="1">IF(ROWS($1:31)&gt;COUNT(Dong1),"",OFFSET(TH!C$1,SMALL(Dong1,ROWS($1:31)),))</f>
        <v>42585</v>
      </c>
      <c r="B44" s="1086">
        <f ca="1">IF(ROWS($1:31)&gt;COUNT(Dong1),"",OFFSET(TH!E$1,SMALL(Dong1,ROWS($1:31)),))</f>
        <v>42576</v>
      </c>
      <c r="C44" s="157" t="str">
        <f ca="1">IF(ROWS($1:31)&gt;COUNT(Dong1),"",IF(OFFSET(TH!O$1,SMALL(Dong1,ROWS($1:31)),)="1111",OFFSET(TH!D$1,SMALL(Dong1,ROWS($1:31)),),""))</f>
        <v/>
      </c>
      <c r="D44" s="158" t="str">
        <f ca="1">IF(ROWS($1:31)&gt;COUNT(Dong1),"",IF(OFFSET(TH!P$1,SMALL(Dong1,ROWS($1:31)),)="1111",OFFSET(TH!D$1,SMALL(Dong1,ROWS($1:31)),),""))</f>
        <v>C21</v>
      </c>
      <c r="E44" s="406" t="str">
        <f ca="1">IF(ROWS($1:31)&gt;COUNT(Dong1),"",OFFSET(TH!F$1,SMALL(Dong1,ROWS($1:31)),))</f>
        <v>Tiền nước tháng 07/2016</v>
      </c>
      <c r="F44" s="160" t="str">
        <f ca="1">IF(ROWS($1:31)&gt;COUNT(Dong1),"",IF(OFFSET(TH!P$1,SMALL(Dong1,ROWS($1:31)),)="1111",OFFSET(TH!O$1,SMALL(Dong1,ROWS($1:31)),),OFFSET(TH!P$1,SMALL(Dong1,ROWS($1:31)),)))</f>
        <v>642</v>
      </c>
      <c r="G44" s="161">
        <f ca="1">IF(ROWS($1:31)&gt;COUNT(Dong1),"",IF(OFFSET(TH!O$1,SMALL(Dong1,ROWS($1:31)),)="1111",OFFSET(TH!M$1,SMALL(Dong1,ROWS($1:31)),),0))</f>
        <v>0</v>
      </c>
      <c r="H44" s="159">
        <f ca="1">IF(ROWS($1:31)&gt;COUNT(Dong1),"",IF(OFFSET(TH!P$1,SMALL(Dong1,ROWS($1:31)),)="1111",OFFSET(TH!M$1,SMALL(Dong1,ROWS($1:31)),),0))</f>
        <v>8184400</v>
      </c>
      <c r="I44" s="157">
        <f t="shared" ca="1" si="0"/>
        <v>-156625085</v>
      </c>
      <c r="J44" s="162"/>
    </row>
    <row r="45" spans="1:10" ht="19.5" customHeight="1">
      <c r="A45" s="1086">
        <f ca="1">IF(ROWS($1:32)&gt;COUNT(Dong1),"",OFFSET(TH!C$1,SMALL(Dong1,ROWS($1:32)),))</f>
        <v>42585</v>
      </c>
      <c r="B45" s="1086">
        <f ca="1">IF(ROWS($1:32)&gt;COUNT(Dong1),"",OFFSET(TH!E$1,SMALL(Dong1,ROWS($1:32)),))</f>
        <v>42576</v>
      </c>
      <c r="C45" s="157" t="str">
        <f ca="1">IF(ROWS($1:32)&gt;COUNT(Dong1),"",IF(OFFSET(TH!O$1,SMALL(Dong1,ROWS($1:32)),)="1111",OFFSET(TH!D$1,SMALL(Dong1,ROWS($1:32)),),""))</f>
        <v/>
      </c>
      <c r="D45" s="158" t="str">
        <f ca="1">IF(ROWS($1:32)&gt;COUNT(Dong1),"",IF(OFFSET(TH!P$1,SMALL(Dong1,ROWS($1:32)),)="1111",OFFSET(TH!D$1,SMALL(Dong1,ROWS($1:32)),),""))</f>
        <v>C21</v>
      </c>
      <c r="E45" s="406" t="str">
        <f ca="1">IF(ROWS($1:32)&gt;COUNT(Dong1),"",OFFSET(TH!F$1,SMALL(Dong1,ROWS($1:32)),))</f>
        <v>VAT Tiền nước tháng 07/2016</v>
      </c>
      <c r="F45" s="160" t="str">
        <f ca="1">IF(ROWS($1:32)&gt;COUNT(Dong1),"",IF(OFFSET(TH!P$1,SMALL(Dong1,ROWS($1:32)),)="1111",OFFSET(TH!O$1,SMALL(Dong1,ROWS($1:32)),),OFFSET(TH!P$1,SMALL(Dong1,ROWS($1:32)),)))</f>
        <v>1331</v>
      </c>
      <c r="G45" s="161">
        <f ca="1">IF(ROWS($1:32)&gt;COUNT(Dong1),"",IF(OFFSET(TH!O$1,SMALL(Dong1,ROWS($1:32)),)="1111",OFFSET(TH!M$1,SMALL(Dong1,ROWS($1:32)),),0))</f>
        <v>0</v>
      </c>
      <c r="H45" s="159">
        <f ca="1">IF(ROWS($1:32)&gt;COUNT(Dong1),"",IF(OFFSET(TH!P$1,SMALL(Dong1,ROWS($1:32)),)="1111",OFFSET(TH!M$1,SMALL(Dong1,ROWS($1:32)),),0))</f>
        <v>409220</v>
      </c>
      <c r="I45" s="157">
        <f t="shared" ca="1" si="0"/>
        <v>-157034305</v>
      </c>
      <c r="J45" s="162"/>
    </row>
    <row r="46" spans="1:10" ht="19.5" customHeight="1">
      <c r="A46" s="1086">
        <f ca="1">IF(ROWS($1:33)&gt;COUNT(Dong1),"",OFFSET(TH!C$1,SMALL(Dong1,ROWS($1:33)),))</f>
        <v>42586</v>
      </c>
      <c r="B46" s="1086">
        <f ca="1">IF(ROWS($1:33)&gt;COUNT(Dong1),"",OFFSET(TH!E$1,SMALL(Dong1,ROWS($1:33)),))</f>
        <v>42586</v>
      </c>
      <c r="C46" s="157" t="str">
        <f ca="1">IF(ROWS($1:33)&gt;COUNT(Dong1),"",IF(OFFSET(TH!O$1,SMALL(Dong1,ROWS($1:33)),)="1111",OFFSET(TH!D$1,SMALL(Dong1,ROWS($1:33)),),""))</f>
        <v/>
      </c>
      <c r="D46" s="158" t="str">
        <f ca="1">IF(ROWS($1:33)&gt;COUNT(Dong1),"",IF(OFFSET(TH!P$1,SMALL(Dong1,ROWS($1:33)),)="1111",OFFSET(TH!D$1,SMALL(Dong1,ROWS($1:33)),),""))</f>
        <v>C22</v>
      </c>
      <c r="E46" s="406" t="str">
        <f ca="1">IF(ROWS($1:33)&gt;COUNT(Dong1),"",OFFSET(TH!F$1,SMALL(Dong1,ROWS($1:33)),))</f>
        <v>Hoàn vốn</v>
      </c>
      <c r="F46" s="160" t="str">
        <f ca="1">IF(ROWS($1:33)&gt;COUNT(Dong1),"",IF(OFFSET(TH!P$1,SMALL(Dong1,ROWS($1:33)),)="1111",OFFSET(TH!O$1,SMALL(Dong1,ROWS($1:33)),),OFFSET(TH!P$1,SMALL(Dong1,ROWS($1:33)),)))</f>
        <v>3388</v>
      </c>
      <c r="G46" s="161">
        <f ca="1">IF(ROWS($1:33)&gt;COUNT(Dong1),"",IF(OFFSET(TH!O$1,SMALL(Dong1,ROWS($1:33)),)="1111",OFFSET(TH!M$1,SMALL(Dong1,ROWS($1:33)),),0))</f>
        <v>0</v>
      </c>
      <c r="H46" s="159">
        <f ca="1">IF(ROWS($1:33)&gt;COUNT(Dong1),"",IF(OFFSET(TH!P$1,SMALL(Dong1,ROWS($1:33)),)="1111",OFFSET(TH!M$1,SMALL(Dong1,ROWS($1:33)),),0))</f>
        <v>43000000</v>
      </c>
      <c r="I46" s="157">
        <f t="shared" ca="1" si="0"/>
        <v>-200034305</v>
      </c>
      <c r="J46" s="162"/>
    </row>
    <row r="47" spans="1:10" ht="19.5" customHeight="1">
      <c r="A47" s="1086">
        <f ca="1">IF(ROWS($1:34)&gt;COUNT(Dong1),"",OFFSET(TH!C$1,SMALL(Dong1,ROWS($1:34)),))</f>
        <v>42590</v>
      </c>
      <c r="B47" s="1086">
        <f ca="1">IF(ROWS($1:34)&gt;COUNT(Dong1),"",OFFSET(TH!E$1,SMALL(Dong1,ROWS($1:34)),))</f>
        <v>42590</v>
      </c>
      <c r="C47" s="157" t="str">
        <f ca="1">IF(ROWS($1:34)&gt;COUNT(Dong1),"",IF(OFFSET(TH!O$1,SMALL(Dong1,ROWS($1:34)),)="1111",OFFSET(TH!D$1,SMALL(Dong1,ROWS($1:34)),),""))</f>
        <v/>
      </c>
      <c r="D47" s="158" t="str">
        <f ca="1">IF(ROWS($1:34)&gt;COUNT(Dong1),"",IF(OFFSET(TH!P$1,SMALL(Dong1,ROWS($1:34)),)="1111",OFFSET(TH!D$1,SMALL(Dong1,ROWS($1:34)),),""))</f>
        <v>C18</v>
      </c>
      <c r="E47" s="406" t="str">
        <f ca="1">IF(ROWS($1:34)&gt;COUNT(Dong1),"",OFFSET(TH!F$1,SMALL(Dong1,ROWS($1:34)),))</f>
        <v>Vật tư xây dựng, điện</v>
      </c>
      <c r="F47" s="160" t="str">
        <f ca="1">IF(ROWS($1:34)&gt;COUNT(Dong1),"",IF(OFFSET(TH!P$1,SMALL(Dong1,ROWS($1:34)),)="1111",OFFSET(TH!O$1,SMALL(Dong1,ROWS($1:34)),),OFFSET(TH!P$1,SMALL(Dong1,ROWS($1:34)),)))</f>
        <v>2412</v>
      </c>
      <c r="G47" s="161">
        <f ca="1">IF(ROWS($1:34)&gt;COUNT(Dong1),"",IF(OFFSET(TH!O$1,SMALL(Dong1,ROWS($1:34)),)="1111",OFFSET(TH!M$1,SMALL(Dong1,ROWS($1:34)),),0))</f>
        <v>0</v>
      </c>
      <c r="H47" s="159">
        <f ca="1">IF(ROWS($1:34)&gt;COUNT(Dong1),"",IF(OFFSET(TH!P$1,SMALL(Dong1,ROWS($1:34)),)="1111",OFFSET(TH!M$1,SMALL(Dong1,ROWS($1:34)),),0))</f>
        <v>1770000</v>
      </c>
      <c r="I47" s="157">
        <f t="shared" ca="1" si="0"/>
        <v>-201804305</v>
      </c>
      <c r="J47" s="162"/>
    </row>
    <row r="48" spans="1:10" ht="19.5" customHeight="1">
      <c r="A48" s="1086">
        <f ca="1">IF(ROWS($1:35)&gt;COUNT(Dong1),"",OFFSET(TH!C$1,SMALL(Dong1,ROWS($1:35)),))</f>
        <v>42590</v>
      </c>
      <c r="B48" s="1086">
        <f ca="1">IF(ROWS($1:35)&gt;COUNT(Dong1),"",OFFSET(TH!E$1,SMALL(Dong1,ROWS($1:35)),))</f>
        <v>42607</v>
      </c>
      <c r="C48" s="157" t="str">
        <f ca="1">IF(ROWS($1:35)&gt;COUNT(Dong1),"",IF(OFFSET(TH!O$1,SMALL(Dong1,ROWS($1:35)),)="1111",OFFSET(TH!D$1,SMALL(Dong1,ROWS($1:35)),),""))</f>
        <v/>
      </c>
      <c r="D48" s="158" t="str">
        <f ca="1">IF(ROWS($1:35)&gt;COUNT(Dong1),"",IF(OFFSET(TH!P$1,SMALL(Dong1,ROWS($1:35)),)="1111",OFFSET(TH!D$1,SMALL(Dong1,ROWS($1:35)),),""))</f>
        <v>C25</v>
      </c>
      <c r="E48" s="406" t="str">
        <f ca="1">IF(ROWS($1:35)&gt;COUNT(Dong1),"",OFFSET(TH!F$1,SMALL(Dong1,ROWS($1:35)),))</f>
        <v>Tiền nước tháng 08/2016</v>
      </c>
      <c r="F48" s="160" t="str">
        <f ca="1">IF(ROWS($1:35)&gt;COUNT(Dong1),"",IF(OFFSET(TH!P$1,SMALL(Dong1,ROWS($1:35)),)="1111",OFFSET(TH!O$1,SMALL(Dong1,ROWS($1:35)),),OFFSET(TH!P$1,SMALL(Dong1,ROWS($1:35)),)))</f>
        <v>642</v>
      </c>
      <c r="G48" s="161">
        <f ca="1">IF(ROWS($1:35)&gt;COUNT(Dong1),"",IF(OFFSET(TH!O$1,SMALL(Dong1,ROWS($1:35)),)="1111",OFFSET(TH!M$1,SMALL(Dong1,ROWS($1:35)),),0))</f>
        <v>0</v>
      </c>
      <c r="H48" s="159">
        <f ca="1">IF(ROWS($1:35)&gt;COUNT(Dong1),"",IF(OFFSET(TH!P$1,SMALL(Dong1,ROWS($1:35)),)="1111",OFFSET(TH!M$1,SMALL(Dong1,ROWS($1:35)),),0))</f>
        <v>8169600</v>
      </c>
      <c r="I48" s="157">
        <f t="shared" ca="1" si="0"/>
        <v>-209973905</v>
      </c>
      <c r="J48" s="162"/>
    </row>
    <row r="49" spans="1:10" ht="19.5" customHeight="1">
      <c r="A49" s="1086">
        <f ca="1">IF(ROWS($1:36)&gt;COUNT(Dong1),"",OFFSET(TH!C$1,SMALL(Dong1,ROWS($1:36)),))</f>
        <v>42590</v>
      </c>
      <c r="B49" s="1086">
        <f ca="1">IF(ROWS($1:36)&gt;COUNT(Dong1),"",OFFSET(TH!E$1,SMALL(Dong1,ROWS($1:36)),))</f>
        <v>42607</v>
      </c>
      <c r="C49" s="157" t="str">
        <f ca="1">IF(ROWS($1:36)&gt;COUNT(Dong1),"",IF(OFFSET(TH!O$1,SMALL(Dong1,ROWS($1:36)),)="1111",OFFSET(TH!D$1,SMALL(Dong1,ROWS($1:36)),),""))</f>
        <v/>
      </c>
      <c r="D49" s="158" t="str">
        <f ca="1">IF(ROWS($1:36)&gt;COUNT(Dong1),"",IF(OFFSET(TH!P$1,SMALL(Dong1,ROWS($1:36)),)="1111",OFFSET(TH!D$1,SMALL(Dong1,ROWS($1:36)),),""))</f>
        <v>C25</v>
      </c>
      <c r="E49" s="406" t="str">
        <f ca="1">IF(ROWS($1:36)&gt;COUNT(Dong1),"",OFFSET(TH!F$1,SMALL(Dong1,ROWS($1:36)),))</f>
        <v>VAT Tiền nước tháng 08/2016</v>
      </c>
      <c r="F49" s="160" t="str">
        <f ca="1">IF(ROWS($1:36)&gt;COUNT(Dong1),"",IF(OFFSET(TH!P$1,SMALL(Dong1,ROWS($1:36)),)="1111",OFFSET(TH!O$1,SMALL(Dong1,ROWS($1:36)),),OFFSET(TH!P$1,SMALL(Dong1,ROWS($1:36)),)))</f>
        <v>1331</v>
      </c>
      <c r="G49" s="161">
        <f ca="1">IF(ROWS($1:36)&gt;COUNT(Dong1),"",IF(OFFSET(TH!O$1,SMALL(Dong1,ROWS($1:36)),)="1111",OFFSET(TH!M$1,SMALL(Dong1,ROWS($1:36)),),0))</f>
        <v>0</v>
      </c>
      <c r="H49" s="159">
        <f ca="1">IF(ROWS($1:36)&gt;COUNT(Dong1),"",IF(OFFSET(TH!P$1,SMALL(Dong1,ROWS($1:36)),)="1111",OFFSET(TH!M$1,SMALL(Dong1,ROWS($1:36)),),0))</f>
        <v>408480</v>
      </c>
      <c r="I49" s="157">
        <f t="shared" ca="1" si="0"/>
        <v>-210382385</v>
      </c>
      <c r="J49" s="162"/>
    </row>
    <row r="50" spans="1:10" ht="19.5" customHeight="1">
      <c r="A50" s="1086">
        <f ca="1">IF(ROWS($1:37)&gt;COUNT(Dong1),"",OFFSET(TH!C$1,SMALL(Dong1,ROWS($1:37)),))</f>
        <v>42592</v>
      </c>
      <c r="B50" s="1086">
        <f ca="1">IF(ROWS($1:37)&gt;COUNT(Dong1),"",OFFSET(TH!E$1,SMALL(Dong1,ROWS($1:37)),))</f>
        <v>42592</v>
      </c>
      <c r="C50" s="157" t="str">
        <f ca="1">IF(ROWS($1:37)&gt;COUNT(Dong1),"",IF(OFFSET(TH!O$1,SMALL(Dong1,ROWS($1:37)),)="1111",OFFSET(TH!D$1,SMALL(Dong1,ROWS($1:37)),),""))</f>
        <v/>
      </c>
      <c r="D50" s="158" t="str">
        <f ca="1">IF(ROWS($1:37)&gt;COUNT(Dong1),"",IF(OFFSET(TH!P$1,SMALL(Dong1,ROWS($1:37)),)="1111",OFFSET(TH!D$1,SMALL(Dong1,ROWS($1:37)),),""))</f>
        <v>C19</v>
      </c>
      <c r="E50" s="406" t="str">
        <f ca="1">IF(ROWS($1:37)&gt;COUNT(Dong1),"",OFFSET(TH!F$1,SMALL(Dong1,ROWS($1:37)),))</f>
        <v>Phí Bảo Vệ T07/2016</v>
      </c>
      <c r="F50" s="160" t="str">
        <f ca="1">IF(ROWS($1:37)&gt;COUNT(Dong1),"",IF(OFFSET(TH!P$1,SMALL(Dong1,ROWS($1:37)),)="1111",OFFSET(TH!O$1,SMALL(Dong1,ROWS($1:37)),),OFFSET(TH!P$1,SMALL(Dong1,ROWS($1:37)),)))</f>
        <v>642</v>
      </c>
      <c r="G50" s="161">
        <f ca="1">IF(ROWS($1:37)&gt;COUNT(Dong1),"",IF(OFFSET(TH!O$1,SMALL(Dong1,ROWS($1:37)),)="1111",OFFSET(TH!M$1,SMALL(Dong1,ROWS($1:37)),),0))</f>
        <v>0</v>
      </c>
      <c r="H50" s="159">
        <f ca="1">IF(ROWS($1:37)&gt;COUNT(Dong1),"",IF(OFFSET(TH!P$1,SMALL(Dong1,ROWS($1:37)),)="1111",OFFSET(TH!M$1,SMALL(Dong1,ROWS($1:37)),),0))</f>
        <v>7272727</v>
      </c>
      <c r="I50" s="157">
        <f t="shared" ca="1" si="0"/>
        <v>-217655112</v>
      </c>
      <c r="J50" s="162"/>
    </row>
    <row r="51" spans="1:10" ht="19.5" customHeight="1">
      <c r="A51" s="1086">
        <f ca="1">IF(ROWS($1:38)&gt;COUNT(Dong1),"",OFFSET(TH!C$1,SMALL(Dong1,ROWS($1:38)),))</f>
        <v>42592</v>
      </c>
      <c r="B51" s="1086">
        <f ca="1">IF(ROWS($1:38)&gt;COUNT(Dong1),"",OFFSET(TH!E$1,SMALL(Dong1,ROWS($1:38)),))</f>
        <v>42592</v>
      </c>
      <c r="C51" s="157" t="str">
        <f ca="1">IF(ROWS($1:38)&gt;COUNT(Dong1),"",IF(OFFSET(TH!O$1,SMALL(Dong1,ROWS($1:38)),)="1111",OFFSET(TH!D$1,SMALL(Dong1,ROWS($1:38)),),""))</f>
        <v/>
      </c>
      <c r="D51" s="158" t="str">
        <f ca="1">IF(ROWS($1:38)&gt;COUNT(Dong1),"",IF(OFFSET(TH!P$1,SMALL(Dong1,ROWS($1:38)),)="1111",OFFSET(TH!D$1,SMALL(Dong1,ROWS($1:38)),),""))</f>
        <v>C19</v>
      </c>
      <c r="E51" s="406" t="str">
        <f ca="1">IF(ROWS($1:38)&gt;COUNT(Dong1),"",OFFSET(TH!F$1,SMALL(Dong1,ROWS($1:38)),))</f>
        <v>VAT Phí Bảo Vệ T07/2017</v>
      </c>
      <c r="F51" s="160" t="str">
        <f ca="1">IF(ROWS($1:38)&gt;COUNT(Dong1),"",IF(OFFSET(TH!P$1,SMALL(Dong1,ROWS($1:38)),)="1111",OFFSET(TH!O$1,SMALL(Dong1,ROWS($1:38)),),OFFSET(TH!P$1,SMALL(Dong1,ROWS($1:38)),)))</f>
        <v>1331</v>
      </c>
      <c r="G51" s="161">
        <f ca="1">IF(ROWS($1:38)&gt;COUNT(Dong1),"",IF(OFFSET(TH!O$1,SMALL(Dong1,ROWS($1:38)),)="1111",OFFSET(TH!M$1,SMALL(Dong1,ROWS($1:38)),),0))</f>
        <v>0</v>
      </c>
      <c r="H51" s="159">
        <f ca="1">IF(ROWS($1:38)&gt;COUNT(Dong1),"",IF(OFFSET(TH!P$1,SMALL(Dong1,ROWS($1:38)),)="1111",OFFSET(TH!M$1,SMALL(Dong1,ROWS($1:38)),),0))</f>
        <v>727273</v>
      </c>
      <c r="I51" s="157">
        <f t="shared" ca="1" si="0"/>
        <v>-218382385</v>
      </c>
      <c r="J51" s="162"/>
    </row>
    <row r="52" spans="1:10" ht="19.5" customHeight="1">
      <c r="A52" s="1086">
        <f ca="1">IF(ROWS($1:39)&gt;COUNT(Dong1),"",OFFSET(TH!C$1,SMALL(Dong1,ROWS($1:39)),))</f>
        <v>42592</v>
      </c>
      <c r="B52" s="1086">
        <f ca="1">IF(ROWS($1:39)&gt;COUNT(Dong1),"",OFFSET(TH!E$1,SMALL(Dong1,ROWS($1:39)),))</f>
        <v>42592</v>
      </c>
      <c r="C52" s="157" t="str">
        <f ca="1">IF(ROWS($1:39)&gt;COUNT(Dong1),"",IF(OFFSET(TH!O$1,SMALL(Dong1,ROWS($1:39)),)="1111",OFFSET(TH!D$1,SMALL(Dong1,ROWS($1:39)),),""))</f>
        <v>T01</v>
      </c>
      <c r="D52" s="158" t="str">
        <f ca="1">IF(ROWS($1:39)&gt;COUNT(Dong1),"",IF(OFFSET(TH!P$1,SMALL(Dong1,ROWS($1:39)),)="1111",OFFSET(TH!D$1,SMALL(Dong1,ROWS($1:39)),),""))</f>
        <v/>
      </c>
      <c r="E52" s="406" t="str">
        <f ca="1">IF(ROWS($1:39)&gt;COUNT(Dong1),"",OFFSET(TH!F$1,SMALL(Dong1,ROWS($1:39)),))</f>
        <v>Rút TM</v>
      </c>
      <c r="F52" s="160" t="str">
        <f ca="1">IF(ROWS($1:39)&gt;COUNT(Dong1),"",IF(OFFSET(TH!P$1,SMALL(Dong1,ROWS($1:39)),)="1111",OFFSET(TH!O$1,SMALL(Dong1,ROWS($1:39)),),OFFSET(TH!P$1,SMALL(Dong1,ROWS($1:39)),)))</f>
        <v>1121</v>
      </c>
      <c r="G52" s="161">
        <f ca="1">IF(ROWS($1:39)&gt;COUNT(Dong1),"",IF(OFFSET(TH!O$1,SMALL(Dong1,ROWS($1:39)),)="1111",OFFSET(TH!M$1,SMALL(Dong1,ROWS($1:39)),),0))</f>
        <v>500000000</v>
      </c>
      <c r="H52" s="159">
        <f ca="1">IF(ROWS($1:39)&gt;COUNT(Dong1),"",IF(OFFSET(TH!P$1,SMALL(Dong1,ROWS($1:39)),)="1111",OFFSET(TH!M$1,SMALL(Dong1,ROWS($1:39)),),0))</f>
        <v>0</v>
      </c>
      <c r="I52" s="157">
        <f t="shared" ca="1" si="0"/>
        <v>281617615</v>
      </c>
      <c r="J52" s="162"/>
    </row>
    <row r="53" spans="1:10" ht="19.5" customHeight="1">
      <c r="A53" s="1086">
        <f ca="1">IF(ROWS($1:40)&gt;COUNT(Dong1),"",OFFSET(TH!C$1,SMALL(Dong1,ROWS($1:40)),))</f>
        <v>42598</v>
      </c>
      <c r="B53" s="1086">
        <f ca="1">IF(ROWS($1:40)&gt;COUNT(Dong1),"",OFFSET(TH!E$1,SMALL(Dong1,ROWS($1:40)),))</f>
        <v>42598</v>
      </c>
      <c r="C53" s="157" t="str">
        <f ca="1">IF(ROWS($1:40)&gt;COUNT(Dong1),"",IF(OFFSET(TH!O$1,SMALL(Dong1,ROWS($1:40)),)="1111",OFFSET(TH!D$1,SMALL(Dong1,ROWS($1:40)),),""))</f>
        <v>T02</v>
      </c>
      <c r="D53" s="158" t="str">
        <f ca="1">IF(ROWS($1:40)&gt;COUNT(Dong1),"",IF(OFFSET(TH!P$1,SMALL(Dong1,ROWS($1:40)),)="1111",OFFSET(TH!D$1,SMALL(Dong1,ROWS($1:40)),),""))</f>
        <v/>
      </c>
      <c r="E53" s="406" t="str">
        <f ca="1">IF(ROWS($1:40)&gt;COUNT(Dong1),"",OFFSET(TH!F$1,SMALL(Dong1,ROWS($1:40)),))</f>
        <v>Rút TM</v>
      </c>
      <c r="F53" s="160" t="str">
        <f ca="1">IF(ROWS($1:40)&gt;COUNT(Dong1),"",IF(OFFSET(TH!P$1,SMALL(Dong1,ROWS($1:40)),)="1111",OFFSET(TH!O$1,SMALL(Dong1,ROWS($1:40)),),OFFSET(TH!P$1,SMALL(Dong1,ROWS($1:40)),)))</f>
        <v>1121</v>
      </c>
      <c r="G53" s="161">
        <f ca="1">IF(ROWS($1:40)&gt;COUNT(Dong1),"",IF(OFFSET(TH!O$1,SMALL(Dong1,ROWS($1:40)),)="1111",OFFSET(TH!M$1,SMALL(Dong1,ROWS($1:40)),),0))</f>
        <v>380000000</v>
      </c>
      <c r="H53" s="159">
        <f ca="1">IF(ROWS($1:40)&gt;COUNT(Dong1),"",IF(OFFSET(TH!P$1,SMALL(Dong1,ROWS($1:40)),)="1111",OFFSET(TH!M$1,SMALL(Dong1,ROWS($1:40)),),0))</f>
        <v>0</v>
      </c>
      <c r="I53" s="157">
        <f t="shared" ca="1" si="0"/>
        <v>661617615</v>
      </c>
      <c r="J53" s="162"/>
    </row>
    <row r="54" spans="1:10" ht="19.5" customHeight="1">
      <c r="A54" s="1086">
        <f ca="1">IF(ROWS($1:41)&gt;COUNT(Dong1),"",OFFSET(TH!C$1,SMALL(Dong1,ROWS($1:41)),))</f>
        <v>42601</v>
      </c>
      <c r="B54" s="1086">
        <f ca="1">IF(ROWS($1:41)&gt;COUNT(Dong1),"",OFFSET(TH!E$1,SMALL(Dong1,ROWS($1:41)),))</f>
        <v>42601</v>
      </c>
      <c r="C54" s="157" t="str">
        <f ca="1">IF(ROWS($1:41)&gt;COUNT(Dong1),"",IF(OFFSET(TH!O$1,SMALL(Dong1,ROWS($1:41)),)="1111",OFFSET(TH!D$1,SMALL(Dong1,ROWS($1:41)),),""))</f>
        <v/>
      </c>
      <c r="D54" s="158" t="str">
        <f ca="1">IF(ROWS($1:41)&gt;COUNT(Dong1),"",IF(OFFSET(TH!P$1,SMALL(Dong1,ROWS($1:41)),)="1111",OFFSET(TH!D$1,SMALL(Dong1,ROWS($1:41)),),""))</f>
        <v>C20</v>
      </c>
      <c r="E54" s="406" t="str">
        <f ca="1">IF(ROWS($1:41)&gt;COUNT(Dong1),"",OFFSET(TH!F$1,SMALL(Dong1,ROWS($1:41)),))</f>
        <v>Hoàn vốn</v>
      </c>
      <c r="F54" s="160" t="str">
        <f ca="1">IF(ROWS($1:41)&gt;COUNT(Dong1),"",IF(OFFSET(TH!P$1,SMALL(Dong1,ROWS($1:41)),)="1111",OFFSET(TH!O$1,SMALL(Dong1,ROWS($1:41)),),OFFSET(TH!P$1,SMALL(Dong1,ROWS($1:41)),)))</f>
        <v>3388</v>
      </c>
      <c r="G54" s="161">
        <f ca="1">IF(ROWS($1:41)&gt;COUNT(Dong1),"",IF(OFFSET(TH!O$1,SMALL(Dong1,ROWS($1:41)),)="1111",OFFSET(TH!M$1,SMALL(Dong1,ROWS($1:41)),),0))</f>
        <v>0</v>
      </c>
      <c r="H54" s="159">
        <f ca="1">IF(ROWS($1:41)&gt;COUNT(Dong1),"",IF(OFFSET(TH!P$1,SMALL(Dong1,ROWS($1:41)),)="1111",OFFSET(TH!M$1,SMALL(Dong1,ROWS($1:41)),),0))</f>
        <v>50000000</v>
      </c>
      <c r="I54" s="157">
        <f t="shared" ca="1" si="0"/>
        <v>611617615</v>
      </c>
      <c r="J54" s="162"/>
    </row>
    <row r="55" spans="1:10" ht="19.5" customHeight="1">
      <c r="A55" s="1086">
        <f ca="1">IF(ROWS($1:42)&gt;COUNT(Dong1),"",OFFSET(TH!C$1,SMALL(Dong1,ROWS($1:42)),))</f>
        <v>42602</v>
      </c>
      <c r="B55" s="1086">
        <f ca="1">IF(ROWS($1:42)&gt;COUNT(Dong1),"",OFFSET(TH!E$1,SMALL(Dong1,ROWS($1:42)),))</f>
        <v>42602</v>
      </c>
      <c r="C55" s="157" t="str">
        <f ca="1">IF(ROWS($1:42)&gt;COUNT(Dong1),"",IF(OFFSET(TH!O$1,SMALL(Dong1,ROWS($1:42)),)="1111",OFFSET(TH!D$1,SMALL(Dong1,ROWS($1:42)),),""))</f>
        <v/>
      </c>
      <c r="D55" s="158" t="str">
        <f ca="1">IF(ROWS($1:42)&gt;COUNT(Dong1),"",IF(OFFSET(TH!P$1,SMALL(Dong1,ROWS($1:42)),)="1111",OFFSET(TH!D$1,SMALL(Dong1,ROWS($1:42)),),""))</f>
        <v>C21</v>
      </c>
      <c r="E55" s="406" t="str">
        <f ca="1">IF(ROWS($1:42)&gt;COUNT(Dong1),"",OFFSET(TH!F$1,SMALL(Dong1,ROWS($1:42)),))</f>
        <v>Phí thanh nhôm</v>
      </c>
      <c r="F55" s="160" t="str">
        <f ca="1">IF(ROWS($1:42)&gt;COUNT(Dong1),"",IF(OFFSET(TH!P$1,SMALL(Dong1,ROWS($1:42)),)="1111",OFFSET(TH!O$1,SMALL(Dong1,ROWS($1:42)),),OFFSET(TH!P$1,SMALL(Dong1,ROWS($1:42)),)))</f>
        <v>331</v>
      </c>
      <c r="G55" s="161">
        <f ca="1">IF(ROWS($1:42)&gt;COUNT(Dong1),"",IF(OFFSET(TH!O$1,SMALL(Dong1,ROWS($1:42)),)="1111",OFFSET(TH!M$1,SMALL(Dong1,ROWS($1:42)),),0))</f>
        <v>0</v>
      </c>
      <c r="H55" s="159">
        <f ca="1">IF(ROWS($1:42)&gt;COUNT(Dong1),"",IF(OFFSET(TH!P$1,SMALL(Dong1,ROWS($1:42)),)="1111",OFFSET(TH!M$1,SMALL(Dong1,ROWS($1:42)),),0))</f>
        <v>7500000</v>
      </c>
      <c r="I55" s="157">
        <f t="shared" ca="1" si="0"/>
        <v>604117615</v>
      </c>
      <c r="J55" s="162"/>
    </row>
    <row r="56" spans="1:10" ht="19.5" customHeight="1">
      <c r="A56" s="1086">
        <f ca="1">IF(ROWS($1:43)&gt;COUNT(Dong1),"",OFFSET(TH!C$1,SMALL(Dong1,ROWS($1:43)),))</f>
        <v>42606</v>
      </c>
      <c r="B56" s="1086">
        <f ca="1">IF(ROWS($1:43)&gt;COUNT(Dong1),"",OFFSET(TH!E$1,SMALL(Dong1,ROWS($1:43)),))</f>
        <v>42606</v>
      </c>
      <c r="C56" s="157" t="str">
        <f ca="1">IF(ROWS($1:43)&gt;COUNT(Dong1),"",IF(OFFSET(TH!O$1,SMALL(Dong1,ROWS($1:43)),)="1111",OFFSET(TH!D$1,SMALL(Dong1,ROWS($1:43)),),""))</f>
        <v/>
      </c>
      <c r="D56" s="158" t="str">
        <f ca="1">IF(ROWS($1:43)&gt;COUNT(Dong1),"",IF(OFFSET(TH!P$1,SMALL(Dong1,ROWS($1:43)),)="1111",OFFSET(TH!D$1,SMALL(Dong1,ROWS($1:43)),),""))</f>
        <v>C22</v>
      </c>
      <c r="E56" s="406" t="str">
        <f ca="1">IF(ROWS($1:43)&gt;COUNT(Dong1),"",OFFSET(TH!F$1,SMALL(Dong1,ROWS($1:43)),))</f>
        <v>Nộp TM</v>
      </c>
      <c r="F56" s="160" t="str">
        <f ca="1">IF(ROWS($1:43)&gt;COUNT(Dong1),"",IF(OFFSET(TH!P$1,SMALL(Dong1,ROWS($1:43)),)="1111",OFFSET(TH!O$1,SMALL(Dong1,ROWS($1:43)),),OFFSET(TH!P$1,SMALL(Dong1,ROWS($1:43)),)))</f>
        <v>1121</v>
      </c>
      <c r="G56" s="161">
        <f ca="1">IF(ROWS($1:43)&gt;COUNT(Dong1),"",IF(OFFSET(TH!O$1,SMALL(Dong1,ROWS($1:43)),)="1111",OFFSET(TH!M$1,SMALL(Dong1,ROWS($1:43)),),0))</f>
        <v>0</v>
      </c>
      <c r="H56" s="159">
        <f ca="1">IF(ROWS($1:43)&gt;COUNT(Dong1),"",IF(OFFSET(TH!P$1,SMALL(Dong1,ROWS($1:43)),)="1111",OFFSET(TH!M$1,SMALL(Dong1,ROWS($1:43)),),0))</f>
        <v>165000000</v>
      </c>
      <c r="I56" s="157">
        <f t="shared" ca="1" si="0"/>
        <v>439117615</v>
      </c>
      <c r="J56" s="162"/>
    </row>
    <row r="57" spans="1:10" ht="19.5" customHeight="1">
      <c r="A57" s="1086">
        <f ca="1">IF(ROWS($1:44)&gt;COUNT(Dong1),"",OFFSET(TH!C$1,SMALL(Dong1,ROWS($1:44)),))</f>
        <v>42609</v>
      </c>
      <c r="B57" s="1086">
        <f ca="1">IF(ROWS($1:44)&gt;COUNT(Dong1),"",OFFSET(TH!E$1,SMALL(Dong1,ROWS($1:44)),))</f>
        <v>42609</v>
      </c>
      <c r="C57" s="157" t="str">
        <f ca="1">IF(ROWS($1:44)&gt;COUNT(Dong1),"",IF(OFFSET(TH!O$1,SMALL(Dong1,ROWS($1:44)),)="1111",OFFSET(TH!D$1,SMALL(Dong1,ROWS($1:44)),),""))</f>
        <v/>
      </c>
      <c r="D57" s="158" t="str">
        <f ca="1">IF(ROWS($1:44)&gt;COUNT(Dong1),"",IF(OFFSET(TH!P$1,SMALL(Dong1,ROWS($1:44)),)="1111",OFFSET(TH!D$1,SMALL(Dong1,ROWS($1:44)),),""))</f>
        <v>C23</v>
      </c>
      <c r="E57" s="406" t="str">
        <f ca="1">IF(ROWS($1:44)&gt;COUNT(Dong1),"",OFFSET(TH!F$1,SMALL(Dong1,ROWS($1:44)),))</f>
        <v>Phí Bơm định lượng C - 6125P</v>
      </c>
      <c r="F57" s="160" t="str">
        <f ca="1">IF(ROWS($1:44)&gt;COUNT(Dong1),"",IF(OFFSET(TH!P$1,SMALL(Dong1,ROWS($1:44)),)="1111",OFFSET(TH!O$1,SMALL(Dong1,ROWS($1:44)),),OFFSET(TH!P$1,SMALL(Dong1,ROWS($1:44)),)))</f>
        <v>2412</v>
      </c>
      <c r="G57" s="161">
        <f ca="1">IF(ROWS($1:44)&gt;COUNT(Dong1),"",IF(OFFSET(TH!O$1,SMALL(Dong1,ROWS($1:44)),)="1111",OFFSET(TH!M$1,SMALL(Dong1,ROWS($1:44)),),0))</f>
        <v>0</v>
      </c>
      <c r="H57" s="159">
        <f ca="1">IF(ROWS($1:44)&gt;COUNT(Dong1),"",IF(OFFSET(TH!P$1,SMALL(Dong1,ROWS($1:44)),)="1111",OFFSET(TH!M$1,SMALL(Dong1,ROWS($1:44)),),0))</f>
        <v>5000000</v>
      </c>
      <c r="I57" s="157">
        <f t="shared" ca="1" si="0"/>
        <v>434117615</v>
      </c>
      <c r="J57" s="162"/>
    </row>
    <row r="58" spans="1:10" ht="19.5" customHeight="1">
      <c r="A58" s="1086">
        <f ca="1">IF(ROWS($1:45)&gt;COUNT(Dong1),"",OFFSET(TH!C$1,SMALL(Dong1,ROWS($1:45)),))</f>
        <v>42609</v>
      </c>
      <c r="B58" s="1086">
        <f ca="1">IF(ROWS($1:45)&gt;COUNT(Dong1),"",OFFSET(TH!E$1,SMALL(Dong1,ROWS($1:45)),))</f>
        <v>42609</v>
      </c>
      <c r="C58" s="157" t="str">
        <f ca="1">IF(ROWS($1:45)&gt;COUNT(Dong1),"",IF(OFFSET(TH!O$1,SMALL(Dong1,ROWS($1:45)),)="1111",OFFSET(TH!D$1,SMALL(Dong1,ROWS($1:45)),),""))</f>
        <v/>
      </c>
      <c r="D58" s="158" t="str">
        <f ca="1">IF(ROWS($1:45)&gt;COUNT(Dong1),"",IF(OFFSET(TH!P$1,SMALL(Dong1,ROWS($1:45)),)="1111",OFFSET(TH!D$1,SMALL(Dong1,ROWS($1:45)),),""))</f>
        <v>C23</v>
      </c>
      <c r="E58" s="406" t="str">
        <f ca="1">IF(ROWS($1:45)&gt;COUNT(Dong1),"",OFFSET(TH!F$1,SMALL(Dong1,ROWS($1:45)),))</f>
        <v>VAT Phí Bơm định lượng C - 6125P</v>
      </c>
      <c r="F58" s="160" t="str">
        <f ca="1">IF(ROWS($1:45)&gt;COUNT(Dong1),"",IF(OFFSET(TH!P$1,SMALL(Dong1,ROWS($1:45)),)="1111",OFFSET(TH!O$1,SMALL(Dong1,ROWS($1:45)),),OFFSET(TH!P$1,SMALL(Dong1,ROWS($1:45)),)))</f>
        <v>1332</v>
      </c>
      <c r="G58" s="161">
        <f ca="1">IF(ROWS($1:45)&gt;COUNT(Dong1),"",IF(OFFSET(TH!O$1,SMALL(Dong1,ROWS($1:45)),)="1111",OFFSET(TH!M$1,SMALL(Dong1,ROWS($1:45)),),0))</f>
        <v>0</v>
      </c>
      <c r="H58" s="159">
        <f ca="1">IF(ROWS($1:45)&gt;COUNT(Dong1),"",IF(OFFSET(TH!P$1,SMALL(Dong1,ROWS($1:45)),)="1111",OFFSET(TH!M$1,SMALL(Dong1,ROWS($1:45)),),0))</f>
        <v>500000</v>
      </c>
      <c r="I58" s="157">
        <f t="shared" ca="1" si="0"/>
        <v>433617615</v>
      </c>
      <c r="J58" s="162"/>
    </row>
    <row r="59" spans="1:10" ht="19.5" customHeight="1">
      <c r="A59" s="1086">
        <f ca="1">IF(ROWS($1:46)&gt;COUNT(Dong1),"",OFFSET(TH!C$1,SMALL(Dong1,ROWS($1:46)),))</f>
        <v>42612</v>
      </c>
      <c r="B59" s="1086">
        <f ca="1">IF(ROWS($1:46)&gt;COUNT(Dong1),"",OFFSET(TH!E$1,SMALL(Dong1,ROWS($1:46)),))</f>
        <v>42612</v>
      </c>
      <c r="C59" s="157" t="str">
        <f ca="1">IF(ROWS($1:46)&gt;COUNT(Dong1),"",IF(OFFSET(TH!O$1,SMALL(Dong1,ROWS($1:46)),)="1111",OFFSET(TH!D$1,SMALL(Dong1,ROWS($1:46)),),""))</f>
        <v/>
      </c>
      <c r="D59" s="158" t="str">
        <f ca="1">IF(ROWS($1:46)&gt;COUNT(Dong1),"",IF(OFFSET(TH!P$1,SMALL(Dong1,ROWS($1:46)),)="1111",OFFSET(TH!D$1,SMALL(Dong1,ROWS($1:46)),),""))</f>
        <v>C24</v>
      </c>
      <c r="E59" s="406" t="str">
        <f ca="1">IF(ROWS($1:46)&gt;COUNT(Dong1),"",OFFSET(TH!F$1,SMALL(Dong1,ROWS($1:46)),))</f>
        <v>Tiền xử lý nước thải T07/2016</v>
      </c>
      <c r="F59" s="160" t="str">
        <f ca="1">IF(ROWS($1:46)&gt;COUNT(Dong1),"",IF(OFFSET(TH!P$1,SMALL(Dong1,ROWS($1:46)),)="1111",OFFSET(TH!O$1,SMALL(Dong1,ROWS($1:46)),),OFFSET(TH!P$1,SMALL(Dong1,ROWS($1:46)),)))</f>
        <v>642</v>
      </c>
      <c r="G59" s="161">
        <f ca="1">IF(ROWS($1:46)&gt;COUNT(Dong1),"",IF(OFFSET(TH!O$1,SMALL(Dong1,ROWS($1:46)),)="1111",OFFSET(TH!M$1,SMALL(Dong1,ROWS($1:46)),),0))</f>
        <v>0</v>
      </c>
      <c r="H59" s="159">
        <f ca="1">IF(ROWS($1:46)&gt;COUNT(Dong1),"",IF(OFFSET(TH!P$1,SMALL(Dong1,ROWS($1:46)),)="1111",OFFSET(TH!M$1,SMALL(Dong1,ROWS($1:46)),),0))</f>
        <v>4826182</v>
      </c>
      <c r="I59" s="157">
        <f t="shared" ca="1" si="0"/>
        <v>428791433</v>
      </c>
      <c r="J59" s="162"/>
    </row>
    <row r="60" spans="1:10" ht="19.5" customHeight="1">
      <c r="A60" s="1086">
        <f ca="1">IF(ROWS($1:47)&gt;COUNT(Dong1),"",OFFSET(TH!C$1,SMALL(Dong1,ROWS($1:47)),))</f>
        <v>42612</v>
      </c>
      <c r="B60" s="1086">
        <f ca="1">IF(ROWS($1:47)&gt;COUNT(Dong1),"",OFFSET(TH!E$1,SMALL(Dong1,ROWS($1:47)),))</f>
        <v>42612</v>
      </c>
      <c r="C60" s="157" t="str">
        <f ca="1">IF(ROWS($1:47)&gt;COUNT(Dong1),"",IF(OFFSET(TH!O$1,SMALL(Dong1,ROWS($1:47)),)="1111",OFFSET(TH!D$1,SMALL(Dong1,ROWS($1:47)),),""))</f>
        <v/>
      </c>
      <c r="D60" s="158" t="str">
        <f ca="1">IF(ROWS($1:47)&gt;COUNT(Dong1),"",IF(OFFSET(TH!P$1,SMALL(Dong1,ROWS($1:47)),)="1111",OFFSET(TH!D$1,SMALL(Dong1,ROWS($1:47)),),""))</f>
        <v>C24</v>
      </c>
      <c r="E60" s="406" t="str">
        <f ca="1">IF(ROWS($1:47)&gt;COUNT(Dong1),"",OFFSET(TH!F$1,SMALL(Dong1,ROWS($1:47)),))</f>
        <v>VAT Tiền xử lý nước thải T07/2017</v>
      </c>
      <c r="F60" s="160" t="str">
        <f ca="1">IF(ROWS($1:47)&gt;COUNT(Dong1),"",IF(OFFSET(TH!P$1,SMALL(Dong1,ROWS($1:47)),)="1111",OFFSET(TH!O$1,SMALL(Dong1,ROWS($1:47)),),OFFSET(TH!P$1,SMALL(Dong1,ROWS($1:47)),)))</f>
        <v>1331</v>
      </c>
      <c r="G60" s="161">
        <f ca="1">IF(ROWS($1:47)&gt;COUNT(Dong1),"",IF(OFFSET(TH!O$1,SMALL(Dong1,ROWS($1:47)),)="1111",OFFSET(TH!M$1,SMALL(Dong1,ROWS($1:47)),),0))</f>
        <v>0</v>
      </c>
      <c r="H60" s="159">
        <f ca="1">IF(ROWS($1:47)&gt;COUNT(Dong1),"",IF(OFFSET(TH!P$1,SMALL(Dong1,ROWS($1:47)),)="1111",OFFSET(TH!M$1,SMALL(Dong1,ROWS($1:47)),),0))</f>
        <v>482618</v>
      </c>
      <c r="I60" s="157">
        <f t="shared" ca="1" si="0"/>
        <v>428308815</v>
      </c>
      <c r="J60" s="162"/>
    </row>
    <row r="61" spans="1:10" ht="19.5" customHeight="1">
      <c r="A61" s="1086">
        <f ca="1">IF(ROWS($1:48)&gt;COUNT(Dong1),"",OFFSET(TH!C$1,SMALL(Dong1,ROWS($1:48)),))</f>
        <v>42613</v>
      </c>
      <c r="B61" s="1086">
        <f ca="1">IF(ROWS($1:48)&gt;COUNT(Dong1),"",OFFSET(TH!E$1,SMALL(Dong1,ROWS($1:48)),))</f>
        <v>42613</v>
      </c>
      <c r="C61" s="157" t="str">
        <f ca="1">IF(ROWS($1:48)&gt;COUNT(Dong1),"",IF(OFFSET(TH!O$1,SMALL(Dong1,ROWS($1:48)),)="1111",OFFSET(TH!D$1,SMALL(Dong1,ROWS($1:48)),),""))</f>
        <v/>
      </c>
      <c r="D61" s="158" t="str">
        <f ca="1">IF(ROWS($1:48)&gt;COUNT(Dong1),"",IF(OFFSET(TH!P$1,SMALL(Dong1,ROWS($1:48)),)="1111",OFFSET(TH!D$1,SMALL(Dong1,ROWS($1:48)),),""))</f>
        <v>C26</v>
      </c>
      <c r="E61" s="406" t="str">
        <f ca="1">IF(ROWS($1:48)&gt;COUNT(Dong1),"",OFFSET(TH!F$1,SMALL(Dong1,ROWS($1:48)),))</f>
        <v>Hoàn vốn</v>
      </c>
      <c r="F61" s="160" t="str">
        <f ca="1">IF(ROWS($1:48)&gt;COUNT(Dong1),"",IF(OFFSET(TH!P$1,SMALL(Dong1,ROWS($1:48)),)="1111",OFFSET(TH!O$1,SMALL(Dong1,ROWS($1:48)),),OFFSET(TH!P$1,SMALL(Dong1,ROWS($1:48)),)))</f>
        <v>3388</v>
      </c>
      <c r="G61" s="161">
        <f ca="1">IF(ROWS($1:48)&gt;COUNT(Dong1),"",IF(OFFSET(TH!O$1,SMALL(Dong1,ROWS($1:48)),)="1111",OFFSET(TH!M$1,SMALL(Dong1,ROWS($1:48)),),0))</f>
        <v>0</v>
      </c>
      <c r="H61" s="159">
        <f ca="1">IF(ROWS($1:48)&gt;COUNT(Dong1),"",IF(OFFSET(TH!P$1,SMALL(Dong1,ROWS($1:48)),)="1111",OFFSET(TH!M$1,SMALL(Dong1,ROWS($1:48)),),0))</f>
        <v>23000000</v>
      </c>
      <c r="I61" s="157">
        <f t="shared" ca="1" si="0"/>
        <v>405308815</v>
      </c>
      <c r="J61" s="162"/>
    </row>
    <row r="62" spans="1:10" ht="19.5" customHeight="1">
      <c r="A62" s="1086">
        <f ca="1">IF(ROWS($1:49)&gt;COUNT(Dong1),"",OFFSET(TH!C$1,SMALL(Dong1,ROWS($1:49)),))</f>
        <v>42613</v>
      </c>
      <c r="B62" s="1086">
        <f ca="1">IF(ROWS($1:49)&gt;COUNT(Dong1),"",OFFSET(TH!E$1,SMALL(Dong1,ROWS($1:49)),))</f>
        <v>42613</v>
      </c>
      <c r="C62" s="157" t="str">
        <f ca="1">IF(ROWS($1:49)&gt;COUNT(Dong1),"",IF(OFFSET(TH!O$1,SMALL(Dong1,ROWS($1:49)),)="1111",OFFSET(TH!D$1,SMALL(Dong1,ROWS($1:49)),),""))</f>
        <v/>
      </c>
      <c r="D62" s="158" t="str">
        <f ca="1">IF(ROWS($1:49)&gt;COUNT(Dong1),"",IF(OFFSET(TH!P$1,SMALL(Dong1,ROWS($1:49)),)="1111",OFFSET(TH!D$1,SMALL(Dong1,ROWS($1:49)),),""))</f>
        <v>C27</v>
      </c>
      <c r="E62" s="406" t="str">
        <f ca="1">IF(ROWS($1:49)&gt;COUNT(Dong1),"",OFFSET(TH!F$1,SMALL(Dong1,ROWS($1:49)),))</f>
        <v>Chi lương T8</v>
      </c>
      <c r="F62" s="160" t="str">
        <f ca="1">IF(ROWS($1:49)&gt;COUNT(Dong1),"",IF(OFFSET(TH!P$1,SMALL(Dong1,ROWS($1:49)),)="1111",OFFSET(TH!O$1,SMALL(Dong1,ROWS($1:49)),),OFFSET(TH!P$1,SMALL(Dong1,ROWS($1:49)),)))</f>
        <v>3341</v>
      </c>
      <c r="G62" s="161">
        <f ca="1">IF(ROWS($1:49)&gt;COUNT(Dong1),"",IF(OFFSET(TH!O$1,SMALL(Dong1,ROWS($1:49)),)="1111",OFFSET(TH!M$1,SMALL(Dong1,ROWS($1:49)),),0))</f>
        <v>0</v>
      </c>
      <c r="H62" s="159">
        <f ca="1">IF(ROWS($1:49)&gt;COUNT(Dong1),"",IF(OFFSET(TH!P$1,SMALL(Dong1,ROWS($1:49)),)="1111",OFFSET(TH!M$1,SMALL(Dong1,ROWS($1:49)),),0))</f>
        <v>197016265</v>
      </c>
      <c r="I62" s="157">
        <f t="shared" ca="1" si="0"/>
        <v>208292550</v>
      </c>
      <c r="J62" s="162"/>
    </row>
    <row r="63" spans="1:10" ht="19.5" customHeight="1">
      <c r="A63" s="1086">
        <f ca="1">IF(ROWS($1:50)&gt;COUNT(Dong1),"",OFFSET(TH!C$1,SMALL(Dong1,ROWS($1:50)),))</f>
        <v>42623</v>
      </c>
      <c r="B63" s="1086">
        <f ca="1">IF(ROWS($1:50)&gt;COUNT(Dong1),"",OFFSET(TH!E$1,SMALL(Dong1,ROWS($1:50)),))</f>
        <v>42623</v>
      </c>
      <c r="C63" s="157" t="str">
        <f ca="1">IF(ROWS($1:50)&gt;COUNT(Dong1),"",IF(OFFSET(TH!O$1,SMALL(Dong1,ROWS($1:50)),)="1111",OFFSET(TH!D$1,SMALL(Dong1,ROWS($1:50)),),""))</f>
        <v/>
      </c>
      <c r="D63" s="158" t="str">
        <f ca="1">IF(ROWS($1:50)&gt;COUNT(Dong1),"",IF(OFFSET(TH!P$1,SMALL(Dong1,ROWS($1:50)),)="1111",OFFSET(TH!D$1,SMALL(Dong1,ROWS($1:50)),),""))</f>
        <v>C28</v>
      </c>
      <c r="E63" s="406" t="str">
        <f ca="1">IF(ROWS($1:50)&gt;COUNT(Dong1),"",OFFSET(TH!F$1,SMALL(Dong1,ROWS($1:50)),))</f>
        <v>Phí Bảo Vệ T08/2016</v>
      </c>
      <c r="F63" s="160" t="str">
        <f ca="1">IF(ROWS($1:50)&gt;COUNT(Dong1),"",IF(OFFSET(TH!P$1,SMALL(Dong1,ROWS($1:50)),)="1111",OFFSET(TH!O$1,SMALL(Dong1,ROWS($1:50)),),OFFSET(TH!P$1,SMALL(Dong1,ROWS($1:50)),)))</f>
        <v>642</v>
      </c>
      <c r="G63" s="161">
        <f ca="1">IF(ROWS($1:50)&gt;COUNT(Dong1),"",IF(OFFSET(TH!O$1,SMALL(Dong1,ROWS($1:50)),)="1111",OFFSET(TH!M$1,SMALL(Dong1,ROWS($1:50)),),0))</f>
        <v>0</v>
      </c>
      <c r="H63" s="159">
        <f ca="1">IF(ROWS($1:50)&gt;COUNT(Dong1),"",IF(OFFSET(TH!P$1,SMALL(Dong1,ROWS($1:50)),)="1111",OFFSET(TH!M$1,SMALL(Dong1,ROWS($1:50)),),0))</f>
        <v>7272727</v>
      </c>
      <c r="I63" s="157">
        <f t="shared" ca="1" si="0"/>
        <v>201019823</v>
      </c>
      <c r="J63" s="162"/>
    </row>
    <row r="64" spans="1:10" ht="19.5" customHeight="1">
      <c r="A64" s="1086">
        <f ca="1">IF(ROWS($1:51)&gt;COUNT(Dong1),"",OFFSET(TH!C$1,SMALL(Dong1,ROWS($1:51)),))</f>
        <v>42623</v>
      </c>
      <c r="B64" s="1086">
        <f ca="1">IF(ROWS($1:51)&gt;COUNT(Dong1),"",OFFSET(TH!E$1,SMALL(Dong1,ROWS($1:51)),))</f>
        <v>42623</v>
      </c>
      <c r="C64" s="157" t="str">
        <f ca="1">IF(ROWS($1:51)&gt;COUNT(Dong1),"",IF(OFFSET(TH!O$1,SMALL(Dong1,ROWS($1:51)),)="1111",OFFSET(TH!D$1,SMALL(Dong1,ROWS($1:51)),),""))</f>
        <v/>
      </c>
      <c r="D64" s="158" t="str">
        <f ca="1">IF(ROWS($1:51)&gt;COUNT(Dong1),"",IF(OFFSET(TH!P$1,SMALL(Dong1,ROWS($1:51)),)="1111",OFFSET(TH!D$1,SMALL(Dong1,ROWS($1:51)),),""))</f>
        <v>C28</v>
      </c>
      <c r="E64" s="406" t="str">
        <f ca="1">IF(ROWS($1:51)&gt;COUNT(Dong1),"",OFFSET(TH!F$1,SMALL(Dong1,ROWS($1:51)),))</f>
        <v>VAT Phí Bảo Vệ T08/2017</v>
      </c>
      <c r="F64" s="160" t="str">
        <f ca="1">IF(ROWS($1:51)&gt;COUNT(Dong1),"",IF(OFFSET(TH!P$1,SMALL(Dong1,ROWS($1:51)),)="1111",OFFSET(TH!O$1,SMALL(Dong1,ROWS($1:51)),),OFFSET(TH!P$1,SMALL(Dong1,ROWS($1:51)),)))</f>
        <v>1331</v>
      </c>
      <c r="G64" s="161">
        <f ca="1">IF(ROWS($1:51)&gt;COUNT(Dong1),"",IF(OFFSET(TH!O$1,SMALL(Dong1,ROWS($1:51)),)="1111",OFFSET(TH!M$1,SMALL(Dong1,ROWS($1:51)),),0))</f>
        <v>0</v>
      </c>
      <c r="H64" s="159">
        <f ca="1">IF(ROWS($1:51)&gt;COUNT(Dong1),"",IF(OFFSET(TH!P$1,SMALL(Dong1,ROWS($1:51)),)="1111",OFFSET(TH!M$1,SMALL(Dong1,ROWS($1:51)),),0))</f>
        <v>727273</v>
      </c>
      <c r="I64" s="157">
        <f t="shared" ca="1" si="0"/>
        <v>200292550</v>
      </c>
      <c r="J64" s="162"/>
    </row>
    <row r="65" spans="1:10" ht="19.5" customHeight="1">
      <c r="A65" s="1086">
        <f ca="1">IF(ROWS($1:52)&gt;COUNT(Dong1),"",OFFSET(TH!C$1,SMALL(Dong1,ROWS($1:52)),))</f>
        <v>42629</v>
      </c>
      <c r="B65" s="1086">
        <f ca="1">IF(ROWS($1:52)&gt;COUNT(Dong1),"",OFFSET(TH!E$1,SMALL(Dong1,ROWS($1:52)),))</f>
        <v>42629</v>
      </c>
      <c r="C65" s="157" t="str">
        <f ca="1">IF(ROWS($1:52)&gt;COUNT(Dong1),"",IF(OFFSET(TH!O$1,SMALL(Dong1,ROWS($1:52)),)="1111",OFFSET(TH!D$1,SMALL(Dong1,ROWS($1:52)),),""))</f>
        <v/>
      </c>
      <c r="D65" s="158" t="str">
        <f ca="1">IF(ROWS($1:52)&gt;COUNT(Dong1),"",IF(OFFSET(TH!P$1,SMALL(Dong1,ROWS($1:52)),)="1111",OFFSET(TH!D$1,SMALL(Dong1,ROWS($1:52)),),""))</f>
        <v>C29</v>
      </c>
      <c r="E65" s="406" t="str">
        <f ca="1">IF(ROWS($1:52)&gt;COUNT(Dong1),"",OFFSET(TH!F$1,SMALL(Dong1,ROWS($1:52)),))</f>
        <v>Phí Điện Thoại - Internet T8/2016</v>
      </c>
      <c r="F65" s="160" t="str">
        <f ca="1">IF(ROWS($1:52)&gt;COUNT(Dong1),"",IF(OFFSET(TH!P$1,SMALL(Dong1,ROWS($1:52)),)="1111",OFFSET(TH!O$1,SMALL(Dong1,ROWS($1:52)),),OFFSET(TH!P$1,SMALL(Dong1,ROWS($1:52)),)))</f>
        <v>642</v>
      </c>
      <c r="G65" s="161">
        <f ca="1">IF(ROWS($1:52)&gt;COUNT(Dong1),"",IF(OFFSET(TH!O$1,SMALL(Dong1,ROWS($1:52)),)="1111",OFFSET(TH!M$1,SMALL(Dong1,ROWS($1:52)),),0))</f>
        <v>0</v>
      </c>
      <c r="H65" s="159">
        <f ca="1">IF(ROWS($1:52)&gt;COUNT(Dong1),"",IF(OFFSET(TH!P$1,SMALL(Dong1,ROWS($1:52)),)="1111",OFFSET(TH!M$1,SMALL(Dong1,ROWS($1:52)),),0))</f>
        <v>371557</v>
      </c>
      <c r="I65" s="157">
        <f t="shared" ca="1" si="0"/>
        <v>199920993</v>
      </c>
      <c r="J65" s="162"/>
    </row>
    <row r="66" spans="1:10" ht="19.5" customHeight="1">
      <c r="A66" s="1086">
        <f ca="1">IF(ROWS($1:53)&gt;COUNT(Dong1),"",OFFSET(TH!C$1,SMALL(Dong1,ROWS($1:53)),))</f>
        <v>42629</v>
      </c>
      <c r="B66" s="1086">
        <f ca="1">IF(ROWS($1:53)&gt;COUNT(Dong1),"",OFFSET(TH!E$1,SMALL(Dong1,ROWS($1:53)),))</f>
        <v>42629</v>
      </c>
      <c r="C66" s="157" t="str">
        <f ca="1">IF(ROWS($1:53)&gt;COUNT(Dong1),"",IF(OFFSET(TH!O$1,SMALL(Dong1,ROWS($1:53)),)="1111",OFFSET(TH!D$1,SMALL(Dong1,ROWS($1:53)),),""))</f>
        <v/>
      </c>
      <c r="D66" s="158" t="str">
        <f ca="1">IF(ROWS($1:53)&gt;COUNT(Dong1),"",IF(OFFSET(TH!P$1,SMALL(Dong1,ROWS($1:53)),)="1111",OFFSET(TH!D$1,SMALL(Dong1,ROWS($1:53)),),""))</f>
        <v>C29</v>
      </c>
      <c r="E66" s="406" t="str">
        <f ca="1">IF(ROWS($1:53)&gt;COUNT(Dong1),"",OFFSET(TH!F$1,SMALL(Dong1,ROWS($1:53)),))</f>
        <v>VAT Phí Điện Thoại - Internet T8/2016</v>
      </c>
      <c r="F66" s="160" t="str">
        <f ca="1">IF(ROWS($1:53)&gt;COUNT(Dong1),"",IF(OFFSET(TH!P$1,SMALL(Dong1,ROWS($1:53)),)="1111",OFFSET(TH!O$1,SMALL(Dong1,ROWS($1:53)),),OFFSET(TH!P$1,SMALL(Dong1,ROWS($1:53)),)))</f>
        <v>1331</v>
      </c>
      <c r="G66" s="161">
        <f ca="1">IF(ROWS($1:53)&gt;COUNT(Dong1),"",IF(OFFSET(TH!O$1,SMALL(Dong1,ROWS($1:53)),)="1111",OFFSET(TH!M$1,SMALL(Dong1,ROWS($1:53)),),0))</f>
        <v>0</v>
      </c>
      <c r="H66" s="159">
        <f ca="1">IF(ROWS($1:53)&gt;COUNT(Dong1),"",IF(OFFSET(TH!P$1,SMALL(Dong1,ROWS($1:53)),)="1111",OFFSET(TH!M$1,SMALL(Dong1,ROWS($1:53)),),0))</f>
        <v>37156</v>
      </c>
      <c r="I66" s="157">
        <f t="shared" ca="1" si="0"/>
        <v>199883837</v>
      </c>
      <c r="J66" s="162"/>
    </row>
    <row r="67" spans="1:10" ht="19.5" customHeight="1">
      <c r="A67" s="1086">
        <f ca="1">IF(ROWS($1:54)&gt;COUNT(Dong1),"",OFFSET(TH!C$1,SMALL(Dong1,ROWS($1:54)),))</f>
        <v>42629</v>
      </c>
      <c r="B67" s="1086">
        <f ca="1">IF(ROWS($1:54)&gt;COUNT(Dong1),"",OFFSET(TH!E$1,SMALL(Dong1,ROWS($1:54)),))</f>
        <v>42629</v>
      </c>
      <c r="C67" s="157" t="str">
        <f ca="1">IF(ROWS($1:54)&gt;COUNT(Dong1),"",IF(OFFSET(TH!O$1,SMALL(Dong1,ROWS($1:54)),)="1111",OFFSET(TH!D$1,SMALL(Dong1,ROWS($1:54)),),""))</f>
        <v/>
      </c>
      <c r="D67" s="158" t="str">
        <f ca="1">IF(ROWS($1:54)&gt;COUNT(Dong1),"",IF(OFFSET(TH!P$1,SMALL(Dong1,ROWS($1:54)),)="1111",OFFSET(TH!D$1,SMALL(Dong1,ROWS($1:54)),),""))</f>
        <v>C30</v>
      </c>
      <c r="E67" s="406" t="str">
        <f ca="1">IF(ROWS($1:54)&gt;COUNT(Dong1),"",OFFSET(TH!F$1,SMALL(Dong1,ROWS($1:54)),))</f>
        <v>Đèn muỗi 10c</v>
      </c>
      <c r="F67" s="160" t="str">
        <f ca="1">IF(ROWS($1:54)&gt;COUNT(Dong1),"",IF(OFFSET(TH!P$1,SMALL(Dong1,ROWS($1:54)),)="1111",OFFSET(TH!O$1,SMALL(Dong1,ROWS($1:54)),),OFFSET(TH!P$1,SMALL(Dong1,ROWS($1:54)),)))</f>
        <v>642</v>
      </c>
      <c r="G67" s="161">
        <f ca="1">IF(ROWS($1:54)&gt;COUNT(Dong1),"",IF(OFFSET(TH!O$1,SMALL(Dong1,ROWS($1:54)),)="1111",OFFSET(TH!M$1,SMALL(Dong1,ROWS($1:54)),),0))</f>
        <v>0</v>
      </c>
      <c r="H67" s="159">
        <f ca="1">IF(ROWS($1:54)&gt;COUNT(Dong1),"",IF(OFFSET(TH!P$1,SMALL(Dong1,ROWS($1:54)),)="1111",OFFSET(TH!M$1,SMALL(Dong1,ROWS($1:54)),),0))</f>
        <v>3636364</v>
      </c>
      <c r="I67" s="157">
        <f t="shared" ca="1" si="0"/>
        <v>196247473</v>
      </c>
      <c r="J67" s="162"/>
    </row>
    <row r="68" spans="1:10" ht="19.5" customHeight="1">
      <c r="A68" s="1086">
        <f ca="1">IF(ROWS($1:55)&gt;COUNT(Dong1),"",OFFSET(TH!C$1,SMALL(Dong1,ROWS($1:55)),))</f>
        <v>42629</v>
      </c>
      <c r="B68" s="1086">
        <f ca="1">IF(ROWS($1:55)&gt;COUNT(Dong1),"",OFFSET(TH!E$1,SMALL(Dong1,ROWS($1:55)),))</f>
        <v>42629</v>
      </c>
      <c r="C68" s="157" t="str">
        <f ca="1">IF(ROWS($1:55)&gt;COUNT(Dong1),"",IF(OFFSET(TH!O$1,SMALL(Dong1,ROWS($1:55)),)="1111",OFFSET(TH!D$1,SMALL(Dong1,ROWS($1:55)),),""))</f>
        <v/>
      </c>
      <c r="D68" s="158" t="str">
        <f ca="1">IF(ROWS($1:55)&gt;COUNT(Dong1),"",IF(OFFSET(TH!P$1,SMALL(Dong1,ROWS($1:55)),)="1111",OFFSET(TH!D$1,SMALL(Dong1,ROWS($1:55)),),""))</f>
        <v>C30</v>
      </c>
      <c r="E68" s="406" t="str">
        <f ca="1">IF(ROWS($1:55)&gt;COUNT(Dong1),"",OFFSET(TH!F$1,SMALL(Dong1,ROWS($1:55)),))</f>
        <v>VAT Đèn muỗi 10c</v>
      </c>
      <c r="F68" s="160" t="str">
        <f ca="1">IF(ROWS($1:55)&gt;COUNT(Dong1),"",IF(OFFSET(TH!P$1,SMALL(Dong1,ROWS($1:55)),)="1111",OFFSET(TH!O$1,SMALL(Dong1,ROWS($1:55)),),OFFSET(TH!P$1,SMALL(Dong1,ROWS($1:55)),)))</f>
        <v>1331</v>
      </c>
      <c r="G68" s="161">
        <f ca="1">IF(ROWS($1:55)&gt;COUNT(Dong1),"",IF(OFFSET(TH!O$1,SMALL(Dong1,ROWS($1:55)),)="1111",OFFSET(TH!M$1,SMALL(Dong1,ROWS($1:55)),),0))</f>
        <v>0</v>
      </c>
      <c r="H68" s="159">
        <f ca="1">IF(ROWS($1:55)&gt;COUNT(Dong1),"",IF(OFFSET(TH!P$1,SMALL(Dong1,ROWS($1:55)),)="1111",OFFSET(TH!M$1,SMALL(Dong1,ROWS($1:55)),),0))</f>
        <v>363636</v>
      </c>
      <c r="I68" s="157">
        <f t="shared" ca="1" si="0"/>
        <v>195883837</v>
      </c>
      <c r="J68" s="162"/>
    </row>
    <row r="69" spans="1:10" ht="19.5" customHeight="1">
      <c r="A69" s="1086">
        <f ca="1">IF(ROWS($1:56)&gt;COUNT(Dong1),"",OFFSET(TH!C$1,SMALL(Dong1,ROWS($1:56)),))</f>
        <v>42629</v>
      </c>
      <c r="B69" s="1086">
        <f ca="1">IF(ROWS($1:56)&gt;COUNT(Dong1),"",OFFSET(TH!E$1,SMALL(Dong1,ROWS($1:56)),))</f>
        <v>42629</v>
      </c>
      <c r="C69" s="157" t="str">
        <f ca="1">IF(ROWS($1:56)&gt;COUNT(Dong1),"",IF(OFFSET(TH!O$1,SMALL(Dong1,ROWS($1:56)),)="1111",OFFSET(TH!D$1,SMALL(Dong1,ROWS($1:56)),),""))</f>
        <v/>
      </c>
      <c r="D69" s="158" t="str">
        <f ca="1">IF(ROWS($1:56)&gt;COUNT(Dong1),"",IF(OFFSET(TH!P$1,SMALL(Dong1,ROWS($1:56)),)="1111",OFFSET(TH!D$1,SMALL(Dong1,ROWS($1:56)),),""))</f>
        <v>C31</v>
      </c>
      <c r="E69" s="406" t="str">
        <f ca="1">IF(ROWS($1:56)&gt;COUNT(Dong1),"",OFFSET(TH!F$1,SMALL(Dong1,ROWS($1:56)),))</f>
        <v>Nộp TM</v>
      </c>
      <c r="F69" s="160" t="str">
        <f ca="1">IF(ROWS($1:56)&gt;COUNT(Dong1),"",IF(OFFSET(TH!P$1,SMALL(Dong1,ROWS($1:56)),)="1111",OFFSET(TH!O$1,SMALL(Dong1,ROWS($1:56)),),OFFSET(TH!P$1,SMALL(Dong1,ROWS($1:56)),)))</f>
        <v>1121</v>
      </c>
      <c r="G69" s="161">
        <f ca="1">IF(ROWS($1:56)&gt;COUNT(Dong1),"",IF(OFFSET(TH!O$1,SMALL(Dong1,ROWS($1:56)),)="1111",OFFSET(TH!M$1,SMALL(Dong1,ROWS($1:56)),),0))</f>
        <v>0</v>
      </c>
      <c r="H69" s="159">
        <f ca="1">IF(ROWS($1:56)&gt;COUNT(Dong1),"",IF(OFFSET(TH!P$1,SMALL(Dong1,ROWS($1:56)),)="1111",OFFSET(TH!M$1,SMALL(Dong1,ROWS($1:56)),),0))</f>
        <v>10000000</v>
      </c>
      <c r="I69" s="157">
        <f t="shared" ca="1" si="0"/>
        <v>185883837</v>
      </c>
      <c r="J69" s="162"/>
    </row>
    <row r="70" spans="1:10" ht="19.5" customHeight="1">
      <c r="A70" s="1086">
        <f ca="1">IF(ROWS($1:57)&gt;COUNT(Dong1),"",OFFSET(TH!C$1,SMALL(Dong1,ROWS($1:57)),))</f>
        <v>42632</v>
      </c>
      <c r="B70" s="1086">
        <f ca="1">IF(ROWS($1:57)&gt;COUNT(Dong1),"",OFFSET(TH!E$1,SMALL(Dong1,ROWS($1:57)),))</f>
        <v>42632</v>
      </c>
      <c r="C70" s="157" t="str">
        <f ca="1">IF(ROWS($1:57)&gt;COUNT(Dong1),"",IF(OFFSET(TH!O$1,SMALL(Dong1,ROWS($1:57)),)="1111",OFFSET(TH!D$1,SMALL(Dong1,ROWS($1:57)),),""))</f>
        <v/>
      </c>
      <c r="D70" s="158" t="str">
        <f ca="1">IF(ROWS($1:57)&gt;COUNT(Dong1),"",IF(OFFSET(TH!P$1,SMALL(Dong1,ROWS($1:57)),)="1111",OFFSET(TH!D$1,SMALL(Dong1,ROWS($1:57)),),""))</f>
        <v>C32</v>
      </c>
      <c r="E70" s="406" t="str">
        <f ca="1">IF(ROWS($1:57)&gt;COUNT(Dong1),"",OFFSET(TH!F$1,SMALL(Dong1,ROWS($1:57)),))</f>
        <v>Vật liệu điện</v>
      </c>
      <c r="F70" s="160" t="str">
        <f ca="1">IF(ROWS($1:57)&gt;COUNT(Dong1),"",IF(OFFSET(TH!P$1,SMALL(Dong1,ROWS($1:57)),)="1111",OFFSET(TH!O$1,SMALL(Dong1,ROWS($1:57)),),OFFSET(TH!P$1,SMALL(Dong1,ROWS($1:57)),)))</f>
        <v>2412</v>
      </c>
      <c r="G70" s="161">
        <f ca="1">IF(ROWS($1:57)&gt;COUNT(Dong1),"",IF(OFFSET(TH!O$1,SMALL(Dong1,ROWS($1:57)),)="1111",OFFSET(TH!M$1,SMALL(Dong1,ROWS($1:57)),),0))</f>
        <v>0</v>
      </c>
      <c r="H70" s="159">
        <f ca="1">IF(ROWS($1:57)&gt;COUNT(Dong1),"",IF(OFFSET(TH!P$1,SMALL(Dong1,ROWS($1:57)),)="1111",OFFSET(TH!M$1,SMALL(Dong1,ROWS($1:57)),),0))</f>
        <v>1769000</v>
      </c>
      <c r="I70" s="157">
        <f t="shared" ca="1" si="0"/>
        <v>184114837</v>
      </c>
      <c r="J70" s="162"/>
    </row>
    <row r="71" spans="1:10" ht="19.5" customHeight="1">
      <c r="A71" s="1086">
        <f ca="1">IF(ROWS($1:58)&gt;COUNT(Dong1),"",OFFSET(TH!C$1,SMALL(Dong1,ROWS($1:58)),))</f>
        <v>42637</v>
      </c>
      <c r="B71" s="1086">
        <f ca="1">IF(ROWS($1:58)&gt;COUNT(Dong1),"",OFFSET(TH!E$1,SMALL(Dong1,ROWS($1:58)),))</f>
        <v>42637</v>
      </c>
      <c r="C71" s="157" t="str">
        <f ca="1">IF(ROWS($1:58)&gt;COUNT(Dong1),"",IF(OFFSET(TH!O$1,SMALL(Dong1,ROWS($1:58)),)="1111",OFFSET(TH!D$1,SMALL(Dong1,ROWS($1:58)),),""))</f>
        <v/>
      </c>
      <c r="D71" s="158" t="str">
        <f ca="1">IF(ROWS($1:58)&gt;COUNT(Dong1),"",IF(OFFSET(TH!P$1,SMALL(Dong1,ROWS($1:58)),)="1111",OFFSET(TH!D$1,SMALL(Dong1,ROWS($1:58)),),""))</f>
        <v>C33</v>
      </c>
      <c r="E71" s="406" t="str">
        <f ca="1">IF(ROWS($1:58)&gt;COUNT(Dong1),"",OFFSET(TH!F$1,SMALL(Dong1,ROWS($1:58)),))</f>
        <v>Nộp TM</v>
      </c>
      <c r="F71" s="160" t="str">
        <f ca="1">IF(ROWS($1:58)&gt;COUNT(Dong1),"",IF(OFFSET(TH!P$1,SMALL(Dong1,ROWS($1:58)),)="1111",OFFSET(TH!O$1,SMALL(Dong1,ROWS($1:58)),),OFFSET(TH!P$1,SMALL(Dong1,ROWS($1:58)),)))</f>
        <v>1121</v>
      </c>
      <c r="G71" s="161">
        <f ca="1">IF(ROWS($1:58)&gt;COUNT(Dong1),"",IF(OFFSET(TH!O$1,SMALL(Dong1,ROWS($1:58)),)="1111",OFFSET(TH!M$1,SMALL(Dong1,ROWS($1:58)),),0))</f>
        <v>0</v>
      </c>
      <c r="H71" s="159">
        <f ca="1">IF(ROWS($1:58)&gt;COUNT(Dong1),"",IF(OFFSET(TH!P$1,SMALL(Dong1,ROWS($1:58)),)="1111",OFFSET(TH!M$1,SMALL(Dong1,ROWS($1:58)),),0))</f>
        <v>160000000</v>
      </c>
      <c r="I71" s="157">
        <f t="shared" ca="1" si="0"/>
        <v>24114837</v>
      </c>
      <c r="J71" s="162"/>
    </row>
    <row r="72" spans="1:10" ht="19.5" customHeight="1">
      <c r="A72" s="1086">
        <f ca="1">IF(ROWS($1:59)&gt;COUNT(Dong1),"",OFFSET(TH!C$1,SMALL(Dong1,ROWS($1:59)),))</f>
        <v>42641</v>
      </c>
      <c r="B72" s="1086">
        <f ca="1">IF(ROWS($1:59)&gt;COUNT(Dong1),"",OFFSET(TH!E$1,SMALL(Dong1,ROWS($1:59)),))</f>
        <v>42641</v>
      </c>
      <c r="C72" s="157" t="str">
        <f ca="1">IF(ROWS($1:59)&gt;COUNT(Dong1),"",IF(OFFSET(TH!O$1,SMALL(Dong1,ROWS($1:59)),)="1111",OFFSET(TH!D$1,SMALL(Dong1,ROWS($1:59)),),""))</f>
        <v/>
      </c>
      <c r="D72" s="158" t="str">
        <f ca="1">IF(ROWS($1:59)&gt;COUNT(Dong1),"",IF(OFFSET(TH!P$1,SMALL(Dong1,ROWS($1:59)),)="1111",OFFSET(TH!D$1,SMALL(Dong1,ROWS($1:59)),),""))</f>
        <v>C34</v>
      </c>
      <c r="E72" s="406" t="str">
        <f ca="1">IF(ROWS($1:59)&gt;COUNT(Dong1),"",OFFSET(TH!F$1,SMALL(Dong1,ROWS($1:59)),))</f>
        <v>Nộp TM</v>
      </c>
      <c r="F72" s="160" t="str">
        <f ca="1">IF(ROWS($1:59)&gt;COUNT(Dong1),"",IF(OFFSET(TH!P$1,SMALL(Dong1,ROWS($1:59)),)="1111",OFFSET(TH!O$1,SMALL(Dong1,ROWS($1:59)),),OFFSET(TH!P$1,SMALL(Dong1,ROWS($1:59)),)))</f>
        <v>1121</v>
      </c>
      <c r="G72" s="161">
        <f ca="1">IF(ROWS($1:59)&gt;COUNT(Dong1),"",IF(OFFSET(TH!O$1,SMALL(Dong1,ROWS($1:59)),)="1111",OFFSET(TH!M$1,SMALL(Dong1,ROWS($1:59)),),0))</f>
        <v>0</v>
      </c>
      <c r="H72" s="159">
        <f ca="1">IF(ROWS($1:59)&gt;COUNT(Dong1),"",IF(OFFSET(TH!P$1,SMALL(Dong1,ROWS($1:59)),)="1111",OFFSET(TH!M$1,SMALL(Dong1,ROWS($1:59)),),0))</f>
        <v>160000000</v>
      </c>
      <c r="I72" s="157">
        <f t="shared" ca="1" si="0"/>
        <v>-135885163</v>
      </c>
      <c r="J72" s="162"/>
    </row>
    <row r="73" spans="1:10" ht="19.5" customHeight="1">
      <c r="A73" s="1086">
        <f ca="1">IF(ROWS($1:60)&gt;COUNT(Dong1),"",OFFSET(TH!C$1,SMALL(Dong1,ROWS($1:60)),))</f>
        <v>42642</v>
      </c>
      <c r="B73" s="1086">
        <f ca="1">IF(ROWS($1:60)&gt;COUNT(Dong1),"",OFFSET(TH!E$1,SMALL(Dong1,ROWS($1:60)),))</f>
        <v>42642</v>
      </c>
      <c r="C73" s="157" t="str">
        <f ca="1">IF(ROWS($1:60)&gt;COUNT(Dong1),"",IF(OFFSET(TH!O$1,SMALL(Dong1,ROWS($1:60)),)="1111",OFFSET(TH!D$1,SMALL(Dong1,ROWS($1:60)),),""))</f>
        <v/>
      </c>
      <c r="D73" s="158" t="str">
        <f ca="1">IF(ROWS($1:60)&gt;COUNT(Dong1),"",IF(OFFSET(TH!P$1,SMALL(Dong1,ROWS($1:60)),)="1111",OFFSET(TH!D$1,SMALL(Dong1,ROWS($1:60)),),""))</f>
        <v>C35</v>
      </c>
      <c r="E73" s="406" t="str">
        <f ca="1">IF(ROWS($1:60)&gt;COUNT(Dong1),"",OFFSET(TH!F$1,SMALL(Dong1,ROWS($1:60)),))</f>
        <v>Nộp TM</v>
      </c>
      <c r="F73" s="160" t="str">
        <f ca="1">IF(ROWS($1:60)&gt;COUNT(Dong1),"",IF(OFFSET(TH!P$1,SMALL(Dong1,ROWS($1:60)),)="1111",OFFSET(TH!O$1,SMALL(Dong1,ROWS($1:60)),),OFFSET(TH!P$1,SMALL(Dong1,ROWS($1:60)),)))</f>
        <v>1121</v>
      </c>
      <c r="G73" s="161">
        <f ca="1">IF(ROWS($1:60)&gt;COUNT(Dong1),"",IF(OFFSET(TH!O$1,SMALL(Dong1,ROWS($1:60)),)="1111",OFFSET(TH!M$1,SMALL(Dong1,ROWS($1:60)),),0))</f>
        <v>0</v>
      </c>
      <c r="H73" s="159">
        <f ca="1">IF(ROWS($1:60)&gt;COUNT(Dong1),"",IF(OFFSET(TH!P$1,SMALL(Dong1,ROWS($1:60)),)="1111",OFFSET(TH!M$1,SMALL(Dong1,ROWS($1:60)),),0))</f>
        <v>30000000</v>
      </c>
      <c r="I73" s="157">
        <f t="shared" ca="1" si="0"/>
        <v>-165885163</v>
      </c>
      <c r="J73" s="162"/>
    </row>
    <row r="74" spans="1:10" ht="19.5" customHeight="1">
      <c r="A74" s="1086">
        <f ca="1">IF(ROWS($1:61)&gt;COUNT(Dong1),"",OFFSET(TH!C$1,SMALL(Dong1,ROWS($1:61)),))</f>
        <v>42642</v>
      </c>
      <c r="B74" s="1086">
        <f ca="1">IF(ROWS($1:61)&gt;COUNT(Dong1),"",OFFSET(TH!E$1,SMALL(Dong1,ROWS($1:61)),))</f>
        <v>42642</v>
      </c>
      <c r="C74" s="157" t="str">
        <f ca="1">IF(ROWS($1:61)&gt;COUNT(Dong1),"",IF(OFFSET(TH!O$1,SMALL(Dong1,ROWS($1:61)),)="1111",OFFSET(TH!D$1,SMALL(Dong1,ROWS($1:61)),),""))</f>
        <v/>
      </c>
      <c r="D74" s="158" t="str">
        <f ca="1">IF(ROWS($1:61)&gt;COUNT(Dong1),"",IF(OFFSET(TH!P$1,SMALL(Dong1,ROWS($1:61)),)="1111",OFFSET(TH!D$1,SMALL(Dong1,ROWS($1:61)),),""))</f>
        <v>C36</v>
      </c>
      <c r="E74" s="406" t="str">
        <f ca="1">IF(ROWS($1:61)&gt;COUNT(Dong1),"",OFFSET(TH!F$1,SMALL(Dong1,ROWS($1:61)),))</f>
        <v>Hoàn vốn</v>
      </c>
      <c r="F74" s="160" t="str">
        <f ca="1">IF(ROWS($1:61)&gt;COUNT(Dong1),"",IF(OFFSET(TH!P$1,SMALL(Dong1,ROWS($1:61)),)="1111",OFFSET(TH!O$1,SMALL(Dong1,ROWS($1:61)),),OFFSET(TH!P$1,SMALL(Dong1,ROWS($1:61)),)))</f>
        <v>3388</v>
      </c>
      <c r="G74" s="161">
        <f ca="1">IF(ROWS($1:61)&gt;COUNT(Dong1),"",IF(OFFSET(TH!O$1,SMALL(Dong1,ROWS($1:61)),)="1111",OFFSET(TH!M$1,SMALL(Dong1,ROWS($1:61)),),0))</f>
        <v>0</v>
      </c>
      <c r="H74" s="159">
        <f ca="1">IF(ROWS($1:61)&gt;COUNT(Dong1),"",IF(OFFSET(TH!P$1,SMALL(Dong1,ROWS($1:61)),)="1111",OFFSET(TH!M$1,SMALL(Dong1,ROWS($1:61)),),0))</f>
        <v>60000000</v>
      </c>
      <c r="I74" s="157">
        <f t="shared" ca="1" si="0"/>
        <v>-225885163</v>
      </c>
      <c r="J74" s="162"/>
    </row>
    <row r="75" spans="1:10" ht="19.5" customHeight="1">
      <c r="A75" s="1086">
        <f ca="1">IF(ROWS($1:62)&gt;COUNT(Dong1),"",OFFSET(TH!C$1,SMALL(Dong1,ROWS($1:62)),))</f>
        <v>42643</v>
      </c>
      <c r="B75" s="1086">
        <f ca="1">IF(ROWS($1:62)&gt;COUNT(Dong1),"",OFFSET(TH!E$1,SMALL(Dong1,ROWS($1:62)),))</f>
        <v>42643</v>
      </c>
      <c r="C75" s="157" t="str">
        <f ca="1">IF(ROWS($1:62)&gt;COUNT(Dong1),"",IF(OFFSET(TH!O$1,SMALL(Dong1,ROWS($1:62)),)="1111",OFFSET(TH!D$1,SMALL(Dong1,ROWS($1:62)),),""))</f>
        <v/>
      </c>
      <c r="D75" s="158" t="str">
        <f ca="1">IF(ROWS($1:62)&gt;COUNT(Dong1),"",IF(OFFSET(TH!P$1,SMALL(Dong1,ROWS($1:62)),)="1111",OFFSET(TH!D$1,SMALL(Dong1,ROWS($1:62)),),""))</f>
        <v>C37</v>
      </c>
      <c r="E75" s="406" t="str">
        <f ca="1">IF(ROWS($1:62)&gt;COUNT(Dong1),"",OFFSET(TH!F$1,SMALL(Dong1,ROWS($1:62)),))</f>
        <v>Chi lương T9</v>
      </c>
      <c r="F75" s="160" t="str">
        <f ca="1">IF(ROWS($1:62)&gt;COUNT(Dong1),"",IF(OFFSET(TH!P$1,SMALL(Dong1,ROWS($1:62)),)="1111",OFFSET(TH!O$1,SMALL(Dong1,ROWS($1:62)),),OFFSET(TH!P$1,SMALL(Dong1,ROWS($1:62)),)))</f>
        <v>3341</v>
      </c>
      <c r="G75" s="161">
        <f ca="1">IF(ROWS($1:62)&gt;COUNT(Dong1),"",IF(OFFSET(TH!O$1,SMALL(Dong1,ROWS($1:62)),)="1111",OFFSET(TH!M$1,SMALL(Dong1,ROWS($1:62)),),0))</f>
        <v>0</v>
      </c>
      <c r="H75" s="159">
        <f ca="1">IF(ROWS($1:62)&gt;COUNT(Dong1),"",IF(OFFSET(TH!P$1,SMALL(Dong1,ROWS($1:62)),)="1111",OFFSET(TH!M$1,SMALL(Dong1,ROWS($1:62)),),0))</f>
        <v>186376940</v>
      </c>
      <c r="I75" s="157">
        <f t="shared" ca="1" si="0"/>
        <v>-412262103</v>
      </c>
      <c r="J75" s="162"/>
    </row>
    <row r="76" spans="1:10" ht="19.5" customHeight="1">
      <c r="A76" s="1086" t="str">
        <f ca="1">IF(ROWS($1:63)&gt;COUNT(Dong1),"",OFFSET(TH!C$1,SMALL(Dong1,ROWS($1:63)),))</f>
        <v/>
      </c>
      <c r="B76" s="1086" t="str">
        <f ca="1">IF(ROWS($1:63)&gt;COUNT(Dong1),"",OFFSET(TH!E$1,SMALL(Dong1,ROWS($1:63)),))</f>
        <v/>
      </c>
      <c r="C76" s="157" t="str">
        <f ca="1">IF(ROWS($1:63)&gt;COUNT(Dong1),"",IF(OFFSET(TH!O$1,SMALL(Dong1,ROWS($1:63)),)="1111",OFFSET(TH!D$1,SMALL(Dong1,ROWS($1:63)),),""))</f>
        <v/>
      </c>
      <c r="D76" s="158" t="str">
        <f ca="1">IF(ROWS($1:63)&gt;COUNT(Dong1),"",IF(OFFSET(TH!P$1,SMALL(Dong1,ROWS($1:63)),)="1111",OFFSET(TH!D$1,SMALL(Dong1,ROWS($1:63)),),""))</f>
        <v/>
      </c>
      <c r="E76" s="406" t="str">
        <f ca="1">IF(ROWS($1:63)&gt;COUNT(Dong1),"",OFFSET(TH!F$1,SMALL(Dong1,ROWS($1:63)),))</f>
        <v/>
      </c>
      <c r="F76" s="160" t="str">
        <f ca="1">IF(ROWS($1:63)&gt;COUNT(Dong1),"",IF(OFFSET(TH!P$1,SMALL(Dong1,ROWS($1:63)),)="1111",OFFSET(TH!O$1,SMALL(Dong1,ROWS($1:63)),),OFFSET(TH!P$1,SMALL(Dong1,ROWS($1:63)),)))</f>
        <v/>
      </c>
      <c r="G76" s="161" t="str">
        <f ca="1">IF(ROWS($1:63)&gt;COUNT(Dong1),"",IF(OFFSET(TH!O$1,SMALL(Dong1,ROWS($1:63)),)="1111",OFFSET(TH!M$1,SMALL(Dong1,ROWS($1:63)),),0))</f>
        <v/>
      </c>
      <c r="H76" s="159" t="str">
        <f ca="1">IF(ROWS($1:63)&gt;COUNT(Dong1),"",IF(OFFSET(TH!P$1,SMALL(Dong1,ROWS($1:63)),)="1111",OFFSET(TH!M$1,SMALL(Dong1,ROWS($1:63)),),0))</f>
        <v/>
      </c>
      <c r="I76" s="157">
        <f t="shared" ca="1" si="0"/>
        <v>0</v>
      </c>
      <c r="J76" s="162"/>
    </row>
    <row r="77" spans="1:10" ht="19.5" customHeight="1">
      <c r="A77" s="1086" t="str">
        <f ca="1">IF(ROWS($1:64)&gt;COUNT(Dong1),"",OFFSET(TH!C$1,SMALL(Dong1,ROWS($1:64)),))</f>
        <v/>
      </c>
      <c r="B77" s="1086" t="str">
        <f ca="1">IF(ROWS($1:64)&gt;COUNT(Dong1),"",OFFSET(TH!E$1,SMALL(Dong1,ROWS($1:64)),))</f>
        <v/>
      </c>
      <c r="C77" s="157" t="str">
        <f ca="1">IF(ROWS($1:64)&gt;COUNT(Dong1),"",IF(OFFSET(TH!O$1,SMALL(Dong1,ROWS($1:64)),)="1111",OFFSET(TH!D$1,SMALL(Dong1,ROWS($1:64)),),""))</f>
        <v/>
      </c>
      <c r="D77" s="158" t="str">
        <f ca="1">IF(ROWS($1:64)&gt;COUNT(Dong1),"",IF(OFFSET(TH!P$1,SMALL(Dong1,ROWS($1:64)),)="1111",OFFSET(TH!D$1,SMALL(Dong1,ROWS($1:64)),),""))</f>
        <v/>
      </c>
      <c r="E77" s="406" t="str">
        <f ca="1">IF(ROWS($1:64)&gt;COUNT(Dong1),"",OFFSET(TH!F$1,SMALL(Dong1,ROWS($1:64)),))</f>
        <v/>
      </c>
      <c r="F77" s="160" t="str">
        <f ca="1">IF(ROWS($1:64)&gt;COUNT(Dong1),"",IF(OFFSET(TH!P$1,SMALL(Dong1,ROWS($1:64)),)="1111",OFFSET(TH!O$1,SMALL(Dong1,ROWS($1:64)),),OFFSET(TH!P$1,SMALL(Dong1,ROWS($1:64)),)))</f>
        <v/>
      </c>
      <c r="G77" s="161" t="str">
        <f ca="1">IF(ROWS($1:64)&gt;COUNT(Dong1),"",IF(OFFSET(TH!O$1,SMALL(Dong1,ROWS($1:64)),)="1111",OFFSET(TH!M$1,SMALL(Dong1,ROWS($1:64)),),0))</f>
        <v/>
      </c>
      <c r="H77" s="159" t="str">
        <f ca="1">IF(ROWS($1:64)&gt;COUNT(Dong1),"",IF(OFFSET(TH!P$1,SMALL(Dong1,ROWS($1:64)),)="1111",OFFSET(TH!M$1,SMALL(Dong1,ROWS($1:64)),),0))</f>
        <v/>
      </c>
      <c r="I77" s="157">
        <f t="shared" ca="1" si="0"/>
        <v>0</v>
      </c>
      <c r="J77" s="162"/>
    </row>
    <row r="78" spans="1:10" ht="19.5" customHeight="1">
      <c r="A78" s="1086" t="str">
        <f ca="1">IF(ROWS($1:65)&gt;COUNT(Dong1),"",OFFSET(TH!C$1,SMALL(Dong1,ROWS($1:65)),))</f>
        <v/>
      </c>
      <c r="B78" s="1086" t="str">
        <f ca="1">IF(ROWS($1:65)&gt;COUNT(Dong1),"",OFFSET(TH!E$1,SMALL(Dong1,ROWS($1:65)),))</f>
        <v/>
      </c>
      <c r="C78" s="157" t="str">
        <f ca="1">IF(ROWS($1:65)&gt;COUNT(Dong1),"",IF(OFFSET(TH!O$1,SMALL(Dong1,ROWS($1:65)),)="1111",OFFSET(TH!D$1,SMALL(Dong1,ROWS($1:65)),),""))</f>
        <v/>
      </c>
      <c r="D78" s="158" t="str">
        <f ca="1">IF(ROWS($1:65)&gt;COUNT(Dong1),"",IF(OFFSET(TH!P$1,SMALL(Dong1,ROWS($1:65)),)="1111",OFFSET(TH!D$1,SMALL(Dong1,ROWS($1:65)),),""))</f>
        <v/>
      </c>
      <c r="E78" s="406" t="str">
        <f ca="1">IF(ROWS($1:65)&gt;COUNT(Dong1),"",OFFSET(TH!F$1,SMALL(Dong1,ROWS($1:65)),))</f>
        <v/>
      </c>
      <c r="F78" s="160" t="str">
        <f ca="1">IF(ROWS($1:65)&gt;COUNT(Dong1),"",IF(OFFSET(TH!P$1,SMALL(Dong1,ROWS($1:65)),)="1111",OFFSET(TH!O$1,SMALL(Dong1,ROWS($1:65)),),OFFSET(TH!P$1,SMALL(Dong1,ROWS($1:65)),)))</f>
        <v/>
      </c>
      <c r="G78" s="161" t="str">
        <f ca="1">IF(ROWS($1:65)&gt;COUNT(Dong1),"",IF(OFFSET(TH!O$1,SMALL(Dong1,ROWS($1:65)),)="1111",OFFSET(TH!M$1,SMALL(Dong1,ROWS($1:65)),),0))</f>
        <v/>
      </c>
      <c r="H78" s="159" t="str">
        <f ca="1">IF(ROWS($1:65)&gt;COUNT(Dong1),"",IF(OFFSET(TH!P$1,SMALL(Dong1,ROWS($1:65)),)="1111",OFFSET(TH!M$1,SMALL(Dong1,ROWS($1:65)),),0))</f>
        <v/>
      </c>
      <c r="I78" s="157">
        <f t="shared" ca="1" si="0"/>
        <v>0</v>
      </c>
      <c r="J78" s="162"/>
    </row>
    <row r="79" spans="1:10" ht="19.5" customHeight="1">
      <c r="A79" s="1086" t="str">
        <f ca="1">IF(ROWS($1:66)&gt;COUNT(Dong1),"",OFFSET(TH!C$1,SMALL(Dong1,ROWS($1:66)),))</f>
        <v/>
      </c>
      <c r="B79" s="1086" t="str">
        <f ca="1">IF(ROWS($1:66)&gt;COUNT(Dong1),"",OFFSET(TH!E$1,SMALL(Dong1,ROWS($1:66)),))</f>
        <v/>
      </c>
      <c r="C79" s="157" t="str">
        <f ca="1">IF(ROWS($1:66)&gt;COUNT(Dong1),"",IF(OFFSET(TH!O$1,SMALL(Dong1,ROWS($1:66)),)="1111",OFFSET(TH!D$1,SMALL(Dong1,ROWS($1:66)),),""))</f>
        <v/>
      </c>
      <c r="D79" s="158" t="str">
        <f ca="1">IF(ROWS($1:66)&gt;COUNT(Dong1),"",IF(OFFSET(TH!P$1,SMALL(Dong1,ROWS($1:66)),)="1111",OFFSET(TH!D$1,SMALL(Dong1,ROWS($1:66)),),""))</f>
        <v/>
      </c>
      <c r="E79" s="406" t="str">
        <f ca="1">IF(ROWS($1:66)&gt;COUNT(Dong1),"",OFFSET(TH!F$1,SMALL(Dong1,ROWS($1:66)),))</f>
        <v/>
      </c>
      <c r="F79" s="160" t="str">
        <f ca="1">IF(ROWS($1:66)&gt;COUNT(Dong1),"",IF(OFFSET(TH!P$1,SMALL(Dong1,ROWS($1:66)),)="1111",OFFSET(TH!O$1,SMALL(Dong1,ROWS($1:66)),),OFFSET(TH!P$1,SMALL(Dong1,ROWS($1:66)),)))</f>
        <v/>
      </c>
      <c r="G79" s="161" t="str">
        <f ca="1">IF(ROWS($1:66)&gt;COUNT(Dong1),"",IF(OFFSET(TH!O$1,SMALL(Dong1,ROWS($1:66)),)="1111",OFFSET(TH!M$1,SMALL(Dong1,ROWS($1:66)),),0))</f>
        <v/>
      </c>
      <c r="H79" s="159" t="str">
        <f ca="1">IF(ROWS($1:66)&gt;COUNT(Dong1),"",IF(OFFSET(TH!P$1,SMALL(Dong1,ROWS($1:66)),)="1111",OFFSET(TH!M$1,SMALL(Dong1,ROWS($1:66)),),0))</f>
        <v/>
      </c>
      <c r="I79" s="157">
        <f t="shared" ref="I79:I82" ca="1" si="1">IF(E79&lt;&gt;"",I78+G79-H79,0)</f>
        <v>0</v>
      </c>
      <c r="J79" s="162"/>
    </row>
    <row r="80" spans="1:10" ht="19.5" customHeight="1">
      <c r="A80" s="1086" t="str">
        <f ca="1">IF(ROWS($1:67)&gt;COUNT(Dong1),"",OFFSET(TH!C$1,SMALL(Dong1,ROWS($1:67)),))</f>
        <v/>
      </c>
      <c r="B80" s="1086" t="str">
        <f ca="1">IF(ROWS($1:67)&gt;COUNT(Dong1),"",OFFSET(TH!E$1,SMALL(Dong1,ROWS($1:67)),))</f>
        <v/>
      </c>
      <c r="C80" s="157" t="str">
        <f ca="1">IF(ROWS($1:67)&gt;COUNT(Dong1),"",IF(OFFSET(TH!O$1,SMALL(Dong1,ROWS($1:67)),)="1111",OFFSET(TH!D$1,SMALL(Dong1,ROWS($1:67)),),""))</f>
        <v/>
      </c>
      <c r="D80" s="158" t="str">
        <f ca="1">IF(ROWS($1:67)&gt;COUNT(Dong1),"",IF(OFFSET(TH!P$1,SMALL(Dong1,ROWS($1:67)),)="1111",OFFSET(TH!D$1,SMALL(Dong1,ROWS($1:67)),),""))</f>
        <v/>
      </c>
      <c r="E80" s="406" t="str">
        <f ca="1">IF(ROWS($1:67)&gt;COUNT(Dong1),"",OFFSET(TH!F$1,SMALL(Dong1,ROWS($1:67)),))</f>
        <v/>
      </c>
      <c r="F80" s="160" t="str">
        <f ca="1">IF(ROWS($1:67)&gt;COUNT(Dong1),"",IF(OFFSET(TH!P$1,SMALL(Dong1,ROWS($1:67)),)="1111",OFFSET(TH!O$1,SMALL(Dong1,ROWS($1:67)),),OFFSET(TH!P$1,SMALL(Dong1,ROWS($1:67)),)))</f>
        <v/>
      </c>
      <c r="G80" s="161" t="str">
        <f ca="1">IF(ROWS($1:67)&gt;COUNT(Dong1),"",IF(OFFSET(TH!O$1,SMALL(Dong1,ROWS($1:67)),)="1111",OFFSET(TH!M$1,SMALL(Dong1,ROWS($1:67)),),0))</f>
        <v/>
      </c>
      <c r="H80" s="159" t="str">
        <f ca="1">IF(ROWS($1:67)&gt;COUNT(Dong1),"",IF(OFFSET(TH!P$1,SMALL(Dong1,ROWS($1:67)),)="1111",OFFSET(TH!M$1,SMALL(Dong1,ROWS($1:67)),),0))</f>
        <v/>
      </c>
      <c r="I80" s="157">
        <f t="shared" ca="1" si="1"/>
        <v>0</v>
      </c>
      <c r="J80" s="162"/>
    </row>
    <row r="81" spans="1:10" ht="19.5" customHeight="1">
      <c r="A81" s="1086" t="str">
        <f ca="1">IF(ROWS($1:68)&gt;COUNT(Dong1),"",OFFSET(TH!C$1,SMALL(Dong1,ROWS($1:68)),))</f>
        <v/>
      </c>
      <c r="B81" s="1086" t="str">
        <f ca="1">IF(ROWS($1:68)&gt;COUNT(Dong1),"",OFFSET(TH!E$1,SMALL(Dong1,ROWS($1:68)),))</f>
        <v/>
      </c>
      <c r="C81" s="157" t="str">
        <f ca="1">IF(ROWS($1:68)&gt;COUNT(Dong1),"",IF(OFFSET(TH!O$1,SMALL(Dong1,ROWS($1:68)),)="1111",OFFSET(TH!D$1,SMALL(Dong1,ROWS($1:68)),),""))</f>
        <v/>
      </c>
      <c r="D81" s="158" t="str">
        <f ca="1">IF(ROWS($1:68)&gt;COUNT(Dong1),"",IF(OFFSET(TH!P$1,SMALL(Dong1,ROWS($1:68)),)="1111",OFFSET(TH!D$1,SMALL(Dong1,ROWS($1:68)),),""))</f>
        <v/>
      </c>
      <c r="E81" s="406" t="str">
        <f ca="1">IF(ROWS($1:68)&gt;COUNT(Dong1),"",OFFSET(TH!F$1,SMALL(Dong1,ROWS($1:68)),))</f>
        <v/>
      </c>
      <c r="F81" s="160" t="str">
        <f ca="1">IF(ROWS($1:68)&gt;COUNT(Dong1),"",IF(OFFSET(TH!P$1,SMALL(Dong1,ROWS($1:68)),)="1111",OFFSET(TH!O$1,SMALL(Dong1,ROWS($1:68)),),OFFSET(TH!P$1,SMALL(Dong1,ROWS($1:68)),)))</f>
        <v/>
      </c>
      <c r="G81" s="161" t="str">
        <f ca="1">IF(ROWS($1:68)&gt;COUNT(Dong1),"",IF(OFFSET(TH!O$1,SMALL(Dong1,ROWS($1:68)),)="1111",OFFSET(TH!M$1,SMALL(Dong1,ROWS($1:68)),),0))</f>
        <v/>
      </c>
      <c r="H81" s="159" t="str">
        <f ca="1">IF(ROWS($1:68)&gt;COUNT(Dong1),"",IF(OFFSET(TH!P$1,SMALL(Dong1,ROWS($1:68)),)="1111",OFFSET(TH!M$1,SMALL(Dong1,ROWS($1:68)),),0))</f>
        <v/>
      </c>
      <c r="I81" s="157">
        <f t="shared" ca="1" si="1"/>
        <v>0</v>
      </c>
      <c r="J81" s="162"/>
    </row>
    <row r="82" spans="1:10" ht="19.5" customHeight="1">
      <c r="A82" s="1086" t="str">
        <f ca="1">IF(ROWS($1:69)&gt;COUNT(Dong1),"",OFFSET(TH!C$1,SMALL(Dong1,ROWS($1:69)),))</f>
        <v/>
      </c>
      <c r="B82" s="1086" t="str">
        <f ca="1">IF(ROWS($1:69)&gt;COUNT(Dong1),"",OFFSET(TH!E$1,SMALL(Dong1,ROWS($1:69)),))</f>
        <v/>
      </c>
      <c r="C82" s="157" t="str">
        <f ca="1">IF(ROWS($1:69)&gt;COUNT(Dong1),"",IF(OFFSET(TH!O$1,SMALL(Dong1,ROWS($1:69)),)="1111",OFFSET(TH!D$1,SMALL(Dong1,ROWS($1:69)),),""))</f>
        <v/>
      </c>
      <c r="D82" s="158" t="str">
        <f ca="1">IF(ROWS($1:69)&gt;COUNT(Dong1),"",IF(OFFSET(TH!P$1,SMALL(Dong1,ROWS($1:69)),)="1111",OFFSET(TH!D$1,SMALL(Dong1,ROWS($1:69)),),""))</f>
        <v/>
      </c>
      <c r="E82" s="406" t="str">
        <f ca="1">IF(ROWS($1:69)&gt;COUNT(Dong1),"",OFFSET(TH!F$1,SMALL(Dong1,ROWS($1:69)),))</f>
        <v/>
      </c>
      <c r="F82" s="160" t="str">
        <f ca="1">IF(ROWS($1:69)&gt;COUNT(Dong1),"",IF(OFFSET(TH!P$1,SMALL(Dong1,ROWS($1:69)),)="1111",OFFSET(TH!O$1,SMALL(Dong1,ROWS($1:69)),),OFFSET(TH!P$1,SMALL(Dong1,ROWS($1:69)),)))</f>
        <v/>
      </c>
      <c r="G82" s="161" t="str">
        <f ca="1">IF(ROWS($1:69)&gt;COUNT(Dong1),"",IF(OFFSET(TH!O$1,SMALL(Dong1,ROWS($1:69)),)="1111",OFFSET(TH!M$1,SMALL(Dong1,ROWS($1:69)),),0))</f>
        <v/>
      </c>
      <c r="H82" s="159" t="str">
        <f ca="1">IF(ROWS($1:69)&gt;COUNT(Dong1),"",IF(OFFSET(TH!P$1,SMALL(Dong1,ROWS($1:69)),)="1111",OFFSET(TH!M$1,SMALL(Dong1,ROWS($1:69)),),0))</f>
        <v/>
      </c>
      <c r="I82" s="157">
        <f t="shared" ca="1" si="1"/>
        <v>0</v>
      </c>
      <c r="J82" s="162"/>
    </row>
    <row r="83" spans="1:10" ht="19.5" customHeight="1">
      <c r="A83" s="1086" t="str">
        <f ca="1">IF(ROWS($1:70)&gt;COUNT(Dong1),"",OFFSET(TH!C$1,SMALL(Dong1,ROWS($1:70)),))</f>
        <v/>
      </c>
      <c r="B83" s="1086" t="str">
        <f ca="1">IF(ROWS($1:70)&gt;COUNT(Dong1),"",OFFSET(TH!E$1,SMALL(Dong1,ROWS($1:70)),))</f>
        <v/>
      </c>
      <c r="C83" s="157" t="str">
        <f ca="1">IF(ROWS($1:70)&gt;COUNT(Dong1),"",IF(OFFSET(TH!O$1,SMALL(Dong1,ROWS($1:70)),)="1111",OFFSET(TH!D$1,SMALL(Dong1,ROWS($1:70)),),""))</f>
        <v/>
      </c>
      <c r="D83" s="158" t="str">
        <f ca="1">IF(ROWS($1:70)&gt;COUNT(Dong1),"",IF(OFFSET(TH!P$1,SMALL(Dong1,ROWS($1:70)),)="1111",OFFSET(TH!D$1,SMALL(Dong1,ROWS($1:70)),),""))</f>
        <v/>
      </c>
      <c r="E83" s="406" t="str">
        <f ca="1">IF(ROWS($1:70)&gt;COUNT(Dong1),"",OFFSET(TH!F$1,SMALL(Dong1,ROWS($1:70)),))</f>
        <v/>
      </c>
      <c r="F83" s="160" t="str">
        <f ca="1">IF(ROWS($1:70)&gt;COUNT(Dong1),"",IF(OFFSET(TH!P$1,SMALL(Dong1,ROWS($1:70)),)="1111",OFFSET(TH!O$1,SMALL(Dong1,ROWS($1:70)),),OFFSET(TH!P$1,SMALL(Dong1,ROWS($1:70)),)))</f>
        <v/>
      </c>
      <c r="G83" s="161" t="str">
        <f ca="1">IF(ROWS($1:70)&gt;COUNT(Dong1),"",IF(OFFSET(TH!O$1,SMALL(Dong1,ROWS($1:70)),)="1111",OFFSET(TH!M$1,SMALL(Dong1,ROWS($1:70)),),0))</f>
        <v/>
      </c>
      <c r="H83" s="159" t="str">
        <f ca="1">IF(ROWS($1:70)&gt;COUNT(Dong1),"",IF(OFFSET(TH!P$1,SMALL(Dong1,ROWS($1:70)),)="1111",OFFSET(TH!M$1,SMALL(Dong1,ROWS($1:70)),),0))</f>
        <v/>
      </c>
      <c r="I83" s="157">
        <f t="shared" ref="I83:I100" ca="1" si="2">IF(E83&lt;&gt;"",I82+G83-H83,0)</f>
        <v>0</v>
      </c>
      <c r="J83" s="162"/>
    </row>
    <row r="84" spans="1:10" ht="19.5" customHeight="1">
      <c r="A84" s="1086" t="str">
        <f ca="1">IF(ROWS($1:71)&gt;COUNT(Dong1),"",OFFSET(TH!C$1,SMALL(Dong1,ROWS($1:71)),))</f>
        <v/>
      </c>
      <c r="B84" s="1086" t="str">
        <f ca="1">IF(ROWS($1:71)&gt;COUNT(Dong1),"",OFFSET(TH!E$1,SMALL(Dong1,ROWS($1:71)),))</f>
        <v/>
      </c>
      <c r="C84" s="157" t="str">
        <f ca="1">IF(ROWS($1:71)&gt;COUNT(Dong1),"",IF(OFFSET(TH!O$1,SMALL(Dong1,ROWS($1:71)),)="1111",OFFSET(TH!D$1,SMALL(Dong1,ROWS($1:71)),),""))</f>
        <v/>
      </c>
      <c r="D84" s="158" t="str">
        <f ca="1">IF(ROWS($1:71)&gt;COUNT(Dong1),"",IF(OFFSET(TH!P$1,SMALL(Dong1,ROWS($1:71)),)="1111",OFFSET(TH!D$1,SMALL(Dong1,ROWS($1:71)),),""))</f>
        <v/>
      </c>
      <c r="E84" s="406" t="str">
        <f ca="1">IF(ROWS($1:71)&gt;COUNT(Dong1),"",OFFSET(TH!F$1,SMALL(Dong1,ROWS($1:71)),))</f>
        <v/>
      </c>
      <c r="F84" s="160" t="str">
        <f ca="1">IF(ROWS($1:71)&gt;COUNT(Dong1),"",IF(OFFSET(TH!P$1,SMALL(Dong1,ROWS($1:71)),)="1111",OFFSET(TH!O$1,SMALL(Dong1,ROWS($1:71)),),OFFSET(TH!P$1,SMALL(Dong1,ROWS($1:71)),)))</f>
        <v/>
      </c>
      <c r="G84" s="161" t="str">
        <f ca="1">IF(ROWS($1:71)&gt;COUNT(Dong1),"",IF(OFFSET(TH!O$1,SMALL(Dong1,ROWS($1:71)),)="1111",OFFSET(TH!M$1,SMALL(Dong1,ROWS($1:71)),),0))</f>
        <v/>
      </c>
      <c r="H84" s="159" t="str">
        <f ca="1">IF(ROWS($1:71)&gt;COUNT(Dong1),"",IF(OFFSET(TH!P$1,SMALL(Dong1,ROWS($1:71)),)="1111",OFFSET(TH!M$1,SMALL(Dong1,ROWS($1:71)),),0))</f>
        <v/>
      </c>
      <c r="I84" s="157">
        <f t="shared" ca="1" si="2"/>
        <v>0</v>
      </c>
      <c r="J84" s="162"/>
    </row>
    <row r="85" spans="1:10" ht="19.5" customHeight="1">
      <c r="A85" s="1086" t="str">
        <f ca="1">IF(ROWS($1:72)&gt;COUNT(Dong1),"",OFFSET(TH!C$1,SMALL(Dong1,ROWS($1:72)),))</f>
        <v/>
      </c>
      <c r="B85" s="1086" t="str">
        <f ca="1">IF(ROWS($1:72)&gt;COUNT(Dong1),"",OFFSET(TH!E$1,SMALL(Dong1,ROWS($1:72)),))</f>
        <v/>
      </c>
      <c r="C85" s="157" t="str">
        <f ca="1">IF(ROWS($1:72)&gt;COUNT(Dong1),"",IF(OFFSET(TH!O$1,SMALL(Dong1,ROWS($1:72)),)="1111",OFFSET(TH!D$1,SMALL(Dong1,ROWS($1:72)),),""))</f>
        <v/>
      </c>
      <c r="D85" s="158" t="str">
        <f ca="1">IF(ROWS($1:72)&gt;COUNT(Dong1),"",IF(OFFSET(TH!P$1,SMALL(Dong1,ROWS($1:72)),)="1111",OFFSET(TH!D$1,SMALL(Dong1,ROWS($1:72)),),""))</f>
        <v/>
      </c>
      <c r="E85" s="406" t="str">
        <f ca="1">IF(ROWS($1:72)&gt;COUNT(Dong1),"",OFFSET(TH!F$1,SMALL(Dong1,ROWS($1:72)),))</f>
        <v/>
      </c>
      <c r="F85" s="160" t="str">
        <f ca="1">IF(ROWS($1:72)&gt;COUNT(Dong1),"",IF(OFFSET(TH!P$1,SMALL(Dong1,ROWS($1:72)),)="1111",OFFSET(TH!O$1,SMALL(Dong1,ROWS($1:72)),),OFFSET(TH!P$1,SMALL(Dong1,ROWS($1:72)),)))</f>
        <v/>
      </c>
      <c r="G85" s="161" t="str">
        <f ca="1">IF(ROWS($1:72)&gt;COUNT(Dong1),"",IF(OFFSET(TH!O$1,SMALL(Dong1,ROWS($1:72)),)="1111",OFFSET(TH!M$1,SMALL(Dong1,ROWS($1:72)),),0))</f>
        <v/>
      </c>
      <c r="H85" s="159" t="str">
        <f ca="1">IF(ROWS($1:72)&gt;COUNT(Dong1),"",IF(OFFSET(TH!P$1,SMALL(Dong1,ROWS($1:72)),)="1111",OFFSET(TH!M$1,SMALL(Dong1,ROWS($1:72)),),0))</f>
        <v/>
      </c>
      <c r="I85" s="157">
        <f t="shared" ca="1" si="2"/>
        <v>0</v>
      </c>
      <c r="J85" s="162"/>
    </row>
    <row r="86" spans="1:10" ht="19.5" customHeight="1">
      <c r="A86" s="1086" t="str">
        <f ca="1">IF(ROWS($1:73)&gt;COUNT(Dong1),"",OFFSET(TH!C$1,SMALL(Dong1,ROWS($1:73)),))</f>
        <v/>
      </c>
      <c r="B86" s="1086" t="str">
        <f ca="1">IF(ROWS($1:73)&gt;COUNT(Dong1),"",OFFSET(TH!E$1,SMALL(Dong1,ROWS($1:73)),))</f>
        <v/>
      </c>
      <c r="C86" s="157" t="str">
        <f ca="1">IF(ROWS($1:73)&gt;COUNT(Dong1),"",IF(OFFSET(TH!O$1,SMALL(Dong1,ROWS($1:73)),)="1111",OFFSET(TH!D$1,SMALL(Dong1,ROWS($1:73)),),""))</f>
        <v/>
      </c>
      <c r="D86" s="158" t="str">
        <f ca="1">IF(ROWS($1:73)&gt;COUNT(Dong1),"",IF(OFFSET(TH!P$1,SMALL(Dong1,ROWS($1:73)),)="1111",OFFSET(TH!D$1,SMALL(Dong1,ROWS($1:73)),),""))</f>
        <v/>
      </c>
      <c r="E86" s="406" t="str">
        <f ca="1">IF(ROWS($1:73)&gt;COUNT(Dong1),"",OFFSET(TH!F$1,SMALL(Dong1,ROWS($1:73)),))</f>
        <v/>
      </c>
      <c r="F86" s="160" t="str">
        <f ca="1">IF(ROWS($1:73)&gt;COUNT(Dong1),"",IF(OFFSET(TH!P$1,SMALL(Dong1,ROWS($1:73)),)="1111",OFFSET(TH!O$1,SMALL(Dong1,ROWS($1:73)),),OFFSET(TH!P$1,SMALL(Dong1,ROWS($1:73)),)))</f>
        <v/>
      </c>
      <c r="G86" s="161" t="str">
        <f ca="1">IF(ROWS($1:73)&gt;COUNT(Dong1),"",IF(OFFSET(TH!O$1,SMALL(Dong1,ROWS($1:73)),)="1111",OFFSET(TH!M$1,SMALL(Dong1,ROWS($1:73)),),0))</f>
        <v/>
      </c>
      <c r="H86" s="159" t="str">
        <f ca="1">IF(ROWS($1:73)&gt;COUNT(Dong1),"",IF(OFFSET(TH!P$1,SMALL(Dong1,ROWS($1:73)),)="1111",OFFSET(TH!M$1,SMALL(Dong1,ROWS($1:73)),),0))</f>
        <v/>
      </c>
      <c r="I86" s="157">
        <f t="shared" ca="1" si="2"/>
        <v>0</v>
      </c>
      <c r="J86" s="162"/>
    </row>
    <row r="87" spans="1:10" ht="19.5" customHeight="1">
      <c r="A87" s="1086" t="str">
        <f ca="1">IF(ROWS($1:74)&gt;COUNT(Dong1),"",OFFSET(TH!C$1,SMALL(Dong1,ROWS($1:74)),))</f>
        <v/>
      </c>
      <c r="B87" s="1086" t="str">
        <f ca="1">IF(ROWS($1:74)&gt;COUNT(Dong1),"",OFFSET(TH!E$1,SMALL(Dong1,ROWS($1:74)),))</f>
        <v/>
      </c>
      <c r="C87" s="157" t="str">
        <f ca="1">IF(ROWS($1:74)&gt;COUNT(Dong1),"",IF(OFFSET(TH!O$1,SMALL(Dong1,ROWS($1:74)),)="1111",OFFSET(TH!D$1,SMALL(Dong1,ROWS($1:74)),),""))</f>
        <v/>
      </c>
      <c r="D87" s="158" t="str">
        <f ca="1">IF(ROWS($1:74)&gt;COUNT(Dong1),"",IF(OFFSET(TH!P$1,SMALL(Dong1,ROWS($1:74)),)="1111",OFFSET(TH!D$1,SMALL(Dong1,ROWS($1:74)),),""))</f>
        <v/>
      </c>
      <c r="E87" s="406" t="str">
        <f ca="1">IF(ROWS($1:74)&gt;COUNT(Dong1),"",OFFSET(TH!F$1,SMALL(Dong1,ROWS($1:74)),))</f>
        <v/>
      </c>
      <c r="F87" s="160" t="str">
        <f ca="1">IF(ROWS($1:74)&gt;COUNT(Dong1),"",IF(OFFSET(TH!P$1,SMALL(Dong1,ROWS($1:74)),)="1111",OFFSET(TH!O$1,SMALL(Dong1,ROWS($1:74)),),OFFSET(TH!P$1,SMALL(Dong1,ROWS($1:74)),)))</f>
        <v/>
      </c>
      <c r="G87" s="161" t="str">
        <f ca="1">IF(ROWS($1:74)&gt;COUNT(Dong1),"",IF(OFFSET(TH!O$1,SMALL(Dong1,ROWS($1:74)),)="1111",OFFSET(TH!M$1,SMALL(Dong1,ROWS($1:74)),),0))</f>
        <v/>
      </c>
      <c r="H87" s="159" t="str">
        <f ca="1">IF(ROWS($1:74)&gt;COUNT(Dong1),"",IF(OFFSET(TH!P$1,SMALL(Dong1,ROWS($1:74)),)="1111",OFFSET(TH!M$1,SMALL(Dong1,ROWS($1:74)),),0))</f>
        <v/>
      </c>
      <c r="I87" s="157">
        <f t="shared" ca="1" si="2"/>
        <v>0</v>
      </c>
      <c r="J87" s="162"/>
    </row>
    <row r="88" spans="1:10" ht="19.5" customHeight="1">
      <c r="A88" s="1086" t="str">
        <f ca="1">IF(ROWS($1:75)&gt;COUNT(Dong1),"",OFFSET(TH!C$1,SMALL(Dong1,ROWS($1:75)),))</f>
        <v/>
      </c>
      <c r="B88" s="1086" t="str">
        <f ca="1">IF(ROWS($1:75)&gt;COUNT(Dong1),"",OFFSET(TH!E$1,SMALL(Dong1,ROWS($1:75)),))</f>
        <v/>
      </c>
      <c r="C88" s="157" t="str">
        <f ca="1">IF(ROWS($1:75)&gt;COUNT(Dong1),"",IF(OFFSET(TH!O$1,SMALL(Dong1,ROWS($1:75)),)="1111",OFFSET(TH!D$1,SMALL(Dong1,ROWS($1:75)),),""))</f>
        <v/>
      </c>
      <c r="D88" s="158" t="str">
        <f ca="1">IF(ROWS($1:75)&gt;COUNT(Dong1),"",IF(OFFSET(TH!P$1,SMALL(Dong1,ROWS($1:75)),)="1111",OFFSET(TH!D$1,SMALL(Dong1,ROWS($1:75)),),""))</f>
        <v/>
      </c>
      <c r="E88" s="406" t="str">
        <f ca="1">IF(ROWS($1:75)&gt;COUNT(Dong1),"",OFFSET(TH!F$1,SMALL(Dong1,ROWS($1:75)),))</f>
        <v/>
      </c>
      <c r="F88" s="160" t="str">
        <f ca="1">IF(ROWS($1:75)&gt;COUNT(Dong1),"",IF(OFFSET(TH!P$1,SMALL(Dong1,ROWS($1:75)),)="1111",OFFSET(TH!O$1,SMALL(Dong1,ROWS($1:75)),),OFFSET(TH!P$1,SMALL(Dong1,ROWS($1:75)),)))</f>
        <v/>
      </c>
      <c r="G88" s="161" t="str">
        <f ca="1">IF(ROWS($1:75)&gt;COUNT(Dong1),"",IF(OFFSET(TH!O$1,SMALL(Dong1,ROWS($1:75)),)="1111",OFFSET(TH!M$1,SMALL(Dong1,ROWS($1:75)),),0))</f>
        <v/>
      </c>
      <c r="H88" s="159" t="str">
        <f ca="1">IF(ROWS($1:75)&gt;COUNT(Dong1),"",IF(OFFSET(TH!P$1,SMALL(Dong1,ROWS($1:75)),)="1111",OFFSET(TH!M$1,SMALL(Dong1,ROWS($1:75)),),0))</f>
        <v/>
      </c>
      <c r="I88" s="157">
        <f t="shared" ca="1" si="2"/>
        <v>0</v>
      </c>
      <c r="J88" s="162"/>
    </row>
    <row r="89" spans="1:10" ht="19.5" hidden="1" customHeight="1">
      <c r="A89" s="1086" t="str">
        <f ca="1">IF(ROWS($1:76)&gt;COUNT(Dong1),"",OFFSET(TH!C$1,SMALL(Dong1,ROWS($1:76)),))</f>
        <v/>
      </c>
      <c r="B89" s="1086" t="str">
        <f ca="1">IF(ROWS($1:76)&gt;COUNT(Dong1),"",OFFSET(TH!E$1,SMALL(Dong1,ROWS($1:76)),))</f>
        <v/>
      </c>
      <c r="C89" s="157" t="str">
        <f ca="1">IF(ROWS($1:76)&gt;COUNT(Dong1),"",IF(OFFSET(TH!O$1,SMALL(Dong1,ROWS($1:76)),)="1111",OFFSET(TH!D$1,SMALL(Dong1,ROWS($1:76)),),""))</f>
        <v/>
      </c>
      <c r="D89" s="158" t="str">
        <f ca="1">IF(ROWS($1:76)&gt;COUNT(Dong1),"",IF(OFFSET(TH!P$1,SMALL(Dong1,ROWS($1:76)),)="1111",OFFSET(TH!D$1,SMALL(Dong1,ROWS($1:76)),),""))</f>
        <v/>
      </c>
      <c r="E89" s="406" t="str">
        <f ca="1">IF(ROWS($1:76)&gt;COUNT(Dong1),"",OFFSET(TH!F$1,SMALL(Dong1,ROWS($1:76)),))</f>
        <v/>
      </c>
      <c r="F89" s="160" t="str">
        <f ca="1">IF(ROWS($1:76)&gt;COUNT(Dong1),"",IF(OFFSET(TH!P$1,SMALL(Dong1,ROWS($1:76)),)="1111",OFFSET(TH!O$1,SMALL(Dong1,ROWS($1:76)),),OFFSET(TH!P$1,SMALL(Dong1,ROWS($1:76)),)))</f>
        <v/>
      </c>
      <c r="G89" s="161" t="str">
        <f ca="1">IF(ROWS($1:76)&gt;COUNT(Dong1),"",IF(OFFSET(TH!O$1,SMALL(Dong1,ROWS($1:76)),)="1111",OFFSET(TH!M$1,SMALL(Dong1,ROWS($1:76)),),0))</f>
        <v/>
      </c>
      <c r="H89" s="159" t="str">
        <f ca="1">IF(ROWS($1:76)&gt;COUNT(Dong1),"",IF(OFFSET(TH!P$1,SMALL(Dong1,ROWS($1:76)),)="1111",OFFSET(TH!M$1,SMALL(Dong1,ROWS($1:76)),),0))</f>
        <v/>
      </c>
      <c r="I89" s="157">
        <f t="shared" ca="1" si="2"/>
        <v>0</v>
      </c>
      <c r="J89" s="162"/>
    </row>
    <row r="90" spans="1:10" ht="19.5" hidden="1" customHeight="1">
      <c r="A90" s="1086" t="str">
        <f ca="1">IF(ROWS($1:77)&gt;COUNT(Dong1),"",OFFSET(TH!C$1,SMALL(Dong1,ROWS($1:77)),))</f>
        <v/>
      </c>
      <c r="B90" s="1086" t="str">
        <f ca="1">IF(ROWS($1:77)&gt;COUNT(Dong1),"",OFFSET(TH!E$1,SMALL(Dong1,ROWS($1:77)),))</f>
        <v/>
      </c>
      <c r="C90" s="157" t="str">
        <f ca="1">IF(ROWS($1:77)&gt;COUNT(Dong1),"",IF(OFFSET(TH!O$1,SMALL(Dong1,ROWS($1:77)),)="1111",OFFSET(TH!D$1,SMALL(Dong1,ROWS($1:77)),),""))</f>
        <v/>
      </c>
      <c r="D90" s="158" t="str">
        <f ca="1">IF(ROWS($1:77)&gt;COUNT(Dong1),"",IF(OFFSET(TH!P$1,SMALL(Dong1,ROWS($1:77)),)="1111",OFFSET(TH!D$1,SMALL(Dong1,ROWS($1:77)),),""))</f>
        <v/>
      </c>
      <c r="E90" s="406" t="str">
        <f ca="1">IF(ROWS($1:77)&gt;COUNT(Dong1),"",OFFSET(TH!F$1,SMALL(Dong1,ROWS($1:77)),))</f>
        <v/>
      </c>
      <c r="F90" s="160" t="str">
        <f ca="1">IF(ROWS($1:77)&gt;COUNT(Dong1),"",IF(OFFSET(TH!P$1,SMALL(Dong1,ROWS($1:77)),)="1111",OFFSET(TH!O$1,SMALL(Dong1,ROWS($1:77)),),OFFSET(TH!P$1,SMALL(Dong1,ROWS($1:77)),)))</f>
        <v/>
      </c>
      <c r="G90" s="161" t="str">
        <f ca="1">IF(ROWS($1:77)&gt;COUNT(Dong1),"",IF(OFFSET(TH!O$1,SMALL(Dong1,ROWS($1:77)),)="1111",OFFSET(TH!M$1,SMALL(Dong1,ROWS($1:77)),),0))</f>
        <v/>
      </c>
      <c r="H90" s="159" t="str">
        <f ca="1">IF(ROWS($1:77)&gt;COUNT(Dong1),"",IF(OFFSET(TH!P$1,SMALL(Dong1,ROWS($1:77)),)="1111",OFFSET(TH!M$1,SMALL(Dong1,ROWS($1:77)),),0))</f>
        <v/>
      </c>
      <c r="I90" s="157">
        <f t="shared" ca="1" si="2"/>
        <v>0</v>
      </c>
      <c r="J90" s="162"/>
    </row>
    <row r="91" spans="1:10" ht="19.5" hidden="1" customHeight="1">
      <c r="A91" s="1086" t="str">
        <f ca="1">IF(ROWS($1:78)&gt;COUNT(Dong1),"",OFFSET(TH!C$1,SMALL(Dong1,ROWS($1:78)),))</f>
        <v/>
      </c>
      <c r="B91" s="1086" t="str">
        <f ca="1">IF(ROWS($1:78)&gt;COUNT(Dong1),"",OFFSET(TH!E$1,SMALL(Dong1,ROWS($1:78)),))</f>
        <v/>
      </c>
      <c r="C91" s="157" t="str">
        <f ca="1">IF(ROWS($1:78)&gt;COUNT(Dong1),"",IF(OFFSET(TH!O$1,SMALL(Dong1,ROWS($1:78)),)="1111",OFFSET(TH!D$1,SMALL(Dong1,ROWS($1:78)),),""))</f>
        <v/>
      </c>
      <c r="D91" s="158" t="str">
        <f ca="1">IF(ROWS($1:78)&gt;COUNT(Dong1),"",IF(OFFSET(TH!P$1,SMALL(Dong1,ROWS($1:78)),)="1111",OFFSET(TH!D$1,SMALL(Dong1,ROWS($1:78)),),""))</f>
        <v/>
      </c>
      <c r="E91" s="406" t="str">
        <f ca="1">IF(ROWS($1:78)&gt;COUNT(Dong1),"",OFFSET(TH!F$1,SMALL(Dong1,ROWS($1:78)),))</f>
        <v/>
      </c>
      <c r="F91" s="160" t="str">
        <f ca="1">IF(ROWS($1:78)&gt;COUNT(Dong1),"",IF(OFFSET(TH!P$1,SMALL(Dong1,ROWS($1:78)),)="1111",OFFSET(TH!O$1,SMALL(Dong1,ROWS($1:78)),),OFFSET(TH!P$1,SMALL(Dong1,ROWS($1:78)),)))</f>
        <v/>
      </c>
      <c r="G91" s="161" t="str">
        <f ca="1">IF(ROWS($1:78)&gt;COUNT(Dong1),"",IF(OFFSET(TH!O$1,SMALL(Dong1,ROWS($1:78)),)="1111",OFFSET(TH!M$1,SMALL(Dong1,ROWS($1:78)),),0))</f>
        <v/>
      </c>
      <c r="H91" s="159" t="str">
        <f ca="1">IF(ROWS($1:78)&gt;COUNT(Dong1),"",IF(OFFSET(TH!P$1,SMALL(Dong1,ROWS($1:78)),)="1111",OFFSET(TH!M$1,SMALL(Dong1,ROWS($1:78)),),0))</f>
        <v/>
      </c>
      <c r="I91" s="157">
        <f t="shared" ca="1" si="2"/>
        <v>0</v>
      </c>
      <c r="J91" s="162"/>
    </row>
    <row r="92" spans="1:10" ht="19.5" hidden="1" customHeight="1">
      <c r="A92" s="1086" t="str">
        <f ca="1">IF(ROWS($1:79)&gt;COUNT(Dong1),"",OFFSET(TH!C$1,SMALL(Dong1,ROWS($1:79)),))</f>
        <v/>
      </c>
      <c r="B92" s="1086" t="str">
        <f ca="1">IF(ROWS($1:79)&gt;COUNT(Dong1),"",OFFSET(TH!E$1,SMALL(Dong1,ROWS($1:79)),))</f>
        <v/>
      </c>
      <c r="C92" s="157" t="str">
        <f ca="1">IF(ROWS($1:79)&gt;COUNT(Dong1),"",IF(OFFSET(TH!O$1,SMALL(Dong1,ROWS($1:79)),)="1111",OFFSET(TH!D$1,SMALL(Dong1,ROWS($1:79)),),""))</f>
        <v/>
      </c>
      <c r="D92" s="158" t="str">
        <f ca="1">IF(ROWS($1:79)&gt;COUNT(Dong1),"",IF(OFFSET(TH!P$1,SMALL(Dong1,ROWS($1:79)),)="1111",OFFSET(TH!D$1,SMALL(Dong1,ROWS($1:79)),),""))</f>
        <v/>
      </c>
      <c r="E92" s="406" t="str">
        <f ca="1">IF(ROWS($1:79)&gt;COUNT(Dong1),"",OFFSET(TH!F$1,SMALL(Dong1,ROWS($1:79)),))</f>
        <v/>
      </c>
      <c r="F92" s="160" t="str">
        <f ca="1">IF(ROWS($1:79)&gt;COUNT(Dong1),"",IF(OFFSET(TH!P$1,SMALL(Dong1,ROWS($1:79)),)="1111",OFFSET(TH!O$1,SMALL(Dong1,ROWS($1:79)),),OFFSET(TH!P$1,SMALL(Dong1,ROWS($1:79)),)))</f>
        <v/>
      </c>
      <c r="G92" s="161" t="str">
        <f ca="1">IF(ROWS($1:79)&gt;COUNT(Dong1),"",IF(OFFSET(TH!O$1,SMALL(Dong1,ROWS($1:79)),)="1111",OFFSET(TH!M$1,SMALL(Dong1,ROWS($1:79)),),0))</f>
        <v/>
      </c>
      <c r="H92" s="159" t="str">
        <f ca="1">IF(ROWS($1:79)&gt;COUNT(Dong1),"",IF(OFFSET(TH!P$1,SMALL(Dong1,ROWS($1:79)),)="1111",OFFSET(TH!M$1,SMALL(Dong1,ROWS($1:79)),),0))</f>
        <v/>
      </c>
      <c r="I92" s="157">
        <f t="shared" ca="1" si="2"/>
        <v>0</v>
      </c>
      <c r="J92" s="162"/>
    </row>
    <row r="93" spans="1:10" ht="19.5" hidden="1" customHeight="1">
      <c r="A93" s="1086" t="str">
        <f ca="1">IF(ROWS($1:80)&gt;COUNT(Dong1),"",OFFSET(TH!C$1,SMALL(Dong1,ROWS($1:80)),))</f>
        <v/>
      </c>
      <c r="B93" s="1086" t="str">
        <f ca="1">IF(ROWS($1:80)&gt;COUNT(Dong1),"",OFFSET(TH!E$1,SMALL(Dong1,ROWS($1:80)),))</f>
        <v/>
      </c>
      <c r="C93" s="157" t="str">
        <f ca="1">IF(ROWS($1:80)&gt;COUNT(Dong1),"",IF(OFFSET(TH!O$1,SMALL(Dong1,ROWS($1:80)),)="1111",OFFSET(TH!D$1,SMALL(Dong1,ROWS($1:80)),),""))</f>
        <v/>
      </c>
      <c r="D93" s="158" t="str">
        <f ca="1">IF(ROWS($1:80)&gt;COUNT(Dong1),"",IF(OFFSET(TH!P$1,SMALL(Dong1,ROWS($1:80)),)="1111",OFFSET(TH!D$1,SMALL(Dong1,ROWS($1:80)),),""))</f>
        <v/>
      </c>
      <c r="E93" s="406" t="str">
        <f ca="1">IF(ROWS($1:80)&gt;COUNT(Dong1),"",OFFSET(TH!F$1,SMALL(Dong1,ROWS($1:80)),))</f>
        <v/>
      </c>
      <c r="F93" s="160" t="str">
        <f ca="1">IF(ROWS($1:80)&gt;COUNT(Dong1),"",IF(OFFSET(TH!P$1,SMALL(Dong1,ROWS($1:80)),)="1111",OFFSET(TH!O$1,SMALL(Dong1,ROWS($1:80)),),OFFSET(TH!P$1,SMALL(Dong1,ROWS($1:80)),)))</f>
        <v/>
      </c>
      <c r="G93" s="161" t="str">
        <f ca="1">IF(ROWS($1:80)&gt;COUNT(Dong1),"",IF(OFFSET(TH!O$1,SMALL(Dong1,ROWS($1:80)),)="1111",OFFSET(TH!M$1,SMALL(Dong1,ROWS($1:80)),),0))</f>
        <v/>
      </c>
      <c r="H93" s="159" t="str">
        <f ca="1">IF(ROWS($1:80)&gt;COUNT(Dong1),"",IF(OFFSET(TH!P$1,SMALL(Dong1,ROWS($1:80)),)="1111",OFFSET(TH!M$1,SMALL(Dong1,ROWS($1:80)),),0))</f>
        <v/>
      </c>
      <c r="I93" s="157">
        <f t="shared" ca="1" si="2"/>
        <v>0</v>
      </c>
      <c r="J93" s="162"/>
    </row>
    <row r="94" spans="1:10" ht="19.5" hidden="1" customHeight="1">
      <c r="A94" s="1086" t="str">
        <f ca="1">IF(ROWS($1:81)&gt;COUNT(Dong1),"",OFFSET(TH!C$1,SMALL(Dong1,ROWS($1:81)),))</f>
        <v/>
      </c>
      <c r="B94" s="1086" t="str">
        <f ca="1">IF(ROWS($1:81)&gt;COUNT(Dong1),"",OFFSET(TH!E$1,SMALL(Dong1,ROWS($1:81)),))</f>
        <v/>
      </c>
      <c r="C94" s="157" t="str">
        <f ca="1">IF(ROWS($1:81)&gt;COUNT(Dong1),"",IF(OFFSET(TH!O$1,SMALL(Dong1,ROWS($1:81)),)="1111",OFFSET(TH!D$1,SMALL(Dong1,ROWS($1:81)),),""))</f>
        <v/>
      </c>
      <c r="D94" s="158" t="str">
        <f ca="1">IF(ROWS($1:81)&gt;COUNT(Dong1),"",IF(OFFSET(TH!P$1,SMALL(Dong1,ROWS($1:81)),)="1111",OFFSET(TH!D$1,SMALL(Dong1,ROWS($1:81)),),""))</f>
        <v/>
      </c>
      <c r="E94" s="406" t="str">
        <f ca="1">IF(ROWS($1:81)&gt;COUNT(Dong1),"",OFFSET(TH!F$1,SMALL(Dong1,ROWS($1:81)),))</f>
        <v/>
      </c>
      <c r="F94" s="160" t="str">
        <f ca="1">IF(ROWS($1:81)&gt;COUNT(Dong1),"",IF(OFFSET(TH!P$1,SMALL(Dong1,ROWS($1:81)),)="1111",OFFSET(TH!O$1,SMALL(Dong1,ROWS($1:81)),),OFFSET(TH!P$1,SMALL(Dong1,ROWS($1:81)),)))</f>
        <v/>
      </c>
      <c r="G94" s="161" t="str">
        <f ca="1">IF(ROWS($1:81)&gt;COUNT(Dong1),"",IF(OFFSET(TH!O$1,SMALL(Dong1,ROWS($1:81)),)="1111",OFFSET(TH!M$1,SMALL(Dong1,ROWS($1:81)),),0))</f>
        <v/>
      </c>
      <c r="H94" s="159" t="str">
        <f ca="1">IF(ROWS($1:81)&gt;COUNT(Dong1),"",IF(OFFSET(TH!P$1,SMALL(Dong1,ROWS($1:81)),)="1111",OFFSET(TH!M$1,SMALL(Dong1,ROWS($1:81)),),0))</f>
        <v/>
      </c>
      <c r="I94" s="157">
        <f t="shared" ca="1" si="2"/>
        <v>0</v>
      </c>
      <c r="J94" s="162"/>
    </row>
    <row r="95" spans="1:10" ht="19.5" hidden="1" customHeight="1">
      <c r="A95" s="1086" t="str">
        <f ca="1">IF(ROWS($1:82)&gt;COUNT(Dong1),"",OFFSET(TH!C$1,SMALL(Dong1,ROWS($1:82)),))</f>
        <v/>
      </c>
      <c r="B95" s="1086" t="str">
        <f ca="1">IF(ROWS($1:82)&gt;COUNT(Dong1),"",OFFSET(TH!E$1,SMALL(Dong1,ROWS($1:82)),))</f>
        <v/>
      </c>
      <c r="C95" s="157" t="str">
        <f ca="1">IF(ROWS($1:82)&gt;COUNT(Dong1),"",IF(OFFSET(TH!O$1,SMALL(Dong1,ROWS($1:82)),)="1111",OFFSET(TH!D$1,SMALL(Dong1,ROWS($1:82)),),""))</f>
        <v/>
      </c>
      <c r="D95" s="158" t="str">
        <f ca="1">IF(ROWS($1:82)&gt;COUNT(Dong1),"",IF(OFFSET(TH!P$1,SMALL(Dong1,ROWS($1:82)),)="1111",OFFSET(TH!D$1,SMALL(Dong1,ROWS($1:82)),),""))</f>
        <v/>
      </c>
      <c r="E95" s="406" t="str">
        <f ca="1">IF(ROWS($1:82)&gt;COUNT(Dong1),"",OFFSET(TH!F$1,SMALL(Dong1,ROWS($1:82)),))</f>
        <v/>
      </c>
      <c r="F95" s="160" t="str">
        <f ca="1">IF(ROWS($1:82)&gt;COUNT(Dong1),"",IF(OFFSET(TH!P$1,SMALL(Dong1,ROWS($1:82)),)="1111",OFFSET(TH!O$1,SMALL(Dong1,ROWS($1:82)),),OFFSET(TH!P$1,SMALL(Dong1,ROWS($1:82)),)))</f>
        <v/>
      </c>
      <c r="G95" s="161" t="str">
        <f ca="1">IF(ROWS($1:82)&gt;COUNT(Dong1),"",IF(OFFSET(TH!O$1,SMALL(Dong1,ROWS($1:82)),)="1111",OFFSET(TH!M$1,SMALL(Dong1,ROWS($1:82)),),0))</f>
        <v/>
      </c>
      <c r="H95" s="159" t="str">
        <f ca="1">IF(ROWS($1:82)&gt;COUNT(Dong1),"",IF(OFFSET(TH!P$1,SMALL(Dong1,ROWS($1:82)),)="1111",OFFSET(TH!M$1,SMALL(Dong1,ROWS($1:82)),),0))</f>
        <v/>
      </c>
      <c r="I95" s="157">
        <f t="shared" ca="1" si="2"/>
        <v>0</v>
      </c>
      <c r="J95" s="162"/>
    </row>
    <row r="96" spans="1:10" ht="19.5" hidden="1" customHeight="1">
      <c r="A96" s="1086" t="str">
        <f ca="1">IF(ROWS($1:83)&gt;COUNT(Dong1),"",OFFSET(TH!C$1,SMALL(Dong1,ROWS($1:83)),))</f>
        <v/>
      </c>
      <c r="B96" s="1086" t="str">
        <f ca="1">IF(ROWS($1:83)&gt;COUNT(Dong1),"",OFFSET(TH!E$1,SMALL(Dong1,ROWS($1:83)),))</f>
        <v/>
      </c>
      <c r="C96" s="157" t="str">
        <f ca="1">IF(ROWS($1:83)&gt;COUNT(Dong1),"",IF(OFFSET(TH!O$1,SMALL(Dong1,ROWS($1:83)),)="1111",OFFSET(TH!D$1,SMALL(Dong1,ROWS($1:83)),),""))</f>
        <v/>
      </c>
      <c r="D96" s="158" t="str">
        <f ca="1">IF(ROWS($1:83)&gt;COUNT(Dong1),"",IF(OFFSET(TH!P$1,SMALL(Dong1,ROWS($1:83)),)="1111",OFFSET(TH!D$1,SMALL(Dong1,ROWS($1:83)),),""))</f>
        <v/>
      </c>
      <c r="E96" s="406" t="str">
        <f ca="1">IF(ROWS($1:83)&gt;COUNT(Dong1),"",OFFSET(TH!F$1,SMALL(Dong1,ROWS($1:83)),))</f>
        <v/>
      </c>
      <c r="F96" s="160" t="str">
        <f ca="1">IF(ROWS($1:83)&gt;COUNT(Dong1),"",IF(OFFSET(TH!P$1,SMALL(Dong1,ROWS($1:83)),)="1111",OFFSET(TH!O$1,SMALL(Dong1,ROWS($1:83)),),OFFSET(TH!P$1,SMALL(Dong1,ROWS($1:83)),)))</f>
        <v/>
      </c>
      <c r="G96" s="161" t="str">
        <f ca="1">IF(ROWS($1:83)&gt;COUNT(Dong1),"",IF(OFFSET(TH!O$1,SMALL(Dong1,ROWS($1:83)),)="1111",OFFSET(TH!M$1,SMALL(Dong1,ROWS($1:83)),),0))</f>
        <v/>
      </c>
      <c r="H96" s="159" t="str">
        <f ca="1">IF(ROWS($1:83)&gt;COUNT(Dong1),"",IF(OFFSET(TH!P$1,SMALL(Dong1,ROWS($1:83)),)="1111",OFFSET(TH!M$1,SMALL(Dong1,ROWS($1:83)),),0))</f>
        <v/>
      </c>
      <c r="I96" s="157">
        <f t="shared" ca="1" si="2"/>
        <v>0</v>
      </c>
      <c r="J96" s="162"/>
    </row>
    <row r="97" spans="1:12" ht="19.5" hidden="1" customHeight="1">
      <c r="A97" s="1086" t="str">
        <f ca="1">IF(ROWS($1:84)&gt;COUNT(Dong1),"",OFFSET(TH!C$1,SMALL(Dong1,ROWS($1:84)),))</f>
        <v/>
      </c>
      <c r="B97" s="1086" t="str">
        <f ca="1">IF(ROWS($1:84)&gt;COUNT(Dong1),"",OFFSET(TH!E$1,SMALL(Dong1,ROWS($1:84)),))</f>
        <v/>
      </c>
      <c r="C97" s="157" t="str">
        <f ca="1">IF(ROWS($1:84)&gt;COUNT(Dong1),"",IF(OFFSET(TH!O$1,SMALL(Dong1,ROWS($1:84)),)="1111",OFFSET(TH!D$1,SMALL(Dong1,ROWS($1:84)),),""))</f>
        <v/>
      </c>
      <c r="D97" s="158" t="str">
        <f ca="1">IF(ROWS($1:84)&gt;COUNT(Dong1),"",IF(OFFSET(TH!P$1,SMALL(Dong1,ROWS($1:84)),)="1111",OFFSET(TH!D$1,SMALL(Dong1,ROWS($1:84)),),""))</f>
        <v/>
      </c>
      <c r="E97" s="406" t="str">
        <f ca="1">IF(ROWS($1:84)&gt;COUNT(Dong1),"",OFFSET(TH!F$1,SMALL(Dong1,ROWS($1:84)),))</f>
        <v/>
      </c>
      <c r="F97" s="160" t="str">
        <f ca="1">IF(ROWS($1:84)&gt;COUNT(Dong1),"",IF(OFFSET(TH!P$1,SMALL(Dong1,ROWS($1:84)),)="1111",OFFSET(TH!O$1,SMALL(Dong1,ROWS($1:84)),),OFFSET(TH!P$1,SMALL(Dong1,ROWS($1:84)),)))</f>
        <v/>
      </c>
      <c r="G97" s="161" t="str">
        <f ca="1">IF(ROWS($1:84)&gt;COUNT(Dong1),"",IF(OFFSET(TH!O$1,SMALL(Dong1,ROWS($1:84)),)="1111",OFFSET(TH!M$1,SMALL(Dong1,ROWS($1:84)),),0))</f>
        <v/>
      </c>
      <c r="H97" s="159" t="str">
        <f ca="1">IF(ROWS($1:84)&gt;COUNT(Dong1),"",IF(OFFSET(TH!P$1,SMALL(Dong1,ROWS($1:84)),)="1111",OFFSET(TH!M$1,SMALL(Dong1,ROWS($1:84)),),0))</f>
        <v/>
      </c>
      <c r="I97" s="157">
        <f t="shared" ca="1" si="2"/>
        <v>0</v>
      </c>
      <c r="J97" s="162"/>
    </row>
    <row r="98" spans="1:12" ht="19.5" hidden="1" customHeight="1">
      <c r="A98" s="1086" t="str">
        <f ca="1">IF(ROWS($1:85)&gt;COUNT(Dong1),"",OFFSET(TH!C$1,SMALL(Dong1,ROWS($1:85)),))</f>
        <v/>
      </c>
      <c r="B98" s="1086" t="str">
        <f ca="1">IF(ROWS($1:85)&gt;COUNT(Dong1),"",OFFSET(TH!E$1,SMALL(Dong1,ROWS($1:85)),))</f>
        <v/>
      </c>
      <c r="C98" s="157" t="str">
        <f ca="1">IF(ROWS($1:85)&gt;COUNT(Dong1),"",IF(OFFSET(TH!O$1,SMALL(Dong1,ROWS($1:85)),)="1111",OFFSET(TH!D$1,SMALL(Dong1,ROWS($1:85)),),""))</f>
        <v/>
      </c>
      <c r="D98" s="158" t="str">
        <f ca="1">IF(ROWS($1:85)&gt;COUNT(Dong1),"",IF(OFFSET(TH!P$1,SMALL(Dong1,ROWS($1:85)),)="1111",OFFSET(TH!D$1,SMALL(Dong1,ROWS($1:85)),),""))</f>
        <v/>
      </c>
      <c r="E98" s="406" t="str">
        <f ca="1">IF(ROWS($1:85)&gt;COUNT(Dong1),"",OFFSET(TH!F$1,SMALL(Dong1,ROWS($1:85)),))</f>
        <v/>
      </c>
      <c r="F98" s="160" t="str">
        <f ca="1">IF(ROWS($1:85)&gt;COUNT(Dong1),"",IF(OFFSET(TH!P$1,SMALL(Dong1,ROWS($1:85)),)="1111",OFFSET(TH!O$1,SMALL(Dong1,ROWS($1:85)),),OFFSET(TH!P$1,SMALL(Dong1,ROWS($1:85)),)))</f>
        <v/>
      </c>
      <c r="G98" s="161" t="str">
        <f ca="1">IF(ROWS($1:85)&gt;COUNT(Dong1),"",IF(OFFSET(TH!O$1,SMALL(Dong1,ROWS($1:85)),)="1111",OFFSET(TH!M$1,SMALL(Dong1,ROWS($1:85)),),0))</f>
        <v/>
      </c>
      <c r="H98" s="159" t="str">
        <f ca="1">IF(ROWS($1:85)&gt;COUNT(Dong1),"",IF(OFFSET(TH!P$1,SMALL(Dong1,ROWS($1:85)),)="1111",OFFSET(TH!M$1,SMALL(Dong1,ROWS($1:85)),),0))</f>
        <v/>
      </c>
      <c r="I98" s="157">
        <f t="shared" ca="1" si="2"/>
        <v>0</v>
      </c>
      <c r="J98" s="162"/>
    </row>
    <row r="99" spans="1:12" ht="19.5" hidden="1" customHeight="1">
      <c r="A99" s="1086" t="str">
        <f ca="1">IF(ROWS($1:86)&gt;COUNT(Dong1),"",OFFSET(TH!C$1,SMALL(Dong1,ROWS($1:86)),))</f>
        <v/>
      </c>
      <c r="B99" s="1086" t="str">
        <f ca="1">IF(ROWS($1:86)&gt;COUNT(Dong1),"",OFFSET(TH!E$1,SMALL(Dong1,ROWS($1:86)),))</f>
        <v/>
      </c>
      <c r="C99" s="157" t="str">
        <f ca="1">IF(ROWS($1:86)&gt;COUNT(Dong1),"",IF(OFFSET(TH!O$1,SMALL(Dong1,ROWS($1:86)),)="1111",OFFSET(TH!D$1,SMALL(Dong1,ROWS($1:86)),),""))</f>
        <v/>
      </c>
      <c r="D99" s="158" t="str">
        <f ca="1">IF(ROWS($1:86)&gt;COUNT(Dong1),"",IF(OFFSET(TH!P$1,SMALL(Dong1,ROWS($1:86)),)="1111",OFFSET(TH!D$1,SMALL(Dong1,ROWS($1:86)),),""))</f>
        <v/>
      </c>
      <c r="E99" s="406" t="str">
        <f ca="1">IF(ROWS($1:86)&gt;COUNT(Dong1),"",OFFSET(TH!F$1,SMALL(Dong1,ROWS($1:86)),))</f>
        <v/>
      </c>
      <c r="F99" s="160" t="str">
        <f ca="1">IF(ROWS($1:86)&gt;COUNT(Dong1),"",IF(OFFSET(TH!P$1,SMALL(Dong1,ROWS($1:86)),)="1111",OFFSET(TH!O$1,SMALL(Dong1,ROWS($1:86)),),OFFSET(TH!P$1,SMALL(Dong1,ROWS($1:86)),)))</f>
        <v/>
      </c>
      <c r="G99" s="161" t="str">
        <f ca="1">IF(ROWS($1:86)&gt;COUNT(Dong1),"",IF(OFFSET(TH!O$1,SMALL(Dong1,ROWS($1:86)),)="1111",OFFSET(TH!M$1,SMALL(Dong1,ROWS($1:86)),),0))</f>
        <v/>
      </c>
      <c r="H99" s="159" t="str">
        <f ca="1">IF(ROWS($1:86)&gt;COUNT(Dong1),"",IF(OFFSET(TH!P$1,SMALL(Dong1,ROWS($1:86)),)="1111",OFFSET(TH!M$1,SMALL(Dong1,ROWS($1:86)),),0))</f>
        <v/>
      </c>
      <c r="I99" s="157">
        <f t="shared" ca="1" si="2"/>
        <v>0</v>
      </c>
      <c r="J99" s="162"/>
    </row>
    <row r="100" spans="1:12" ht="19.5" hidden="1" customHeight="1">
      <c r="A100" s="1086" t="str">
        <f ca="1">IF(ROWS($1:87)&gt;COUNT(Dong1),"",OFFSET(TH!C$1,SMALL(Dong1,ROWS($1:87)),))</f>
        <v/>
      </c>
      <c r="B100" s="1086" t="str">
        <f ca="1">IF(ROWS($1:87)&gt;COUNT(Dong1),"",OFFSET(TH!E$1,SMALL(Dong1,ROWS($1:87)),))</f>
        <v/>
      </c>
      <c r="C100" s="157" t="str">
        <f ca="1">IF(ROWS($1:87)&gt;COUNT(Dong1),"",IF(OFFSET(TH!O$1,SMALL(Dong1,ROWS($1:87)),)="1111",OFFSET(TH!D$1,SMALL(Dong1,ROWS($1:87)),),""))</f>
        <v/>
      </c>
      <c r="D100" s="158" t="str">
        <f ca="1">IF(ROWS($1:87)&gt;COUNT(Dong1),"",IF(OFFSET(TH!P$1,SMALL(Dong1,ROWS($1:87)),)="1111",OFFSET(TH!D$1,SMALL(Dong1,ROWS($1:87)),),""))</f>
        <v/>
      </c>
      <c r="E100" s="406" t="str">
        <f ca="1">IF(ROWS($1:87)&gt;COUNT(Dong1),"",OFFSET(TH!F$1,SMALL(Dong1,ROWS($1:87)),))</f>
        <v/>
      </c>
      <c r="F100" s="160" t="str">
        <f ca="1">IF(ROWS($1:87)&gt;COUNT(Dong1),"",IF(OFFSET(TH!P$1,SMALL(Dong1,ROWS($1:87)),)="1111",OFFSET(TH!O$1,SMALL(Dong1,ROWS($1:87)),),OFFSET(TH!P$1,SMALL(Dong1,ROWS($1:87)),)))</f>
        <v/>
      </c>
      <c r="G100" s="161" t="str">
        <f ca="1">IF(ROWS($1:87)&gt;COUNT(Dong1),"",IF(OFFSET(TH!O$1,SMALL(Dong1,ROWS($1:87)),)="1111",OFFSET(TH!M$1,SMALL(Dong1,ROWS($1:87)),),0))</f>
        <v/>
      </c>
      <c r="H100" s="159" t="str">
        <f ca="1">IF(ROWS($1:87)&gt;COUNT(Dong1),"",IF(OFFSET(TH!P$1,SMALL(Dong1,ROWS($1:87)),)="1111",OFFSET(TH!M$1,SMALL(Dong1,ROWS($1:87)),),0))</f>
        <v/>
      </c>
      <c r="I100" s="157">
        <f t="shared" ca="1" si="2"/>
        <v>0</v>
      </c>
      <c r="J100" s="162"/>
    </row>
    <row r="101" spans="1:12" ht="19.5" customHeight="1">
      <c r="A101" s="1087"/>
      <c r="B101" s="1087"/>
      <c r="C101" s="162"/>
      <c r="D101" s="162"/>
      <c r="E101" s="407"/>
      <c r="F101" s="163"/>
      <c r="G101" s="162"/>
      <c r="H101" s="162"/>
      <c r="I101" s="157"/>
      <c r="J101" s="162"/>
    </row>
    <row r="102" spans="1:12" s="153" customFormat="1" ht="19.5" customHeight="1">
      <c r="A102" s="1088"/>
      <c r="B102" s="1088"/>
      <c r="C102" s="164"/>
      <c r="D102" s="164"/>
      <c r="E102" s="164" t="s">
        <v>237</v>
      </c>
      <c r="F102" s="165" t="s">
        <v>26</v>
      </c>
      <c r="G102" s="164">
        <f ca="1">SUM(G14:G101)</f>
        <v>880000000</v>
      </c>
      <c r="H102" s="164">
        <f ca="1">SUM(H14:H101)</f>
        <v>1774167682</v>
      </c>
      <c r="I102" s="165" t="s">
        <v>26</v>
      </c>
      <c r="J102" s="165" t="s">
        <v>26</v>
      </c>
    </row>
    <row r="103" spans="1:12" s="153" customFormat="1" ht="19.5" customHeight="1">
      <c r="A103" s="1089"/>
      <c r="B103" s="1089"/>
      <c r="C103" s="166"/>
      <c r="D103" s="166"/>
      <c r="E103" s="166" t="s">
        <v>238</v>
      </c>
      <c r="F103" s="167" t="s">
        <v>26</v>
      </c>
      <c r="G103" s="167" t="s">
        <v>26</v>
      </c>
      <c r="H103" s="167" t="s">
        <v>26</v>
      </c>
      <c r="I103" s="168">
        <f ca="1">I13+G102-H102</f>
        <v>-412262103</v>
      </c>
      <c r="J103" s="167" t="s">
        <v>26</v>
      </c>
    </row>
    <row r="104" spans="1:12">
      <c r="L104" s="451" t="s">
        <v>352</v>
      </c>
    </row>
    <row r="105" spans="1:12">
      <c r="A105" s="1091" t="s">
        <v>1041</v>
      </c>
      <c r="L105" s="451" t="s">
        <v>353</v>
      </c>
    </row>
    <row r="106" spans="1:12">
      <c r="A106" s="1073" t="s">
        <v>1042</v>
      </c>
      <c r="L106" s="451" t="s">
        <v>239</v>
      </c>
    </row>
    <row r="107" spans="1:12">
      <c r="I107" s="169" t="str">
        <f>"Ngày "&amp;IF(OR($O$11=3,$O$11=12),"31","30")&amp;" tháng "&amp;$O$11&amp;"  năm  2015 "</f>
        <v xml:space="preserve">Ngày 30 tháng 9  năm  2015 </v>
      </c>
      <c r="L107" s="451" t="s">
        <v>334</v>
      </c>
    </row>
    <row r="108" spans="1:12" s="170" customFormat="1" ht="14.25">
      <c r="A108" s="1092"/>
      <c r="B108" s="1092"/>
      <c r="C108" s="170" t="s">
        <v>14</v>
      </c>
      <c r="E108" s="170" t="s">
        <v>15</v>
      </c>
      <c r="I108" s="170" t="s">
        <v>205</v>
      </c>
    </row>
    <row r="109" spans="1:12" s="171" customFormat="1">
      <c r="A109" s="1093"/>
      <c r="B109" s="1093"/>
      <c r="C109" s="171" t="s">
        <v>16</v>
      </c>
      <c r="E109" s="171" t="s">
        <v>16</v>
      </c>
      <c r="I109" s="171" t="s">
        <v>240</v>
      </c>
    </row>
    <row r="110" spans="1:12" s="171" customFormat="1">
      <c r="A110" s="1093"/>
      <c r="B110" s="1093"/>
    </row>
    <row r="111" spans="1:12" s="171" customFormat="1">
      <c r="A111" s="1093"/>
      <c r="B111" s="1093"/>
    </row>
    <row r="112" spans="1:12" s="171" customFormat="1">
      <c r="A112" s="1093"/>
      <c r="B112" s="1093"/>
    </row>
    <row r="113" spans="1:10" s="171" customFormat="1">
      <c r="A113" s="1093"/>
      <c r="B113" s="1093"/>
    </row>
    <row r="116" spans="1:10" ht="15.75">
      <c r="C116" s="404"/>
      <c r="I116" s="405" t="s">
        <v>182</v>
      </c>
    </row>
    <row r="117" spans="1:10">
      <c r="E117" s="148">
        <f ca="1">SUMIF($D$14:$D$36,#REF!,H14:H36)</f>
        <v>0</v>
      </c>
    </row>
    <row r="120" spans="1:10">
      <c r="A120" s="1090">
        <v>2</v>
      </c>
      <c r="B120" s="1090">
        <v>3</v>
      </c>
      <c r="C120" s="148">
        <v>4</v>
      </c>
      <c r="D120" s="148">
        <v>5</v>
      </c>
      <c r="E120" s="148">
        <v>6</v>
      </c>
      <c r="F120" s="148">
        <v>9</v>
      </c>
      <c r="G120" s="148">
        <v>10</v>
      </c>
      <c r="H120" s="148">
        <v>11</v>
      </c>
      <c r="I120" s="148">
        <v>12</v>
      </c>
      <c r="J120" s="148">
        <v>13</v>
      </c>
    </row>
  </sheetData>
  <autoFilter ref="A12:J103"/>
  <sortState ref="A13:P167">
    <sortCondition ref="A13:A167"/>
  </sortState>
  <mergeCells count="15">
    <mergeCell ref="N10:O10"/>
    <mergeCell ref="A10:A11"/>
    <mergeCell ref="B10:B11"/>
    <mergeCell ref="C10:D10"/>
    <mergeCell ref="E10:E11"/>
    <mergeCell ref="F10:F11"/>
    <mergeCell ref="G10:H10"/>
    <mergeCell ref="I10:I11"/>
    <mergeCell ref="J10:J11"/>
    <mergeCell ref="G1:J1"/>
    <mergeCell ref="G2:J3"/>
    <mergeCell ref="A5:J5"/>
    <mergeCell ref="A7:J7"/>
    <mergeCell ref="A8:J8"/>
    <mergeCell ref="A6:J6"/>
  </mergeCells>
  <conditionalFormatting sqref="A14:H100">
    <cfRule type="expression" dxfId="3" priority="1" stopIfTrue="1">
      <formula>$B14&lt;&gt;""</formula>
    </cfRule>
  </conditionalFormatting>
  <dataValidations count="1">
    <dataValidation type="list" allowBlank="1" showInputMessage="1" showErrorMessage="1" sqref="L11">
      <formula1>"All,Quý I, Quý II, Quý III, Quý IV"</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1.xml><?xml version="1.0" encoding="utf-8"?>
<worksheet xmlns="http://schemas.openxmlformats.org/spreadsheetml/2006/main" xmlns:r="http://schemas.openxmlformats.org/officeDocument/2006/relationships">
  <sheetPr>
    <tabColor rgb="FF00B050"/>
  </sheetPr>
  <dimension ref="A1:O210"/>
  <sheetViews>
    <sheetView topLeftCell="A6" workbookViewId="0">
      <pane ySplit="6" topLeftCell="A127" activePane="bottomLeft" state="frozen"/>
      <selection activeCell="A6" sqref="A6"/>
      <selection pane="bottomLeft" activeCell="H142" sqref="H142"/>
    </sheetView>
  </sheetViews>
  <sheetFormatPr defaultRowHeight="15.75"/>
  <cols>
    <col min="1" max="1" width="7.7109375" style="1076" customWidth="1"/>
    <col min="2" max="2" width="6" style="209" customWidth="1"/>
    <col min="3" max="3" width="7.7109375" style="1076" customWidth="1"/>
    <col min="4" max="4" width="40.7109375" style="208" customWidth="1"/>
    <col min="5" max="5" width="9.7109375" style="208" bestFit="1" customWidth="1"/>
    <col min="6" max="6" width="13.28515625" style="208" bestFit="1" customWidth="1"/>
    <col min="7" max="8" width="13.5703125" style="208" customWidth="1"/>
    <col min="9" max="9" width="6.5703125" style="208" customWidth="1"/>
    <col min="10" max="10" width="2.85546875" style="208" customWidth="1"/>
    <col min="11" max="11" width="10.7109375" style="208" bestFit="1" customWidth="1"/>
    <col min="12" max="12" width="4.140625" style="208" hidden="1" customWidth="1"/>
    <col min="13" max="14" width="4.5703125" style="208" hidden="1" customWidth="1"/>
    <col min="15" max="15" width="9.140625" style="208" hidden="1" customWidth="1"/>
    <col min="16" max="16384" width="9.140625" style="208"/>
  </cols>
  <sheetData>
    <row r="1" spans="1:14" s="175" customFormat="1" ht="16.5" customHeight="1">
      <c r="A1" s="1063" t="s">
        <v>212</v>
      </c>
      <c r="B1" s="176"/>
      <c r="C1" s="1066"/>
      <c r="F1" s="408"/>
      <c r="G1" s="410" t="s">
        <v>335</v>
      </c>
      <c r="H1" s="410"/>
      <c r="I1" s="408"/>
      <c r="K1" s="177"/>
    </row>
    <row r="2" spans="1:14" s="175" customFormat="1" ht="16.5" customHeight="1">
      <c r="A2" s="1064" t="s">
        <v>213</v>
      </c>
      <c r="B2" s="210"/>
      <c r="C2" s="1065"/>
      <c r="D2" s="210"/>
      <c r="F2" s="409"/>
      <c r="G2" s="411" t="s">
        <v>336</v>
      </c>
      <c r="H2" s="411"/>
      <c r="I2" s="409"/>
      <c r="K2" s="178"/>
    </row>
    <row r="3" spans="1:14" s="175" customFormat="1" ht="16.5" customHeight="1">
      <c r="A3" s="1065"/>
      <c r="B3" s="210"/>
      <c r="C3" s="1065"/>
      <c r="D3" s="210"/>
      <c r="F3" s="409"/>
      <c r="G3" s="411" t="s">
        <v>337</v>
      </c>
      <c r="H3" s="411"/>
      <c r="I3" s="409"/>
    </row>
    <row r="4" spans="1:14" s="175" customFormat="1" ht="19.5" customHeight="1">
      <c r="A4" s="1231" t="s">
        <v>245</v>
      </c>
      <c r="B4" s="1231"/>
      <c r="C4" s="1231"/>
      <c r="D4" s="1231"/>
      <c r="E4" s="1231"/>
      <c r="F4" s="1231"/>
      <c r="G4" s="1231"/>
      <c r="H4" s="1231"/>
      <c r="I4" s="1231"/>
    </row>
    <row r="5" spans="1:14" s="175" customFormat="1" ht="15">
      <c r="A5" s="1232" t="s">
        <v>246</v>
      </c>
      <c r="B5" s="1232"/>
      <c r="C5" s="1232"/>
      <c r="D5" s="1232"/>
      <c r="E5" s="1232"/>
      <c r="F5" s="1232"/>
      <c r="G5" s="1232"/>
      <c r="H5" s="1232"/>
      <c r="I5" s="1232"/>
    </row>
    <row r="6" spans="1:14" s="175" customFormat="1" ht="15">
      <c r="A6" s="1066"/>
      <c r="C6" s="1066"/>
      <c r="D6" s="481" t="s">
        <v>456</v>
      </c>
      <c r="E6" s="1232" t="str">
        <f>IF($H$6="VNĐ","1402 148 5100 7445","1402 148 5102 8153")</f>
        <v>1402 148 5100 7445</v>
      </c>
      <c r="F6" s="1232"/>
      <c r="G6" s="1232"/>
      <c r="H6" s="175" t="s">
        <v>204</v>
      </c>
      <c r="I6" s="482" t="str">
        <f>IF(H6="VNĐ","1121","1122")</f>
        <v>1121</v>
      </c>
    </row>
    <row r="7" spans="1:14" s="175" customFormat="1" ht="8.25" customHeight="1">
      <c r="A7" s="1067"/>
      <c r="B7" s="179"/>
      <c r="C7" s="1067"/>
      <c r="D7" s="179"/>
      <c r="E7" s="179"/>
      <c r="F7" s="179"/>
      <c r="G7" s="179"/>
      <c r="H7" s="179"/>
      <c r="I7" s="179"/>
    </row>
    <row r="8" spans="1:14" s="181" customFormat="1" ht="22.5" customHeight="1" thickBot="1">
      <c r="A8" s="1233" t="s">
        <v>247</v>
      </c>
      <c r="B8" s="1235" t="s">
        <v>1</v>
      </c>
      <c r="C8" s="1236"/>
      <c r="D8" s="1237" t="s">
        <v>0</v>
      </c>
      <c r="E8" s="1239" t="s">
        <v>19</v>
      </c>
      <c r="F8" s="1235" t="s">
        <v>248</v>
      </c>
      <c r="G8" s="1235"/>
      <c r="H8" s="1236"/>
      <c r="I8" s="1237" t="s">
        <v>231</v>
      </c>
      <c r="K8" s="173"/>
      <c r="L8" s="148"/>
      <c r="M8" s="1224" t="s">
        <v>241</v>
      </c>
      <c r="N8" s="1224"/>
    </row>
    <row r="9" spans="1:14" s="181" customFormat="1" ht="22.5" customHeight="1" thickBot="1">
      <c r="A9" s="1234"/>
      <c r="B9" s="182" t="s">
        <v>20</v>
      </c>
      <c r="C9" s="1077" t="s">
        <v>249</v>
      </c>
      <c r="D9" s="1238"/>
      <c r="E9" s="1240"/>
      <c r="F9" s="466" t="s">
        <v>250</v>
      </c>
      <c r="G9" s="183" t="s">
        <v>251</v>
      </c>
      <c r="H9" s="180" t="s">
        <v>252</v>
      </c>
      <c r="I9" s="1238"/>
      <c r="K9" s="211" t="s">
        <v>1218</v>
      </c>
      <c r="L9" s="148"/>
      <c r="M9" s="212">
        <f>IF(K9="Quý I",1,IF(K9="Quý II",4,IF(K9="Quý III",7,IF(K9="Quý IV",10,""))))</f>
        <v>7</v>
      </c>
      <c r="N9" s="213">
        <f>IF(K9="Quý I",3,IF(K9="Quý II",6,IF(K9="Quý III",9,IF(K9="Quý IV",12,""))))</f>
        <v>9</v>
      </c>
    </row>
    <row r="10" spans="1:14" s="185" customFormat="1" ht="12">
      <c r="A10" s="1068" t="s">
        <v>2</v>
      </c>
      <c r="B10" s="184" t="s">
        <v>3</v>
      </c>
      <c r="C10" s="1068" t="s">
        <v>4</v>
      </c>
      <c r="D10" s="184" t="s">
        <v>5</v>
      </c>
      <c r="E10" s="184" t="s">
        <v>6</v>
      </c>
      <c r="F10" s="184">
        <v>1</v>
      </c>
      <c r="G10" s="184">
        <v>2</v>
      </c>
      <c r="H10" s="184">
        <v>3</v>
      </c>
      <c r="I10" s="184" t="s">
        <v>234</v>
      </c>
    </row>
    <row r="11" spans="1:14" s="189" customFormat="1" ht="20.25" customHeight="1">
      <c r="A11" s="1069"/>
      <c r="B11" s="186"/>
      <c r="C11" s="1069"/>
      <c r="D11" s="187" t="s">
        <v>7</v>
      </c>
      <c r="E11" s="187"/>
      <c r="F11" s="188"/>
      <c r="G11" s="187"/>
      <c r="H11" s="188">
        <f>IF($I$6="1121",CDPS!$C$12+SUMIF(_N112,"x",TH)-SUMIF(_C112,"x",TH),CDPS!C13+SUMIF(_N112,"x",TH)-SUMIF(_C112,"x",TH))</f>
        <v>1518304</v>
      </c>
      <c r="I11" s="187"/>
    </row>
    <row r="12" spans="1:14" s="181" customFormat="1" ht="20.25" customHeight="1">
      <c r="A12" s="1070">
        <f ca="1">IF(ROWS($1:1)&gt;COUNT(Dong2),"",OFFSET(TH!C$1,SMALL(Dong2,ROWS($1:1)),))</f>
        <v>42552</v>
      </c>
      <c r="B12" s="190" t="str">
        <f ca="1">IF(ROWS($1:1)&gt;COUNT(Dong2),"",OFFSET(TH!D$1,SMALL(Dong2,ROWS($1:1)),))</f>
        <v>GBN</v>
      </c>
      <c r="C12" s="1070">
        <f ca="1">IF(ROWS($1:1)&gt;COUNT(Dong2),"",OFFSET(TH!E$1,SMALL(Dong2,ROWS($1:1)),))</f>
        <v>42552</v>
      </c>
      <c r="D12" s="413" t="str">
        <f ca="1">IF(ROWS($1:1)&gt;COUNT(Dong2),"",OFFSET(TH!F$1,SMALL(Dong2,ROWS($1:1)),))</f>
        <v>Phí DV</v>
      </c>
      <c r="E12" s="190" t="str">
        <f ca="1">IF(ROWS($1:1)&gt;COUNT(Dong2),"",IF(OFFSET(TH!P$1,SMALL(Dong2,ROWS($1:1)),)=$I$6,OFFSET(TH!O$1,SMALL(Dong2,ROWS($1:1)),),OFFSET(TH!P$1,SMALL(Dong2,ROWS($1:1)),)))</f>
        <v>642</v>
      </c>
      <c r="F12" s="191">
        <f ca="1">IF(ROWS($1:1)&gt;COUNT(Dong2),"",IF(OFFSET(TH!O$1,SMALL(Dong2,ROWS($1:1)),)=$I$6,IF($I$6="1121",OFFSET(TH!M$1,SMALL(Dong2,ROWS($1:1)),),OFFSET(TH!K$1,SMALL(Dong2,ROWS($1:1)),)),0))</f>
        <v>0</v>
      </c>
      <c r="G12" s="191">
        <f ca="1">IF(ROWS($1:1)&gt;COUNT(Dong2),"",IF(OFFSET(TH!P$1,SMALL(Dong2,ROWS($1:1)),)=$I$6,IF($I$6="1121",OFFSET(TH!M$1,SMALL(Dong2,ROWS($1:1)),),OFFSET(TH!K$1,SMALL(Dong2,ROWS($1:1)),)),0))</f>
        <v>100000</v>
      </c>
      <c r="H12" s="192">
        <f ca="1">IF(A12&lt;&gt;"",H11+F12-G12,0)</f>
        <v>1418304</v>
      </c>
      <c r="I12" s="192"/>
    </row>
    <row r="13" spans="1:14" s="181" customFormat="1" ht="20.25" customHeight="1">
      <c r="A13" s="1070">
        <f ca="1">IF(ROWS($1:2)&gt;COUNT(Dong2),"",OFFSET(TH!C$1,SMALL(Dong2,ROWS($1:2)),))</f>
        <v>42552</v>
      </c>
      <c r="B13" s="190" t="str">
        <f ca="1">IF(ROWS($1:2)&gt;COUNT(Dong2),"",OFFSET(TH!D$1,SMALL(Dong2,ROWS($1:2)),))</f>
        <v>GBN</v>
      </c>
      <c r="C13" s="1070">
        <f ca="1">IF(ROWS($1:2)&gt;COUNT(Dong2),"",OFFSET(TH!E$1,SMALL(Dong2,ROWS($1:2)),))</f>
        <v>42552</v>
      </c>
      <c r="D13" s="413" t="str">
        <f ca="1">IF(ROWS($1:2)&gt;COUNT(Dong2),"",OFFSET(TH!F$1,SMALL(Dong2,ROWS($1:2)),))</f>
        <v>VAT Phí DV</v>
      </c>
      <c r="E13" s="190" t="str">
        <f ca="1">IF(ROWS($1:2)&gt;COUNT(Dong2),"",IF(OFFSET(TH!P$1,SMALL(Dong2,ROWS($1:2)),)=$I$6,OFFSET(TH!O$1,SMALL(Dong2,ROWS($1:2)),),OFFSET(TH!P$1,SMALL(Dong2,ROWS($1:2)),)))</f>
        <v>1331</v>
      </c>
      <c r="F13" s="191">
        <f ca="1">IF(ROWS($1:2)&gt;COUNT(Dong2),"",IF(OFFSET(TH!O$1,SMALL(Dong2,ROWS($1:2)),)=$I$6,IF($I$6="1121",OFFSET(TH!M$1,SMALL(Dong2,ROWS($1:2)),),OFFSET(TH!K$1,SMALL(Dong2,ROWS($1:2)),)),0))</f>
        <v>0</v>
      </c>
      <c r="G13" s="191">
        <f ca="1">IF(ROWS($1:2)&gt;COUNT(Dong2),"",IF(OFFSET(TH!P$1,SMALL(Dong2,ROWS($1:2)),)=$I$6,IF($I$6="1121",OFFSET(TH!M$1,SMALL(Dong2,ROWS($1:2)),),OFFSET(TH!K$1,SMALL(Dong2,ROWS($1:2)),)),0))</f>
        <v>10000</v>
      </c>
      <c r="H13" s="192">
        <f t="shared" ref="H13:H32" ca="1" si="0">IF(A13&lt;&gt;"",H12+F13-G13,0)</f>
        <v>1408304</v>
      </c>
      <c r="I13" s="192"/>
    </row>
    <row r="14" spans="1:14" s="181" customFormat="1" ht="20.25" customHeight="1">
      <c r="A14" s="1070">
        <f ca="1">IF(ROWS($1:3)&gt;COUNT(Dong2),"",OFFSET(TH!C$1,SMALL(Dong2,ROWS($1:3)),))</f>
        <v>42562</v>
      </c>
      <c r="B14" s="190" t="str">
        <f ca="1">IF(ROWS($1:3)&gt;COUNT(Dong2),"",OFFSET(TH!D$1,SMALL(Dong2,ROWS($1:3)),))</f>
        <v>C09</v>
      </c>
      <c r="C14" s="1070">
        <f ca="1">IF(ROWS($1:3)&gt;COUNT(Dong2),"",OFFSET(TH!E$1,SMALL(Dong2,ROWS($1:3)),))</f>
        <v>42562</v>
      </c>
      <c r="D14" s="413" t="str">
        <f ca="1">IF(ROWS($1:3)&gt;COUNT(Dong2),"",OFFSET(TH!F$1,SMALL(Dong2,ROWS($1:3)),))</f>
        <v>Nộp TM</v>
      </c>
      <c r="E14" s="190" t="str">
        <f ca="1">IF(ROWS($1:3)&gt;COUNT(Dong2),"",IF(OFFSET(TH!P$1,SMALL(Dong2,ROWS($1:3)),)=$I$6,OFFSET(TH!O$1,SMALL(Dong2,ROWS($1:3)),),OFFSET(TH!P$1,SMALL(Dong2,ROWS($1:3)),)))</f>
        <v>1111</v>
      </c>
      <c r="F14" s="191">
        <f ca="1">IF(ROWS($1:3)&gt;COUNT(Dong2),"",IF(OFFSET(TH!O$1,SMALL(Dong2,ROWS($1:3)),)=$I$6,IF($I$6="1121",OFFSET(TH!M$1,SMALL(Dong2,ROWS($1:3)),),OFFSET(TH!K$1,SMALL(Dong2,ROWS($1:3)),)),0))</f>
        <v>100000000</v>
      </c>
      <c r="G14" s="191">
        <f ca="1">IF(ROWS($1:3)&gt;COUNT(Dong2),"",IF(OFFSET(TH!P$1,SMALL(Dong2,ROWS($1:3)),)=$I$6,IF($I$6="1121",OFFSET(TH!M$1,SMALL(Dong2,ROWS($1:3)),),OFFSET(TH!K$1,SMALL(Dong2,ROWS($1:3)),)),0))</f>
        <v>0</v>
      </c>
      <c r="H14" s="192">
        <f t="shared" ca="1" si="0"/>
        <v>101408304</v>
      </c>
      <c r="I14" s="192"/>
    </row>
    <row r="15" spans="1:14" s="181" customFormat="1" ht="20.25" customHeight="1">
      <c r="A15" s="1070">
        <f ca="1">IF(ROWS($1:4)&gt;COUNT(Dong2),"",OFFSET(TH!C$1,SMALL(Dong2,ROWS($1:4)),))</f>
        <v>42562</v>
      </c>
      <c r="B15" s="190" t="str">
        <f ca="1">IF(ROWS($1:4)&gt;COUNT(Dong2),"",OFFSET(TH!D$1,SMALL(Dong2,ROWS($1:4)),))</f>
        <v>GBN</v>
      </c>
      <c r="C15" s="1070">
        <f ca="1">IF(ROWS($1:4)&gt;COUNT(Dong2),"",OFFSET(TH!E$1,SMALL(Dong2,ROWS($1:4)),))</f>
        <v>42562</v>
      </c>
      <c r="D15" s="413" t="str">
        <f ca="1">IF(ROWS($1:4)&gt;COUNT(Dong2),"",OFFSET(TH!F$1,SMALL(Dong2,ROWS($1:4)),))</f>
        <v>Thanh toán HĐ</v>
      </c>
      <c r="E15" s="190" t="str">
        <f ca="1">IF(ROWS($1:4)&gt;COUNT(Dong2),"",IF(OFFSET(TH!P$1,SMALL(Dong2,ROWS($1:4)),)=$I$6,OFFSET(TH!O$1,SMALL(Dong2,ROWS($1:4)),),OFFSET(TH!P$1,SMALL(Dong2,ROWS($1:4)),)))</f>
        <v>331</v>
      </c>
      <c r="F15" s="191">
        <f ca="1">IF(ROWS($1:4)&gt;COUNT(Dong2),"",IF(OFFSET(TH!O$1,SMALL(Dong2,ROWS($1:4)),)=$I$6,IF($I$6="1121",OFFSET(TH!M$1,SMALL(Dong2,ROWS($1:4)),),OFFSET(TH!K$1,SMALL(Dong2,ROWS($1:4)),)),0))</f>
        <v>0</v>
      </c>
      <c r="G15" s="191">
        <f ca="1">IF(ROWS($1:4)&gt;COUNT(Dong2),"",IF(OFFSET(TH!P$1,SMALL(Dong2,ROWS($1:4)),)=$I$6,IF($I$6="1121",OFFSET(TH!M$1,SMALL(Dong2,ROWS($1:4)),),OFFSET(TH!K$1,SMALL(Dong2,ROWS($1:4)),)),0))</f>
        <v>100000000</v>
      </c>
      <c r="H15" s="192">
        <f t="shared" ca="1" si="0"/>
        <v>1408304</v>
      </c>
      <c r="I15" s="192"/>
    </row>
    <row r="16" spans="1:14" s="181" customFormat="1" ht="20.25" customHeight="1">
      <c r="A16" s="1070">
        <f ca="1">IF(ROWS($1:5)&gt;COUNT(Dong2),"",OFFSET(TH!C$1,SMALL(Dong2,ROWS($1:5)),))</f>
        <v>42562</v>
      </c>
      <c r="B16" s="190" t="str">
        <f ca="1">IF(ROWS($1:5)&gt;COUNT(Dong2),"",OFFSET(TH!D$1,SMALL(Dong2,ROWS($1:5)),))</f>
        <v>GBN</v>
      </c>
      <c r="C16" s="1070">
        <f ca="1">IF(ROWS($1:5)&gt;COUNT(Dong2),"",OFFSET(TH!E$1,SMALL(Dong2,ROWS($1:5)),))</f>
        <v>42562</v>
      </c>
      <c r="D16" s="413" t="str">
        <f ca="1">IF(ROWS($1:5)&gt;COUNT(Dong2),"",OFFSET(TH!F$1,SMALL(Dong2,ROWS($1:5)),))</f>
        <v xml:space="preserve">Phí chuyển tiền </v>
      </c>
      <c r="E16" s="190" t="str">
        <f ca="1">IF(ROWS($1:5)&gt;COUNT(Dong2),"",IF(OFFSET(TH!P$1,SMALL(Dong2,ROWS($1:5)),)=$I$6,OFFSET(TH!O$1,SMALL(Dong2,ROWS($1:5)),),OFFSET(TH!P$1,SMALL(Dong2,ROWS($1:5)),)))</f>
        <v>642</v>
      </c>
      <c r="F16" s="191">
        <f ca="1">IF(ROWS($1:5)&gt;COUNT(Dong2),"",IF(OFFSET(TH!O$1,SMALL(Dong2,ROWS($1:5)),)=$I$6,IF($I$6="1121",OFFSET(TH!M$1,SMALL(Dong2,ROWS($1:5)),),OFFSET(TH!K$1,SMALL(Dong2,ROWS($1:5)),)),0))</f>
        <v>0</v>
      </c>
      <c r="G16" s="191">
        <f ca="1">IF(ROWS($1:5)&gt;COUNT(Dong2),"",IF(OFFSET(TH!P$1,SMALL(Dong2,ROWS($1:5)),)=$I$6,IF($I$6="1121",OFFSET(TH!M$1,SMALL(Dong2,ROWS($1:5)),),OFFSET(TH!K$1,SMALL(Dong2,ROWS($1:5)),)),0))</f>
        <v>79578</v>
      </c>
      <c r="H16" s="192">
        <f t="shared" ca="1" si="0"/>
        <v>1328726</v>
      </c>
      <c r="I16" s="192"/>
    </row>
    <row r="17" spans="1:9" s="181" customFormat="1" ht="20.25" customHeight="1">
      <c r="A17" s="1070">
        <f ca="1">IF(ROWS($1:6)&gt;COUNT(Dong2),"",OFFSET(TH!C$1,SMALL(Dong2,ROWS($1:6)),))</f>
        <v>42562</v>
      </c>
      <c r="B17" s="190" t="str">
        <f ca="1">IF(ROWS($1:6)&gt;COUNT(Dong2),"",OFFSET(TH!D$1,SMALL(Dong2,ROWS($1:6)),))</f>
        <v>GBN</v>
      </c>
      <c r="C17" s="1070">
        <f ca="1">IF(ROWS($1:6)&gt;COUNT(Dong2),"",OFFSET(TH!E$1,SMALL(Dong2,ROWS($1:6)),))</f>
        <v>42562</v>
      </c>
      <c r="D17" s="413" t="str">
        <f ca="1">IF(ROWS($1:6)&gt;COUNT(Dong2),"",OFFSET(TH!F$1,SMALL(Dong2,ROWS($1:6)),))</f>
        <v xml:space="preserve">VAT Phí chuyển tiền </v>
      </c>
      <c r="E17" s="190" t="str">
        <f ca="1">IF(ROWS($1:6)&gt;COUNT(Dong2),"",IF(OFFSET(TH!P$1,SMALL(Dong2,ROWS($1:6)),)=$I$6,OFFSET(TH!O$1,SMALL(Dong2,ROWS($1:6)),),OFFSET(TH!P$1,SMALL(Dong2,ROWS($1:6)),)))</f>
        <v>1331</v>
      </c>
      <c r="F17" s="191">
        <f ca="1">IF(ROWS($1:6)&gt;COUNT(Dong2),"",IF(OFFSET(TH!O$1,SMALL(Dong2,ROWS($1:6)),)=$I$6,IF($I$6="1121",OFFSET(TH!M$1,SMALL(Dong2,ROWS($1:6)),),OFFSET(TH!K$1,SMALL(Dong2,ROWS($1:6)),)),0))</f>
        <v>0</v>
      </c>
      <c r="G17" s="191">
        <f ca="1">IF(ROWS($1:6)&gt;COUNT(Dong2),"",IF(OFFSET(TH!P$1,SMALL(Dong2,ROWS($1:6)),)=$I$6,IF($I$6="1121",OFFSET(TH!M$1,SMALL(Dong2,ROWS($1:6)),),OFFSET(TH!K$1,SMALL(Dong2,ROWS($1:6)),)),0))</f>
        <v>7958</v>
      </c>
      <c r="H17" s="192">
        <f t="shared" ca="1" si="0"/>
        <v>1320768</v>
      </c>
      <c r="I17" s="192"/>
    </row>
    <row r="18" spans="1:9" s="181" customFormat="1" ht="20.25" customHeight="1">
      <c r="A18" s="1070">
        <f ca="1">IF(ROWS($1:7)&gt;COUNT(Dong2),"",OFFSET(TH!C$1,SMALL(Dong2,ROWS($1:7)),))</f>
        <v>42566</v>
      </c>
      <c r="B18" s="190" t="str">
        <f ca="1">IF(ROWS($1:7)&gt;COUNT(Dong2),"",OFFSET(TH!D$1,SMALL(Dong2,ROWS($1:7)),))</f>
        <v>GBC</v>
      </c>
      <c r="C18" s="1070">
        <f ca="1">IF(ROWS($1:7)&gt;COUNT(Dong2),"",OFFSET(TH!E$1,SMALL(Dong2,ROWS($1:7)),))</f>
        <v>42566</v>
      </c>
      <c r="D18" s="413" t="str">
        <f ca="1">IF(ROWS($1:7)&gt;COUNT(Dong2),"",OFFSET(TH!F$1,SMALL(Dong2,ROWS($1:7)),))</f>
        <v>Ứng vốn</v>
      </c>
      <c r="E18" s="190" t="str">
        <f ca="1">IF(ROWS($1:7)&gt;COUNT(Dong2),"",IF(OFFSET(TH!P$1,SMALL(Dong2,ROWS($1:7)),)=$I$6,OFFSET(TH!O$1,SMALL(Dong2,ROWS($1:7)),),OFFSET(TH!P$1,SMALL(Dong2,ROWS($1:7)),)))</f>
        <v>3388</v>
      </c>
      <c r="F18" s="191">
        <f ca="1">IF(ROWS($1:7)&gt;COUNT(Dong2),"",IF(OFFSET(TH!O$1,SMALL(Dong2,ROWS($1:7)),)=$I$6,IF($I$6="1121",OFFSET(TH!M$1,SMALL(Dong2,ROWS($1:7)),),OFFSET(TH!K$1,SMALL(Dong2,ROWS($1:7)),)),0))</f>
        <v>29000000</v>
      </c>
      <c r="G18" s="191">
        <f ca="1">IF(ROWS($1:7)&gt;COUNT(Dong2),"",IF(OFFSET(TH!P$1,SMALL(Dong2,ROWS($1:7)),)=$I$6,IF($I$6="1121",OFFSET(TH!M$1,SMALL(Dong2,ROWS($1:7)),),OFFSET(TH!K$1,SMALL(Dong2,ROWS($1:7)),)),0))</f>
        <v>0</v>
      </c>
      <c r="H18" s="192">
        <f t="shared" ca="1" si="0"/>
        <v>30320768</v>
      </c>
      <c r="I18" s="192"/>
    </row>
    <row r="19" spans="1:9" s="181" customFormat="1" ht="20.25" customHeight="1">
      <c r="A19" s="1070">
        <f ca="1">IF(ROWS($1:8)&gt;COUNT(Dong2),"",OFFSET(TH!C$1,SMALL(Dong2,ROWS($1:8)),))</f>
        <v>42566</v>
      </c>
      <c r="B19" s="190" t="str">
        <f ca="1">IF(ROWS($1:8)&gt;COUNT(Dong2),"",OFFSET(TH!D$1,SMALL(Dong2,ROWS($1:8)),))</f>
        <v>GBN</v>
      </c>
      <c r="C19" s="1070">
        <f ca="1">IF(ROWS($1:8)&gt;COUNT(Dong2),"",OFFSET(TH!E$1,SMALL(Dong2,ROWS($1:8)),))</f>
        <v>42566</v>
      </c>
      <c r="D19" s="413" t="str">
        <f ca="1">IF(ROWS($1:8)&gt;COUNT(Dong2),"",OFFSET(TH!F$1,SMALL(Dong2,ROWS($1:8)),))</f>
        <v>Thanh toán HĐ</v>
      </c>
      <c r="E19" s="190" t="str">
        <f ca="1">IF(ROWS($1:8)&gt;COUNT(Dong2),"",IF(OFFSET(TH!P$1,SMALL(Dong2,ROWS($1:8)),)=$I$6,OFFSET(TH!O$1,SMALL(Dong2,ROWS($1:8)),),OFFSET(TH!P$1,SMALL(Dong2,ROWS($1:8)),)))</f>
        <v>331</v>
      </c>
      <c r="F19" s="191">
        <f ca="1">IF(ROWS($1:8)&gt;COUNT(Dong2),"",IF(OFFSET(TH!O$1,SMALL(Dong2,ROWS($1:8)),)=$I$6,IF($I$6="1121",OFFSET(TH!M$1,SMALL(Dong2,ROWS($1:8)),),OFFSET(TH!K$1,SMALL(Dong2,ROWS($1:8)),)),0))</f>
        <v>0</v>
      </c>
      <c r="G19" s="191">
        <f ca="1">IF(ROWS($1:8)&gt;COUNT(Dong2),"",IF(OFFSET(TH!P$1,SMALL(Dong2,ROWS($1:8)),)=$I$6,IF($I$6="1121",OFFSET(TH!M$1,SMALL(Dong2,ROWS($1:8)),),OFFSET(TH!K$1,SMALL(Dong2,ROWS($1:8)),)),0))</f>
        <v>28700000</v>
      </c>
      <c r="H19" s="192">
        <f t="shared" ca="1" si="0"/>
        <v>1620768</v>
      </c>
      <c r="I19" s="192"/>
    </row>
    <row r="20" spans="1:9" s="181" customFormat="1" ht="20.25" customHeight="1">
      <c r="A20" s="1070">
        <f ca="1">IF(ROWS($1:9)&gt;COUNT(Dong2),"",OFFSET(TH!C$1,SMALL(Dong2,ROWS($1:9)),))</f>
        <v>42566</v>
      </c>
      <c r="B20" s="190" t="str">
        <f ca="1">IF(ROWS($1:9)&gt;COUNT(Dong2),"",OFFSET(TH!D$1,SMALL(Dong2,ROWS($1:9)),))</f>
        <v>GBN</v>
      </c>
      <c r="C20" s="1070">
        <f ca="1">IF(ROWS($1:9)&gt;COUNT(Dong2),"",OFFSET(TH!E$1,SMALL(Dong2,ROWS($1:9)),))</f>
        <v>42566</v>
      </c>
      <c r="D20" s="413" t="str">
        <f ca="1">IF(ROWS($1:9)&gt;COUNT(Dong2),"",OFFSET(TH!F$1,SMALL(Dong2,ROWS($1:9)),))</f>
        <v xml:space="preserve">Phí chuyển tiền </v>
      </c>
      <c r="E20" s="190" t="str">
        <f ca="1">IF(ROWS($1:9)&gt;COUNT(Dong2),"",IF(OFFSET(TH!P$1,SMALL(Dong2,ROWS($1:9)),)=$I$6,OFFSET(TH!O$1,SMALL(Dong2,ROWS($1:9)),),OFFSET(TH!P$1,SMALL(Dong2,ROWS($1:9)),)))</f>
        <v>642</v>
      </c>
      <c r="F20" s="191">
        <f ca="1">IF(ROWS($1:9)&gt;COUNT(Dong2),"",IF(OFFSET(TH!O$1,SMALL(Dong2,ROWS($1:9)),)=$I$6,IF($I$6="1121",OFFSET(TH!M$1,SMALL(Dong2,ROWS($1:9)),),OFFSET(TH!K$1,SMALL(Dong2,ROWS($1:9)),)),0))</f>
        <v>0</v>
      </c>
      <c r="G20" s="191">
        <f ca="1">IF(ROWS($1:9)&gt;COUNT(Dong2),"",IF(OFFSET(TH!P$1,SMALL(Dong2,ROWS($1:9)),)=$I$6,IF($I$6="1121",OFFSET(TH!M$1,SMALL(Dong2,ROWS($1:9)),),OFFSET(TH!K$1,SMALL(Dong2,ROWS($1:9)),)),0))</f>
        <v>25000</v>
      </c>
      <c r="H20" s="192">
        <f t="shared" ca="1" si="0"/>
        <v>1595768</v>
      </c>
      <c r="I20" s="192"/>
    </row>
    <row r="21" spans="1:9" s="181" customFormat="1" ht="20.25" customHeight="1">
      <c r="A21" s="1070">
        <f ca="1">IF(ROWS($1:10)&gt;COUNT(Dong2),"",OFFSET(TH!C$1,SMALL(Dong2,ROWS($1:10)),))</f>
        <v>42566</v>
      </c>
      <c r="B21" s="190" t="str">
        <f ca="1">IF(ROWS($1:10)&gt;COUNT(Dong2),"",OFFSET(TH!D$1,SMALL(Dong2,ROWS($1:10)),))</f>
        <v>GBN</v>
      </c>
      <c r="C21" s="1070">
        <f ca="1">IF(ROWS($1:10)&gt;COUNT(Dong2),"",OFFSET(TH!E$1,SMALL(Dong2,ROWS($1:10)),))</f>
        <v>42566</v>
      </c>
      <c r="D21" s="413" t="str">
        <f ca="1">IF(ROWS($1:10)&gt;COUNT(Dong2),"",OFFSET(TH!F$1,SMALL(Dong2,ROWS($1:10)),))</f>
        <v xml:space="preserve">VAT Phí chuyển tiền </v>
      </c>
      <c r="E21" s="190" t="str">
        <f ca="1">IF(ROWS($1:10)&gt;COUNT(Dong2),"",IF(OFFSET(TH!P$1,SMALL(Dong2,ROWS($1:10)),)=$I$6,OFFSET(TH!O$1,SMALL(Dong2,ROWS($1:10)),),OFFSET(TH!P$1,SMALL(Dong2,ROWS($1:10)),)))</f>
        <v>1331</v>
      </c>
      <c r="F21" s="191">
        <f ca="1">IF(ROWS($1:10)&gt;COUNT(Dong2),"",IF(OFFSET(TH!O$1,SMALL(Dong2,ROWS($1:10)),)=$I$6,IF($I$6="1121",OFFSET(TH!M$1,SMALL(Dong2,ROWS($1:10)),),OFFSET(TH!K$1,SMALL(Dong2,ROWS($1:10)),)),0))</f>
        <v>0</v>
      </c>
      <c r="G21" s="191">
        <f ca="1">IF(ROWS($1:10)&gt;COUNT(Dong2),"",IF(OFFSET(TH!P$1,SMALL(Dong2,ROWS($1:10)),)=$I$6,IF($I$6="1121",OFFSET(TH!M$1,SMALL(Dong2,ROWS($1:10)),),OFFSET(TH!K$1,SMALL(Dong2,ROWS($1:10)),)),0))</f>
        <v>2500</v>
      </c>
      <c r="H21" s="192">
        <f t="shared" ca="1" si="0"/>
        <v>1593268</v>
      </c>
      <c r="I21" s="192"/>
    </row>
    <row r="22" spans="1:9" s="181" customFormat="1" ht="20.25" customHeight="1">
      <c r="A22" s="1070">
        <f ca="1">IF(ROWS($1:11)&gt;COUNT(Dong2),"",OFFSET(TH!C$1,SMALL(Dong2,ROWS($1:11)),))</f>
        <v>42573</v>
      </c>
      <c r="B22" s="190" t="str">
        <f ca="1">IF(ROWS($1:11)&gt;COUNT(Dong2),"",OFFSET(TH!D$1,SMALL(Dong2,ROWS($1:11)),))</f>
        <v>GBC</v>
      </c>
      <c r="C22" s="1070">
        <f ca="1">IF(ROWS($1:11)&gt;COUNT(Dong2),"",OFFSET(TH!E$1,SMALL(Dong2,ROWS($1:11)),))</f>
        <v>42573</v>
      </c>
      <c r="D22" s="413" t="str">
        <f ca="1">IF(ROWS($1:11)&gt;COUNT(Dong2),"",OFFSET(TH!F$1,SMALL(Dong2,ROWS($1:11)),))</f>
        <v>Ứng vốn</v>
      </c>
      <c r="E22" s="190" t="str">
        <f ca="1">IF(ROWS($1:11)&gt;COUNT(Dong2),"",IF(OFFSET(TH!P$1,SMALL(Dong2,ROWS($1:11)),)=$I$6,OFFSET(TH!O$1,SMALL(Dong2,ROWS($1:11)),),OFFSET(TH!P$1,SMALL(Dong2,ROWS($1:11)),)))</f>
        <v>3388</v>
      </c>
      <c r="F22" s="191">
        <f ca="1">IF(ROWS($1:11)&gt;COUNT(Dong2),"",IF(OFFSET(TH!O$1,SMALL(Dong2,ROWS($1:11)),)=$I$6,IF($I$6="1121",OFFSET(TH!M$1,SMALL(Dong2,ROWS($1:11)),),OFFSET(TH!K$1,SMALL(Dong2,ROWS($1:11)),)),0))</f>
        <v>160000000</v>
      </c>
      <c r="G22" s="191">
        <f ca="1">IF(ROWS($1:11)&gt;COUNT(Dong2),"",IF(OFFSET(TH!P$1,SMALL(Dong2,ROWS($1:11)),)=$I$6,IF($I$6="1121",OFFSET(TH!M$1,SMALL(Dong2,ROWS($1:11)),),OFFSET(TH!K$1,SMALL(Dong2,ROWS($1:11)),)),0))</f>
        <v>0</v>
      </c>
      <c r="H22" s="192">
        <f t="shared" ca="1" si="0"/>
        <v>161593268</v>
      </c>
      <c r="I22" s="192"/>
    </row>
    <row r="23" spans="1:9" s="181" customFormat="1" ht="20.25" customHeight="1">
      <c r="A23" s="1070">
        <f ca="1">IF(ROWS($1:12)&gt;COUNT(Dong2),"",OFFSET(TH!C$1,SMALL(Dong2,ROWS($1:12)),))</f>
        <v>42573</v>
      </c>
      <c r="B23" s="190" t="str">
        <f ca="1">IF(ROWS($1:12)&gt;COUNT(Dong2),"",OFFSET(TH!D$1,SMALL(Dong2,ROWS($1:12)),))</f>
        <v>GBN</v>
      </c>
      <c r="C23" s="1070">
        <f ca="1">IF(ROWS($1:12)&gt;COUNT(Dong2),"",OFFSET(TH!E$1,SMALL(Dong2,ROWS($1:12)),))</f>
        <v>42573</v>
      </c>
      <c r="D23" s="413" t="str">
        <f ca="1">IF(ROWS($1:12)&gt;COUNT(Dong2),"",OFFSET(TH!F$1,SMALL(Dong2,ROWS($1:12)),))</f>
        <v>Lãi vay</v>
      </c>
      <c r="E23" s="190" t="str">
        <f ca="1">IF(ROWS($1:12)&gt;COUNT(Dong2),"",IF(OFFSET(TH!P$1,SMALL(Dong2,ROWS($1:12)),)=$I$6,OFFSET(TH!O$1,SMALL(Dong2,ROWS($1:12)),),OFFSET(TH!P$1,SMALL(Dong2,ROWS($1:12)),)))</f>
        <v>635</v>
      </c>
      <c r="F23" s="191">
        <f ca="1">IF(ROWS($1:12)&gt;COUNT(Dong2),"",IF(OFFSET(TH!O$1,SMALL(Dong2,ROWS($1:12)),)=$I$6,IF($I$6="1121",OFFSET(TH!M$1,SMALL(Dong2,ROWS($1:12)),),OFFSET(TH!K$1,SMALL(Dong2,ROWS($1:12)),)),0))</f>
        <v>0</v>
      </c>
      <c r="G23" s="191">
        <f ca="1">IF(ROWS($1:12)&gt;COUNT(Dong2),"",IF(OFFSET(TH!P$1,SMALL(Dong2,ROWS($1:12)),)=$I$6,IF($I$6="1121",OFFSET(TH!M$1,SMALL(Dong2,ROWS($1:12)),),OFFSET(TH!K$1,SMALL(Dong2,ROWS($1:12)),)),0))</f>
        <v>7926068</v>
      </c>
      <c r="H23" s="192">
        <f t="shared" ca="1" si="0"/>
        <v>153667200</v>
      </c>
      <c r="I23" s="192"/>
    </row>
    <row r="24" spans="1:9" s="181" customFormat="1" ht="20.25" customHeight="1">
      <c r="A24" s="1070">
        <f ca="1">IF(ROWS($1:13)&gt;COUNT(Dong2),"",OFFSET(TH!C$1,SMALL(Dong2,ROWS($1:13)),))</f>
        <v>42573</v>
      </c>
      <c r="B24" s="190" t="str">
        <f ca="1">IF(ROWS($1:13)&gt;COUNT(Dong2),"",OFFSET(TH!D$1,SMALL(Dong2,ROWS($1:13)),))</f>
        <v>GBN</v>
      </c>
      <c r="C24" s="1070">
        <f ca="1">IF(ROWS($1:13)&gt;COUNT(Dong2),"",OFFSET(TH!E$1,SMALL(Dong2,ROWS($1:13)),))</f>
        <v>42573</v>
      </c>
      <c r="D24" s="413" t="str">
        <f ca="1">IF(ROWS($1:13)&gt;COUNT(Dong2),"",OFFSET(TH!F$1,SMALL(Dong2,ROWS($1:13)),))</f>
        <v>Lãi vay</v>
      </c>
      <c r="E24" s="190" t="str">
        <f ca="1">IF(ROWS($1:13)&gt;COUNT(Dong2),"",IF(OFFSET(TH!P$1,SMALL(Dong2,ROWS($1:13)),)=$I$6,OFFSET(TH!O$1,SMALL(Dong2,ROWS($1:13)),),OFFSET(TH!P$1,SMALL(Dong2,ROWS($1:13)),)))</f>
        <v>635</v>
      </c>
      <c r="F24" s="191">
        <f ca="1">IF(ROWS($1:13)&gt;COUNT(Dong2),"",IF(OFFSET(TH!O$1,SMALL(Dong2,ROWS($1:13)),)=$I$6,IF($I$6="1121",OFFSET(TH!M$1,SMALL(Dong2,ROWS($1:13)),),OFFSET(TH!K$1,SMALL(Dong2,ROWS($1:13)),)),0))</f>
        <v>0</v>
      </c>
      <c r="G24" s="191">
        <f ca="1">IF(ROWS($1:13)&gt;COUNT(Dong2),"",IF(OFFSET(TH!P$1,SMALL(Dong2,ROWS($1:13)),)=$I$6,IF($I$6="1121",OFFSET(TH!M$1,SMALL(Dong2,ROWS($1:13)),),OFFSET(TH!K$1,SMALL(Dong2,ROWS($1:13)),)),0))</f>
        <v>15852135</v>
      </c>
      <c r="H24" s="192">
        <f t="shared" ca="1" si="0"/>
        <v>137815065</v>
      </c>
      <c r="I24" s="192"/>
    </row>
    <row r="25" spans="1:9" s="181" customFormat="1" ht="20.25" customHeight="1">
      <c r="A25" s="1070">
        <f ca="1">IF(ROWS($1:14)&gt;COUNT(Dong2),"",OFFSET(TH!C$1,SMALL(Dong2,ROWS($1:14)),))</f>
        <v>42573</v>
      </c>
      <c r="B25" s="190" t="str">
        <f ca="1">IF(ROWS($1:14)&gt;COUNT(Dong2),"",OFFSET(TH!D$1,SMALL(Dong2,ROWS($1:14)),))</f>
        <v>GBN</v>
      </c>
      <c r="C25" s="1070">
        <f ca="1">IF(ROWS($1:14)&gt;COUNT(Dong2),"",OFFSET(TH!E$1,SMALL(Dong2,ROWS($1:14)),))</f>
        <v>42573</v>
      </c>
      <c r="D25" s="413" t="str">
        <f ca="1">IF(ROWS($1:14)&gt;COUNT(Dong2),"",OFFSET(TH!F$1,SMALL(Dong2,ROWS($1:14)),))</f>
        <v>Lãi vay</v>
      </c>
      <c r="E25" s="190" t="str">
        <f ca="1">IF(ROWS($1:14)&gt;COUNT(Dong2),"",IF(OFFSET(TH!P$1,SMALL(Dong2,ROWS($1:14)),)=$I$6,OFFSET(TH!O$1,SMALL(Dong2,ROWS($1:14)),),OFFSET(TH!P$1,SMALL(Dong2,ROWS($1:14)),)))</f>
        <v>635</v>
      </c>
      <c r="F25" s="191">
        <f ca="1">IF(ROWS($1:14)&gt;COUNT(Dong2),"",IF(OFFSET(TH!O$1,SMALL(Dong2,ROWS($1:14)),)=$I$6,IF($I$6="1121",OFFSET(TH!M$1,SMALL(Dong2,ROWS($1:14)),),OFFSET(TH!K$1,SMALL(Dong2,ROWS($1:14)),)),0))</f>
        <v>0</v>
      </c>
      <c r="G25" s="191">
        <f ca="1">IF(ROWS($1:14)&gt;COUNT(Dong2),"",IF(OFFSET(TH!P$1,SMALL(Dong2,ROWS($1:14)),)=$I$6,IF($I$6="1121",OFFSET(TH!M$1,SMALL(Dong2,ROWS($1:14)),),OFFSET(TH!K$1,SMALL(Dong2,ROWS($1:14)),)),0))</f>
        <v>12681709</v>
      </c>
      <c r="H25" s="192">
        <f t="shared" ca="1" si="0"/>
        <v>125133356</v>
      </c>
      <c r="I25" s="192"/>
    </row>
    <row r="26" spans="1:9" s="181" customFormat="1" ht="20.25" customHeight="1">
      <c r="A26" s="1070">
        <f ca="1">IF(ROWS($1:15)&gt;COUNT(Dong2),"",OFFSET(TH!C$1,SMALL(Dong2,ROWS($1:15)),))</f>
        <v>42573</v>
      </c>
      <c r="B26" s="190" t="str">
        <f ca="1">IF(ROWS($1:15)&gt;COUNT(Dong2),"",OFFSET(TH!D$1,SMALL(Dong2,ROWS($1:15)),))</f>
        <v>GBN</v>
      </c>
      <c r="C26" s="1070">
        <f ca="1">IF(ROWS($1:15)&gt;COUNT(Dong2),"",OFFSET(TH!E$1,SMALL(Dong2,ROWS($1:15)),))</f>
        <v>42573</v>
      </c>
      <c r="D26" s="413" t="str">
        <f ca="1">IF(ROWS($1:15)&gt;COUNT(Dong2),"",OFFSET(TH!F$1,SMALL(Dong2,ROWS($1:15)),))</f>
        <v>Lãi vay</v>
      </c>
      <c r="E26" s="190" t="str">
        <f ca="1">IF(ROWS($1:15)&gt;COUNT(Dong2),"",IF(OFFSET(TH!P$1,SMALL(Dong2,ROWS($1:15)),)=$I$6,OFFSET(TH!O$1,SMALL(Dong2,ROWS($1:15)),),OFFSET(TH!P$1,SMALL(Dong2,ROWS($1:15)),)))</f>
        <v>635</v>
      </c>
      <c r="F26" s="191">
        <f ca="1">IF(ROWS($1:15)&gt;COUNT(Dong2),"",IF(OFFSET(TH!O$1,SMALL(Dong2,ROWS($1:15)),)=$I$6,IF($I$6="1121",OFFSET(TH!M$1,SMALL(Dong2,ROWS($1:15)),),OFFSET(TH!K$1,SMALL(Dong2,ROWS($1:15)),)),0))</f>
        <v>0</v>
      </c>
      <c r="G26" s="191">
        <f ca="1">IF(ROWS($1:15)&gt;COUNT(Dong2),"",IF(OFFSET(TH!P$1,SMALL(Dong2,ROWS($1:15)),)=$I$6,IF($I$6="1121",OFFSET(TH!M$1,SMALL(Dong2,ROWS($1:15)),),OFFSET(TH!K$1,SMALL(Dong2,ROWS($1:15)),)),0))</f>
        <v>11889102</v>
      </c>
      <c r="H26" s="192">
        <f t="shared" ca="1" si="0"/>
        <v>113244254</v>
      </c>
      <c r="I26" s="192"/>
    </row>
    <row r="27" spans="1:9" s="181" customFormat="1" ht="20.25" customHeight="1">
      <c r="A27" s="1070">
        <f ca="1">IF(ROWS($1:16)&gt;COUNT(Dong2),"",OFFSET(TH!C$1,SMALL(Dong2,ROWS($1:16)),))</f>
        <v>42573</v>
      </c>
      <c r="B27" s="190" t="str">
        <f ca="1">IF(ROWS($1:16)&gt;COUNT(Dong2),"",OFFSET(TH!D$1,SMALL(Dong2,ROWS($1:16)),))</f>
        <v>GBN</v>
      </c>
      <c r="C27" s="1070">
        <f ca="1">IF(ROWS($1:16)&gt;COUNT(Dong2),"",OFFSET(TH!E$1,SMALL(Dong2,ROWS($1:16)),))</f>
        <v>42573</v>
      </c>
      <c r="D27" s="413" t="str">
        <f ca="1">IF(ROWS($1:16)&gt;COUNT(Dong2),"",OFFSET(TH!F$1,SMALL(Dong2,ROWS($1:16)),))</f>
        <v>Lãi vay</v>
      </c>
      <c r="E27" s="190" t="str">
        <f ca="1">IF(ROWS($1:16)&gt;COUNT(Dong2),"",IF(OFFSET(TH!P$1,SMALL(Dong2,ROWS($1:16)),)=$I$6,OFFSET(TH!O$1,SMALL(Dong2,ROWS($1:16)),),OFFSET(TH!P$1,SMALL(Dong2,ROWS($1:16)),)))</f>
        <v>635</v>
      </c>
      <c r="F27" s="191">
        <f ca="1">IF(ROWS($1:16)&gt;COUNT(Dong2),"",IF(OFFSET(TH!O$1,SMALL(Dong2,ROWS($1:16)),)=$I$6,IF($I$6="1121",OFFSET(TH!M$1,SMALL(Dong2,ROWS($1:16)),),OFFSET(TH!K$1,SMALL(Dong2,ROWS($1:16)),)),0))</f>
        <v>0</v>
      </c>
      <c r="G27" s="191">
        <f ca="1">IF(ROWS($1:16)&gt;COUNT(Dong2),"",IF(OFFSET(TH!P$1,SMALL(Dong2,ROWS($1:16)),)=$I$6,IF($I$6="1121",OFFSET(TH!M$1,SMALL(Dong2,ROWS($1:16)),),OFFSET(TH!K$1,SMALL(Dong2,ROWS($1:16)),)),0))</f>
        <v>7926068</v>
      </c>
      <c r="H27" s="192">
        <f t="shared" ca="1" si="0"/>
        <v>105318186</v>
      </c>
      <c r="I27" s="192"/>
    </row>
    <row r="28" spans="1:9" s="181" customFormat="1" ht="20.25" customHeight="1">
      <c r="A28" s="1070">
        <f ca="1">IF(ROWS($1:17)&gt;COUNT(Dong2),"",OFFSET(TH!C$1,SMALL(Dong2,ROWS($1:17)),))</f>
        <v>42573</v>
      </c>
      <c r="B28" s="190" t="str">
        <f ca="1">IF(ROWS($1:17)&gt;COUNT(Dong2),"",OFFSET(TH!D$1,SMALL(Dong2,ROWS($1:17)),))</f>
        <v>GBN</v>
      </c>
      <c r="C28" s="1070">
        <f ca="1">IF(ROWS($1:17)&gt;COUNT(Dong2),"",OFFSET(TH!E$1,SMALL(Dong2,ROWS($1:17)),))</f>
        <v>42573</v>
      </c>
      <c r="D28" s="413" t="str">
        <f ca="1">IF(ROWS($1:17)&gt;COUNT(Dong2),"",OFFSET(TH!F$1,SMALL(Dong2,ROWS($1:17)),))</f>
        <v>Lãi vay</v>
      </c>
      <c r="E28" s="190" t="str">
        <f ca="1">IF(ROWS($1:17)&gt;COUNT(Dong2),"",IF(OFFSET(TH!P$1,SMALL(Dong2,ROWS($1:17)),)=$I$6,OFFSET(TH!O$1,SMALL(Dong2,ROWS($1:17)),),OFFSET(TH!P$1,SMALL(Dong2,ROWS($1:17)),)))</f>
        <v>635</v>
      </c>
      <c r="F28" s="191">
        <f ca="1">IF(ROWS($1:17)&gt;COUNT(Dong2),"",IF(OFFSET(TH!O$1,SMALL(Dong2,ROWS($1:17)),)=$I$6,IF($I$6="1121",OFFSET(TH!M$1,SMALL(Dong2,ROWS($1:17)),),OFFSET(TH!K$1,SMALL(Dong2,ROWS($1:17)),)),0))</f>
        <v>0</v>
      </c>
      <c r="G28" s="191">
        <f ca="1">IF(ROWS($1:17)&gt;COUNT(Dong2),"",IF(OFFSET(TH!P$1,SMALL(Dong2,ROWS($1:17)),)=$I$6,IF($I$6="1121",OFFSET(TH!M$1,SMALL(Dong2,ROWS($1:17)),),OFFSET(TH!K$1,SMALL(Dong2,ROWS($1:17)),)),0))</f>
        <v>11889102</v>
      </c>
      <c r="H28" s="192">
        <f t="shared" ca="1" si="0"/>
        <v>93429084</v>
      </c>
      <c r="I28" s="192"/>
    </row>
    <row r="29" spans="1:9" s="181" customFormat="1" ht="20.25" customHeight="1">
      <c r="A29" s="1070">
        <f ca="1">IF(ROWS($1:18)&gt;COUNT(Dong2),"",OFFSET(TH!C$1,SMALL(Dong2,ROWS($1:18)),))</f>
        <v>42573</v>
      </c>
      <c r="B29" s="190" t="str">
        <f ca="1">IF(ROWS($1:18)&gt;COUNT(Dong2),"",OFFSET(TH!D$1,SMALL(Dong2,ROWS($1:18)),))</f>
        <v>GBN</v>
      </c>
      <c r="C29" s="1070">
        <f ca="1">IF(ROWS($1:18)&gt;COUNT(Dong2),"",OFFSET(TH!E$1,SMALL(Dong2,ROWS($1:18)),))</f>
        <v>42573</v>
      </c>
      <c r="D29" s="413" t="str">
        <f ca="1">IF(ROWS($1:18)&gt;COUNT(Dong2),"",OFFSET(TH!F$1,SMALL(Dong2,ROWS($1:18)),))</f>
        <v>Lãi vay</v>
      </c>
      <c r="E29" s="190" t="str">
        <f ca="1">IF(ROWS($1:18)&gt;COUNT(Dong2),"",IF(OFFSET(TH!P$1,SMALL(Dong2,ROWS($1:18)),)=$I$6,OFFSET(TH!O$1,SMALL(Dong2,ROWS($1:18)),),OFFSET(TH!P$1,SMALL(Dong2,ROWS($1:18)),)))</f>
        <v>635</v>
      </c>
      <c r="F29" s="191">
        <f ca="1">IF(ROWS($1:18)&gt;COUNT(Dong2),"",IF(OFFSET(TH!O$1,SMALL(Dong2,ROWS($1:18)),)=$I$6,IF($I$6="1121",OFFSET(TH!M$1,SMALL(Dong2,ROWS($1:18)),),OFFSET(TH!K$1,SMALL(Dong2,ROWS($1:18)),)),0))</f>
        <v>0</v>
      </c>
      <c r="G29" s="191">
        <f ca="1">IF(ROWS($1:18)&gt;COUNT(Dong2),"",IF(OFFSET(TH!P$1,SMALL(Dong2,ROWS($1:18)),)=$I$6,IF($I$6="1121",OFFSET(TH!M$1,SMALL(Dong2,ROWS($1:18)),),OFFSET(TH!K$1,SMALL(Dong2,ROWS($1:18)),)),0))</f>
        <v>15852135</v>
      </c>
      <c r="H29" s="192">
        <f t="shared" ca="1" si="0"/>
        <v>77576949</v>
      </c>
      <c r="I29" s="192"/>
    </row>
    <row r="30" spans="1:9" s="181" customFormat="1" ht="20.25" customHeight="1">
      <c r="A30" s="1070">
        <f ca="1">IF(ROWS($1:19)&gt;COUNT(Dong2),"",OFFSET(TH!C$1,SMALL(Dong2,ROWS($1:19)),))</f>
        <v>42573</v>
      </c>
      <c r="B30" s="190" t="str">
        <f ca="1">IF(ROWS($1:19)&gt;COUNT(Dong2),"",OFFSET(TH!D$1,SMALL(Dong2,ROWS($1:19)),))</f>
        <v>GBN</v>
      </c>
      <c r="C30" s="1070">
        <f ca="1">IF(ROWS($1:19)&gt;COUNT(Dong2),"",OFFSET(TH!E$1,SMALL(Dong2,ROWS($1:19)),))</f>
        <v>42573</v>
      </c>
      <c r="D30" s="413" t="str">
        <f ca="1">IF(ROWS($1:19)&gt;COUNT(Dong2),"",OFFSET(TH!F$1,SMALL(Dong2,ROWS($1:19)),))</f>
        <v>Lãi vay</v>
      </c>
      <c r="E30" s="190" t="str">
        <f ca="1">IF(ROWS($1:19)&gt;COUNT(Dong2),"",IF(OFFSET(TH!P$1,SMALL(Dong2,ROWS($1:19)),)=$I$6,OFFSET(TH!O$1,SMALL(Dong2,ROWS($1:19)),),OFFSET(TH!P$1,SMALL(Dong2,ROWS($1:19)),)))</f>
        <v>635</v>
      </c>
      <c r="F30" s="191">
        <f ca="1">IF(ROWS($1:19)&gt;COUNT(Dong2),"",IF(OFFSET(TH!O$1,SMALL(Dong2,ROWS($1:19)),)=$I$6,IF($I$6="1121",OFFSET(TH!M$1,SMALL(Dong2,ROWS($1:19)),),OFFSET(TH!K$1,SMALL(Dong2,ROWS($1:19)),)),0))</f>
        <v>0</v>
      </c>
      <c r="G30" s="191">
        <f ca="1">IF(ROWS($1:19)&gt;COUNT(Dong2),"",IF(OFFSET(TH!P$1,SMALL(Dong2,ROWS($1:19)),)=$I$6,IF($I$6="1121",OFFSET(TH!M$1,SMALL(Dong2,ROWS($1:19)),),OFFSET(TH!K$1,SMALL(Dong2,ROWS($1:19)),)),0))</f>
        <v>11096494</v>
      </c>
      <c r="H30" s="192">
        <f t="shared" ca="1" si="0"/>
        <v>66480455</v>
      </c>
      <c r="I30" s="192"/>
    </row>
    <row r="31" spans="1:9" s="181" customFormat="1" ht="20.25" customHeight="1">
      <c r="A31" s="1070">
        <f ca="1">IF(ROWS($1:20)&gt;COUNT(Dong2),"",OFFSET(TH!C$1,SMALL(Dong2,ROWS($1:20)),))</f>
        <v>42573</v>
      </c>
      <c r="B31" s="190" t="str">
        <f ca="1">IF(ROWS($1:20)&gt;COUNT(Dong2),"",OFFSET(TH!D$1,SMALL(Dong2,ROWS($1:20)),))</f>
        <v>GBN</v>
      </c>
      <c r="C31" s="1070">
        <f ca="1">IF(ROWS($1:20)&gt;COUNT(Dong2),"",OFFSET(TH!E$1,SMALL(Dong2,ROWS($1:20)),))</f>
        <v>42573</v>
      </c>
      <c r="D31" s="413" t="str">
        <f ca="1">IF(ROWS($1:20)&gt;COUNT(Dong2),"",OFFSET(TH!F$1,SMALL(Dong2,ROWS($1:20)),))</f>
        <v>Lãi vay</v>
      </c>
      <c r="E31" s="190" t="str">
        <f ca="1">IF(ROWS($1:20)&gt;COUNT(Dong2),"",IF(OFFSET(TH!P$1,SMALL(Dong2,ROWS($1:20)),)=$I$6,OFFSET(TH!O$1,SMALL(Dong2,ROWS($1:20)),),OFFSET(TH!P$1,SMALL(Dong2,ROWS($1:20)),)))</f>
        <v>635</v>
      </c>
      <c r="F31" s="191">
        <f ca="1">IF(ROWS($1:20)&gt;COUNT(Dong2),"",IF(OFFSET(TH!O$1,SMALL(Dong2,ROWS($1:20)),)=$I$6,IF($I$6="1121",OFFSET(TH!M$1,SMALL(Dong2,ROWS($1:20)),),OFFSET(TH!K$1,SMALL(Dong2,ROWS($1:20)),)),0))</f>
        <v>0</v>
      </c>
      <c r="G31" s="191">
        <f ca="1">IF(ROWS($1:20)&gt;COUNT(Dong2),"",IF(OFFSET(TH!P$1,SMALL(Dong2,ROWS($1:20)),)=$I$6,IF($I$6="1121",OFFSET(TH!M$1,SMALL(Dong2,ROWS($1:20)),),OFFSET(TH!K$1,SMALL(Dong2,ROWS($1:20)),)),0))</f>
        <v>11889102</v>
      </c>
      <c r="H31" s="192">
        <f t="shared" ca="1" si="0"/>
        <v>54591353</v>
      </c>
      <c r="I31" s="192"/>
    </row>
    <row r="32" spans="1:9" s="181" customFormat="1" ht="20.25" customHeight="1">
      <c r="A32" s="1070">
        <f ca="1">IF(ROWS($1:21)&gt;COUNT(Dong2),"",OFFSET(TH!C$1,SMALL(Dong2,ROWS($1:21)),))</f>
        <v>42573</v>
      </c>
      <c r="B32" s="190" t="str">
        <f ca="1">IF(ROWS($1:21)&gt;COUNT(Dong2),"",OFFSET(TH!D$1,SMALL(Dong2,ROWS($1:21)),))</f>
        <v>GBN</v>
      </c>
      <c r="C32" s="1070">
        <f ca="1">IF(ROWS($1:21)&gt;COUNT(Dong2),"",OFFSET(TH!E$1,SMALL(Dong2,ROWS($1:21)),))</f>
        <v>42573</v>
      </c>
      <c r="D32" s="413" t="str">
        <f ca="1">IF(ROWS($1:21)&gt;COUNT(Dong2),"",OFFSET(TH!F$1,SMALL(Dong2,ROWS($1:21)),))</f>
        <v>Lãi vay</v>
      </c>
      <c r="E32" s="190" t="str">
        <f ca="1">IF(ROWS($1:21)&gt;COUNT(Dong2),"",IF(OFFSET(TH!P$1,SMALL(Dong2,ROWS($1:21)),)=$I$6,OFFSET(TH!O$1,SMALL(Dong2,ROWS($1:21)),),OFFSET(TH!P$1,SMALL(Dong2,ROWS($1:21)),)))</f>
        <v>635</v>
      </c>
      <c r="F32" s="191">
        <f ca="1">IF(ROWS($1:21)&gt;COUNT(Dong2),"",IF(OFFSET(TH!O$1,SMALL(Dong2,ROWS($1:21)),)=$I$6,IF($I$6="1121",OFFSET(TH!M$1,SMALL(Dong2,ROWS($1:21)),),OFFSET(TH!K$1,SMALL(Dong2,ROWS($1:21)),)),0))</f>
        <v>0</v>
      </c>
      <c r="G32" s="191">
        <f ca="1">IF(ROWS($1:21)&gt;COUNT(Dong2),"",IF(OFFSET(TH!P$1,SMALL(Dong2,ROWS($1:21)),)=$I$6,IF($I$6="1121",OFFSET(TH!M$1,SMALL(Dong2,ROWS($1:21)),),OFFSET(TH!K$1,SMALL(Dong2,ROWS($1:21)),)),0))</f>
        <v>11889102</v>
      </c>
      <c r="H32" s="192">
        <f t="shared" ca="1" si="0"/>
        <v>42702251</v>
      </c>
      <c r="I32" s="192"/>
    </row>
    <row r="33" spans="1:9" s="181" customFormat="1" ht="20.25" customHeight="1">
      <c r="A33" s="1070">
        <f ca="1">IF(ROWS($1:22)&gt;COUNT(Dong2),"",OFFSET(TH!C$1,SMALL(Dong2,ROWS($1:22)),))</f>
        <v>42573</v>
      </c>
      <c r="B33" s="190" t="str">
        <f ca="1">IF(ROWS($1:22)&gt;COUNT(Dong2),"",OFFSET(TH!D$1,SMALL(Dong2,ROWS($1:22)),))</f>
        <v>GBN</v>
      </c>
      <c r="C33" s="1070">
        <f ca="1">IF(ROWS($1:22)&gt;COUNT(Dong2),"",OFFSET(TH!E$1,SMALL(Dong2,ROWS($1:22)),))</f>
        <v>42573</v>
      </c>
      <c r="D33" s="413" t="str">
        <f ca="1">IF(ROWS($1:22)&gt;COUNT(Dong2),"",OFFSET(TH!F$1,SMALL(Dong2,ROWS($1:22)),))</f>
        <v>Lãi vay</v>
      </c>
      <c r="E33" s="190" t="str">
        <f ca="1">IF(ROWS($1:22)&gt;COUNT(Dong2),"",IF(OFFSET(TH!P$1,SMALL(Dong2,ROWS($1:22)),)=$I$6,OFFSET(TH!O$1,SMALL(Dong2,ROWS($1:22)),),OFFSET(TH!P$1,SMALL(Dong2,ROWS($1:22)),)))</f>
        <v>635</v>
      </c>
      <c r="F33" s="191">
        <f ca="1">IF(ROWS($1:22)&gt;COUNT(Dong2),"",IF(OFFSET(TH!O$1,SMALL(Dong2,ROWS($1:22)),)=$I$6,IF($I$6="1121",OFFSET(TH!M$1,SMALL(Dong2,ROWS($1:22)),),OFFSET(TH!K$1,SMALL(Dong2,ROWS($1:22)),)),0))</f>
        <v>0</v>
      </c>
      <c r="G33" s="191">
        <f ca="1">IF(ROWS($1:22)&gt;COUNT(Dong2),"",IF(OFFSET(TH!P$1,SMALL(Dong2,ROWS($1:22)),)=$I$6,IF($I$6="1121",OFFSET(TH!M$1,SMALL(Dong2,ROWS($1:22)),),OFFSET(TH!K$1,SMALL(Dong2,ROWS($1:22)),)),0))</f>
        <v>11889102</v>
      </c>
      <c r="H33" s="192">
        <f t="shared" ref="H33:H96" ca="1" si="1">IF(A33&lt;&gt;"",H32+F33-G33,0)</f>
        <v>30813149</v>
      </c>
      <c r="I33" s="192"/>
    </row>
    <row r="34" spans="1:9" s="181" customFormat="1" ht="20.25" customHeight="1">
      <c r="A34" s="1070">
        <f ca="1">IF(ROWS($1:23)&gt;COUNT(Dong2),"",OFFSET(TH!C$1,SMALL(Dong2,ROWS($1:23)),))</f>
        <v>42573</v>
      </c>
      <c r="B34" s="190" t="str">
        <f ca="1">IF(ROWS($1:23)&gt;COUNT(Dong2),"",OFFSET(TH!D$1,SMALL(Dong2,ROWS($1:23)),))</f>
        <v>GBN</v>
      </c>
      <c r="C34" s="1070">
        <f ca="1">IF(ROWS($1:23)&gt;COUNT(Dong2),"",OFFSET(TH!E$1,SMALL(Dong2,ROWS($1:23)),))</f>
        <v>42573</v>
      </c>
      <c r="D34" s="413" t="str">
        <f ca="1">IF(ROWS($1:23)&gt;COUNT(Dong2),"",OFFSET(TH!F$1,SMALL(Dong2,ROWS($1:23)),))</f>
        <v>Lãi vay</v>
      </c>
      <c r="E34" s="190" t="str">
        <f ca="1">IF(ROWS($1:23)&gt;COUNT(Dong2),"",IF(OFFSET(TH!P$1,SMALL(Dong2,ROWS($1:23)),)=$I$6,OFFSET(TH!O$1,SMALL(Dong2,ROWS($1:23)),),OFFSET(TH!P$1,SMALL(Dong2,ROWS($1:23)),)))</f>
        <v>635</v>
      </c>
      <c r="F34" s="191">
        <f ca="1">IF(ROWS($1:23)&gt;COUNT(Dong2),"",IF(OFFSET(TH!O$1,SMALL(Dong2,ROWS($1:23)),)=$I$6,IF($I$6="1121",OFFSET(TH!M$1,SMALL(Dong2,ROWS($1:23)),),OFFSET(TH!K$1,SMALL(Dong2,ROWS($1:23)),)),0))</f>
        <v>0</v>
      </c>
      <c r="G34" s="191">
        <f ca="1">IF(ROWS($1:23)&gt;COUNT(Dong2),"",IF(OFFSET(TH!P$1,SMALL(Dong2,ROWS($1:23)),)=$I$6,IF($I$6="1121",OFFSET(TH!M$1,SMALL(Dong2,ROWS($1:23)),),OFFSET(TH!K$1,SMALL(Dong2,ROWS($1:23)),)),0))</f>
        <v>11889102</v>
      </c>
      <c r="H34" s="192">
        <f t="shared" ca="1" si="1"/>
        <v>18924047</v>
      </c>
      <c r="I34" s="192"/>
    </row>
    <row r="35" spans="1:9" s="181" customFormat="1" ht="20.25" customHeight="1">
      <c r="A35" s="1070">
        <f ca="1">IF(ROWS($1:24)&gt;COUNT(Dong2),"",OFFSET(TH!C$1,SMALL(Dong2,ROWS($1:24)),))</f>
        <v>42573</v>
      </c>
      <c r="B35" s="190" t="str">
        <f ca="1">IF(ROWS($1:24)&gt;COUNT(Dong2),"",OFFSET(TH!D$1,SMALL(Dong2,ROWS($1:24)),))</f>
        <v>GBN</v>
      </c>
      <c r="C35" s="1070">
        <f ca="1">IF(ROWS($1:24)&gt;COUNT(Dong2),"",OFFSET(TH!E$1,SMALL(Dong2,ROWS($1:24)),))</f>
        <v>42573</v>
      </c>
      <c r="D35" s="413" t="str">
        <f ca="1">IF(ROWS($1:24)&gt;COUNT(Dong2),"",OFFSET(TH!F$1,SMALL(Dong2,ROWS($1:24)),))</f>
        <v>Lãi vay</v>
      </c>
      <c r="E35" s="190" t="str">
        <f ca="1">IF(ROWS($1:24)&gt;COUNT(Dong2),"",IF(OFFSET(TH!P$1,SMALL(Dong2,ROWS($1:24)),)=$I$6,OFFSET(TH!O$1,SMALL(Dong2,ROWS($1:24)),),OFFSET(TH!P$1,SMALL(Dong2,ROWS($1:24)),)))</f>
        <v>635</v>
      </c>
      <c r="F35" s="191">
        <f ca="1">IF(ROWS($1:24)&gt;COUNT(Dong2),"",IF(OFFSET(TH!O$1,SMALL(Dong2,ROWS($1:24)),)=$I$6,IF($I$6="1121",OFFSET(TH!M$1,SMALL(Dong2,ROWS($1:24)),),OFFSET(TH!K$1,SMALL(Dong2,ROWS($1:24)),)),0))</f>
        <v>0</v>
      </c>
      <c r="G35" s="191">
        <f ca="1">IF(ROWS($1:24)&gt;COUNT(Dong2),"",IF(OFFSET(TH!P$1,SMALL(Dong2,ROWS($1:24)),)=$I$6,IF($I$6="1121",OFFSET(TH!M$1,SMALL(Dong2,ROWS($1:24)),),OFFSET(TH!K$1,SMALL(Dong2,ROWS($1:24)),)),0))</f>
        <v>7926068</v>
      </c>
      <c r="H35" s="192">
        <f t="shared" ca="1" si="1"/>
        <v>10997979</v>
      </c>
      <c r="I35" s="192"/>
    </row>
    <row r="36" spans="1:9" s="181" customFormat="1" ht="20.25" customHeight="1">
      <c r="A36" s="1070">
        <f ca="1">IF(ROWS($1:25)&gt;COUNT(Dong2),"",OFFSET(TH!C$1,SMALL(Dong2,ROWS($1:25)),))</f>
        <v>42573</v>
      </c>
      <c r="B36" s="190" t="str">
        <f ca="1">IF(ROWS($1:25)&gt;COUNT(Dong2),"",OFFSET(TH!D$1,SMALL(Dong2,ROWS($1:25)),))</f>
        <v>GBN</v>
      </c>
      <c r="C36" s="1070">
        <f ca="1">IF(ROWS($1:25)&gt;COUNT(Dong2),"",OFFSET(TH!E$1,SMALL(Dong2,ROWS($1:25)),))</f>
        <v>42573</v>
      </c>
      <c r="D36" s="413" t="str">
        <f ca="1">IF(ROWS($1:25)&gt;COUNT(Dong2),"",OFFSET(TH!F$1,SMALL(Dong2,ROWS($1:25)),))</f>
        <v>Lãi vay</v>
      </c>
      <c r="E36" s="190" t="str">
        <f ca="1">IF(ROWS($1:25)&gt;COUNT(Dong2),"",IF(OFFSET(TH!P$1,SMALL(Dong2,ROWS($1:25)),)=$I$6,OFFSET(TH!O$1,SMALL(Dong2,ROWS($1:25)),),OFFSET(TH!P$1,SMALL(Dong2,ROWS($1:25)),)))</f>
        <v>635</v>
      </c>
      <c r="F36" s="191">
        <f ca="1">IF(ROWS($1:25)&gt;COUNT(Dong2),"",IF(OFFSET(TH!O$1,SMALL(Dong2,ROWS($1:25)),)=$I$6,IF($I$6="1121",OFFSET(TH!M$1,SMALL(Dong2,ROWS($1:25)),),OFFSET(TH!K$1,SMALL(Dong2,ROWS($1:25)),)),0))</f>
        <v>0</v>
      </c>
      <c r="G36" s="191">
        <f ca="1">IF(ROWS($1:25)&gt;COUNT(Dong2),"",IF(OFFSET(TH!P$1,SMALL(Dong2,ROWS($1:25)),)=$I$6,IF($I$6="1121",OFFSET(TH!M$1,SMALL(Dong2,ROWS($1:25)),),OFFSET(TH!K$1,SMALL(Dong2,ROWS($1:25)),)),0))</f>
        <v>7926068</v>
      </c>
      <c r="H36" s="192">
        <f t="shared" ca="1" si="1"/>
        <v>3071911</v>
      </c>
      <c r="I36" s="192"/>
    </row>
    <row r="37" spans="1:9" s="181" customFormat="1" ht="20.25" customHeight="1">
      <c r="A37" s="1070">
        <f ca="1">IF(ROWS($1:26)&gt;COUNT(Dong2),"",OFFSET(TH!C$1,SMALL(Dong2,ROWS($1:26)),))</f>
        <v>42580</v>
      </c>
      <c r="B37" s="190" t="str">
        <f ca="1">IF(ROWS($1:26)&gt;COUNT(Dong2),"",OFFSET(TH!D$1,SMALL(Dong2,ROWS($1:26)),))</f>
        <v>C18</v>
      </c>
      <c r="C37" s="1070">
        <f ca="1">IF(ROWS($1:26)&gt;COUNT(Dong2),"",OFFSET(TH!E$1,SMALL(Dong2,ROWS($1:26)),))</f>
        <v>42580</v>
      </c>
      <c r="D37" s="413" t="str">
        <f ca="1">IF(ROWS($1:26)&gt;COUNT(Dong2),"",OFFSET(TH!F$1,SMALL(Dong2,ROWS($1:26)),))</f>
        <v>Nộp TM</v>
      </c>
      <c r="E37" s="190" t="str">
        <f ca="1">IF(ROWS($1:26)&gt;COUNT(Dong2),"",IF(OFFSET(TH!P$1,SMALL(Dong2,ROWS($1:26)),)=$I$6,OFFSET(TH!O$1,SMALL(Dong2,ROWS($1:26)),),OFFSET(TH!P$1,SMALL(Dong2,ROWS($1:26)),)))</f>
        <v>1111</v>
      </c>
      <c r="F37" s="191">
        <f ca="1">IF(ROWS($1:26)&gt;COUNT(Dong2),"",IF(OFFSET(TH!O$1,SMALL(Dong2,ROWS($1:26)),)=$I$6,IF($I$6="1121",OFFSET(TH!M$1,SMALL(Dong2,ROWS($1:26)),),OFFSET(TH!K$1,SMALL(Dong2,ROWS($1:26)),)),0))</f>
        <v>53000000</v>
      </c>
      <c r="G37" s="191">
        <f ca="1">IF(ROWS($1:26)&gt;COUNT(Dong2),"",IF(OFFSET(TH!P$1,SMALL(Dong2,ROWS($1:26)),)=$I$6,IF($I$6="1121",OFFSET(TH!M$1,SMALL(Dong2,ROWS($1:26)),),OFFSET(TH!K$1,SMALL(Dong2,ROWS($1:26)),)),0))</f>
        <v>0</v>
      </c>
      <c r="H37" s="192">
        <f t="shared" ca="1" si="1"/>
        <v>56071911</v>
      </c>
      <c r="I37" s="192"/>
    </row>
    <row r="38" spans="1:9" s="181" customFormat="1" ht="20.25" customHeight="1">
      <c r="A38" s="1070">
        <f ca="1">IF(ROWS($1:27)&gt;COUNT(Dong2),"",OFFSET(TH!C$1,SMALL(Dong2,ROWS($1:27)),))</f>
        <v>42580</v>
      </c>
      <c r="B38" s="190" t="str">
        <f ca="1">IF(ROWS($1:27)&gt;COUNT(Dong2),"",OFFSET(TH!D$1,SMALL(Dong2,ROWS($1:27)),))</f>
        <v>GBN</v>
      </c>
      <c r="C38" s="1070">
        <f ca="1">IF(ROWS($1:27)&gt;COUNT(Dong2),"",OFFSET(TH!E$1,SMALL(Dong2,ROWS($1:27)),))</f>
        <v>42580</v>
      </c>
      <c r="D38" s="413" t="str">
        <f ca="1">IF(ROWS($1:27)&gt;COUNT(Dong2),"",OFFSET(TH!F$1,SMALL(Dong2,ROWS($1:27)),))</f>
        <v>Thanh toán tiền điện kỳ 1&amp;2 tháng 7</v>
      </c>
      <c r="E38" s="190" t="str">
        <f ca="1">IF(ROWS($1:27)&gt;COUNT(Dong2),"",IF(OFFSET(TH!P$1,SMALL(Dong2,ROWS($1:27)),)=$I$6,OFFSET(TH!O$1,SMALL(Dong2,ROWS($1:27)),),OFFSET(TH!P$1,SMALL(Dong2,ROWS($1:27)),)))</f>
        <v>331</v>
      </c>
      <c r="F38" s="191">
        <f ca="1">IF(ROWS($1:27)&gt;COUNT(Dong2),"",IF(OFFSET(TH!O$1,SMALL(Dong2,ROWS($1:27)),)=$I$6,IF($I$6="1121",OFFSET(TH!M$1,SMALL(Dong2,ROWS($1:27)),),OFFSET(TH!K$1,SMALL(Dong2,ROWS($1:27)),)),0))</f>
        <v>0</v>
      </c>
      <c r="G38" s="191">
        <f ca="1">IF(ROWS($1:27)&gt;COUNT(Dong2),"",IF(OFFSET(TH!P$1,SMALL(Dong2,ROWS($1:27)),)=$I$6,IF($I$6="1121",OFFSET(TH!M$1,SMALL(Dong2,ROWS($1:27)),),OFFSET(TH!K$1,SMALL(Dong2,ROWS($1:27)),)),0))</f>
        <v>53135390</v>
      </c>
      <c r="H38" s="192">
        <f t="shared" ca="1" si="1"/>
        <v>2936521</v>
      </c>
      <c r="I38" s="192"/>
    </row>
    <row r="39" spans="1:9" s="181" customFormat="1" ht="20.25" customHeight="1">
      <c r="A39" s="1070">
        <f ca="1">IF(ROWS($1:28)&gt;COUNT(Dong2),"",OFFSET(TH!C$1,SMALL(Dong2,ROWS($1:28)),))</f>
        <v>42580</v>
      </c>
      <c r="B39" s="190" t="str">
        <f ca="1">IF(ROWS($1:28)&gt;COUNT(Dong2),"",OFFSET(TH!D$1,SMALL(Dong2,ROWS($1:28)),))</f>
        <v>GBN</v>
      </c>
      <c r="C39" s="1070">
        <f ca="1">IF(ROWS($1:28)&gt;COUNT(Dong2),"",OFFSET(TH!E$1,SMALL(Dong2,ROWS($1:28)),))</f>
        <v>42580</v>
      </c>
      <c r="D39" s="413" t="str">
        <f ca="1">IF(ROWS($1:28)&gt;COUNT(Dong2),"",OFFSET(TH!F$1,SMALL(Dong2,ROWS($1:28)),))</f>
        <v xml:space="preserve">Phí chuyển tiền </v>
      </c>
      <c r="E39" s="190" t="str">
        <f ca="1">IF(ROWS($1:28)&gt;COUNT(Dong2),"",IF(OFFSET(TH!P$1,SMALL(Dong2,ROWS($1:28)),)=$I$6,OFFSET(TH!O$1,SMALL(Dong2,ROWS($1:28)),),OFFSET(TH!P$1,SMALL(Dong2,ROWS($1:28)),)))</f>
        <v>642</v>
      </c>
      <c r="F39" s="191">
        <f ca="1">IF(ROWS($1:28)&gt;COUNT(Dong2),"",IF(OFFSET(TH!O$1,SMALL(Dong2,ROWS($1:28)),)=$I$6,IF($I$6="1121",OFFSET(TH!M$1,SMALL(Dong2,ROWS($1:28)),),OFFSET(TH!K$1,SMALL(Dong2,ROWS($1:28)),)),0))</f>
        <v>0</v>
      </c>
      <c r="G39" s="191">
        <f ca="1">IF(ROWS($1:28)&gt;COUNT(Dong2),"",IF(OFFSET(TH!P$1,SMALL(Dong2,ROWS($1:28)),)=$I$6,IF($I$6="1121",OFFSET(TH!M$1,SMALL(Dong2,ROWS($1:28)),),OFFSET(TH!K$1,SMALL(Dong2,ROWS($1:28)),)),0))</f>
        <v>46568</v>
      </c>
      <c r="H39" s="192">
        <f t="shared" ca="1" si="1"/>
        <v>2889953</v>
      </c>
      <c r="I39" s="192"/>
    </row>
    <row r="40" spans="1:9" s="181" customFormat="1" ht="20.25" customHeight="1">
      <c r="A40" s="1070">
        <f ca="1">IF(ROWS($1:29)&gt;COUNT(Dong2),"",OFFSET(TH!C$1,SMALL(Dong2,ROWS($1:29)),))</f>
        <v>42580</v>
      </c>
      <c r="B40" s="190" t="str">
        <f ca="1">IF(ROWS($1:29)&gt;COUNT(Dong2),"",OFFSET(TH!D$1,SMALL(Dong2,ROWS($1:29)),))</f>
        <v>GBN</v>
      </c>
      <c r="C40" s="1070">
        <f ca="1">IF(ROWS($1:29)&gt;COUNT(Dong2),"",OFFSET(TH!E$1,SMALL(Dong2,ROWS($1:29)),))</f>
        <v>42580</v>
      </c>
      <c r="D40" s="413" t="str">
        <f ca="1">IF(ROWS($1:29)&gt;COUNT(Dong2),"",OFFSET(TH!F$1,SMALL(Dong2,ROWS($1:29)),))</f>
        <v xml:space="preserve">VAT Phí chuyển tiền </v>
      </c>
      <c r="E40" s="190" t="str">
        <f ca="1">IF(ROWS($1:29)&gt;COUNT(Dong2),"",IF(OFFSET(TH!P$1,SMALL(Dong2,ROWS($1:29)),)=$I$6,OFFSET(TH!O$1,SMALL(Dong2,ROWS($1:29)),),OFFSET(TH!P$1,SMALL(Dong2,ROWS($1:29)),)))</f>
        <v>1331</v>
      </c>
      <c r="F40" s="191">
        <f ca="1">IF(ROWS($1:29)&gt;COUNT(Dong2),"",IF(OFFSET(TH!O$1,SMALL(Dong2,ROWS($1:29)),)=$I$6,IF($I$6="1121",OFFSET(TH!M$1,SMALL(Dong2,ROWS($1:29)),),OFFSET(TH!K$1,SMALL(Dong2,ROWS($1:29)),)),0))</f>
        <v>0</v>
      </c>
      <c r="G40" s="191">
        <f ca="1">IF(ROWS($1:29)&gt;COUNT(Dong2),"",IF(OFFSET(TH!P$1,SMALL(Dong2,ROWS($1:29)),)=$I$6,IF($I$6="1121",OFFSET(TH!M$1,SMALL(Dong2,ROWS($1:29)),),OFFSET(TH!K$1,SMALL(Dong2,ROWS($1:29)),)),0))</f>
        <v>4657</v>
      </c>
      <c r="H40" s="192">
        <f t="shared" ca="1" si="1"/>
        <v>2885296</v>
      </c>
      <c r="I40" s="192"/>
    </row>
    <row r="41" spans="1:9" s="181" customFormat="1" ht="20.25" customHeight="1">
      <c r="A41" s="1070">
        <f ca="1">IF(ROWS($1:30)&gt;COUNT(Dong2),"",OFFSET(TH!C$1,SMALL(Dong2,ROWS($1:30)),))</f>
        <v>42586</v>
      </c>
      <c r="B41" s="190" t="str">
        <f ca="1">IF(ROWS($1:30)&gt;COUNT(Dong2),"",OFFSET(TH!D$1,SMALL(Dong2,ROWS($1:30)),))</f>
        <v>GBC</v>
      </c>
      <c r="C41" s="1070">
        <f ca="1">IF(ROWS($1:30)&gt;COUNT(Dong2),"",OFFSET(TH!E$1,SMALL(Dong2,ROWS($1:30)),))</f>
        <v>42586</v>
      </c>
      <c r="D41" s="413" t="str">
        <f ca="1">IF(ROWS($1:30)&gt;COUNT(Dong2),"",OFFSET(TH!F$1,SMALL(Dong2,ROWS($1:30)),))</f>
        <v>Ứng vốn</v>
      </c>
      <c r="E41" s="190" t="str">
        <f ca="1">IF(ROWS($1:30)&gt;COUNT(Dong2),"",IF(OFFSET(TH!P$1,SMALL(Dong2,ROWS($1:30)),)=$I$6,OFFSET(TH!O$1,SMALL(Dong2,ROWS($1:30)),),OFFSET(TH!P$1,SMALL(Dong2,ROWS($1:30)),)))</f>
        <v>3388</v>
      </c>
      <c r="F41" s="191">
        <f ca="1">IF(ROWS($1:30)&gt;COUNT(Dong2),"",IF(OFFSET(TH!O$1,SMALL(Dong2,ROWS($1:30)),)=$I$6,IF($I$6="1121",OFFSET(TH!M$1,SMALL(Dong2,ROWS($1:30)),),OFFSET(TH!K$1,SMALL(Dong2,ROWS($1:30)),)),0))</f>
        <v>61000000</v>
      </c>
      <c r="G41" s="191">
        <f ca="1">IF(ROWS($1:30)&gt;COUNT(Dong2),"",IF(OFFSET(TH!P$1,SMALL(Dong2,ROWS($1:30)),)=$I$6,IF($I$6="1121",OFFSET(TH!M$1,SMALL(Dong2,ROWS($1:30)),),OFFSET(TH!K$1,SMALL(Dong2,ROWS($1:30)),)),0))</f>
        <v>0</v>
      </c>
      <c r="H41" s="192">
        <f t="shared" ca="1" si="1"/>
        <v>63885296</v>
      </c>
      <c r="I41" s="192"/>
    </row>
    <row r="42" spans="1:9" s="181" customFormat="1" ht="20.25" customHeight="1">
      <c r="A42" s="1070">
        <f ca="1">IF(ROWS($1:31)&gt;COUNT(Dong2),"",OFFSET(TH!C$1,SMALL(Dong2,ROWS($1:31)),))</f>
        <v>42586</v>
      </c>
      <c r="B42" s="190" t="str">
        <f ca="1">IF(ROWS($1:31)&gt;COUNT(Dong2),"",OFFSET(TH!D$1,SMALL(Dong2,ROWS($1:31)),))</f>
        <v>GBN</v>
      </c>
      <c r="C42" s="1070">
        <f ca="1">IF(ROWS($1:31)&gt;COUNT(Dong2),"",OFFSET(TH!E$1,SMALL(Dong2,ROWS($1:31)),))</f>
        <v>42586</v>
      </c>
      <c r="D42" s="413" t="str">
        <f ca="1">IF(ROWS($1:31)&gt;COUNT(Dong2),"",OFFSET(TH!F$1,SMALL(Dong2,ROWS($1:31)),))</f>
        <v>Thanh toán tiền bao bì</v>
      </c>
      <c r="E42" s="190" t="str">
        <f ca="1">IF(ROWS($1:31)&gt;COUNT(Dong2),"",IF(OFFSET(TH!P$1,SMALL(Dong2,ROWS($1:31)),)=$I$6,OFFSET(TH!O$1,SMALL(Dong2,ROWS($1:31)),),OFFSET(TH!P$1,SMALL(Dong2,ROWS($1:31)),)))</f>
        <v>331</v>
      </c>
      <c r="F42" s="191">
        <f ca="1">IF(ROWS($1:31)&gt;COUNT(Dong2),"",IF(OFFSET(TH!O$1,SMALL(Dong2,ROWS($1:31)),)=$I$6,IF($I$6="1121",OFFSET(TH!M$1,SMALL(Dong2,ROWS($1:31)),),OFFSET(TH!K$1,SMALL(Dong2,ROWS($1:31)),)),0))</f>
        <v>0</v>
      </c>
      <c r="G42" s="191">
        <f ca="1">IF(ROWS($1:31)&gt;COUNT(Dong2),"",IF(OFFSET(TH!P$1,SMALL(Dong2,ROWS($1:31)),)=$I$6,IF($I$6="1121",OFFSET(TH!M$1,SMALL(Dong2,ROWS($1:31)),),OFFSET(TH!K$1,SMALL(Dong2,ROWS($1:31)),)),0))</f>
        <v>40920000</v>
      </c>
      <c r="H42" s="192">
        <f t="shared" ca="1" si="1"/>
        <v>22965296</v>
      </c>
      <c r="I42" s="192"/>
    </row>
    <row r="43" spans="1:9" s="181" customFormat="1" ht="20.25" customHeight="1">
      <c r="A43" s="1070">
        <f ca="1">IF(ROWS($1:32)&gt;COUNT(Dong2),"",OFFSET(TH!C$1,SMALL(Dong2,ROWS($1:32)),))</f>
        <v>42586</v>
      </c>
      <c r="B43" s="190" t="str">
        <f ca="1">IF(ROWS($1:32)&gt;COUNT(Dong2),"",OFFSET(TH!D$1,SMALL(Dong2,ROWS($1:32)),))</f>
        <v>GBN</v>
      </c>
      <c r="C43" s="1070">
        <f ca="1">IF(ROWS($1:32)&gt;COUNT(Dong2),"",OFFSET(TH!E$1,SMALL(Dong2,ROWS($1:32)),))</f>
        <v>42586</v>
      </c>
      <c r="D43" s="413" t="str">
        <f ca="1">IF(ROWS($1:32)&gt;COUNT(Dong2),"",OFFSET(TH!F$1,SMALL(Dong2,ROWS($1:32)),))</f>
        <v xml:space="preserve">Phí chuyển tiền </v>
      </c>
      <c r="E43" s="190" t="str">
        <f ca="1">IF(ROWS($1:32)&gt;COUNT(Dong2),"",IF(OFFSET(TH!P$1,SMALL(Dong2,ROWS($1:32)),)=$I$6,OFFSET(TH!O$1,SMALL(Dong2,ROWS($1:32)),),OFFSET(TH!P$1,SMALL(Dong2,ROWS($1:32)),)))</f>
        <v>642</v>
      </c>
      <c r="F43" s="191">
        <f ca="1">IF(ROWS($1:32)&gt;COUNT(Dong2),"",IF(OFFSET(TH!O$1,SMALL(Dong2,ROWS($1:32)),)=$I$6,IF($I$6="1121",OFFSET(TH!M$1,SMALL(Dong2,ROWS($1:32)),),OFFSET(TH!K$1,SMALL(Dong2,ROWS($1:32)),)),0))</f>
        <v>0</v>
      </c>
      <c r="G43" s="191">
        <f ca="1">IF(ROWS($1:32)&gt;COUNT(Dong2),"",IF(OFFSET(TH!P$1,SMALL(Dong2,ROWS($1:32)),)=$I$6,IF($I$6="1121",OFFSET(TH!M$1,SMALL(Dong2,ROWS($1:32)),),OFFSET(TH!K$1,SMALL(Dong2,ROWS($1:32)),)),0))</f>
        <v>25000</v>
      </c>
      <c r="H43" s="192">
        <f t="shared" ca="1" si="1"/>
        <v>22940296</v>
      </c>
      <c r="I43" s="192"/>
    </row>
    <row r="44" spans="1:9" s="181" customFormat="1" ht="20.25" customHeight="1">
      <c r="A44" s="1070">
        <f ca="1">IF(ROWS($1:33)&gt;COUNT(Dong2),"",OFFSET(TH!C$1,SMALL(Dong2,ROWS($1:33)),))</f>
        <v>42586</v>
      </c>
      <c r="B44" s="190" t="str">
        <f ca="1">IF(ROWS($1:33)&gt;COUNT(Dong2),"",OFFSET(TH!D$1,SMALL(Dong2,ROWS($1:33)),))</f>
        <v>GBN</v>
      </c>
      <c r="C44" s="1070">
        <f ca="1">IF(ROWS($1:33)&gt;COUNT(Dong2),"",OFFSET(TH!E$1,SMALL(Dong2,ROWS($1:33)),))</f>
        <v>42586</v>
      </c>
      <c r="D44" s="413" t="str">
        <f ca="1">IF(ROWS($1:33)&gt;COUNT(Dong2),"",OFFSET(TH!F$1,SMALL(Dong2,ROWS($1:33)),))</f>
        <v xml:space="preserve">VAT Phí chuyển tiền </v>
      </c>
      <c r="E44" s="190" t="str">
        <f ca="1">IF(ROWS($1:33)&gt;COUNT(Dong2),"",IF(OFFSET(TH!P$1,SMALL(Dong2,ROWS($1:33)),)=$I$6,OFFSET(TH!O$1,SMALL(Dong2,ROWS($1:33)),),OFFSET(TH!P$1,SMALL(Dong2,ROWS($1:33)),)))</f>
        <v>1331</v>
      </c>
      <c r="F44" s="191">
        <f ca="1">IF(ROWS($1:33)&gt;COUNT(Dong2),"",IF(OFFSET(TH!O$1,SMALL(Dong2,ROWS($1:33)),)=$I$6,IF($I$6="1121",OFFSET(TH!M$1,SMALL(Dong2,ROWS($1:33)),),OFFSET(TH!K$1,SMALL(Dong2,ROWS($1:33)),)),0))</f>
        <v>0</v>
      </c>
      <c r="G44" s="191">
        <f ca="1">IF(ROWS($1:33)&gt;COUNT(Dong2),"",IF(OFFSET(TH!P$1,SMALL(Dong2,ROWS($1:33)),)=$I$6,IF($I$6="1121",OFFSET(TH!M$1,SMALL(Dong2,ROWS($1:33)),),OFFSET(TH!K$1,SMALL(Dong2,ROWS($1:33)),)),0))</f>
        <v>2500</v>
      </c>
      <c r="H44" s="192">
        <f t="shared" ca="1" si="1"/>
        <v>22937796</v>
      </c>
      <c r="I44" s="192"/>
    </row>
    <row r="45" spans="1:9" s="181" customFormat="1" ht="20.25" customHeight="1">
      <c r="A45" s="1070">
        <f ca="1">IF(ROWS($1:34)&gt;COUNT(Dong2),"",OFFSET(TH!C$1,SMALL(Dong2,ROWS($1:34)),))</f>
        <v>42587</v>
      </c>
      <c r="B45" s="190" t="str">
        <f ca="1">IF(ROWS($1:34)&gt;COUNT(Dong2),"",OFFSET(TH!D$1,SMALL(Dong2,ROWS($1:34)),))</f>
        <v>GBN</v>
      </c>
      <c r="C45" s="1070">
        <f ca="1">IF(ROWS($1:34)&gt;COUNT(Dong2),"",OFFSET(TH!E$1,SMALL(Dong2,ROWS($1:34)),))</f>
        <v>42587</v>
      </c>
      <c r="D45" s="413" t="str">
        <f ca="1">IF(ROWS($1:34)&gt;COUNT(Dong2),"",OFFSET(TH!F$1,SMALL(Dong2,ROWS($1:34)),))</f>
        <v>Thanh toán tiền HP</v>
      </c>
      <c r="E45" s="190" t="str">
        <f ca="1">IF(ROWS($1:34)&gt;COUNT(Dong2),"",IF(OFFSET(TH!P$1,SMALL(Dong2,ROWS($1:34)),)=$I$6,OFFSET(TH!O$1,SMALL(Dong2,ROWS($1:34)),),OFFSET(TH!P$1,SMALL(Dong2,ROWS($1:34)),)))</f>
        <v>331</v>
      </c>
      <c r="F45" s="191">
        <f ca="1">IF(ROWS($1:34)&gt;COUNT(Dong2),"",IF(OFFSET(TH!O$1,SMALL(Dong2,ROWS($1:34)),)=$I$6,IF($I$6="1121",OFFSET(TH!M$1,SMALL(Dong2,ROWS($1:34)),),OFFSET(TH!K$1,SMALL(Dong2,ROWS($1:34)),)),0))</f>
        <v>0</v>
      </c>
      <c r="G45" s="191">
        <f ca="1">IF(ROWS($1:34)&gt;COUNT(Dong2),"",IF(OFFSET(TH!P$1,SMALL(Dong2,ROWS($1:34)),)=$I$6,IF($I$6="1121",OFFSET(TH!M$1,SMALL(Dong2,ROWS($1:34)),),OFFSET(TH!K$1,SMALL(Dong2,ROWS($1:34)),)),0))</f>
        <v>21000000</v>
      </c>
      <c r="H45" s="192">
        <f t="shared" ca="1" si="1"/>
        <v>1937796</v>
      </c>
      <c r="I45" s="192"/>
    </row>
    <row r="46" spans="1:9" s="181" customFormat="1" ht="20.25" customHeight="1">
      <c r="A46" s="1070">
        <f ca="1">IF(ROWS($1:35)&gt;COUNT(Dong2),"",OFFSET(TH!C$1,SMALL(Dong2,ROWS($1:35)),))</f>
        <v>42590</v>
      </c>
      <c r="B46" s="190" t="str">
        <f ca="1">IF(ROWS($1:35)&gt;COUNT(Dong2),"",OFFSET(TH!D$1,SMALL(Dong2,ROWS($1:35)),))</f>
        <v>GBC</v>
      </c>
      <c r="C46" s="1070">
        <f ca="1">IF(ROWS($1:35)&gt;COUNT(Dong2),"",OFFSET(TH!E$1,SMALL(Dong2,ROWS($1:35)),))</f>
        <v>42590</v>
      </c>
      <c r="D46" s="413" t="str">
        <f ca="1">IF(ROWS($1:35)&gt;COUNT(Dong2),"",OFFSET(TH!F$1,SMALL(Dong2,ROWS($1:35)),))</f>
        <v>Hoàn GTGT</v>
      </c>
      <c r="E46" s="190" t="str">
        <f ca="1">IF(ROWS($1:35)&gt;COUNT(Dong2),"",IF(OFFSET(TH!P$1,SMALL(Dong2,ROWS($1:35)),)=$I$6,OFFSET(TH!O$1,SMALL(Dong2,ROWS($1:35)),),OFFSET(TH!P$1,SMALL(Dong2,ROWS($1:35)),)))</f>
        <v>1388</v>
      </c>
      <c r="F46" s="191">
        <f ca="1">IF(ROWS($1:35)&gt;COUNT(Dong2),"",IF(OFFSET(TH!O$1,SMALL(Dong2,ROWS($1:35)),)=$I$6,IF($I$6="1121",OFFSET(TH!M$1,SMALL(Dong2,ROWS($1:35)),),OFFSET(TH!K$1,SMALL(Dong2,ROWS($1:35)),)),0))</f>
        <v>1219554047</v>
      </c>
      <c r="G46" s="191">
        <f ca="1">IF(ROWS($1:35)&gt;COUNT(Dong2),"",IF(OFFSET(TH!P$1,SMALL(Dong2,ROWS($1:35)),)=$I$6,IF($I$6="1121",OFFSET(TH!M$1,SMALL(Dong2,ROWS($1:35)),),OFFSET(TH!K$1,SMALL(Dong2,ROWS($1:35)),)),0))</f>
        <v>0</v>
      </c>
      <c r="H46" s="192">
        <f t="shared" ca="1" si="1"/>
        <v>1221491843</v>
      </c>
      <c r="I46" s="192"/>
    </row>
    <row r="47" spans="1:9" s="181" customFormat="1" ht="20.25" customHeight="1">
      <c r="A47" s="1070">
        <f ca="1">IF(ROWS($1:36)&gt;COUNT(Dong2),"",OFFSET(TH!C$1,SMALL(Dong2,ROWS($1:36)),))</f>
        <v>42592</v>
      </c>
      <c r="B47" s="190" t="str">
        <f ca="1">IF(ROWS($1:36)&gt;COUNT(Dong2),"",OFFSET(TH!D$1,SMALL(Dong2,ROWS($1:36)),))</f>
        <v>T01</v>
      </c>
      <c r="C47" s="1070">
        <f ca="1">IF(ROWS($1:36)&gt;COUNT(Dong2),"",OFFSET(TH!E$1,SMALL(Dong2,ROWS($1:36)),))</f>
        <v>42592</v>
      </c>
      <c r="D47" s="413" t="str">
        <f ca="1">IF(ROWS($1:36)&gt;COUNT(Dong2),"",OFFSET(TH!F$1,SMALL(Dong2,ROWS($1:36)),))</f>
        <v>Rút TM</v>
      </c>
      <c r="E47" s="190" t="str">
        <f ca="1">IF(ROWS($1:36)&gt;COUNT(Dong2),"",IF(OFFSET(TH!P$1,SMALL(Dong2,ROWS($1:36)),)=$I$6,OFFSET(TH!O$1,SMALL(Dong2,ROWS($1:36)),),OFFSET(TH!P$1,SMALL(Dong2,ROWS($1:36)),)))</f>
        <v>1111</v>
      </c>
      <c r="F47" s="191">
        <f ca="1">IF(ROWS($1:36)&gt;COUNT(Dong2),"",IF(OFFSET(TH!O$1,SMALL(Dong2,ROWS($1:36)),)=$I$6,IF($I$6="1121",OFFSET(TH!M$1,SMALL(Dong2,ROWS($1:36)),),OFFSET(TH!K$1,SMALL(Dong2,ROWS($1:36)),)),0))</f>
        <v>0</v>
      </c>
      <c r="G47" s="191">
        <f ca="1">IF(ROWS($1:36)&gt;COUNT(Dong2),"",IF(OFFSET(TH!P$1,SMALL(Dong2,ROWS($1:36)),)=$I$6,IF($I$6="1121",OFFSET(TH!M$1,SMALL(Dong2,ROWS($1:36)),),OFFSET(TH!K$1,SMALL(Dong2,ROWS($1:36)),)),0))</f>
        <v>500000000</v>
      </c>
      <c r="H47" s="192">
        <f t="shared" ca="1" si="1"/>
        <v>721491843</v>
      </c>
      <c r="I47" s="192"/>
    </row>
    <row r="48" spans="1:9" s="181" customFormat="1" ht="20.25" customHeight="1">
      <c r="A48" s="1070">
        <f ca="1">IF(ROWS($1:37)&gt;COUNT(Dong2),"",OFFSET(TH!C$1,SMALL(Dong2,ROWS($1:37)),))</f>
        <v>42593</v>
      </c>
      <c r="B48" s="190" t="str">
        <f ca="1">IF(ROWS($1:37)&gt;COUNT(Dong2),"",OFFSET(TH!D$1,SMALL(Dong2,ROWS($1:37)),))</f>
        <v>GBN</v>
      </c>
      <c r="C48" s="1070">
        <f ca="1">IF(ROWS($1:37)&gt;COUNT(Dong2),"",OFFSET(TH!E$1,SMALL(Dong2,ROWS($1:37)),))</f>
        <v>42593</v>
      </c>
      <c r="D48" s="413" t="str">
        <f ca="1">IF(ROWS($1:37)&gt;COUNT(Dong2),"",OFFSET(TH!F$1,SMALL(Dong2,ROWS($1:37)),))</f>
        <v>Thanh toán tiền bảng hiệu</v>
      </c>
      <c r="E48" s="190" t="str">
        <f ca="1">IF(ROWS($1:37)&gt;COUNT(Dong2),"",IF(OFFSET(TH!P$1,SMALL(Dong2,ROWS($1:37)),)=$I$6,OFFSET(TH!O$1,SMALL(Dong2,ROWS($1:37)),),OFFSET(TH!P$1,SMALL(Dong2,ROWS($1:37)),)))</f>
        <v>331</v>
      </c>
      <c r="F48" s="191">
        <f ca="1">IF(ROWS($1:37)&gt;COUNT(Dong2),"",IF(OFFSET(TH!O$1,SMALL(Dong2,ROWS($1:37)),)=$I$6,IF($I$6="1121",OFFSET(TH!M$1,SMALL(Dong2,ROWS($1:37)),),OFFSET(TH!K$1,SMALL(Dong2,ROWS($1:37)),)),0))</f>
        <v>0</v>
      </c>
      <c r="G48" s="191">
        <f ca="1">IF(ROWS($1:37)&gt;COUNT(Dong2),"",IF(OFFSET(TH!P$1,SMALL(Dong2,ROWS($1:37)),)=$I$6,IF($I$6="1121",OFFSET(TH!M$1,SMALL(Dong2,ROWS($1:37)),),OFFSET(TH!K$1,SMALL(Dong2,ROWS($1:37)),)),0))</f>
        <v>31034850</v>
      </c>
      <c r="H48" s="192">
        <f t="shared" ca="1" si="1"/>
        <v>690456993</v>
      </c>
      <c r="I48" s="192"/>
    </row>
    <row r="49" spans="1:9" s="181" customFormat="1" ht="20.25" customHeight="1">
      <c r="A49" s="1070">
        <f ca="1">IF(ROWS($1:38)&gt;COUNT(Dong2),"",OFFSET(TH!C$1,SMALL(Dong2,ROWS($1:38)),))</f>
        <v>42593</v>
      </c>
      <c r="B49" s="190" t="str">
        <f ca="1">IF(ROWS($1:38)&gt;COUNT(Dong2),"",OFFSET(TH!D$1,SMALL(Dong2,ROWS($1:38)),))</f>
        <v>GBN</v>
      </c>
      <c r="C49" s="1070">
        <f ca="1">IF(ROWS($1:38)&gt;COUNT(Dong2),"",OFFSET(TH!E$1,SMALL(Dong2,ROWS($1:38)),))</f>
        <v>42593</v>
      </c>
      <c r="D49" s="413" t="str">
        <f ca="1">IF(ROWS($1:38)&gt;COUNT(Dong2),"",OFFSET(TH!F$1,SMALL(Dong2,ROWS($1:38)),))</f>
        <v xml:space="preserve">Phí chuyển tiền </v>
      </c>
      <c r="E49" s="190" t="str">
        <f ca="1">IF(ROWS($1:38)&gt;COUNT(Dong2),"",IF(OFFSET(TH!P$1,SMALL(Dong2,ROWS($1:38)),)=$I$6,OFFSET(TH!O$1,SMALL(Dong2,ROWS($1:38)),),OFFSET(TH!P$1,SMALL(Dong2,ROWS($1:38)),)))</f>
        <v>642</v>
      </c>
      <c r="F49" s="191">
        <f ca="1">IF(ROWS($1:38)&gt;COUNT(Dong2),"",IF(OFFSET(TH!O$1,SMALL(Dong2,ROWS($1:38)),)=$I$6,IF($I$6="1121",OFFSET(TH!M$1,SMALL(Dong2,ROWS($1:38)),),OFFSET(TH!K$1,SMALL(Dong2,ROWS($1:38)),)),0))</f>
        <v>0</v>
      </c>
      <c r="G49" s="191">
        <f ca="1">IF(ROWS($1:38)&gt;COUNT(Dong2),"",IF(OFFSET(TH!P$1,SMALL(Dong2,ROWS($1:38)),)=$I$6,IF($I$6="1121",OFFSET(TH!M$1,SMALL(Dong2,ROWS($1:38)),),OFFSET(TH!K$1,SMALL(Dong2,ROWS($1:38)),)),0))</f>
        <v>25000</v>
      </c>
      <c r="H49" s="192">
        <f t="shared" ca="1" si="1"/>
        <v>690431993</v>
      </c>
      <c r="I49" s="192"/>
    </row>
    <row r="50" spans="1:9" s="181" customFormat="1" ht="20.25" customHeight="1">
      <c r="A50" s="1070">
        <f ca="1">IF(ROWS($1:39)&gt;COUNT(Dong2),"",OFFSET(TH!C$1,SMALL(Dong2,ROWS($1:39)),))</f>
        <v>42593</v>
      </c>
      <c r="B50" s="190" t="str">
        <f ca="1">IF(ROWS($1:39)&gt;COUNT(Dong2),"",OFFSET(TH!D$1,SMALL(Dong2,ROWS($1:39)),))</f>
        <v>GBN</v>
      </c>
      <c r="C50" s="1070">
        <f ca="1">IF(ROWS($1:39)&gt;COUNT(Dong2),"",OFFSET(TH!E$1,SMALL(Dong2,ROWS($1:39)),))</f>
        <v>42593</v>
      </c>
      <c r="D50" s="413" t="str">
        <f ca="1">IF(ROWS($1:39)&gt;COUNT(Dong2),"",OFFSET(TH!F$1,SMALL(Dong2,ROWS($1:39)),))</f>
        <v xml:space="preserve">VAT Phí chuyển tiền </v>
      </c>
      <c r="E50" s="190" t="str">
        <f ca="1">IF(ROWS($1:39)&gt;COUNT(Dong2),"",IF(OFFSET(TH!P$1,SMALL(Dong2,ROWS($1:39)),)=$I$6,OFFSET(TH!O$1,SMALL(Dong2,ROWS($1:39)),),OFFSET(TH!P$1,SMALL(Dong2,ROWS($1:39)),)))</f>
        <v>1331</v>
      </c>
      <c r="F50" s="191">
        <f ca="1">IF(ROWS($1:39)&gt;COUNT(Dong2),"",IF(OFFSET(TH!O$1,SMALL(Dong2,ROWS($1:39)),)=$I$6,IF($I$6="1121",OFFSET(TH!M$1,SMALL(Dong2,ROWS($1:39)),),OFFSET(TH!K$1,SMALL(Dong2,ROWS($1:39)),)),0))</f>
        <v>0</v>
      </c>
      <c r="G50" s="191">
        <f ca="1">IF(ROWS($1:39)&gt;COUNT(Dong2),"",IF(OFFSET(TH!P$1,SMALL(Dong2,ROWS($1:39)),)=$I$6,IF($I$6="1121",OFFSET(TH!M$1,SMALL(Dong2,ROWS($1:39)),),OFFSET(TH!K$1,SMALL(Dong2,ROWS($1:39)),)),0))</f>
        <v>2500</v>
      </c>
      <c r="H50" s="192">
        <f t="shared" ca="1" si="1"/>
        <v>690429493</v>
      </c>
      <c r="I50" s="192"/>
    </row>
    <row r="51" spans="1:9" s="181" customFormat="1" ht="20.25" customHeight="1">
      <c r="A51" s="1070">
        <f ca="1">IF(ROWS($1:40)&gt;COUNT(Dong2),"",OFFSET(TH!C$1,SMALL(Dong2,ROWS($1:40)),))</f>
        <v>42593</v>
      </c>
      <c r="B51" s="190" t="str">
        <f ca="1">IF(ROWS($1:40)&gt;COUNT(Dong2),"",OFFSET(TH!D$1,SMALL(Dong2,ROWS($1:40)),))</f>
        <v>GBN</v>
      </c>
      <c r="C51" s="1070">
        <f ca="1">IF(ROWS($1:40)&gt;COUNT(Dong2),"",OFFSET(TH!E$1,SMALL(Dong2,ROWS($1:40)),))</f>
        <v>42593</v>
      </c>
      <c r="D51" s="413" t="str">
        <f ca="1">IF(ROWS($1:40)&gt;COUNT(Dong2),"",OFFSET(TH!F$1,SMALL(Dong2,ROWS($1:40)),))</f>
        <v>Thanh toán tiền cây, rác</v>
      </c>
      <c r="E51" s="190" t="str">
        <f ca="1">IF(ROWS($1:40)&gt;COUNT(Dong2),"",IF(OFFSET(TH!P$1,SMALL(Dong2,ROWS($1:40)),)=$I$6,OFFSET(TH!O$1,SMALL(Dong2,ROWS($1:40)),),OFFSET(TH!P$1,SMALL(Dong2,ROWS($1:40)),)))</f>
        <v>331</v>
      </c>
      <c r="F51" s="191">
        <f ca="1">IF(ROWS($1:40)&gt;COUNT(Dong2),"",IF(OFFSET(TH!O$1,SMALL(Dong2,ROWS($1:40)),)=$I$6,IF($I$6="1121",OFFSET(TH!M$1,SMALL(Dong2,ROWS($1:40)),),OFFSET(TH!K$1,SMALL(Dong2,ROWS($1:40)),)),0))</f>
        <v>0</v>
      </c>
      <c r="G51" s="191">
        <f ca="1">IF(ROWS($1:40)&gt;COUNT(Dong2),"",IF(OFFSET(TH!P$1,SMALL(Dong2,ROWS($1:40)),)=$I$6,IF($I$6="1121",OFFSET(TH!M$1,SMALL(Dong2,ROWS($1:40)),),OFFSET(TH!K$1,SMALL(Dong2,ROWS($1:40)),)),0))</f>
        <v>17500000</v>
      </c>
      <c r="H51" s="192">
        <f t="shared" ca="1" si="1"/>
        <v>672929493</v>
      </c>
      <c r="I51" s="192"/>
    </row>
    <row r="52" spans="1:9" s="181" customFormat="1" ht="20.25" customHeight="1">
      <c r="A52" s="1070">
        <f ca="1">IF(ROWS($1:41)&gt;COUNT(Dong2),"",OFFSET(TH!C$1,SMALL(Dong2,ROWS($1:41)),))</f>
        <v>42593</v>
      </c>
      <c r="B52" s="190" t="str">
        <f ca="1">IF(ROWS($1:41)&gt;COUNT(Dong2),"",OFFSET(TH!D$1,SMALL(Dong2,ROWS($1:41)),))</f>
        <v>GBN</v>
      </c>
      <c r="C52" s="1070">
        <f ca="1">IF(ROWS($1:41)&gt;COUNT(Dong2),"",OFFSET(TH!E$1,SMALL(Dong2,ROWS($1:41)),))</f>
        <v>42593</v>
      </c>
      <c r="D52" s="413" t="str">
        <f ca="1">IF(ROWS($1:41)&gt;COUNT(Dong2),"",OFFSET(TH!F$1,SMALL(Dong2,ROWS($1:41)),))</f>
        <v xml:space="preserve">Phí chuyển tiền </v>
      </c>
      <c r="E52" s="190" t="str">
        <f ca="1">IF(ROWS($1:41)&gt;COUNT(Dong2),"",IF(OFFSET(TH!P$1,SMALL(Dong2,ROWS($1:41)),)=$I$6,OFFSET(TH!O$1,SMALL(Dong2,ROWS($1:41)),),OFFSET(TH!P$1,SMALL(Dong2,ROWS($1:41)),)))</f>
        <v>642</v>
      </c>
      <c r="F52" s="191">
        <f ca="1">IF(ROWS($1:41)&gt;COUNT(Dong2),"",IF(OFFSET(TH!O$1,SMALL(Dong2,ROWS($1:41)),)=$I$6,IF($I$6="1121",OFFSET(TH!M$1,SMALL(Dong2,ROWS($1:41)),),OFFSET(TH!K$1,SMALL(Dong2,ROWS($1:41)),)),0))</f>
        <v>0</v>
      </c>
      <c r="G52" s="191">
        <f ca="1">IF(ROWS($1:41)&gt;COUNT(Dong2),"",IF(OFFSET(TH!P$1,SMALL(Dong2,ROWS($1:41)),)=$I$6,IF($I$6="1121",OFFSET(TH!M$1,SMALL(Dong2,ROWS($1:41)),),OFFSET(TH!K$1,SMALL(Dong2,ROWS($1:41)),)),0))</f>
        <v>25000</v>
      </c>
      <c r="H52" s="192">
        <f t="shared" ca="1" si="1"/>
        <v>672904493</v>
      </c>
      <c r="I52" s="192"/>
    </row>
    <row r="53" spans="1:9" s="181" customFormat="1" ht="20.25" customHeight="1">
      <c r="A53" s="1070">
        <f ca="1">IF(ROWS($1:42)&gt;COUNT(Dong2),"",OFFSET(TH!C$1,SMALL(Dong2,ROWS($1:42)),))</f>
        <v>42593</v>
      </c>
      <c r="B53" s="190" t="str">
        <f ca="1">IF(ROWS($1:42)&gt;COUNT(Dong2),"",OFFSET(TH!D$1,SMALL(Dong2,ROWS($1:42)),))</f>
        <v>GBN</v>
      </c>
      <c r="C53" s="1070">
        <f ca="1">IF(ROWS($1:42)&gt;COUNT(Dong2),"",OFFSET(TH!E$1,SMALL(Dong2,ROWS($1:42)),))</f>
        <v>42593</v>
      </c>
      <c r="D53" s="413" t="str">
        <f ca="1">IF(ROWS($1:42)&gt;COUNT(Dong2),"",OFFSET(TH!F$1,SMALL(Dong2,ROWS($1:42)),))</f>
        <v xml:space="preserve">VAT Phí chuyển tiền </v>
      </c>
      <c r="E53" s="190" t="str">
        <f ca="1">IF(ROWS($1:42)&gt;COUNT(Dong2),"",IF(OFFSET(TH!P$1,SMALL(Dong2,ROWS($1:42)),)=$I$6,OFFSET(TH!O$1,SMALL(Dong2,ROWS($1:42)),),OFFSET(TH!P$1,SMALL(Dong2,ROWS($1:42)),)))</f>
        <v>1331</v>
      </c>
      <c r="F53" s="191">
        <f ca="1">IF(ROWS($1:42)&gt;COUNT(Dong2),"",IF(OFFSET(TH!O$1,SMALL(Dong2,ROWS($1:42)),)=$I$6,IF($I$6="1121",OFFSET(TH!M$1,SMALL(Dong2,ROWS($1:42)),),OFFSET(TH!K$1,SMALL(Dong2,ROWS($1:42)),)),0))</f>
        <v>0</v>
      </c>
      <c r="G53" s="191">
        <f ca="1">IF(ROWS($1:42)&gt;COUNT(Dong2),"",IF(OFFSET(TH!P$1,SMALL(Dong2,ROWS($1:42)),)=$I$6,IF($I$6="1121",OFFSET(TH!M$1,SMALL(Dong2,ROWS($1:42)),),OFFSET(TH!K$1,SMALL(Dong2,ROWS($1:42)),)),0))</f>
        <v>2500</v>
      </c>
      <c r="H53" s="192">
        <f t="shared" ca="1" si="1"/>
        <v>672901993</v>
      </c>
      <c r="I53" s="192"/>
    </row>
    <row r="54" spans="1:9" s="181" customFormat="1" ht="20.25" customHeight="1">
      <c r="A54" s="1070">
        <f ca="1">IF(ROWS($1:43)&gt;COUNT(Dong2),"",OFFSET(TH!C$1,SMALL(Dong2,ROWS($1:43)),))</f>
        <v>42594</v>
      </c>
      <c r="B54" s="190" t="str">
        <f ca="1">IF(ROWS($1:43)&gt;COUNT(Dong2),"",OFFSET(TH!D$1,SMALL(Dong2,ROWS($1:43)),))</f>
        <v>GBN</v>
      </c>
      <c r="C54" s="1070">
        <f ca="1">IF(ROWS($1:43)&gt;COUNT(Dong2),"",OFFSET(TH!E$1,SMALL(Dong2,ROWS($1:43)),))</f>
        <v>42594</v>
      </c>
      <c r="D54" s="413" t="str">
        <f ca="1">IF(ROWS($1:43)&gt;COUNT(Dong2),"",OFFSET(TH!F$1,SMALL(Dong2,ROWS($1:43)),))</f>
        <v>Thanh toán VLXD (NH hủy)</v>
      </c>
      <c r="E54" s="190" t="str">
        <f ca="1">IF(ROWS($1:43)&gt;COUNT(Dong2),"",IF(OFFSET(TH!P$1,SMALL(Dong2,ROWS($1:43)),)=$I$6,OFFSET(TH!O$1,SMALL(Dong2,ROWS($1:43)),),OFFSET(TH!P$1,SMALL(Dong2,ROWS($1:43)),)))</f>
        <v>1388</v>
      </c>
      <c r="F54" s="191">
        <f ca="1">IF(ROWS($1:43)&gt;COUNT(Dong2),"",IF(OFFSET(TH!O$1,SMALL(Dong2,ROWS($1:43)),)=$I$6,IF($I$6="1121",OFFSET(TH!M$1,SMALL(Dong2,ROWS($1:43)),),OFFSET(TH!K$1,SMALL(Dong2,ROWS($1:43)),)),0))</f>
        <v>0</v>
      </c>
      <c r="G54" s="191">
        <f ca="1">IF(ROWS($1:43)&gt;COUNT(Dong2),"",IF(OFFSET(TH!P$1,SMALL(Dong2,ROWS($1:43)),)=$I$6,IF($I$6="1121",OFFSET(TH!M$1,SMALL(Dong2,ROWS($1:43)),),OFFSET(TH!K$1,SMALL(Dong2,ROWS($1:43)),)),0))</f>
        <v>64474776</v>
      </c>
      <c r="H54" s="192">
        <f t="shared" ca="1" si="1"/>
        <v>608427217</v>
      </c>
      <c r="I54" s="192"/>
    </row>
    <row r="55" spans="1:9" s="181" customFormat="1" ht="20.25" customHeight="1">
      <c r="A55" s="1070">
        <f ca="1">IF(ROWS($1:44)&gt;COUNT(Dong2),"",OFFSET(TH!C$1,SMALL(Dong2,ROWS($1:44)),))</f>
        <v>42594</v>
      </c>
      <c r="B55" s="190" t="str">
        <f ca="1">IF(ROWS($1:44)&gt;COUNT(Dong2),"",OFFSET(TH!D$1,SMALL(Dong2,ROWS($1:44)),))</f>
        <v>GBN</v>
      </c>
      <c r="C55" s="1070">
        <f ca="1">IF(ROWS($1:44)&gt;COUNT(Dong2),"",OFFSET(TH!E$1,SMALL(Dong2,ROWS($1:44)),))</f>
        <v>42594</v>
      </c>
      <c r="D55" s="413" t="str">
        <f ca="1">IF(ROWS($1:44)&gt;COUNT(Dong2),"",OFFSET(TH!F$1,SMALL(Dong2,ROWS($1:44)),))</f>
        <v>Phí chuyển tiền (NH hủy)</v>
      </c>
      <c r="E55" s="190" t="str">
        <f ca="1">IF(ROWS($1:44)&gt;COUNT(Dong2),"",IF(OFFSET(TH!P$1,SMALL(Dong2,ROWS($1:44)),)=$I$6,OFFSET(TH!O$1,SMALL(Dong2,ROWS($1:44)),),OFFSET(TH!P$1,SMALL(Dong2,ROWS($1:44)),)))</f>
        <v>1388</v>
      </c>
      <c r="F55" s="191">
        <f ca="1">IF(ROWS($1:44)&gt;COUNT(Dong2),"",IF(OFFSET(TH!O$1,SMALL(Dong2,ROWS($1:44)),)=$I$6,IF($I$6="1121",OFFSET(TH!M$1,SMALL(Dong2,ROWS($1:44)),),OFFSET(TH!K$1,SMALL(Dong2,ROWS($1:44)),)),0))</f>
        <v>0</v>
      </c>
      <c r="G55" s="191">
        <f ca="1">IF(ROWS($1:44)&gt;COUNT(Dong2),"",IF(OFFSET(TH!P$1,SMALL(Dong2,ROWS($1:44)),)=$I$6,IF($I$6="1121",OFFSET(TH!M$1,SMALL(Dong2,ROWS($1:44)),),OFFSET(TH!K$1,SMALL(Dong2,ROWS($1:44)),)),0))</f>
        <v>25000</v>
      </c>
      <c r="H55" s="192">
        <f t="shared" ca="1" si="1"/>
        <v>608402217</v>
      </c>
      <c r="I55" s="192"/>
    </row>
    <row r="56" spans="1:9" s="181" customFormat="1" ht="20.25" customHeight="1">
      <c r="A56" s="1070">
        <f ca="1">IF(ROWS($1:45)&gt;COUNT(Dong2),"",OFFSET(TH!C$1,SMALL(Dong2,ROWS($1:45)),))</f>
        <v>42594</v>
      </c>
      <c r="B56" s="190" t="str">
        <f ca="1">IF(ROWS($1:45)&gt;COUNT(Dong2),"",OFFSET(TH!D$1,SMALL(Dong2,ROWS($1:45)),))</f>
        <v>GBN</v>
      </c>
      <c r="C56" s="1070">
        <f ca="1">IF(ROWS($1:45)&gt;COUNT(Dong2),"",OFFSET(TH!E$1,SMALL(Dong2,ROWS($1:45)),))</f>
        <v>42594</v>
      </c>
      <c r="D56" s="413" t="str">
        <f ca="1">IF(ROWS($1:45)&gt;COUNT(Dong2),"",OFFSET(TH!F$1,SMALL(Dong2,ROWS($1:45)),))</f>
        <v>VAT Phí chuyển tiền (NH hủy)</v>
      </c>
      <c r="E56" s="190" t="str">
        <f ca="1">IF(ROWS($1:45)&gt;COUNT(Dong2),"",IF(OFFSET(TH!P$1,SMALL(Dong2,ROWS($1:45)),)=$I$6,OFFSET(TH!O$1,SMALL(Dong2,ROWS($1:45)),),OFFSET(TH!P$1,SMALL(Dong2,ROWS($1:45)),)))</f>
        <v>1388</v>
      </c>
      <c r="F56" s="191">
        <f ca="1">IF(ROWS($1:45)&gt;COUNT(Dong2),"",IF(OFFSET(TH!O$1,SMALL(Dong2,ROWS($1:45)),)=$I$6,IF($I$6="1121",OFFSET(TH!M$1,SMALL(Dong2,ROWS($1:45)),),OFFSET(TH!K$1,SMALL(Dong2,ROWS($1:45)),)),0))</f>
        <v>0</v>
      </c>
      <c r="G56" s="191">
        <f ca="1">IF(ROWS($1:45)&gt;COUNT(Dong2),"",IF(OFFSET(TH!P$1,SMALL(Dong2,ROWS($1:45)),)=$I$6,IF($I$6="1121",OFFSET(TH!M$1,SMALL(Dong2,ROWS($1:45)),),OFFSET(TH!K$1,SMALL(Dong2,ROWS($1:45)),)),0))</f>
        <v>2500</v>
      </c>
      <c r="H56" s="1160">
        <f t="shared" ca="1" si="1"/>
        <v>608399717</v>
      </c>
      <c r="I56" s="192"/>
    </row>
    <row r="57" spans="1:9" s="181" customFormat="1" ht="20.25" customHeight="1">
      <c r="A57" s="1070">
        <f ca="1">IF(ROWS($1:46)&gt;COUNT(Dong2),"",OFFSET(TH!C$1,SMALL(Dong2,ROWS($1:46)),))</f>
        <v>42594</v>
      </c>
      <c r="B57" s="190" t="str">
        <f ca="1">IF(ROWS($1:46)&gt;COUNT(Dong2),"",OFFSET(TH!D$1,SMALL(Dong2,ROWS($1:46)),))</f>
        <v>GBC</v>
      </c>
      <c r="C57" s="1070">
        <f ca="1">IF(ROWS($1:46)&gt;COUNT(Dong2),"",OFFSET(TH!E$1,SMALL(Dong2,ROWS($1:46)),))</f>
        <v>42594</v>
      </c>
      <c r="D57" s="413" t="str">
        <f ca="1">IF(ROWS($1:46)&gt;COUNT(Dong2),"",OFFSET(TH!F$1,SMALL(Dong2,ROWS($1:46)),))</f>
        <v>NH hủy Thanh toán VLXD</v>
      </c>
      <c r="E57" s="190" t="str">
        <f ca="1">IF(ROWS($1:46)&gt;COUNT(Dong2),"",IF(OFFSET(TH!P$1,SMALL(Dong2,ROWS($1:46)),)=$I$6,OFFSET(TH!O$1,SMALL(Dong2,ROWS($1:46)),),OFFSET(TH!P$1,SMALL(Dong2,ROWS($1:46)),)))</f>
        <v>1388</v>
      </c>
      <c r="F57" s="191">
        <f ca="1">IF(ROWS($1:46)&gt;COUNT(Dong2),"",IF(OFFSET(TH!O$1,SMALL(Dong2,ROWS($1:46)),)=$I$6,IF($I$6="1121",OFFSET(TH!M$1,SMALL(Dong2,ROWS($1:46)),),OFFSET(TH!K$1,SMALL(Dong2,ROWS($1:46)),)),0))</f>
        <v>0</v>
      </c>
      <c r="G57" s="191">
        <f ca="1">IF(ROWS($1:46)&gt;COUNT(Dong2),"",IF(OFFSET(TH!P$1,SMALL(Dong2,ROWS($1:46)),)=$I$6,IF($I$6="1121",OFFSET(TH!M$1,SMALL(Dong2,ROWS($1:46)),),OFFSET(TH!K$1,SMALL(Dong2,ROWS($1:46)),)),0))</f>
        <v>-64474776</v>
      </c>
      <c r="H57" s="192">
        <f t="shared" ca="1" si="1"/>
        <v>672874493</v>
      </c>
      <c r="I57" s="192"/>
    </row>
    <row r="58" spans="1:9" s="181" customFormat="1" ht="20.25" customHeight="1">
      <c r="A58" s="1070">
        <f ca="1">IF(ROWS($1:47)&gt;COUNT(Dong2),"",OFFSET(TH!C$1,SMALL(Dong2,ROWS($1:47)),))</f>
        <v>42594</v>
      </c>
      <c r="B58" s="190" t="str">
        <f ca="1">IF(ROWS($1:47)&gt;COUNT(Dong2),"",OFFSET(TH!D$1,SMALL(Dong2,ROWS($1:47)),))</f>
        <v>GBC</v>
      </c>
      <c r="C58" s="1070">
        <f ca="1">IF(ROWS($1:47)&gt;COUNT(Dong2),"",OFFSET(TH!E$1,SMALL(Dong2,ROWS($1:47)),))</f>
        <v>42594</v>
      </c>
      <c r="D58" s="413" t="str">
        <f ca="1">IF(ROWS($1:47)&gt;COUNT(Dong2),"",OFFSET(TH!F$1,SMALL(Dong2,ROWS($1:47)),))</f>
        <v xml:space="preserve">NH hủy Phí chuyển tiền </v>
      </c>
      <c r="E58" s="190" t="str">
        <f ca="1">IF(ROWS($1:47)&gt;COUNT(Dong2),"",IF(OFFSET(TH!P$1,SMALL(Dong2,ROWS($1:47)),)=$I$6,OFFSET(TH!O$1,SMALL(Dong2,ROWS($1:47)),),OFFSET(TH!P$1,SMALL(Dong2,ROWS($1:47)),)))</f>
        <v>1388</v>
      </c>
      <c r="F58" s="191">
        <f ca="1">IF(ROWS($1:47)&gt;COUNT(Dong2),"",IF(OFFSET(TH!O$1,SMALL(Dong2,ROWS($1:47)),)=$I$6,IF($I$6="1121",OFFSET(TH!M$1,SMALL(Dong2,ROWS($1:47)),),OFFSET(TH!K$1,SMALL(Dong2,ROWS($1:47)),)),0))</f>
        <v>0</v>
      </c>
      <c r="G58" s="191">
        <f ca="1">IF(ROWS($1:47)&gt;COUNT(Dong2),"",IF(OFFSET(TH!P$1,SMALL(Dong2,ROWS($1:47)),)=$I$6,IF($I$6="1121",OFFSET(TH!M$1,SMALL(Dong2,ROWS($1:47)),),OFFSET(TH!K$1,SMALL(Dong2,ROWS($1:47)),)),0))</f>
        <v>-25000</v>
      </c>
      <c r="H58" s="192">
        <f t="shared" ca="1" si="1"/>
        <v>672899493</v>
      </c>
      <c r="I58" s="192"/>
    </row>
    <row r="59" spans="1:9" s="181" customFormat="1" ht="20.25" customHeight="1">
      <c r="A59" s="1070">
        <f ca="1">IF(ROWS($1:48)&gt;COUNT(Dong2),"",OFFSET(TH!C$1,SMALL(Dong2,ROWS($1:48)),))</f>
        <v>42594</v>
      </c>
      <c r="B59" s="190" t="str">
        <f ca="1">IF(ROWS($1:48)&gt;COUNT(Dong2),"",OFFSET(TH!D$1,SMALL(Dong2,ROWS($1:48)),))</f>
        <v>GBC</v>
      </c>
      <c r="C59" s="1070">
        <f ca="1">IF(ROWS($1:48)&gt;COUNT(Dong2),"",OFFSET(TH!E$1,SMALL(Dong2,ROWS($1:48)),))</f>
        <v>42594</v>
      </c>
      <c r="D59" s="413" t="str">
        <f ca="1">IF(ROWS($1:48)&gt;COUNT(Dong2),"",OFFSET(TH!F$1,SMALL(Dong2,ROWS($1:48)),))</f>
        <v xml:space="preserve">NH hủy VAT Phí chuyển tiền </v>
      </c>
      <c r="E59" s="190" t="str">
        <f ca="1">IF(ROWS($1:48)&gt;COUNT(Dong2),"",IF(OFFSET(TH!P$1,SMALL(Dong2,ROWS($1:48)),)=$I$6,OFFSET(TH!O$1,SMALL(Dong2,ROWS($1:48)),),OFFSET(TH!P$1,SMALL(Dong2,ROWS($1:48)),)))</f>
        <v>1388</v>
      </c>
      <c r="F59" s="191">
        <f ca="1">IF(ROWS($1:48)&gt;COUNT(Dong2),"",IF(OFFSET(TH!O$1,SMALL(Dong2,ROWS($1:48)),)=$I$6,IF($I$6="1121",OFFSET(TH!M$1,SMALL(Dong2,ROWS($1:48)),),OFFSET(TH!K$1,SMALL(Dong2,ROWS($1:48)),)),0))</f>
        <v>0</v>
      </c>
      <c r="G59" s="191">
        <f ca="1">IF(ROWS($1:48)&gt;COUNT(Dong2),"",IF(OFFSET(TH!P$1,SMALL(Dong2,ROWS($1:48)),)=$I$6,IF($I$6="1121",OFFSET(TH!M$1,SMALL(Dong2,ROWS($1:48)),),OFFSET(TH!K$1,SMALL(Dong2,ROWS($1:48)),)),0))</f>
        <v>-2500</v>
      </c>
      <c r="H59" s="192">
        <f t="shared" ca="1" si="1"/>
        <v>672901993</v>
      </c>
      <c r="I59" s="192"/>
    </row>
    <row r="60" spans="1:9" s="181" customFormat="1" ht="20.25" customHeight="1">
      <c r="A60" s="1070">
        <f ca="1">IF(ROWS($1:49)&gt;COUNT(Dong2),"",OFFSET(TH!C$1,SMALL(Dong2,ROWS($1:49)),))</f>
        <v>42594</v>
      </c>
      <c r="B60" s="190" t="str">
        <f ca="1">IF(ROWS($1:49)&gt;COUNT(Dong2),"",OFFSET(TH!D$1,SMALL(Dong2,ROWS($1:49)),))</f>
        <v>GBN</v>
      </c>
      <c r="C60" s="1070">
        <f ca="1">IF(ROWS($1:49)&gt;COUNT(Dong2),"",OFFSET(TH!E$1,SMALL(Dong2,ROWS($1:49)),))</f>
        <v>42594</v>
      </c>
      <c r="D60" s="413" t="str">
        <f ca="1">IF(ROWS($1:49)&gt;COUNT(Dong2),"",OFFSET(TH!F$1,SMALL(Dong2,ROWS($1:49)),))</f>
        <v>Thanh toán VLXD</v>
      </c>
      <c r="E60" s="190" t="str">
        <f ca="1">IF(ROWS($1:49)&gt;COUNT(Dong2),"",IF(OFFSET(TH!P$1,SMALL(Dong2,ROWS($1:49)),)=$I$6,OFFSET(TH!O$1,SMALL(Dong2,ROWS($1:49)),),OFFSET(TH!P$1,SMALL(Dong2,ROWS($1:49)),)))</f>
        <v>331</v>
      </c>
      <c r="F60" s="191">
        <f ca="1">IF(ROWS($1:49)&gt;COUNT(Dong2),"",IF(OFFSET(TH!O$1,SMALL(Dong2,ROWS($1:49)),)=$I$6,IF($I$6="1121",OFFSET(TH!M$1,SMALL(Dong2,ROWS($1:49)),),OFFSET(TH!K$1,SMALL(Dong2,ROWS($1:49)),)),0))</f>
        <v>0</v>
      </c>
      <c r="G60" s="191">
        <f ca="1">IF(ROWS($1:49)&gt;COUNT(Dong2),"",IF(OFFSET(TH!P$1,SMALL(Dong2,ROWS($1:49)),)=$I$6,IF($I$6="1121",OFFSET(TH!M$1,SMALL(Dong2,ROWS($1:49)),),OFFSET(TH!K$1,SMALL(Dong2,ROWS($1:49)),)),0))</f>
        <v>62466820</v>
      </c>
      <c r="H60" s="192">
        <f t="shared" ca="1" si="1"/>
        <v>610435173</v>
      </c>
      <c r="I60" s="192"/>
    </row>
    <row r="61" spans="1:9" s="181" customFormat="1" ht="20.25" customHeight="1">
      <c r="A61" s="1070">
        <f ca="1">IF(ROWS($1:50)&gt;COUNT(Dong2),"",OFFSET(TH!C$1,SMALL(Dong2,ROWS($1:50)),))</f>
        <v>42594</v>
      </c>
      <c r="B61" s="190" t="str">
        <f ca="1">IF(ROWS($1:50)&gt;COUNT(Dong2),"",OFFSET(TH!D$1,SMALL(Dong2,ROWS($1:50)),))</f>
        <v>GBN</v>
      </c>
      <c r="C61" s="1070">
        <f ca="1">IF(ROWS($1:50)&gt;COUNT(Dong2),"",OFFSET(TH!E$1,SMALL(Dong2,ROWS($1:50)),))</f>
        <v>42594</v>
      </c>
      <c r="D61" s="413" t="str">
        <f ca="1">IF(ROWS($1:50)&gt;COUNT(Dong2),"",OFFSET(TH!F$1,SMALL(Dong2,ROWS($1:50)),))</f>
        <v xml:space="preserve">Phí chuyển tiền </v>
      </c>
      <c r="E61" s="190" t="str">
        <f ca="1">IF(ROWS($1:50)&gt;COUNT(Dong2),"",IF(OFFSET(TH!P$1,SMALL(Dong2,ROWS($1:50)),)=$I$6,OFFSET(TH!O$1,SMALL(Dong2,ROWS($1:50)),),OFFSET(TH!P$1,SMALL(Dong2,ROWS($1:50)),)))</f>
        <v>642</v>
      </c>
      <c r="F61" s="191">
        <f ca="1">IF(ROWS($1:50)&gt;COUNT(Dong2),"",IF(OFFSET(TH!O$1,SMALL(Dong2,ROWS($1:50)),)=$I$6,IF($I$6="1121",OFFSET(TH!M$1,SMALL(Dong2,ROWS($1:50)),),OFFSET(TH!K$1,SMALL(Dong2,ROWS($1:50)),)),0))</f>
        <v>0</v>
      </c>
      <c r="G61" s="191">
        <f ca="1">IF(ROWS($1:50)&gt;COUNT(Dong2),"",IF(OFFSET(TH!P$1,SMALL(Dong2,ROWS($1:50)),)=$I$6,IF($I$6="1121",OFFSET(TH!M$1,SMALL(Dong2,ROWS($1:50)),),OFFSET(TH!K$1,SMALL(Dong2,ROWS($1:50)),)),0))</f>
        <v>31233</v>
      </c>
      <c r="H61" s="192">
        <f t="shared" ca="1" si="1"/>
        <v>610403940</v>
      </c>
      <c r="I61" s="192"/>
    </row>
    <row r="62" spans="1:9" s="181" customFormat="1" ht="20.25" customHeight="1">
      <c r="A62" s="1070">
        <f ca="1">IF(ROWS($1:51)&gt;COUNT(Dong2),"",OFFSET(TH!C$1,SMALL(Dong2,ROWS($1:51)),))</f>
        <v>42594</v>
      </c>
      <c r="B62" s="190" t="str">
        <f ca="1">IF(ROWS($1:51)&gt;COUNT(Dong2),"",OFFSET(TH!D$1,SMALL(Dong2,ROWS($1:51)),))</f>
        <v>GBN</v>
      </c>
      <c r="C62" s="1070">
        <f ca="1">IF(ROWS($1:51)&gt;COUNT(Dong2),"",OFFSET(TH!E$1,SMALL(Dong2,ROWS($1:51)),))</f>
        <v>42594</v>
      </c>
      <c r="D62" s="413" t="str">
        <f ca="1">IF(ROWS($1:51)&gt;COUNT(Dong2),"",OFFSET(TH!F$1,SMALL(Dong2,ROWS($1:51)),))</f>
        <v xml:space="preserve">VAT Phí chuyển tiền </v>
      </c>
      <c r="E62" s="190" t="str">
        <f ca="1">IF(ROWS($1:51)&gt;COUNT(Dong2),"",IF(OFFSET(TH!P$1,SMALL(Dong2,ROWS($1:51)),)=$I$6,OFFSET(TH!O$1,SMALL(Dong2,ROWS($1:51)),),OFFSET(TH!P$1,SMALL(Dong2,ROWS($1:51)),)))</f>
        <v>1331</v>
      </c>
      <c r="F62" s="191">
        <f ca="1">IF(ROWS($1:51)&gt;COUNT(Dong2),"",IF(OFFSET(TH!O$1,SMALL(Dong2,ROWS($1:51)),)=$I$6,IF($I$6="1121",OFFSET(TH!M$1,SMALL(Dong2,ROWS($1:51)),),OFFSET(TH!K$1,SMALL(Dong2,ROWS($1:51)),)),0))</f>
        <v>0</v>
      </c>
      <c r="G62" s="191">
        <f ca="1">IF(ROWS($1:51)&gt;COUNT(Dong2),"",IF(OFFSET(TH!P$1,SMALL(Dong2,ROWS($1:51)),)=$I$6,IF($I$6="1121",OFFSET(TH!M$1,SMALL(Dong2,ROWS($1:51)),),OFFSET(TH!K$1,SMALL(Dong2,ROWS($1:51)),)),0))</f>
        <v>3123</v>
      </c>
      <c r="H62" s="192">
        <f t="shared" ca="1" si="1"/>
        <v>610400817</v>
      </c>
      <c r="I62" s="192"/>
    </row>
    <row r="63" spans="1:9" s="181" customFormat="1" ht="20.25" customHeight="1">
      <c r="A63" s="1070">
        <f ca="1">IF(ROWS($1:52)&gt;COUNT(Dong2),"",OFFSET(TH!C$1,SMALL(Dong2,ROWS($1:52)),))</f>
        <v>42594</v>
      </c>
      <c r="B63" s="190" t="str">
        <f ca="1">IF(ROWS($1:52)&gt;COUNT(Dong2),"",OFFSET(TH!D$1,SMALL(Dong2,ROWS($1:52)),))</f>
        <v>GBN</v>
      </c>
      <c r="C63" s="1070">
        <f ca="1">IF(ROWS($1:52)&gt;COUNT(Dong2),"",OFFSET(TH!E$1,SMALL(Dong2,ROWS($1:52)),))</f>
        <v>42594</v>
      </c>
      <c r="D63" s="413" t="str">
        <f ca="1">IF(ROWS($1:52)&gt;COUNT(Dong2),"",OFFSET(TH!F$1,SMALL(Dong2,ROWS($1:52)),))</f>
        <v>Hoàn vốn AL - Q4</v>
      </c>
      <c r="E63" s="190" t="str">
        <f ca="1">IF(ROWS($1:52)&gt;COUNT(Dong2),"",IF(OFFSET(TH!P$1,SMALL(Dong2,ROWS($1:52)),)=$I$6,OFFSET(TH!O$1,SMALL(Dong2,ROWS($1:52)),),OFFSET(TH!P$1,SMALL(Dong2,ROWS($1:52)),)))</f>
        <v>3388</v>
      </c>
      <c r="F63" s="191">
        <f ca="1">IF(ROWS($1:52)&gt;COUNT(Dong2),"",IF(OFFSET(TH!O$1,SMALL(Dong2,ROWS($1:52)),)=$I$6,IF($I$6="1121",OFFSET(TH!M$1,SMALL(Dong2,ROWS($1:52)),),OFFSET(TH!K$1,SMALL(Dong2,ROWS($1:52)),)),0))</f>
        <v>0</v>
      </c>
      <c r="G63" s="191">
        <f ca="1">IF(ROWS($1:52)&gt;COUNT(Dong2),"",IF(OFFSET(TH!P$1,SMALL(Dong2,ROWS($1:52)),)=$I$6,IF($I$6="1121",OFFSET(TH!M$1,SMALL(Dong2,ROWS($1:52)),),OFFSET(TH!K$1,SMALL(Dong2,ROWS($1:52)),)),0))</f>
        <v>18000000</v>
      </c>
      <c r="H63" s="192">
        <f t="shared" ca="1" si="1"/>
        <v>592400817</v>
      </c>
      <c r="I63" s="192"/>
    </row>
    <row r="64" spans="1:9" s="181" customFormat="1" ht="20.25" customHeight="1">
      <c r="A64" s="1070">
        <f ca="1">IF(ROWS($1:53)&gt;COUNT(Dong2),"",OFFSET(TH!C$1,SMALL(Dong2,ROWS($1:53)),))</f>
        <v>42594</v>
      </c>
      <c r="B64" s="190" t="str">
        <f ca="1">IF(ROWS($1:53)&gt;COUNT(Dong2),"",OFFSET(TH!D$1,SMALL(Dong2,ROWS($1:53)),))</f>
        <v>GBN</v>
      </c>
      <c r="C64" s="1070">
        <f ca="1">IF(ROWS($1:53)&gt;COUNT(Dong2),"",OFFSET(TH!E$1,SMALL(Dong2,ROWS($1:53)),))</f>
        <v>42594</v>
      </c>
      <c r="D64" s="413" t="str">
        <f ca="1">IF(ROWS($1:53)&gt;COUNT(Dong2),"",OFFSET(TH!F$1,SMALL(Dong2,ROWS($1:53)),))</f>
        <v>Thanh toán XD</v>
      </c>
      <c r="E64" s="190" t="str">
        <f ca="1">IF(ROWS($1:53)&gt;COUNT(Dong2),"",IF(OFFSET(TH!P$1,SMALL(Dong2,ROWS($1:53)),)=$I$6,OFFSET(TH!O$1,SMALL(Dong2,ROWS($1:53)),),OFFSET(TH!P$1,SMALL(Dong2,ROWS($1:53)),)))</f>
        <v>331</v>
      </c>
      <c r="F64" s="191">
        <f ca="1">IF(ROWS($1:53)&gt;COUNT(Dong2),"",IF(OFFSET(TH!O$1,SMALL(Dong2,ROWS($1:53)),)=$I$6,IF($I$6="1121",OFFSET(TH!M$1,SMALL(Dong2,ROWS($1:53)),),OFFSET(TH!K$1,SMALL(Dong2,ROWS($1:53)),)),0))</f>
        <v>0</v>
      </c>
      <c r="G64" s="191">
        <f ca="1">IF(ROWS($1:53)&gt;COUNT(Dong2),"",IF(OFFSET(TH!P$1,SMALL(Dong2,ROWS($1:53)),)=$I$6,IF($I$6="1121",OFFSET(TH!M$1,SMALL(Dong2,ROWS($1:53)),),OFFSET(TH!K$1,SMALL(Dong2,ROWS($1:53)),)),0))</f>
        <v>200000000</v>
      </c>
      <c r="H64" s="192">
        <f t="shared" ca="1" si="1"/>
        <v>392400817</v>
      </c>
      <c r="I64" s="192"/>
    </row>
    <row r="65" spans="1:9" s="181" customFormat="1" ht="20.25" customHeight="1">
      <c r="A65" s="1070">
        <f ca="1">IF(ROWS($1:54)&gt;COUNT(Dong2),"",OFFSET(TH!C$1,SMALL(Dong2,ROWS($1:54)),))</f>
        <v>42594</v>
      </c>
      <c r="B65" s="190" t="str">
        <f ca="1">IF(ROWS($1:54)&gt;COUNT(Dong2),"",OFFSET(TH!D$1,SMALL(Dong2,ROWS($1:54)),))</f>
        <v>GBN</v>
      </c>
      <c r="C65" s="1070">
        <f ca="1">IF(ROWS($1:54)&gt;COUNT(Dong2),"",OFFSET(TH!E$1,SMALL(Dong2,ROWS($1:54)),))</f>
        <v>42594</v>
      </c>
      <c r="D65" s="413" t="str">
        <f ca="1">IF(ROWS($1:54)&gt;COUNT(Dong2),"",OFFSET(TH!F$1,SMALL(Dong2,ROWS($1:54)),))</f>
        <v xml:space="preserve">Phí chuyển tiền </v>
      </c>
      <c r="E65" s="190" t="str">
        <f ca="1">IF(ROWS($1:54)&gt;COUNT(Dong2),"",IF(OFFSET(TH!P$1,SMALL(Dong2,ROWS($1:54)),)=$I$6,OFFSET(TH!O$1,SMALL(Dong2,ROWS($1:54)),),OFFSET(TH!P$1,SMALL(Dong2,ROWS($1:54)),)))</f>
        <v>642</v>
      </c>
      <c r="F65" s="191">
        <f ca="1">IF(ROWS($1:54)&gt;COUNT(Dong2),"",IF(OFFSET(TH!O$1,SMALL(Dong2,ROWS($1:54)),)=$I$6,IF($I$6="1121",OFFSET(TH!M$1,SMALL(Dong2,ROWS($1:54)),),OFFSET(TH!K$1,SMALL(Dong2,ROWS($1:54)),)),0))</f>
        <v>0</v>
      </c>
      <c r="G65" s="191">
        <f ca="1">IF(ROWS($1:54)&gt;COUNT(Dong2),"",IF(OFFSET(TH!P$1,SMALL(Dong2,ROWS($1:54)),)=$I$6,IF($I$6="1121",OFFSET(TH!M$1,SMALL(Dong2,ROWS($1:54)),),OFFSET(TH!K$1,SMALL(Dong2,ROWS($1:54)),)),0))</f>
        <v>100000</v>
      </c>
      <c r="H65" s="192">
        <f t="shared" ca="1" si="1"/>
        <v>392300817</v>
      </c>
      <c r="I65" s="192"/>
    </row>
    <row r="66" spans="1:9" s="181" customFormat="1" ht="20.25" customHeight="1">
      <c r="A66" s="1070">
        <f ca="1">IF(ROWS($1:55)&gt;COUNT(Dong2),"",OFFSET(TH!C$1,SMALL(Dong2,ROWS($1:55)),))</f>
        <v>42594</v>
      </c>
      <c r="B66" s="190" t="str">
        <f ca="1">IF(ROWS($1:55)&gt;COUNT(Dong2),"",OFFSET(TH!D$1,SMALL(Dong2,ROWS($1:55)),))</f>
        <v>GBN</v>
      </c>
      <c r="C66" s="1070">
        <f ca="1">IF(ROWS($1:55)&gt;COUNT(Dong2),"",OFFSET(TH!E$1,SMALL(Dong2,ROWS($1:55)),))</f>
        <v>42594</v>
      </c>
      <c r="D66" s="413" t="str">
        <f ca="1">IF(ROWS($1:55)&gt;COUNT(Dong2),"",OFFSET(TH!F$1,SMALL(Dong2,ROWS($1:55)),))</f>
        <v xml:space="preserve">VAT Phí chuyển tiền </v>
      </c>
      <c r="E66" s="190" t="str">
        <f ca="1">IF(ROWS($1:55)&gt;COUNT(Dong2),"",IF(OFFSET(TH!P$1,SMALL(Dong2,ROWS($1:55)),)=$I$6,OFFSET(TH!O$1,SMALL(Dong2,ROWS($1:55)),),OFFSET(TH!P$1,SMALL(Dong2,ROWS($1:55)),)))</f>
        <v>1331</v>
      </c>
      <c r="F66" s="191">
        <f ca="1">IF(ROWS($1:55)&gt;COUNT(Dong2),"",IF(OFFSET(TH!O$1,SMALL(Dong2,ROWS($1:55)),)=$I$6,IF($I$6="1121",OFFSET(TH!M$1,SMALL(Dong2,ROWS($1:55)),),OFFSET(TH!K$1,SMALL(Dong2,ROWS($1:55)),)),0))</f>
        <v>0</v>
      </c>
      <c r="G66" s="191">
        <f ca="1">IF(ROWS($1:55)&gt;COUNT(Dong2),"",IF(OFFSET(TH!P$1,SMALL(Dong2,ROWS($1:55)),)=$I$6,IF($I$6="1121",OFFSET(TH!M$1,SMALL(Dong2,ROWS($1:55)),),OFFSET(TH!K$1,SMALL(Dong2,ROWS($1:55)),)),0))</f>
        <v>10000</v>
      </c>
      <c r="H66" s="192">
        <f t="shared" ca="1" si="1"/>
        <v>392290817</v>
      </c>
      <c r="I66" s="192"/>
    </row>
    <row r="67" spans="1:9" s="181" customFormat="1" ht="20.25" customHeight="1">
      <c r="A67" s="1070">
        <f ca="1">IF(ROWS($1:56)&gt;COUNT(Dong2),"",OFFSET(TH!C$1,SMALL(Dong2,ROWS($1:56)),))</f>
        <v>42597</v>
      </c>
      <c r="B67" s="190" t="str">
        <f ca="1">IF(ROWS($1:56)&gt;COUNT(Dong2),"",OFFSET(TH!D$1,SMALL(Dong2,ROWS($1:56)),))</f>
        <v>GBN</v>
      </c>
      <c r="C67" s="1070">
        <f ca="1">IF(ROWS($1:56)&gt;COUNT(Dong2),"",OFFSET(TH!E$1,SMALL(Dong2,ROWS($1:56)),))</f>
        <v>42597</v>
      </c>
      <c r="D67" s="413" t="str">
        <f ca="1">IF(ROWS($1:56)&gt;COUNT(Dong2),"",OFFSET(TH!F$1,SMALL(Dong2,ROWS($1:56)),))</f>
        <v>Lãi vay</v>
      </c>
      <c r="E67" s="190" t="str">
        <f ca="1">IF(ROWS($1:56)&gt;COUNT(Dong2),"",IF(OFFSET(TH!P$1,SMALL(Dong2,ROWS($1:56)),)=$I$6,OFFSET(TH!O$1,SMALL(Dong2,ROWS($1:56)),),OFFSET(TH!P$1,SMALL(Dong2,ROWS($1:56)),)))</f>
        <v>635</v>
      </c>
      <c r="F67" s="191">
        <f ca="1">IF(ROWS($1:56)&gt;COUNT(Dong2),"",IF(OFFSET(TH!O$1,SMALL(Dong2,ROWS($1:56)),)=$I$6,IF($I$6="1121",OFFSET(TH!M$1,SMALL(Dong2,ROWS($1:56)),),OFFSET(TH!K$1,SMALL(Dong2,ROWS($1:56)),)),0))</f>
        <v>0</v>
      </c>
      <c r="G67" s="191">
        <f ca="1">IF(ROWS($1:56)&gt;COUNT(Dong2),"",IF(OFFSET(TH!P$1,SMALL(Dong2,ROWS($1:56)),)=$I$6,IF($I$6="1121",OFFSET(TH!M$1,SMALL(Dong2,ROWS($1:56)),),OFFSET(TH!K$1,SMALL(Dong2,ROWS($1:56)),)),0))</f>
        <v>8842680</v>
      </c>
      <c r="H67" s="192">
        <f t="shared" ca="1" si="1"/>
        <v>383448137</v>
      </c>
      <c r="I67" s="192"/>
    </row>
    <row r="68" spans="1:9" s="181" customFormat="1" ht="20.25" customHeight="1">
      <c r="A68" s="1070">
        <f ca="1">IF(ROWS($1:57)&gt;COUNT(Dong2),"",OFFSET(TH!C$1,SMALL(Dong2,ROWS($1:57)),))</f>
        <v>42598</v>
      </c>
      <c r="B68" s="190" t="str">
        <f ca="1">IF(ROWS($1:57)&gt;COUNT(Dong2),"",OFFSET(TH!D$1,SMALL(Dong2,ROWS($1:57)),))</f>
        <v>T02</v>
      </c>
      <c r="C68" s="1070">
        <f ca="1">IF(ROWS($1:57)&gt;COUNT(Dong2),"",OFFSET(TH!E$1,SMALL(Dong2,ROWS($1:57)),))</f>
        <v>42598</v>
      </c>
      <c r="D68" s="413" t="str">
        <f ca="1">IF(ROWS($1:57)&gt;COUNT(Dong2),"",OFFSET(TH!F$1,SMALL(Dong2,ROWS($1:57)),))</f>
        <v>Rút TM</v>
      </c>
      <c r="E68" s="190" t="str">
        <f ca="1">IF(ROWS($1:57)&gt;COUNT(Dong2),"",IF(OFFSET(TH!P$1,SMALL(Dong2,ROWS($1:57)),)=$I$6,OFFSET(TH!O$1,SMALL(Dong2,ROWS($1:57)),),OFFSET(TH!P$1,SMALL(Dong2,ROWS($1:57)),)))</f>
        <v>1111</v>
      </c>
      <c r="F68" s="191">
        <f ca="1">IF(ROWS($1:57)&gt;COUNT(Dong2),"",IF(OFFSET(TH!O$1,SMALL(Dong2,ROWS($1:57)),)=$I$6,IF($I$6="1121",OFFSET(TH!M$1,SMALL(Dong2,ROWS($1:57)),),OFFSET(TH!K$1,SMALL(Dong2,ROWS($1:57)),)),0))</f>
        <v>0</v>
      </c>
      <c r="G68" s="191">
        <f ca="1">IF(ROWS($1:57)&gt;COUNT(Dong2),"",IF(OFFSET(TH!P$1,SMALL(Dong2,ROWS($1:57)),)=$I$6,IF($I$6="1121",OFFSET(TH!M$1,SMALL(Dong2,ROWS($1:57)),),OFFSET(TH!K$1,SMALL(Dong2,ROWS($1:57)),)),0))</f>
        <v>380000000</v>
      </c>
      <c r="H68" s="192">
        <f t="shared" ca="1" si="1"/>
        <v>3448137</v>
      </c>
      <c r="I68" s="192"/>
    </row>
    <row r="69" spans="1:9" s="181" customFormat="1" ht="20.25" customHeight="1">
      <c r="A69" s="1070">
        <f ca="1">IF(ROWS($1:58)&gt;COUNT(Dong2),"",OFFSET(TH!C$1,SMALL(Dong2,ROWS($1:58)),))</f>
        <v>42601</v>
      </c>
      <c r="B69" s="190" t="str">
        <f ca="1">IF(ROWS($1:58)&gt;COUNT(Dong2),"",OFFSET(TH!D$1,SMALL(Dong2,ROWS($1:58)),))</f>
        <v>GBC</v>
      </c>
      <c r="C69" s="1070">
        <f ca="1">IF(ROWS($1:58)&gt;COUNT(Dong2),"",OFFSET(TH!E$1,SMALL(Dong2,ROWS($1:58)),))</f>
        <v>42601</v>
      </c>
      <c r="D69" s="413" t="str">
        <f ca="1">IF(ROWS($1:58)&gt;COUNT(Dong2),"",OFFSET(TH!F$1,SMALL(Dong2,ROWS($1:58)),))</f>
        <v>Ứng vốn</v>
      </c>
      <c r="E69" s="190" t="str">
        <f ca="1">IF(ROWS($1:58)&gt;COUNT(Dong2),"",IF(OFFSET(TH!P$1,SMALL(Dong2,ROWS($1:58)),)=$I$6,OFFSET(TH!O$1,SMALL(Dong2,ROWS($1:58)),),OFFSET(TH!P$1,SMALL(Dong2,ROWS($1:58)),)))</f>
        <v>3388</v>
      </c>
      <c r="F69" s="191">
        <f ca="1">IF(ROWS($1:58)&gt;COUNT(Dong2),"",IF(OFFSET(TH!O$1,SMALL(Dong2,ROWS($1:58)),)=$I$6,IF($I$6="1121",OFFSET(TH!M$1,SMALL(Dong2,ROWS($1:58)),),OFFSET(TH!K$1,SMALL(Dong2,ROWS($1:58)),)),0))</f>
        <v>30000000</v>
      </c>
      <c r="G69" s="191">
        <f ca="1">IF(ROWS($1:58)&gt;COUNT(Dong2),"",IF(OFFSET(TH!P$1,SMALL(Dong2,ROWS($1:58)),)=$I$6,IF($I$6="1121",OFFSET(TH!M$1,SMALL(Dong2,ROWS($1:58)),),OFFSET(TH!K$1,SMALL(Dong2,ROWS($1:58)),)),0))</f>
        <v>0</v>
      </c>
      <c r="H69" s="192">
        <f t="shared" ca="1" si="1"/>
        <v>33448137</v>
      </c>
      <c r="I69" s="192"/>
    </row>
    <row r="70" spans="1:9" s="181" customFormat="1" ht="20.25" customHeight="1">
      <c r="A70" s="1070">
        <f ca="1">IF(ROWS($1:59)&gt;COUNT(Dong2),"",OFFSET(TH!C$1,SMALL(Dong2,ROWS($1:59)),))</f>
        <v>42601</v>
      </c>
      <c r="B70" s="190" t="str">
        <f ca="1">IF(ROWS($1:59)&gt;COUNT(Dong2),"",OFFSET(TH!D$1,SMALL(Dong2,ROWS($1:59)),))</f>
        <v>GBC</v>
      </c>
      <c r="C70" s="1070">
        <f ca="1">IF(ROWS($1:59)&gt;COUNT(Dong2),"",OFFSET(TH!E$1,SMALL(Dong2,ROWS($1:59)),))</f>
        <v>42601</v>
      </c>
      <c r="D70" s="413" t="str">
        <f ca="1">IF(ROWS($1:59)&gt;COUNT(Dong2),"",OFFSET(TH!F$1,SMALL(Dong2,ROWS($1:59)),))</f>
        <v>Ứng vốn</v>
      </c>
      <c r="E70" s="190" t="str">
        <f ca="1">IF(ROWS($1:59)&gt;COUNT(Dong2),"",IF(OFFSET(TH!P$1,SMALL(Dong2,ROWS($1:59)),)=$I$6,OFFSET(TH!O$1,SMALL(Dong2,ROWS($1:59)),),OFFSET(TH!P$1,SMALL(Dong2,ROWS($1:59)),)))</f>
        <v>3388</v>
      </c>
      <c r="F70" s="191">
        <f ca="1">IF(ROWS($1:59)&gt;COUNT(Dong2),"",IF(OFFSET(TH!O$1,SMALL(Dong2,ROWS($1:59)),)=$I$6,IF($I$6="1121",OFFSET(TH!M$1,SMALL(Dong2,ROWS($1:59)),),OFFSET(TH!K$1,SMALL(Dong2,ROWS($1:59)),)),0))</f>
        <v>20000000</v>
      </c>
      <c r="G70" s="191">
        <f ca="1">IF(ROWS($1:59)&gt;COUNT(Dong2),"",IF(OFFSET(TH!P$1,SMALL(Dong2,ROWS($1:59)),)=$I$6,IF($I$6="1121",OFFSET(TH!M$1,SMALL(Dong2,ROWS($1:59)),),OFFSET(TH!K$1,SMALL(Dong2,ROWS($1:59)),)),0))</f>
        <v>0</v>
      </c>
      <c r="H70" s="192">
        <f t="shared" ca="1" si="1"/>
        <v>53448137</v>
      </c>
      <c r="I70" s="192"/>
    </row>
    <row r="71" spans="1:9" s="181" customFormat="1" ht="20.25" customHeight="1">
      <c r="A71" s="1070">
        <f ca="1">IF(ROWS($1:60)&gt;COUNT(Dong2),"",OFFSET(TH!C$1,SMALL(Dong2,ROWS($1:60)),))</f>
        <v>42601</v>
      </c>
      <c r="B71" s="190" t="str">
        <f ca="1">IF(ROWS($1:60)&gt;COUNT(Dong2),"",OFFSET(TH!D$1,SMALL(Dong2,ROWS($1:60)),))</f>
        <v>GBN</v>
      </c>
      <c r="C71" s="1070">
        <f ca="1">IF(ROWS($1:60)&gt;COUNT(Dong2),"",OFFSET(TH!E$1,SMALL(Dong2,ROWS($1:60)),))</f>
        <v>42601</v>
      </c>
      <c r="D71" s="413" t="str">
        <f ca="1">IF(ROWS($1:60)&gt;COUNT(Dong2),"",OFFSET(TH!F$1,SMALL(Dong2,ROWS($1:60)),))</f>
        <v>Thanh toán hoc HACCP</v>
      </c>
      <c r="E71" s="190" t="str">
        <f ca="1">IF(ROWS($1:60)&gt;COUNT(Dong2),"",IF(OFFSET(TH!P$1,SMALL(Dong2,ROWS($1:60)),)=$I$6,OFFSET(TH!O$1,SMALL(Dong2,ROWS($1:60)),),OFFSET(TH!P$1,SMALL(Dong2,ROWS($1:60)),)))</f>
        <v>331</v>
      </c>
      <c r="F71" s="191">
        <f ca="1">IF(ROWS($1:60)&gt;COUNT(Dong2),"",IF(OFFSET(TH!O$1,SMALL(Dong2,ROWS($1:60)),)=$I$6,IF($I$6="1121",OFFSET(TH!M$1,SMALL(Dong2,ROWS($1:60)),),OFFSET(TH!K$1,SMALL(Dong2,ROWS($1:60)),)),0))</f>
        <v>0</v>
      </c>
      <c r="G71" s="191">
        <f ca="1">IF(ROWS($1:60)&gt;COUNT(Dong2),"",IF(OFFSET(TH!P$1,SMALL(Dong2,ROWS($1:60)),)=$I$6,IF($I$6="1121",OFFSET(TH!M$1,SMALL(Dong2,ROWS($1:60)),),OFFSET(TH!K$1,SMALL(Dong2,ROWS($1:60)),)),0))</f>
        <v>9487000</v>
      </c>
      <c r="H71" s="192">
        <f t="shared" ca="1" si="1"/>
        <v>43961137</v>
      </c>
      <c r="I71" s="192"/>
    </row>
    <row r="72" spans="1:9" s="181" customFormat="1" ht="20.25" customHeight="1">
      <c r="A72" s="1070">
        <f ca="1">IF(ROWS($1:61)&gt;COUNT(Dong2),"",OFFSET(TH!C$1,SMALL(Dong2,ROWS($1:61)),))</f>
        <v>42601</v>
      </c>
      <c r="B72" s="190" t="str">
        <f ca="1">IF(ROWS($1:61)&gt;COUNT(Dong2),"",OFFSET(TH!D$1,SMALL(Dong2,ROWS($1:61)),))</f>
        <v>GBN</v>
      </c>
      <c r="C72" s="1070">
        <f ca="1">IF(ROWS($1:61)&gt;COUNT(Dong2),"",OFFSET(TH!E$1,SMALL(Dong2,ROWS($1:61)),))</f>
        <v>42601</v>
      </c>
      <c r="D72" s="413" t="str">
        <f ca="1">IF(ROWS($1:61)&gt;COUNT(Dong2),"",OFFSET(TH!F$1,SMALL(Dong2,ROWS($1:61)),))</f>
        <v xml:space="preserve">Phí chuyển tiền </v>
      </c>
      <c r="E72" s="190" t="str">
        <f ca="1">IF(ROWS($1:61)&gt;COUNT(Dong2),"",IF(OFFSET(TH!P$1,SMALL(Dong2,ROWS($1:61)),)=$I$6,OFFSET(TH!O$1,SMALL(Dong2,ROWS($1:61)),),OFFSET(TH!P$1,SMALL(Dong2,ROWS($1:61)),)))</f>
        <v>642</v>
      </c>
      <c r="F72" s="191">
        <f ca="1">IF(ROWS($1:61)&gt;COUNT(Dong2),"",IF(OFFSET(TH!O$1,SMALL(Dong2,ROWS($1:61)),)=$I$6,IF($I$6="1121",OFFSET(TH!M$1,SMALL(Dong2,ROWS($1:61)),),OFFSET(TH!K$1,SMALL(Dong2,ROWS($1:61)),)),0))</f>
        <v>0</v>
      </c>
      <c r="G72" s="191">
        <f ca="1">IF(ROWS($1:61)&gt;COUNT(Dong2),"",IF(OFFSET(TH!P$1,SMALL(Dong2,ROWS($1:61)),)=$I$6,IF($I$6="1121",OFFSET(TH!M$1,SMALL(Dong2,ROWS($1:61)),),OFFSET(TH!K$1,SMALL(Dong2,ROWS($1:61)),)),0))</f>
        <v>25000</v>
      </c>
      <c r="H72" s="192">
        <f t="shared" ca="1" si="1"/>
        <v>43936137</v>
      </c>
      <c r="I72" s="192"/>
    </row>
    <row r="73" spans="1:9" s="181" customFormat="1" ht="20.25" customHeight="1">
      <c r="A73" s="1070">
        <f ca="1">IF(ROWS($1:62)&gt;COUNT(Dong2),"",OFFSET(TH!C$1,SMALL(Dong2,ROWS($1:62)),))</f>
        <v>42601</v>
      </c>
      <c r="B73" s="190" t="str">
        <f ca="1">IF(ROWS($1:62)&gt;COUNT(Dong2),"",OFFSET(TH!D$1,SMALL(Dong2,ROWS($1:62)),))</f>
        <v>GBN</v>
      </c>
      <c r="C73" s="1070">
        <f ca="1">IF(ROWS($1:62)&gt;COUNT(Dong2),"",OFFSET(TH!E$1,SMALL(Dong2,ROWS($1:62)),))</f>
        <v>42601</v>
      </c>
      <c r="D73" s="413" t="str">
        <f ca="1">IF(ROWS($1:62)&gt;COUNT(Dong2),"",OFFSET(TH!F$1,SMALL(Dong2,ROWS($1:62)),))</f>
        <v xml:space="preserve">VAT Phí chuyển tiền </v>
      </c>
      <c r="E73" s="190" t="str">
        <f ca="1">IF(ROWS($1:62)&gt;COUNT(Dong2),"",IF(OFFSET(TH!P$1,SMALL(Dong2,ROWS($1:62)),)=$I$6,OFFSET(TH!O$1,SMALL(Dong2,ROWS($1:62)),),OFFSET(TH!P$1,SMALL(Dong2,ROWS($1:62)),)))</f>
        <v>1331</v>
      </c>
      <c r="F73" s="191">
        <f ca="1">IF(ROWS($1:62)&gt;COUNT(Dong2),"",IF(OFFSET(TH!O$1,SMALL(Dong2,ROWS($1:62)),)=$I$6,IF($I$6="1121",OFFSET(TH!M$1,SMALL(Dong2,ROWS($1:62)),),OFFSET(TH!K$1,SMALL(Dong2,ROWS($1:62)),)),0))</f>
        <v>0</v>
      </c>
      <c r="G73" s="191">
        <f ca="1">IF(ROWS($1:62)&gt;COUNT(Dong2),"",IF(OFFSET(TH!P$1,SMALL(Dong2,ROWS($1:62)),)=$I$6,IF($I$6="1121",OFFSET(TH!M$1,SMALL(Dong2,ROWS($1:62)),),OFFSET(TH!K$1,SMALL(Dong2,ROWS($1:62)),)),0))</f>
        <v>2500</v>
      </c>
      <c r="H73" s="192">
        <f t="shared" ca="1" si="1"/>
        <v>43933637</v>
      </c>
      <c r="I73" s="192"/>
    </row>
    <row r="74" spans="1:9" s="181" customFormat="1" ht="20.25" customHeight="1">
      <c r="A74" s="1070">
        <f ca="1">IF(ROWS($1:63)&gt;COUNT(Dong2),"",OFFSET(TH!C$1,SMALL(Dong2,ROWS($1:63)),))</f>
        <v>42601</v>
      </c>
      <c r="B74" s="190" t="str">
        <f ca="1">IF(ROWS($1:63)&gt;COUNT(Dong2),"",OFFSET(TH!D$1,SMALL(Dong2,ROWS($1:63)),))</f>
        <v>GBN</v>
      </c>
      <c r="C74" s="1070">
        <f ca="1">IF(ROWS($1:63)&gt;COUNT(Dong2),"",OFFSET(TH!E$1,SMALL(Dong2,ROWS($1:63)),))</f>
        <v>42601</v>
      </c>
      <c r="D74" s="413" t="str">
        <f ca="1">IF(ROWS($1:63)&gt;COUNT(Dong2),"",OFFSET(TH!F$1,SMALL(Dong2,ROWS($1:63)),))</f>
        <v>Thanh toán tiền điện kỳ 1 t8</v>
      </c>
      <c r="E74" s="190" t="str">
        <f ca="1">IF(ROWS($1:63)&gt;COUNT(Dong2),"",IF(OFFSET(TH!P$1,SMALL(Dong2,ROWS($1:63)),)=$I$6,OFFSET(TH!O$1,SMALL(Dong2,ROWS($1:63)),),OFFSET(TH!P$1,SMALL(Dong2,ROWS($1:63)),)))</f>
        <v>331</v>
      </c>
      <c r="F74" s="191">
        <f ca="1">IF(ROWS($1:63)&gt;COUNT(Dong2),"",IF(OFFSET(TH!O$1,SMALL(Dong2,ROWS($1:63)),)=$I$6,IF($I$6="1121",OFFSET(TH!M$1,SMALL(Dong2,ROWS($1:63)),),OFFSET(TH!K$1,SMALL(Dong2,ROWS($1:63)),)),0))</f>
        <v>0</v>
      </c>
      <c r="G74" s="191">
        <f ca="1">IF(ROWS($1:63)&gt;COUNT(Dong2),"",IF(OFFSET(TH!P$1,SMALL(Dong2,ROWS($1:63)),)=$I$6,IF($I$6="1121",OFFSET(TH!M$1,SMALL(Dong2,ROWS($1:63)),),OFFSET(TH!K$1,SMALL(Dong2,ROWS($1:63)),)),0))</f>
        <v>30533800</v>
      </c>
      <c r="H74" s="192">
        <f t="shared" ca="1" si="1"/>
        <v>13399837</v>
      </c>
      <c r="I74" s="192"/>
    </row>
    <row r="75" spans="1:9" s="181" customFormat="1" ht="20.25" customHeight="1">
      <c r="A75" s="1070">
        <f ca="1">IF(ROWS($1:64)&gt;COUNT(Dong2),"",OFFSET(TH!C$1,SMALL(Dong2,ROWS($1:64)),))</f>
        <v>42601</v>
      </c>
      <c r="B75" s="190" t="str">
        <f ca="1">IF(ROWS($1:64)&gt;COUNT(Dong2),"",OFFSET(TH!D$1,SMALL(Dong2,ROWS($1:64)),))</f>
        <v>GBN</v>
      </c>
      <c r="C75" s="1070">
        <f ca="1">IF(ROWS($1:64)&gt;COUNT(Dong2),"",OFFSET(TH!E$1,SMALL(Dong2,ROWS($1:64)),))</f>
        <v>42601</v>
      </c>
      <c r="D75" s="413" t="str">
        <f ca="1">IF(ROWS($1:64)&gt;COUNT(Dong2),"",OFFSET(TH!F$1,SMALL(Dong2,ROWS($1:64)),))</f>
        <v xml:space="preserve">Phí chuyển tiền </v>
      </c>
      <c r="E75" s="190" t="str">
        <f ca="1">IF(ROWS($1:64)&gt;COUNT(Dong2),"",IF(OFFSET(TH!P$1,SMALL(Dong2,ROWS($1:64)),)=$I$6,OFFSET(TH!O$1,SMALL(Dong2,ROWS($1:64)),),OFFSET(TH!P$1,SMALL(Dong2,ROWS($1:64)),)))</f>
        <v>642</v>
      </c>
      <c r="F75" s="191">
        <f ca="1">IF(ROWS($1:64)&gt;COUNT(Dong2),"",IF(OFFSET(TH!O$1,SMALL(Dong2,ROWS($1:64)),)=$I$6,IF($I$6="1121",OFFSET(TH!M$1,SMALL(Dong2,ROWS($1:64)),),OFFSET(TH!K$1,SMALL(Dong2,ROWS($1:64)),)),0))</f>
        <v>0</v>
      </c>
      <c r="G75" s="191">
        <f ca="1">IF(ROWS($1:64)&gt;COUNT(Dong2),"",IF(OFFSET(TH!P$1,SMALL(Dong2,ROWS($1:64)),)=$I$6,IF($I$6="1121",OFFSET(TH!M$1,SMALL(Dong2,ROWS($1:64)),),OFFSET(TH!K$1,SMALL(Dong2,ROWS($1:64)),)),0))</f>
        <v>25000</v>
      </c>
      <c r="H75" s="192">
        <f t="shared" ca="1" si="1"/>
        <v>13374837</v>
      </c>
      <c r="I75" s="192"/>
    </row>
    <row r="76" spans="1:9" s="181" customFormat="1" ht="20.25" customHeight="1">
      <c r="A76" s="1070">
        <f ca="1">IF(ROWS($1:65)&gt;COUNT(Dong2),"",OFFSET(TH!C$1,SMALL(Dong2,ROWS($1:65)),))</f>
        <v>42601</v>
      </c>
      <c r="B76" s="190" t="str">
        <f ca="1">IF(ROWS($1:65)&gt;COUNT(Dong2),"",OFFSET(TH!D$1,SMALL(Dong2,ROWS($1:65)),))</f>
        <v>GBN</v>
      </c>
      <c r="C76" s="1070">
        <f ca="1">IF(ROWS($1:65)&gt;COUNT(Dong2),"",OFFSET(TH!E$1,SMALL(Dong2,ROWS($1:65)),))</f>
        <v>42601</v>
      </c>
      <c r="D76" s="413" t="str">
        <f ca="1">IF(ROWS($1:65)&gt;COUNT(Dong2),"",OFFSET(TH!F$1,SMALL(Dong2,ROWS($1:65)),))</f>
        <v xml:space="preserve">VAT Phí chuyển tiền </v>
      </c>
      <c r="E76" s="190" t="str">
        <f ca="1">IF(ROWS($1:65)&gt;COUNT(Dong2),"",IF(OFFSET(TH!P$1,SMALL(Dong2,ROWS($1:65)),)=$I$6,OFFSET(TH!O$1,SMALL(Dong2,ROWS($1:65)),),OFFSET(TH!P$1,SMALL(Dong2,ROWS($1:65)),)))</f>
        <v>1331</v>
      </c>
      <c r="F76" s="191">
        <f ca="1">IF(ROWS($1:65)&gt;COUNT(Dong2),"",IF(OFFSET(TH!O$1,SMALL(Dong2,ROWS($1:65)),)=$I$6,IF($I$6="1121",OFFSET(TH!M$1,SMALL(Dong2,ROWS($1:65)),),OFFSET(TH!K$1,SMALL(Dong2,ROWS($1:65)),)),0))</f>
        <v>0</v>
      </c>
      <c r="G76" s="191">
        <f ca="1">IF(ROWS($1:65)&gt;COUNT(Dong2),"",IF(OFFSET(TH!P$1,SMALL(Dong2,ROWS($1:65)),)=$I$6,IF($I$6="1121",OFFSET(TH!M$1,SMALL(Dong2,ROWS($1:65)),),OFFSET(TH!K$1,SMALL(Dong2,ROWS($1:65)),)),0))</f>
        <v>2500</v>
      </c>
      <c r="H76" s="192">
        <f t="shared" ca="1" si="1"/>
        <v>13372337</v>
      </c>
      <c r="I76" s="192"/>
    </row>
    <row r="77" spans="1:9" s="181" customFormat="1" ht="20.25" customHeight="1">
      <c r="A77" s="1070">
        <f ca="1">IF(ROWS($1:66)&gt;COUNT(Dong2),"",OFFSET(TH!C$1,SMALL(Dong2,ROWS($1:66)),))</f>
        <v>42601</v>
      </c>
      <c r="B77" s="190" t="str">
        <f ca="1">IF(ROWS($1:66)&gt;COUNT(Dong2),"",OFFSET(TH!D$1,SMALL(Dong2,ROWS($1:66)),))</f>
        <v>GBN</v>
      </c>
      <c r="C77" s="1070">
        <f ca="1">IF(ROWS($1:66)&gt;COUNT(Dong2),"",OFFSET(TH!E$1,SMALL(Dong2,ROWS($1:66)),))</f>
        <v>42601</v>
      </c>
      <c r="D77" s="413" t="str">
        <f ca="1">IF(ROWS($1:66)&gt;COUNT(Dong2),"",OFFSET(TH!F$1,SMALL(Dong2,ROWS($1:66)),))</f>
        <v>Thanh toán tiền gas</v>
      </c>
      <c r="E77" s="190" t="str">
        <f ca="1">IF(ROWS($1:66)&gt;COUNT(Dong2),"",IF(OFFSET(TH!P$1,SMALL(Dong2,ROWS($1:66)),)=$I$6,OFFSET(TH!O$1,SMALL(Dong2,ROWS($1:66)),),OFFSET(TH!P$1,SMALL(Dong2,ROWS($1:66)),)))</f>
        <v>331</v>
      </c>
      <c r="F77" s="191">
        <f ca="1">IF(ROWS($1:66)&gt;COUNT(Dong2),"",IF(OFFSET(TH!O$1,SMALL(Dong2,ROWS($1:66)),)=$I$6,IF($I$6="1121",OFFSET(TH!M$1,SMALL(Dong2,ROWS($1:66)),),OFFSET(TH!K$1,SMALL(Dong2,ROWS($1:66)),)),0))</f>
        <v>0</v>
      </c>
      <c r="G77" s="191">
        <f ca="1">IF(ROWS($1:66)&gt;COUNT(Dong2),"",IF(OFFSET(TH!P$1,SMALL(Dong2,ROWS($1:66)),)=$I$6,IF($I$6="1121",OFFSET(TH!M$1,SMALL(Dong2,ROWS($1:66)),),OFFSET(TH!K$1,SMALL(Dong2,ROWS($1:66)),)),0))</f>
        <v>8143872</v>
      </c>
      <c r="H77" s="192">
        <f t="shared" ca="1" si="1"/>
        <v>5228465</v>
      </c>
      <c r="I77" s="192"/>
    </row>
    <row r="78" spans="1:9" s="181" customFormat="1" ht="20.25" customHeight="1">
      <c r="A78" s="1070">
        <f ca="1">IF(ROWS($1:67)&gt;COUNT(Dong2),"",OFFSET(TH!C$1,SMALL(Dong2,ROWS($1:67)),))</f>
        <v>42601</v>
      </c>
      <c r="B78" s="190" t="str">
        <f ca="1">IF(ROWS($1:67)&gt;COUNT(Dong2),"",OFFSET(TH!D$1,SMALL(Dong2,ROWS($1:67)),))</f>
        <v>GBN</v>
      </c>
      <c r="C78" s="1070">
        <f ca="1">IF(ROWS($1:67)&gt;COUNT(Dong2),"",OFFSET(TH!E$1,SMALL(Dong2,ROWS($1:67)),))</f>
        <v>42601</v>
      </c>
      <c r="D78" s="413" t="str">
        <f ca="1">IF(ROWS($1:67)&gt;COUNT(Dong2),"",OFFSET(TH!F$1,SMALL(Dong2,ROWS($1:67)),))</f>
        <v xml:space="preserve">Phí chuyển tiền </v>
      </c>
      <c r="E78" s="190" t="str">
        <f ca="1">IF(ROWS($1:67)&gt;COUNT(Dong2),"",IF(OFFSET(TH!P$1,SMALL(Dong2,ROWS($1:67)),)=$I$6,OFFSET(TH!O$1,SMALL(Dong2,ROWS($1:67)),),OFFSET(TH!P$1,SMALL(Dong2,ROWS($1:67)),)))</f>
        <v>642</v>
      </c>
      <c r="F78" s="191">
        <f ca="1">IF(ROWS($1:67)&gt;COUNT(Dong2),"",IF(OFFSET(TH!O$1,SMALL(Dong2,ROWS($1:67)),)=$I$6,IF($I$6="1121",OFFSET(TH!M$1,SMALL(Dong2,ROWS($1:67)),),OFFSET(TH!K$1,SMALL(Dong2,ROWS($1:67)),)),0))</f>
        <v>0</v>
      </c>
      <c r="G78" s="191">
        <f ca="1">IF(ROWS($1:67)&gt;COUNT(Dong2),"",IF(OFFSET(TH!P$1,SMALL(Dong2,ROWS($1:67)),)=$I$6,IF($I$6="1121",OFFSET(TH!M$1,SMALL(Dong2,ROWS($1:67)),),OFFSET(TH!K$1,SMALL(Dong2,ROWS($1:67)),)),0))</f>
        <v>25000</v>
      </c>
      <c r="H78" s="192">
        <f t="shared" ca="1" si="1"/>
        <v>5203465</v>
      </c>
      <c r="I78" s="192"/>
    </row>
    <row r="79" spans="1:9" s="181" customFormat="1" ht="20.25" customHeight="1">
      <c r="A79" s="1070">
        <f ca="1">IF(ROWS($1:68)&gt;COUNT(Dong2),"",OFFSET(TH!C$1,SMALL(Dong2,ROWS($1:68)),))</f>
        <v>42601</v>
      </c>
      <c r="B79" s="190" t="str">
        <f ca="1">IF(ROWS($1:68)&gt;COUNT(Dong2),"",OFFSET(TH!D$1,SMALL(Dong2,ROWS($1:68)),))</f>
        <v>GBN</v>
      </c>
      <c r="C79" s="1070">
        <f ca="1">IF(ROWS($1:68)&gt;COUNT(Dong2),"",OFFSET(TH!E$1,SMALL(Dong2,ROWS($1:68)),))</f>
        <v>42601</v>
      </c>
      <c r="D79" s="413" t="str">
        <f ca="1">IF(ROWS($1:68)&gt;COUNT(Dong2),"",OFFSET(TH!F$1,SMALL(Dong2,ROWS($1:68)),))</f>
        <v xml:space="preserve">VAT Phí chuyển tiền </v>
      </c>
      <c r="E79" s="190" t="str">
        <f ca="1">IF(ROWS($1:68)&gt;COUNT(Dong2),"",IF(OFFSET(TH!P$1,SMALL(Dong2,ROWS($1:68)),)=$I$6,OFFSET(TH!O$1,SMALL(Dong2,ROWS($1:68)),),OFFSET(TH!P$1,SMALL(Dong2,ROWS($1:68)),)))</f>
        <v>1331</v>
      </c>
      <c r="F79" s="191">
        <f ca="1">IF(ROWS($1:68)&gt;COUNT(Dong2),"",IF(OFFSET(TH!O$1,SMALL(Dong2,ROWS($1:68)),)=$I$6,IF($I$6="1121",OFFSET(TH!M$1,SMALL(Dong2,ROWS($1:68)),),OFFSET(TH!K$1,SMALL(Dong2,ROWS($1:68)),)),0))</f>
        <v>0</v>
      </c>
      <c r="G79" s="191">
        <f ca="1">IF(ROWS($1:68)&gt;COUNT(Dong2),"",IF(OFFSET(TH!P$1,SMALL(Dong2,ROWS($1:68)),)=$I$6,IF($I$6="1121",OFFSET(TH!M$1,SMALL(Dong2,ROWS($1:68)),),OFFSET(TH!K$1,SMALL(Dong2,ROWS($1:68)),)),0))</f>
        <v>2500</v>
      </c>
      <c r="H79" s="192">
        <f t="shared" ca="1" si="1"/>
        <v>5200965</v>
      </c>
      <c r="I79" s="192"/>
    </row>
    <row r="80" spans="1:9" s="181" customFormat="1" ht="20.25" customHeight="1">
      <c r="A80" s="1070">
        <f ca="1">IF(ROWS($1:69)&gt;COUNT(Dong2),"",OFFSET(TH!C$1,SMALL(Dong2,ROWS($1:69)),))</f>
        <v>42606</v>
      </c>
      <c r="B80" s="190" t="str">
        <f ca="1">IF(ROWS($1:69)&gt;COUNT(Dong2),"",OFFSET(TH!D$1,SMALL(Dong2,ROWS($1:69)),))</f>
        <v>C22</v>
      </c>
      <c r="C80" s="1070">
        <f ca="1">IF(ROWS($1:69)&gt;COUNT(Dong2),"",OFFSET(TH!E$1,SMALL(Dong2,ROWS($1:69)),))</f>
        <v>42606</v>
      </c>
      <c r="D80" s="413" t="str">
        <f ca="1">IF(ROWS($1:69)&gt;COUNT(Dong2),"",OFFSET(TH!F$1,SMALL(Dong2,ROWS($1:69)),))</f>
        <v>Nộp TM</v>
      </c>
      <c r="E80" s="190" t="str">
        <f ca="1">IF(ROWS($1:69)&gt;COUNT(Dong2),"",IF(OFFSET(TH!P$1,SMALL(Dong2,ROWS($1:69)),)=$I$6,OFFSET(TH!O$1,SMALL(Dong2,ROWS($1:69)),),OFFSET(TH!P$1,SMALL(Dong2,ROWS($1:69)),)))</f>
        <v>1111</v>
      </c>
      <c r="F80" s="191">
        <f ca="1">IF(ROWS($1:69)&gt;COUNT(Dong2),"",IF(OFFSET(TH!O$1,SMALL(Dong2,ROWS($1:69)),)=$I$6,IF($I$6="1121",OFFSET(TH!M$1,SMALL(Dong2,ROWS($1:69)),),OFFSET(TH!K$1,SMALL(Dong2,ROWS($1:69)),)),0))</f>
        <v>165000000</v>
      </c>
      <c r="G80" s="191">
        <f ca="1">IF(ROWS($1:69)&gt;COUNT(Dong2),"",IF(OFFSET(TH!P$1,SMALL(Dong2,ROWS($1:69)),)=$I$6,IF($I$6="1121",OFFSET(TH!M$1,SMALL(Dong2,ROWS($1:69)),),OFFSET(TH!K$1,SMALL(Dong2,ROWS($1:69)),)),0))</f>
        <v>0</v>
      </c>
      <c r="H80" s="192">
        <f t="shared" ca="1" si="1"/>
        <v>170200965</v>
      </c>
      <c r="I80" s="192"/>
    </row>
    <row r="81" spans="1:9" s="181" customFormat="1" ht="20.25" customHeight="1">
      <c r="A81" s="1070">
        <f ca="1">IF(ROWS($1:70)&gt;COUNT(Dong2),"",OFFSET(TH!C$1,SMALL(Dong2,ROWS($1:70)),))</f>
        <v>42606</v>
      </c>
      <c r="B81" s="190" t="str">
        <f ca="1">IF(ROWS($1:70)&gt;COUNT(Dong2),"",OFFSET(TH!D$1,SMALL(Dong2,ROWS($1:70)),))</f>
        <v>GBC</v>
      </c>
      <c r="C81" s="1070">
        <f ca="1">IF(ROWS($1:70)&gt;COUNT(Dong2),"",OFFSET(TH!E$1,SMALL(Dong2,ROWS($1:70)),))</f>
        <v>42606</v>
      </c>
      <c r="D81" s="413" t="str">
        <f ca="1">IF(ROWS($1:70)&gt;COUNT(Dong2),"",OFFSET(TH!F$1,SMALL(Dong2,ROWS($1:70)),))</f>
        <v>Lãi TG</v>
      </c>
      <c r="E81" s="190" t="str">
        <f ca="1">IF(ROWS($1:70)&gt;COUNT(Dong2),"",IF(OFFSET(TH!P$1,SMALL(Dong2,ROWS($1:70)),)=$I$6,OFFSET(TH!O$1,SMALL(Dong2,ROWS($1:70)),),OFFSET(TH!P$1,SMALL(Dong2,ROWS($1:70)),)))</f>
        <v>515</v>
      </c>
      <c r="F81" s="191">
        <f ca="1">IF(ROWS($1:70)&gt;COUNT(Dong2),"",IF(OFFSET(TH!O$1,SMALL(Dong2,ROWS($1:70)),)=$I$6,IF($I$6="1121",OFFSET(TH!M$1,SMALL(Dong2,ROWS($1:70)),),OFFSET(TH!K$1,SMALL(Dong2,ROWS($1:70)),)),0))</f>
        <v>45848</v>
      </c>
      <c r="G81" s="191">
        <f ca="1">IF(ROWS($1:70)&gt;COUNT(Dong2),"",IF(OFFSET(TH!P$1,SMALL(Dong2,ROWS($1:70)),)=$I$6,IF($I$6="1121",OFFSET(TH!M$1,SMALL(Dong2,ROWS($1:70)),),OFFSET(TH!K$1,SMALL(Dong2,ROWS($1:70)),)),0))</f>
        <v>0</v>
      </c>
      <c r="H81" s="192">
        <f t="shared" ca="1" si="1"/>
        <v>170246813</v>
      </c>
      <c r="I81" s="192"/>
    </row>
    <row r="82" spans="1:9" s="181" customFormat="1" ht="20.25" customHeight="1">
      <c r="A82" s="1070">
        <f ca="1">IF(ROWS($1:71)&gt;COUNT(Dong2),"",OFFSET(TH!C$1,SMALL(Dong2,ROWS($1:71)),))</f>
        <v>42606</v>
      </c>
      <c r="B82" s="190" t="str">
        <f ca="1">IF(ROWS($1:71)&gt;COUNT(Dong2),"",OFFSET(TH!D$1,SMALL(Dong2,ROWS($1:71)),))</f>
        <v>GBN</v>
      </c>
      <c r="C82" s="1070">
        <f ca="1">IF(ROWS($1:71)&gt;COUNT(Dong2),"",OFFSET(TH!E$1,SMALL(Dong2,ROWS($1:71)),))</f>
        <v>42606</v>
      </c>
      <c r="D82" s="413" t="str">
        <f ca="1">IF(ROWS($1:71)&gt;COUNT(Dong2),"",OFFSET(TH!F$1,SMALL(Dong2,ROWS($1:71)),))</f>
        <v>Lãi vay</v>
      </c>
      <c r="E82" s="190" t="str">
        <f ca="1">IF(ROWS($1:71)&gt;COUNT(Dong2),"",IF(OFFSET(TH!P$1,SMALL(Dong2,ROWS($1:71)),)=$I$6,OFFSET(TH!O$1,SMALL(Dong2,ROWS($1:71)),),OFFSET(TH!P$1,SMALL(Dong2,ROWS($1:71)),)))</f>
        <v>635</v>
      </c>
      <c r="F82" s="191">
        <f ca="1">IF(ROWS($1:71)&gt;COUNT(Dong2),"",IF(OFFSET(TH!O$1,SMALL(Dong2,ROWS($1:71)),)=$I$6,IF($I$6="1121",OFFSET(TH!M$1,SMALL(Dong2,ROWS($1:71)),),OFFSET(TH!K$1,SMALL(Dong2,ROWS($1:71)),)),0))</f>
        <v>0</v>
      </c>
      <c r="G82" s="191">
        <f ca="1">IF(ROWS($1:71)&gt;COUNT(Dong2),"",IF(OFFSET(TH!P$1,SMALL(Dong2,ROWS($1:71)),)=$I$6,IF($I$6="1121",OFFSET(TH!M$1,SMALL(Dong2,ROWS($1:71)),),OFFSET(TH!K$1,SMALL(Dong2,ROWS($1:71)),)),0))</f>
        <v>8196747</v>
      </c>
      <c r="H82" s="192">
        <f t="shared" ca="1" si="1"/>
        <v>162050066</v>
      </c>
      <c r="I82" s="192"/>
    </row>
    <row r="83" spans="1:9" s="181" customFormat="1" ht="20.25" customHeight="1">
      <c r="A83" s="1070">
        <f ca="1">IF(ROWS($1:72)&gt;COUNT(Dong2),"",OFFSET(TH!C$1,SMALL(Dong2,ROWS($1:72)),))</f>
        <v>42606</v>
      </c>
      <c r="B83" s="190" t="str">
        <f ca="1">IF(ROWS($1:72)&gt;COUNT(Dong2),"",OFFSET(TH!D$1,SMALL(Dong2,ROWS($1:72)),))</f>
        <v>GBN</v>
      </c>
      <c r="C83" s="1070">
        <f ca="1">IF(ROWS($1:72)&gt;COUNT(Dong2),"",OFFSET(TH!E$1,SMALL(Dong2,ROWS($1:72)),))</f>
        <v>42606</v>
      </c>
      <c r="D83" s="413" t="str">
        <f ca="1">IF(ROWS($1:72)&gt;COUNT(Dong2),"",OFFSET(TH!F$1,SMALL(Dong2,ROWS($1:72)),))</f>
        <v>Lãi vay</v>
      </c>
      <c r="E83" s="190" t="str">
        <f ca="1">IF(ROWS($1:72)&gt;COUNT(Dong2),"",IF(OFFSET(TH!P$1,SMALL(Dong2,ROWS($1:72)),)=$I$6,OFFSET(TH!O$1,SMALL(Dong2,ROWS($1:72)),),OFFSET(TH!P$1,SMALL(Dong2,ROWS($1:72)),)))</f>
        <v>635</v>
      </c>
      <c r="F83" s="191">
        <f ca="1">IF(ROWS($1:72)&gt;COUNT(Dong2),"",IF(OFFSET(TH!O$1,SMALL(Dong2,ROWS($1:72)),)=$I$6,IF($I$6="1121",OFFSET(TH!M$1,SMALL(Dong2,ROWS($1:72)),),OFFSET(TH!K$1,SMALL(Dong2,ROWS($1:72)),)),0))</f>
        <v>0</v>
      </c>
      <c r="G83" s="191">
        <f ca="1">IF(ROWS($1:72)&gt;COUNT(Dong2),"",IF(OFFSET(TH!P$1,SMALL(Dong2,ROWS($1:72)),)=$I$6,IF($I$6="1121",OFFSET(TH!M$1,SMALL(Dong2,ROWS($1:72)),),OFFSET(TH!K$1,SMALL(Dong2,ROWS($1:72)),)),0))</f>
        <v>16393492</v>
      </c>
      <c r="H83" s="192">
        <f t="shared" ca="1" si="1"/>
        <v>145656574</v>
      </c>
      <c r="I83" s="192"/>
    </row>
    <row r="84" spans="1:9" s="181" customFormat="1" ht="20.25" customHeight="1">
      <c r="A84" s="1070">
        <f ca="1">IF(ROWS($1:73)&gt;COUNT(Dong2),"",OFFSET(TH!C$1,SMALL(Dong2,ROWS($1:73)),))</f>
        <v>42606</v>
      </c>
      <c r="B84" s="190" t="str">
        <f ca="1">IF(ROWS($1:73)&gt;COUNT(Dong2),"",OFFSET(TH!D$1,SMALL(Dong2,ROWS($1:73)),))</f>
        <v>GBN</v>
      </c>
      <c r="C84" s="1070">
        <f ca="1">IF(ROWS($1:73)&gt;COUNT(Dong2),"",OFFSET(TH!E$1,SMALL(Dong2,ROWS($1:73)),))</f>
        <v>42606</v>
      </c>
      <c r="D84" s="413" t="str">
        <f ca="1">IF(ROWS($1:73)&gt;COUNT(Dong2),"",OFFSET(TH!F$1,SMALL(Dong2,ROWS($1:73)),))</f>
        <v>Lãi vay</v>
      </c>
      <c r="E84" s="190" t="str">
        <f ca="1">IF(ROWS($1:73)&gt;COUNT(Dong2),"",IF(OFFSET(TH!P$1,SMALL(Dong2,ROWS($1:73)),)=$I$6,OFFSET(TH!O$1,SMALL(Dong2,ROWS($1:73)),),OFFSET(TH!P$1,SMALL(Dong2,ROWS($1:73)),)))</f>
        <v>635</v>
      </c>
      <c r="F84" s="191">
        <f ca="1">IF(ROWS($1:73)&gt;COUNT(Dong2),"",IF(OFFSET(TH!O$1,SMALL(Dong2,ROWS($1:73)),)=$I$6,IF($I$6="1121",OFFSET(TH!M$1,SMALL(Dong2,ROWS($1:73)),),OFFSET(TH!K$1,SMALL(Dong2,ROWS($1:73)),)),0))</f>
        <v>0</v>
      </c>
      <c r="G84" s="191">
        <f ca="1">IF(ROWS($1:73)&gt;COUNT(Dong2),"",IF(OFFSET(TH!P$1,SMALL(Dong2,ROWS($1:73)),)=$I$6,IF($I$6="1121",OFFSET(TH!M$1,SMALL(Dong2,ROWS($1:73)),),OFFSET(TH!K$1,SMALL(Dong2,ROWS($1:73)),)),0))</f>
        <v>13114794</v>
      </c>
      <c r="H84" s="192">
        <f t="shared" ca="1" si="1"/>
        <v>132541780</v>
      </c>
      <c r="I84" s="192"/>
    </row>
    <row r="85" spans="1:9" s="181" customFormat="1" ht="20.25" customHeight="1">
      <c r="A85" s="1070">
        <f ca="1">IF(ROWS($1:74)&gt;COUNT(Dong2),"",OFFSET(TH!C$1,SMALL(Dong2,ROWS($1:74)),))</f>
        <v>42606</v>
      </c>
      <c r="B85" s="190" t="str">
        <f ca="1">IF(ROWS($1:74)&gt;COUNT(Dong2),"",OFFSET(TH!D$1,SMALL(Dong2,ROWS($1:74)),))</f>
        <v>GBN</v>
      </c>
      <c r="C85" s="1070">
        <f ca="1">IF(ROWS($1:74)&gt;COUNT(Dong2),"",OFFSET(TH!E$1,SMALL(Dong2,ROWS($1:74)),))</f>
        <v>42606</v>
      </c>
      <c r="D85" s="413" t="str">
        <f ca="1">IF(ROWS($1:74)&gt;COUNT(Dong2),"",OFFSET(TH!F$1,SMALL(Dong2,ROWS($1:74)),))</f>
        <v>Lãi vay</v>
      </c>
      <c r="E85" s="190" t="str">
        <f ca="1">IF(ROWS($1:74)&gt;COUNT(Dong2),"",IF(OFFSET(TH!P$1,SMALL(Dong2,ROWS($1:74)),)=$I$6,OFFSET(TH!O$1,SMALL(Dong2,ROWS($1:74)),),OFFSET(TH!P$1,SMALL(Dong2,ROWS($1:74)),)))</f>
        <v>635</v>
      </c>
      <c r="F85" s="191">
        <f ca="1">IF(ROWS($1:74)&gt;COUNT(Dong2),"",IF(OFFSET(TH!O$1,SMALL(Dong2,ROWS($1:74)),)=$I$6,IF($I$6="1121",OFFSET(TH!M$1,SMALL(Dong2,ROWS($1:74)),),OFFSET(TH!K$1,SMALL(Dong2,ROWS($1:74)),)),0))</f>
        <v>0</v>
      </c>
      <c r="G85" s="191">
        <f ca="1">IF(ROWS($1:74)&gt;COUNT(Dong2),"",IF(OFFSET(TH!P$1,SMALL(Dong2,ROWS($1:74)),)=$I$6,IF($I$6="1121",OFFSET(TH!M$1,SMALL(Dong2,ROWS($1:74)),),OFFSET(TH!K$1,SMALL(Dong2,ROWS($1:74)),)),0))</f>
        <v>12295119</v>
      </c>
      <c r="H85" s="192">
        <f t="shared" ca="1" si="1"/>
        <v>120246661</v>
      </c>
      <c r="I85" s="192"/>
    </row>
    <row r="86" spans="1:9" s="181" customFormat="1" ht="20.25" customHeight="1">
      <c r="A86" s="1070">
        <f ca="1">IF(ROWS($1:75)&gt;COUNT(Dong2),"",OFFSET(TH!C$1,SMALL(Dong2,ROWS($1:75)),))</f>
        <v>42606</v>
      </c>
      <c r="B86" s="190" t="str">
        <f ca="1">IF(ROWS($1:75)&gt;COUNT(Dong2),"",OFFSET(TH!D$1,SMALL(Dong2,ROWS($1:75)),))</f>
        <v>GBN</v>
      </c>
      <c r="C86" s="1070">
        <f ca="1">IF(ROWS($1:75)&gt;COUNT(Dong2),"",OFFSET(TH!E$1,SMALL(Dong2,ROWS($1:75)),))</f>
        <v>42606</v>
      </c>
      <c r="D86" s="413" t="str">
        <f ca="1">IF(ROWS($1:75)&gt;COUNT(Dong2),"",OFFSET(TH!F$1,SMALL(Dong2,ROWS($1:75)),))</f>
        <v>Lãi vay</v>
      </c>
      <c r="E86" s="190" t="str">
        <f ca="1">IF(ROWS($1:75)&gt;COUNT(Dong2),"",IF(OFFSET(TH!P$1,SMALL(Dong2,ROWS($1:75)),)=$I$6,OFFSET(TH!O$1,SMALL(Dong2,ROWS($1:75)),),OFFSET(TH!P$1,SMALL(Dong2,ROWS($1:75)),)))</f>
        <v>635</v>
      </c>
      <c r="F86" s="191">
        <f ca="1">IF(ROWS($1:75)&gt;COUNT(Dong2),"",IF(OFFSET(TH!O$1,SMALL(Dong2,ROWS($1:75)),)=$I$6,IF($I$6="1121",OFFSET(TH!M$1,SMALL(Dong2,ROWS($1:75)),),OFFSET(TH!K$1,SMALL(Dong2,ROWS($1:75)),)),0))</f>
        <v>0</v>
      </c>
      <c r="G86" s="191">
        <f ca="1">IF(ROWS($1:75)&gt;COUNT(Dong2),"",IF(OFFSET(TH!P$1,SMALL(Dong2,ROWS($1:75)),)=$I$6,IF($I$6="1121",OFFSET(TH!M$1,SMALL(Dong2,ROWS($1:75)),),OFFSET(TH!K$1,SMALL(Dong2,ROWS($1:75)),)),0))</f>
        <v>8196747</v>
      </c>
      <c r="H86" s="192">
        <f t="shared" ca="1" si="1"/>
        <v>112049914</v>
      </c>
      <c r="I86" s="192"/>
    </row>
    <row r="87" spans="1:9" s="181" customFormat="1" ht="20.25" customHeight="1">
      <c r="A87" s="1070">
        <f ca="1">IF(ROWS($1:76)&gt;COUNT(Dong2),"",OFFSET(TH!C$1,SMALL(Dong2,ROWS($1:76)),))</f>
        <v>42606</v>
      </c>
      <c r="B87" s="190" t="str">
        <f ca="1">IF(ROWS($1:76)&gt;COUNT(Dong2),"",OFFSET(TH!D$1,SMALL(Dong2,ROWS($1:76)),))</f>
        <v>GBN</v>
      </c>
      <c r="C87" s="1070">
        <f ca="1">IF(ROWS($1:76)&gt;COUNT(Dong2),"",OFFSET(TH!E$1,SMALL(Dong2,ROWS($1:76)),))</f>
        <v>42606</v>
      </c>
      <c r="D87" s="413" t="str">
        <f ca="1">IF(ROWS($1:76)&gt;COUNT(Dong2),"",OFFSET(TH!F$1,SMALL(Dong2,ROWS($1:76)),))</f>
        <v>Lãi vay</v>
      </c>
      <c r="E87" s="190" t="str">
        <f ca="1">IF(ROWS($1:76)&gt;COUNT(Dong2),"",IF(OFFSET(TH!P$1,SMALL(Dong2,ROWS($1:76)),)=$I$6,OFFSET(TH!O$1,SMALL(Dong2,ROWS($1:76)),),OFFSET(TH!P$1,SMALL(Dong2,ROWS($1:76)),)))</f>
        <v>635</v>
      </c>
      <c r="F87" s="191">
        <f ca="1">IF(ROWS($1:76)&gt;COUNT(Dong2),"",IF(OFFSET(TH!O$1,SMALL(Dong2,ROWS($1:76)),)=$I$6,IF($I$6="1121",OFFSET(TH!M$1,SMALL(Dong2,ROWS($1:76)),),OFFSET(TH!K$1,SMALL(Dong2,ROWS($1:76)),)),0))</f>
        <v>0</v>
      </c>
      <c r="G87" s="191">
        <f ca="1">IF(ROWS($1:76)&gt;COUNT(Dong2),"",IF(OFFSET(TH!P$1,SMALL(Dong2,ROWS($1:76)),)=$I$6,IF($I$6="1121",OFFSET(TH!M$1,SMALL(Dong2,ROWS($1:76)),),OFFSET(TH!K$1,SMALL(Dong2,ROWS($1:76)),)),0))</f>
        <v>12295119</v>
      </c>
      <c r="H87" s="192">
        <f t="shared" ca="1" si="1"/>
        <v>99754795</v>
      </c>
      <c r="I87" s="192"/>
    </row>
    <row r="88" spans="1:9" s="181" customFormat="1" ht="20.25" customHeight="1">
      <c r="A88" s="1070">
        <f ca="1">IF(ROWS($1:77)&gt;COUNT(Dong2),"",OFFSET(TH!C$1,SMALL(Dong2,ROWS($1:77)),))</f>
        <v>42606</v>
      </c>
      <c r="B88" s="190" t="str">
        <f ca="1">IF(ROWS($1:77)&gt;COUNT(Dong2),"",OFFSET(TH!D$1,SMALL(Dong2,ROWS($1:77)),))</f>
        <v>GBN</v>
      </c>
      <c r="C88" s="1070">
        <f ca="1">IF(ROWS($1:77)&gt;COUNT(Dong2),"",OFFSET(TH!E$1,SMALL(Dong2,ROWS($1:77)),))</f>
        <v>42606</v>
      </c>
      <c r="D88" s="413" t="str">
        <f ca="1">IF(ROWS($1:77)&gt;COUNT(Dong2),"",OFFSET(TH!F$1,SMALL(Dong2,ROWS($1:77)),))</f>
        <v>Lãi vay</v>
      </c>
      <c r="E88" s="190" t="str">
        <f ca="1">IF(ROWS($1:77)&gt;COUNT(Dong2),"",IF(OFFSET(TH!P$1,SMALL(Dong2,ROWS($1:77)),)=$I$6,OFFSET(TH!O$1,SMALL(Dong2,ROWS($1:77)),),OFFSET(TH!P$1,SMALL(Dong2,ROWS($1:77)),)))</f>
        <v>635</v>
      </c>
      <c r="F88" s="191">
        <f ca="1">IF(ROWS($1:77)&gt;COUNT(Dong2),"",IF(OFFSET(TH!O$1,SMALL(Dong2,ROWS($1:77)),)=$I$6,IF($I$6="1121",OFFSET(TH!M$1,SMALL(Dong2,ROWS($1:77)),),OFFSET(TH!K$1,SMALL(Dong2,ROWS($1:77)),)),0))</f>
        <v>0</v>
      </c>
      <c r="G88" s="191">
        <f ca="1">IF(ROWS($1:77)&gt;COUNT(Dong2),"",IF(OFFSET(TH!P$1,SMALL(Dong2,ROWS($1:77)),)=$I$6,IF($I$6="1121",OFFSET(TH!M$1,SMALL(Dong2,ROWS($1:77)),),OFFSET(TH!K$1,SMALL(Dong2,ROWS($1:77)),)),0))</f>
        <v>16393492</v>
      </c>
      <c r="H88" s="192">
        <f t="shared" ca="1" si="1"/>
        <v>83361303</v>
      </c>
      <c r="I88" s="192"/>
    </row>
    <row r="89" spans="1:9" s="181" customFormat="1" ht="20.25" customHeight="1">
      <c r="A89" s="1070">
        <f ca="1">IF(ROWS($1:78)&gt;COUNT(Dong2),"",OFFSET(TH!C$1,SMALL(Dong2,ROWS($1:78)),))</f>
        <v>42606</v>
      </c>
      <c r="B89" s="190" t="str">
        <f ca="1">IF(ROWS($1:78)&gt;COUNT(Dong2),"",OFFSET(TH!D$1,SMALL(Dong2,ROWS($1:78)),))</f>
        <v>GBN</v>
      </c>
      <c r="C89" s="1070">
        <f ca="1">IF(ROWS($1:78)&gt;COUNT(Dong2),"",OFFSET(TH!E$1,SMALL(Dong2,ROWS($1:78)),))</f>
        <v>42606</v>
      </c>
      <c r="D89" s="413" t="str">
        <f ca="1">IF(ROWS($1:78)&gt;COUNT(Dong2),"",OFFSET(TH!F$1,SMALL(Dong2,ROWS($1:78)),))</f>
        <v>Lãi vay</v>
      </c>
      <c r="E89" s="190" t="str">
        <f ca="1">IF(ROWS($1:78)&gt;COUNT(Dong2),"",IF(OFFSET(TH!P$1,SMALL(Dong2,ROWS($1:78)),)=$I$6,OFFSET(TH!O$1,SMALL(Dong2,ROWS($1:78)),),OFFSET(TH!P$1,SMALL(Dong2,ROWS($1:78)),)))</f>
        <v>635</v>
      </c>
      <c r="F89" s="191">
        <f ca="1">IF(ROWS($1:78)&gt;COUNT(Dong2),"",IF(OFFSET(TH!O$1,SMALL(Dong2,ROWS($1:78)),)=$I$6,IF($I$6="1121",OFFSET(TH!M$1,SMALL(Dong2,ROWS($1:78)),),OFFSET(TH!K$1,SMALL(Dong2,ROWS($1:78)),)),0))</f>
        <v>0</v>
      </c>
      <c r="G89" s="191">
        <f ca="1">IF(ROWS($1:78)&gt;COUNT(Dong2),"",IF(OFFSET(TH!P$1,SMALL(Dong2,ROWS($1:78)),)=$I$6,IF($I$6="1121",OFFSET(TH!M$1,SMALL(Dong2,ROWS($1:78)),),OFFSET(TH!K$1,SMALL(Dong2,ROWS($1:78)),)),0))</f>
        <v>11475445</v>
      </c>
      <c r="H89" s="192">
        <f t="shared" ca="1" si="1"/>
        <v>71885858</v>
      </c>
      <c r="I89" s="192"/>
    </row>
    <row r="90" spans="1:9" s="181" customFormat="1" ht="20.25" customHeight="1">
      <c r="A90" s="1070">
        <f ca="1">IF(ROWS($1:79)&gt;COUNT(Dong2),"",OFFSET(TH!C$1,SMALL(Dong2,ROWS($1:79)),))</f>
        <v>42606</v>
      </c>
      <c r="B90" s="190" t="str">
        <f ca="1">IF(ROWS($1:79)&gt;COUNT(Dong2),"",OFFSET(TH!D$1,SMALL(Dong2,ROWS($1:79)),))</f>
        <v>GBN</v>
      </c>
      <c r="C90" s="1070">
        <f ca="1">IF(ROWS($1:79)&gt;COUNT(Dong2),"",OFFSET(TH!E$1,SMALL(Dong2,ROWS($1:79)),))</f>
        <v>42606</v>
      </c>
      <c r="D90" s="413" t="str">
        <f ca="1">IF(ROWS($1:79)&gt;COUNT(Dong2),"",OFFSET(TH!F$1,SMALL(Dong2,ROWS($1:79)),))</f>
        <v>Lãi vay</v>
      </c>
      <c r="E90" s="190" t="str">
        <f ca="1">IF(ROWS($1:79)&gt;COUNT(Dong2),"",IF(OFFSET(TH!P$1,SMALL(Dong2,ROWS($1:79)),)=$I$6,OFFSET(TH!O$1,SMALL(Dong2,ROWS($1:79)),),OFFSET(TH!P$1,SMALL(Dong2,ROWS($1:79)),)))</f>
        <v>635</v>
      </c>
      <c r="F90" s="191">
        <f ca="1">IF(ROWS($1:79)&gt;COUNT(Dong2),"",IF(OFFSET(TH!O$1,SMALL(Dong2,ROWS($1:79)),)=$I$6,IF($I$6="1121",OFFSET(TH!M$1,SMALL(Dong2,ROWS($1:79)),),OFFSET(TH!K$1,SMALL(Dong2,ROWS($1:79)),)),0))</f>
        <v>0</v>
      </c>
      <c r="G90" s="191">
        <f ca="1">IF(ROWS($1:79)&gt;COUNT(Dong2),"",IF(OFFSET(TH!P$1,SMALL(Dong2,ROWS($1:79)),)=$I$6,IF($I$6="1121",OFFSET(TH!M$1,SMALL(Dong2,ROWS($1:79)),),OFFSET(TH!K$1,SMALL(Dong2,ROWS($1:79)),)),0))</f>
        <v>12295119</v>
      </c>
      <c r="H90" s="192">
        <f t="shared" ca="1" si="1"/>
        <v>59590739</v>
      </c>
      <c r="I90" s="192"/>
    </row>
    <row r="91" spans="1:9" s="181" customFormat="1" ht="20.25" customHeight="1">
      <c r="A91" s="1070">
        <f ca="1">IF(ROWS($1:80)&gt;COUNT(Dong2),"",OFFSET(TH!C$1,SMALL(Dong2,ROWS($1:80)),))</f>
        <v>42606</v>
      </c>
      <c r="B91" s="190" t="str">
        <f ca="1">IF(ROWS($1:80)&gt;COUNT(Dong2),"",OFFSET(TH!D$1,SMALL(Dong2,ROWS($1:80)),))</f>
        <v>GBN</v>
      </c>
      <c r="C91" s="1070">
        <f ca="1">IF(ROWS($1:80)&gt;COUNT(Dong2),"",OFFSET(TH!E$1,SMALL(Dong2,ROWS($1:80)),))</f>
        <v>42606</v>
      </c>
      <c r="D91" s="413" t="str">
        <f ca="1">IF(ROWS($1:80)&gt;COUNT(Dong2),"",OFFSET(TH!F$1,SMALL(Dong2,ROWS($1:80)),))</f>
        <v>Lãi vay</v>
      </c>
      <c r="E91" s="190" t="str">
        <f ca="1">IF(ROWS($1:80)&gt;COUNT(Dong2),"",IF(OFFSET(TH!P$1,SMALL(Dong2,ROWS($1:80)),)=$I$6,OFFSET(TH!O$1,SMALL(Dong2,ROWS($1:80)),),OFFSET(TH!P$1,SMALL(Dong2,ROWS($1:80)),)))</f>
        <v>635</v>
      </c>
      <c r="F91" s="191">
        <f ca="1">IF(ROWS($1:80)&gt;COUNT(Dong2),"",IF(OFFSET(TH!O$1,SMALL(Dong2,ROWS($1:80)),)=$I$6,IF($I$6="1121",OFFSET(TH!M$1,SMALL(Dong2,ROWS($1:80)),),OFFSET(TH!K$1,SMALL(Dong2,ROWS($1:80)),)),0))</f>
        <v>0</v>
      </c>
      <c r="G91" s="191">
        <f ca="1">IF(ROWS($1:80)&gt;COUNT(Dong2),"",IF(OFFSET(TH!P$1,SMALL(Dong2,ROWS($1:80)),)=$I$6,IF($I$6="1121",OFFSET(TH!M$1,SMALL(Dong2,ROWS($1:80)),),OFFSET(TH!K$1,SMALL(Dong2,ROWS($1:80)),)),0))</f>
        <v>12295119</v>
      </c>
      <c r="H91" s="192">
        <f t="shared" ca="1" si="1"/>
        <v>47295620</v>
      </c>
      <c r="I91" s="192"/>
    </row>
    <row r="92" spans="1:9" s="181" customFormat="1" ht="20.25" customHeight="1">
      <c r="A92" s="1070">
        <f ca="1">IF(ROWS($1:81)&gt;COUNT(Dong2),"",OFFSET(TH!C$1,SMALL(Dong2,ROWS($1:81)),))</f>
        <v>42606</v>
      </c>
      <c r="B92" s="190" t="str">
        <f ca="1">IF(ROWS($1:81)&gt;COUNT(Dong2),"",OFFSET(TH!D$1,SMALL(Dong2,ROWS($1:81)),))</f>
        <v>GBN</v>
      </c>
      <c r="C92" s="1070">
        <f ca="1">IF(ROWS($1:81)&gt;COUNT(Dong2),"",OFFSET(TH!E$1,SMALL(Dong2,ROWS($1:81)),))</f>
        <v>42606</v>
      </c>
      <c r="D92" s="413" t="str">
        <f ca="1">IF(ROWS($1:81)&gt;COUNT(Dong2),"",OFFSET(TH!F$1,SMALL(Dong2,ROWS($1:81)),))</f>
        <v>Lãi vay</v>
      </c>
      <c r="E92" s="190" t="str">
        <f ca="1">IF(ROWS($1:81)&gt;COUNT(Dong2),"",IF(OFFSET(TH!P$1,SMALL(Dong2,ROWS($1:81)),)=$I$6,OFFSET(TH!O$1,SMALL(Dong2,ROWS($1:81)),),OFFSET(TH!P$1,SMALL(Dong2,ROWS($1:81)),)))</f>
        <v>635</v>
      </c>
      <c r="F92" s="191">
        <f ca="1">IF(ROWS($1:81)&gt;COUNT(Dong2),"",IF(OFFSET(TH!O$1,SMALL(Dong2,ROWS($1:81)),)=$I$6,IF($I$6="1121",OFFSET(TH!M$1,SMALL(Dong2,ROWS($1:81)),),OFFSET(TH!K$1,SMALL(Dong2,ROWS($1:81)),)),0))</f>
        <v>0</v>
      </c>
      <c r="G92" s="191">
        <f ca="1">IF(ROWS($1:81)&gt;COUNT(Dong2),"",IF(OFFSET(TH!P$1,SMALL(Dong2,ROWS($1:81)),)=$I$6,IF($I$6="1121",OFFSET(TH!M$1,SMALL(Dong2,ROWS($1:81)),),OFFSET(TH!K$1,SMALL(Dong2,ROWS($1:81)),)),0))</f>
        <v>12295119</v>
      </c>
      <c r="H92" s="192">
        <f t="shared" ca="1" si="1"/>
        <v>35000501</v>
      </c>
      <c r="I92" s="192"/>
    </row>
    <row r="93" spans="1:9" s="181" customFormat="1" ht="20.25" customHeight="1">
      <c r="A93" s="1070">
        <f ca="1">IF(ROWS($1:82)&gt;COUNT(Dong2),"",OFFSET(TH!C$1,SMALL(Dong2,ROWS($1:82)),))</f>
        <v>42606</v>
      </c>
      <c r="B93" s="190" t="str">
        <f ca="1">IF(ROWS($1:82)&gt;COUNT(Dong2),"",OFFSET(TH!D$1,SMALL(Dong2,ROWS($1:82)),))</f>
        <v>GBN</v>
      </c>
      <c r="C93" s="1070">
        <f ca="1">IF(ROWS($1:82)&gt;COUNT(Dong2),"",OFFSET(TH!E$1,SMALL(Dong2,ROWS($1:82)),))</f>
        <v>42606</v>
      </c>
      <c r="D93" s="413" t="str">
        <f ca="1">IF(ROWS($1:82)&gt;COUNT(Dong2),"",OFFSET(TH!F$1,SMALL(Dong2,ROWS($1:82)),))</f>
        <v>Lãi vay</v>
      </c>
      <c r="E93" s="190" t="str">
        <f ca="1">IF(ROWS($1:82)&gt;COUNT(Dong2),"",IF(OFFSET(TH!P$1,SMALL(Dong2,ROWS($1:82)),)=$I$6,OFFSET(TH!O$1,SMALL(Dong2,ROWS($1:82)),),OFFSET(TH!P$1,SMALL(Dong2,ROWS($1:82)),)))</f>
        <v>635</v>
      </c>
      <c r="F93" s="191">
        <f ca="1">IF(ROWS($1:82)&gt;COUNT(Dong2),"",IF(OFFSET(TH!O$1,SMALL(Dong2,ROWS($1:82)),)=$I$6,IF($I$6="1121",OFFSET(TH!M$1,SMALL(Dong2,ROWS($1:82)),),OFFSET(TH!K$1,SMALL(Dong2,ROWS($1:82)),)),0))</f>
        <v>0</v>
      </c>
      <c r="G93" s="191">
        <f ca="1">IF(ROWS($1:82)&gt;COUNT(Dong2),"",IF(OFFSET(TH!P$1,SMALL(Dong2,ROWS($1:82)),)=$I$6,IF($I$6="1121",OFFSET(TH!M$1,SMALL(Dong2,ROWS($1:82)),),OFFSET(TH!K$1,SMALL(Dong2,ROWS($1:82)),)),0))</f>
        <v>12295119</v>
      </c>
      <c r="H93" s="192">
        <f t="shared" ca="1" si="1"/>
        <v>22705382</v>
      </c>
      <c r="I93" s="192"/>
    </row>
    <row r="94" spans="1:9" s="181" customFormat="1" ht="20.25" customHeight="1">
      <c r="A94" s="1070">
        <f ca="1">IF(ROWS($1:83)&gt;COUNT(Dong2),"",OFFSET(TH!C$1,SMALL(Dong2,ROWS($1:83)),))</f>
        <v>42606</v>
      </c>
      <c r="B94" s="190" t="str">
        <f ca="1">IF(ROWS($1:83)&gt;COUNT(Dong2),"",OFFSET(TH!D$1,SMALL(Dong2,ROWS($1:83)),))</f>
        <v>GBN</v>
      </c>
      <c r="C94" s="1070">
        <f ca="1">IF(ROWS($1:83)&gt;COUNT(Dong2),"",OFFSET(TH!E$1,SMALL(Dong2,ROWS($1:83)),))</f>
        <v>42606</v>
      </c>
      <c r="D94" s="413" t="str">
        <f ca="1">IF(ROWS($1:83)&gt;COUNT(Dong2),"",OFFSET(TH!F$1,SMALL(Dong2,ROWS($1:83)),))</f>
        <v>Lãi vay</v>
      </c>
      <c r="E94" s="190" t="str">
        <f ca="1">IF(ROWS($1:83)&gt;COUNT(Dong2),"",IF(OFFSET(TH!P$1,SMALL(Dong2,ROWS($1:83)),)=$I$6,OFFSET(TH!O$1,SMALL(Dong2,ROWS($1:83)),),OFFSET(TH!P$1,SMALL(Dong2,ROWS($1:83)),)))</f>
        <v>635</v>
      </c>
      <c r="F94" s="191">
        <f ca="1">IF(ROWS($1:83)&gt;COUNT(Dong2),"",IF(OFFSET(TH!O$1,SMALL(Dong2,ROWS($1:83)),)=$I$6,IF($I$6="1121",OFFSET(TH!M$1,SMALL(Dong2,ROWS($1:83)),),OFFSET(TH!K$1,SMALL(Dong2,ROWS($1:83)),)),0))</f>
        <v>0</v>
      </c>
      <c r="G94" s="191">
        <f ca="1">IF(ROWS($1:83)&gt;COUNT(Dong2),"",IF(OFFSET(TH!P$1,SMALL(Dong2,ROWS($1:83)),)=$I$6,IF($I$6="1121",OFFSET(TH!M$1,SMALL(Dong2,ROWS($1:83)),),OFFSET(TH!K$1,SMALL(Dong2,ROWS($1:83)),)),0))</f>
        <v>8196747</v>
      </c>
      <c r="H94" s="192">
        <f t="shared" ca="1" si="1"/>
        <v>14508635</v>
      </c>
      <c r="I94" s="192"/>
    </row>
    <row r="95" spans="1:9" s="181" customFormat="1" ht="20.25" customHeight="1">
      <c r="A95" s="1070">
        <f ca="1">IF(ROWS($1:84)&gt;COUNT(Dong2),"",OFFSET(TH!C$1,SMALL(Dong2,ROWS($1:84)),))</f>
        <v>42606</v>
      </c>
      <c r="B95" s="190" t="str">
        <f ca="1">IF(ROWS($1:84)&gt;COUNT(Dong2),"",OFFSET(TH!D$1,SMALL(Dong2,ROWS($1:84)),))</f>
        <v>GBN</v>
      </c>
      <c r="C95" s="1070">
        <f ca="1">IF(ROWS($1:84)&gt;COUNT(Dong2),"",OFFSET(TH!E$1,SMALL(Dong2,ROWS($1:84)),))</f>
        <v>42606</v>
      </c>
      <c r="D95" s="413" t="str">
        <f ca="1">IF(ROWS($1:84)&gt;COUNT(Dong2),"",OFFSET(TH!F$1,SMALL(Dong2,ROWS($1:84)),))</f>
        <v>Lãi vay</v>
      </c>
      <c r="E95" s="190" t="str">
        <f ca="1">IF(ROWS($1:84)&gt;COUNT(Dong2),"",IF(OFFSET(TH!P$1,SMALL(Dong2,ROWS($1:84)),)=$I$6,OFFSET(TH!O$1,SMALL(Dong2,ROWS($1:84)),),OFFSET(TH!P$1,SMALL(Dong2,ROWS($1:84)),)))</f>
        <v>635</v>
      </c>
      <c r="F95" s="191">
        <f ca="1">IF(ROWS($1:84)&gt;COUNT(Dong2),"",IF(OFFSET(TH!O$1,SMALL(Dong2,ROWS($1:84)),)=$I$6,IF($I$6="1121",OFFSET(TH!M$1,SMALL(Dong2,ROWS($1:84)),),OFFSET(TH!K$1,SMALL(Dong2,ROWS($1:84)),)),0))</f>
        <v>0</v>
      </c>
      <c r="G95" s="191">
        <f ca="1">IF(ROWS($1:84)&gt;COUNT(Dong2),"",IF(OFFSET(TH!P$1,SMALL(Dong2,ROWS($1:84)),)=$I$6,IF($I$6="1121",OFFSET(TH!M$1,SMALL(Dong2,ROWS($1:84)),),OFFSET(TH!K$1,SMALL(Dong2,ROWS($1:84)),)),0))</f>
        <v>8196747</v>
      </c>
      <c r="H95" s="192">
        <f t="shared" ca="1" si="1"/>
        <v>6311888</v>
      </c>
      <c r="I95" s="192"/>
    </row>
    <row r="96" spans="1:9" s="181" customFormat="1" ht="20.25" customHeight="1">
      <c r="A96" s="1070">
        <f ca="1">IF(ROWS($1:85)&gt;COUNT(Dong2),"",OFFSET(TH!C$1,SMALL(Dong2,ROWS($1:85)),))</f>
        <v>42613</v>
      </c>
      <c r="B96" s="190" t="str">
        <f ca="1">IF(ROWS($1:85)&gt;COUNT(Dong2),"",OFFSET(TH!D$1,SMALL(Dong2,ROWS($1:85)),))</f>
        <v>GBN</v>
      </c>
      <c r="C96" s="1070">
        <f ca="1">IF(ROWS($1:85)&gt;COUNT(Dong2),"",OFFSET(TH!E$1,SMALL(Dong2,ROWS($1:85)),))</f>
        <v>42613</v>
      </c>
      <c r="D96" s="413" t="str">
        <f ca="1">IF(ROWS($1:85)&gt;COUNT(Dong2),"",OFFSET(TH!F$1,SMALL(Dong2,ROWS($1:85)),))</f>
        <v>Thanh toán tiền điện kỳ 2 t8</v>
      </c>
      <c r="E96" s="190" t="str">
        <f ca="1">IF(ROWS($1:85)&gt;COUNT(Dong2),"",IF(OFFSET(TH!P$1,SMALL(Dong2,ROWS($1:85)),)=$I$6,OFFSET(TH!O$1,SMALL(Dong2,ROWS($1:85)),),OFFSET(TH!P$1,SMALL(Dong2,ROWS($1:85)),)))</f>
        <v>331</v>
      </c>
      <c r="F96" s="191">
        <f ca="1">IF(ROWS($1:85)&gt;COUNT(Dong2),"",IF(OFFSET(TH!O$1,SMALL(Dong2,ROWS($1:85)),)=$I$6,IF($I$6="1121",OFFSET(TH!M$1,SMALL(Dong2,ROWS($1:85)),),OFFSET(TH!K$1,SMALL(Dong2,ROWS($1:85)),)),0))</f>
        <v>0</v>
      </c>
      <c r="G96" s="191">
        <f ca="1">IF(ROWS($1:85)&gt;COUNT(Dong2),"",IF(OFFSET(TH!P$1,SMALL(Dong2,ROWS($1:85)),)=$I$6,IF($I$6="1121",OFFSET(TH!M$1,SMALL(Dong2,ROWS($1:85)),),OFFSET(TH!K$1,SMALL(Dong2,ROWS($1:85)),)),0))</f>
        <v>22821810</v>
      </c>
      <c r="H96" s="192">
        <f t="shared" ca="1" si="1"/>
        <v>-16509922</v>
      </c>
      <c r="I96" s="192"/>
    </row>
    <row r="97" spans="1:9" s="181" customFormat="1" ht="20.25" customHeight="1">
      <c r="A97" s="1070">
        <f ca="1">IF(ROWS($1:86)&gt;COUNT(Dong2),"",OFFSET(TH!C$1,SMALL(Dong2,ROWS($1:86)),))</f>
        <v>42613</v>
      </c>
      <c r="B97" s="190" t="str">
        <f ca="1">IF(ROWS($1:86)&gt;COUNT(Dong2),"",OFFSET(TH!D$1,SMALL(Dong2,ROWS($1:86)),))</f>
        <v>GBN</v>
      </c>
      <c r="C97" s="1070">
        <f ca="1">IF(ROWS($1:86)&gt;COUNT(Dong2),"",OFFSET(TH!E$1,SMALL(Dong2,ROWS($1:86)),))</f>
        <v>42613</v>
      </c>
      <c r="D97" s="413" t="str">
        <f ca="1">IF(ROWS($1:86)&gt;COUNT(Dong2),"",OFFSET(TH!F$1,SMALL(Dong2,ROWS($1:86)),))</f>
        <v xml:space="preserve">Phí chuyển tiền </v>
      </c>
      <c r="E97" s="190" t="str">
        <f ca="1">IF(ROWS($1:86)&gt;COUNT(Dong2),"",IF(OFFSET(TH!P$1,SMALL(Dong2,ROWS($1:86)),)=$I$6,OFFSET(TH!O$1,SMALL(Dong2,ROWS($1:86)),),OFFSET(TH!P$1,SMALL(Dong2,ROWS($1:86)),)))</f>
        <v>642</v>
      </c>
      <c r="F97" s="191">
        <f ca="1">IF(ROWS($1:86)&gt;COUNT(Dong2),"",IF(OFFSET(TH!O$1,SMALL(Dong2,ROWS($1:86)),)=$I$6,IF($I$6="1121",OFFSET(TH!M$1,SMALL(Dong2,ROWS($1:86)),),OFFSET(TH!K$1,SMALL(Dong2,ROWS($1:86)),)),0))</f>
        <v>0</v>
      </c>
      <c r="G97" s="191">
        <f ca="1">IF(ROWS($1:86)&gt;COUNT(Dong2),"",IF(OFFSET(TH!P$1,SMALL(Dong2,ROWS($1:86)),)=$I$6,IF($I$6="1121",OFFSET(TH!M$1,SMALL(Dong2,ROWS($1:86)),),OFFSET(TH!K$1,SMALL(Dong2,ROWS($1:86)),)),0))</f>
        <v>25000</v>
      </c>
      <c r="H97" s="192">
        <f t="shared" ref="H97:H120" ca="1" si="2">IF(A97&lt;&gt;"",H96+F97-G97,0)</f>
        <v>-16534922</v>
      </c>
      <c r="I97" s="192"/>
    </row>
    <row r="98" spans="1:9" s="181" customFormat="1" ht="20.25" customHeight="1">
      <c r="A98" s="1070">
        <f ca="1">IF(ROWS($1:87)&gt;COUNT(Dong2),"",OFFSET(TH!C$1,SMALL(Dong2,ROWS($1:87)),))</f>
        <v>42613</v>
      </c>
      <c r="B98" s="190" t="str">
        <f ca="1">IF(ROWS($1:87)&gt;COUNT(Dong2),"",OFFSET(TH!D$1,SMALL(Dong2,ROWS($1:87)),))</f>
        <v>GBN</v>
      </c>
      <c r="C98" s="1070">
        <f ca="1">IF(ROWS($1:87)&gt;COUNT(Dong2),"",OFFSET(TH!E$1,SMALL(Dong2,ROWS($1:87)),))</f>
        <v>42613</v>
      </c>
      <c r="D98" s="413" t="str">
        <f ca="1">IF(ROWS($1:87)&gt;COUNT(Dong2),"",OFFSET(TH!F$1,SMALL(Dong2,ROWS($1:87)),))</f>
        <v xml:space="preserve">VAT Phí chuyển tiền </v>
      </c>
      <c r="E98" s="190" t="str">
        <f ca="1">IF(ROWS($1:87)&gt;COUNT(Dong2),"",IF(OFFSET(TH!P$1,SMALL(Dong2,ROWS($1:87)),)=$I$6,OFFSET(TH!O$1,SMALL(Dong2,ROWS($1:87)),),OFFSET(TH!P$1,SMALL(Dong2,ROWS($1:87)),)))</f>
        <v>1331</v>
      </c>
      <c r="F98" s="191">
        <f ca="1">IF(ROWS($1:87)&gt;COUNT(Dong2),"",IF(OFFSET(TH!O$1,SMALL(Dong2,ROWS($1:87)),)=$I$6,IF($I$6="1121",OFFSET(TH!M$1,SMALL(Dong2,ROWS($1:87)),),OFFSET(TH!K$1,SMALL(Dong2,ROWS($1:87)),)),0))</f>
        <v>0</v>
      </c>
      <c r="G98" s="191">
        <f ca="1">IF(ROWS($1:87)&gt;COUNT(Dong2),"",IF(OFFSET(TH!P$1,SMALL(Dong2,ROWS($1:87)),)=$I$6,IF($I$6="1121",OFFSET(TH!M$1,SMALL(Dong2,ROWS($1:87)),),OFFSET(TH!K$1,SMALL(Dong2,ROWS($1:87)),)),0))</f>
        <v>2500</v>
      </c>
      <c r="H98" s="192">
        <f t="shared" ca="1" si="2"/>
        <v>-16537422</v>
      </c>
      <c r="I98" s="192"/>
    </row>
    <row r="99" spans="1:9" s="181" customFormat="1" ht="20.25" customHeight="1">
      <c r="A99" s="1070">
        <f ca="1">IF(ROWS($1:88)&gt;COUNT(Dong2),"",OFFSET(TH!C$1,SMALL(Dong2,ROWS($1:88)),))</f>
        <v>42613</v>
      </c>
      <c r="B99" s="190" t="str">
        <f ca="1">IF(ROWS($1:88)&gt;COUNT(Dong2),"",OFFSET(TH!D$1,SMALL(Dong2,ROWS($1:88)),))</f>
        <v>GBC</v>
      </c>
      <c r="C99" s="1070">
        <f ca="1">IF(ROWS($1:88)&gt;COUNT(Dong2),"",OFFSET(TH!E$1,SMALL(Dong2,ROWS($1:88)),))</f>
        <v>42613</v>
      </c>
      <c r="D99" s="413" t="str">
        <f ca="1">IF(ROWS($1:88)&gt;COUNT(Dong2),"",OFFSET(TH!F$1,SMALL(Dong2,ROWS($1:88)),))</f>
        <v>Ứng vốn</v>
      </c>
      <c r="E99" s="190" t="str">
        <f ca="1">IF(ROWS($1:88)&gt;COUNT(Dong2),"",IF(OFFSET(TH!P$1,SMALL(Dong2,ROWS($1:88)),)=$I$6,OFFSET(TH!O$1,SMALL(Dong2,ROWS($1:88)),),OFFSET(TH!P$1,SMALL(Dong2,ROWS($1:88)),)))</f>
        <v>3388</v>
      </c>
      <c r="F99" s="191">
        <f ca="1">IF(ROWS($1:88)&gt;COUNT(Dong2),"",IF(OFFSET(TH!O$1,SMALL(Dong2,ROWS($1:88)),)=$I$6,IF($I$6="1121",OFFSET(TH!M$1,SMALL(Dong2,ROWS($1:88)),),OFFSET(TH!K$1,SMALL(Dong2,ROWS($1:88)),)),0))</f>
        <v>23000000</v>
      </c>
      <c r="G99" s="191">
        <f ca="1">IF(ROWS($1:88)&gt;COUNT(Dong2),"",IF(OFFSET(TH!P$1,SMALL(Dong2,ROWS($1:88)),)=$I$6,IF($I$6="1121",OFFSET(TH!M$1,SMALL(Dong2,ROWS($1:88)),),OFFSET(TH!K$1,SMALL(Dong2,ROWS($1:88)),)),0))</f>
        <v>0</v>
      </c>
      <c r="H99" s="192">
        <f t="shared" ca="1" si="2"/>
        <v>6462578</v>
      </c>
      <c r="I99" s="192"/>
    </row>
    <row r="100" spans="1:9" s="181" customFormat="1" ht="20.25" customHeight="1">
      <c r="A100" s="1070">
        <f ca="1">IF(ROWS($1:89)&gt;COUNT(Dong2),"",OFFSET(TH!C$1,SMALL(Dong2,ROWS($1:89)),))</f>
        <v>42629</v>
      </c>
      <c r="B100" s="190" t="str">
        <f ca="1">IF(ROWS($1:89)&gt;COUNT(Dong2),"",OFFSET(TH!D$1,SMALL(Dong2,ROWS($1:89)),))</f>
        <v>C31</v>
      </c>
      <c r="C100" s="1070">
        <f ca="1">IF(ROWS($1:89)&gt;COUNT(Dong2),"",OFFSET(TH!E$1,SMALL(Dong2,ROWS($1:89)),))</f>
        <v>42629</v>
      </c>
      <c r="D100" s="413" t="str">
        <f ca="1">IF(ROWS($1:89)&gt;COUNT(Dong2),"",OFFSET(TH!F$1,SMALL(Dong2,ROWS($1:89)),))</f>
        <v>Nộp TM</v>
      </c>
      <c r="E100" s="190" t="str">
        <f ca="1">IF(ROWS($1:89)&gt;COUNT(Dong2),"",IF(OFFSET(TH!P$1,SMALL(Dong2,ROWS($1:89)),)=$I$6,OFFSET(TH!O$1,SMALL(Dong2,ROWS($1:89)),),OFFSET(TH!P$1,SMALL(Dong2,ROWS($1:89)),)))</f>
        <v>1111</v>
      </c>
      <c r="F100" s="191">
        <f ca="1">IF(ROWS($1:89)&gt;COUNT(Dong2),"",IF(OFFSET(TH!O$1,SMALL(Dong2,ROWS($1:89)),)=$I$6,IF($I$6="1121",OFFSET(TH!M$1,SMALL(Dong2,ROWS($1:89)),),OFFSET(TH!K$1,SMALL(Dong2,ROWS($1:89)),)),0))</f>
        <v>10000000</v>
      </c>
      <c r="G100" s="191">
        <f ca="1">IF(ROWS($1:89)&gt;COUNT(Dong2),"",IF(OFFSET(TH!P$1,SMALL(Dong2,ROWS($1:89)),)=$I$6,IF($I$6="1121",OFFSET(TH!M$1,SMALL(Dong2,ROWS($1:89)),),OFFSET(TH!K$1,SMALL(Dong2,ROWS($1:89)),)),0))</f>
        <v>0</v>
      </c>
      <c r="H100" s="192">
        <f t="shared" ca="1" si="2"/>
        <v>16462578</v>
      </c>
      <c r="I100" s="192"/>
    </row>
    <row r="101" spans="1:9" s="181" customFormat="1" ht="20.25" customHeight="1">
      <c r="A101" s="1070">
        <f ca="1">IF(ROWS($1:90)&gt;COUNT(Dong2),"",OFFSET(TH!C$1,SMALL(Dong2,ROWS($1:90)),))</f>
        <v>42630</v>
      </c>
      <c r="B101" s="190" t="str">
        <f ca="1">IF(ROWS($1:90)&gt;COUNT(Dong2),"",OFFSET(TH!D$1,SMALL(Dong2,ROWS($1:90)),))</f>
        <v>GBN</v>
      </c>
      <c r="C101" s="1070">
        <f ca="1">IF(ROWS($1:90)&gt;COUNT(Dong2),"",OFFSET(TH!E$1,SMALL(Dong2,ROWS($1:90)),))</f>
        <v>42630</v>
      </c>
      <c r="D101" s="413" t="str">
        <f ca="1">IF(ROWS($1:90)&gt;COUNT(Dong2),"",OFFSET(TH!F$1,SMALL(Dong2,ROWS($1:90)),))</f>
        <v>Lãi vay</v>
      </c>
      <c r="E101" s="190" t="str">
        <f ca="1">IF(ROWS($1:90)&gt;COUNT(Dong2),"",IF(OFFSET(TH!P$1,SMALL(Dong2,ROWS($1:90)),)=$I$6,OFFSET(TH!O$1,SMALL(Dong2,ROWS($1:90)),),OFFSET(TH!P$1,SMALL(Dong2,ROWS($1:90)),)))</f>
        <v>635</v>
      </c>
      <c r="F101" s="191">
        <f ca="1">IF(ROWS($1:90)&gt;COUNT(Dong2),"",IF(OFFSET(TH!O$1,SMALL(Dong2,ROWS($1:90)),)=$I$6,IF($I$6="1121",OFFSET(TH!M$1,SMALL(Dong2,ROWS($1:90)),),OFFSET(TH!K$1,SMALL(Dong2,ROWS($1:90)),)),0))</f>
        <v>0</v>
      </c>
      <c r="G101" s="191">
        <f ca="1">IF(ROWS($1:90)&gt;COUNT(Dong2),"",IF(OFFSET(TH!P$1,SMALL(Dong2,ROWS($1:90)),)=$I$6,IF($I$6="1121",OFFSET(TH!M$1,SMALL(Dong2,ROWS($1:90)),),OFFSET(TH!K$1,SMALL(Dong2,ROWS($1:90)),)),0))</f>
        <v>5079893</v>
      </c>
      <c r="H101" s="192">
        <f t="shared" ca="1" si="2"/>
        <v>11382685</v>
      </c>
      <c r="I101" s="192"/>
    </row>
    <row r="102" spans="1:9" s="181" customFormat="1" ht="20.25" customHeight="1">
      <c r="A102" s="1070">
        <f ca="1">IF(ROWS($1:91)&gt;COUNT(Dong2),"",OFFSET(TH!C$1,SMALL(Dong2,ROWS($1:91)),))</f>
        <v>42637</v>
      </c>
      <c r="B102" s="190" t="str">
        <f ca="1">IF(ROWS($1:91)&gt;COUNT(Dong2),"",OFFSET(TH!D$1,SMALL(Dong2,ROWS($1:91)),))</f>
        <v>C33</v>
      </c>
      <c r="C102" s="1070">
        <f ca="1">IF(ROWS($1:91)&gt;COUNT(Dong2),"",OFFSET(TH!E$1,SMALL(Dong2,ROWS($1:91)),))</f>
        <v>42637</v>
      </c>
      <c r="D102" s="413" t="str">
        <f ca="1">IF(ROWS($1:91)&gt;COUNT(Dong2),"",OFFSET(TH!F$1,SMALL(Dong2,ROWS($1:91)),))</f>
        <v>Nộp TM</v>
      </c>
      <c r="E102" s="190" t="str">
        <f ca="1">IF(ROWS($1:91)&gt;COUNT(Dong2),"",IF(OFFSET(TH!P$1,SMALL(Dong2,ROWS($1:91)),)=$I$6,OFFSET(TH!O$1,SMALL(Dong2,ROWS($1:91)),),OFFSET(TH!P$1,SMALL(Dong2,ROWS($1:91)),)))</f>
        <v>1111</v>
      </c>
      <c r="F102" s="191">
        <f ca="1">IF(ROWS($1:91)&gt;COUNT(Dong2),"",IF(OFFSET(TH!O$1,SMALL(Dong2,ROWS($1:91)),)=$I$6,IF($I$6="1121",OFFSET(TH!M$1,SMALL(Dong2,ROWS($1:91)),),OFFSET(TH!K$1,SMALL(Dong2,ROWS($1:91)),)),0))</f>
        <v>160000000</v>
      </c>
      <c r="G102" s="191">
        <f ca="1">IF(ROWS($1:91)&gt;COUNT(Dong2),"",IF(OFFSET(TH!P$1,SMALL(Dong2,ROWS($1:91)),)=$I$6,IF($I$6="1121",OFFSET(TH!M$1,SMALL(Dong2,ROWS($1:91)),),OFFSET(TH!K$1,SMALL(Dong2,ROWS($1:91)),)),0))</f>
        <v>0</v>
      </c>
      <c r="H102" s="192">
        <f t="shared" ca="1" si="2"/>
        <v>171382685</v>
      </c>
      <c r="I102" s="192"/>
    </row>
    <row r="103" spans="1:9" s="181" customFormat="1" ht="20.25" customHeight="1">
      <c r="A103" s="1070">
        <f ca="1">IF(ROWS($1:92)&gt;COUNT(Dong2),"",OFFSET(TH!C$1,SMALL(Dong2,ROWS($1:92)),))</f>
        <v>42637</v>
      </c>
      <c r="B103" s="190" t="str">
        <f ca="1">IF(ROWS($1:92)&gt;COUNT(Dong2),"",OFFSET(TH!D$1,SMALL(Dong2,ROWS($1:92)),))</f>
        <v>GBN</v>
      </c>
      <c r="C103" s="1070">
        <f ca="1">IF(ROWS($1:92)&gt;COUNT(Dong2),"",OFFSET(TH!E$1,SMALL(Dong2,ROWS($1:92)),))</f>
        <v>42637</v>
      </c>
      <c r="D103" s="413" t="str">
        <f ca="1">IF(ROWS($1:92)&gt;COUNT(Dong2),"",OFFSET(TH!F$1,SMALL(Dong2,ROWS($1:92)),))</f>
        <v>Lãi vay</v>
      </c>
      <c r="E103" s="190" t="str">
        <f ca="1">IF(ROWS($1:92)&gt;COUNT(Dong2),"",IF(OFFSET(TH!P$1,SMALL(Dong2,ROWS($1:92)),)=$I$6,OFFSET(TH!O$1,SMALL(Dong2,ROWS($1:92)),),OFFSET(TH!P$1,SMALL(Dong2,ROWS($1:92)),)))</f>
        <v>635</v>
      </c>
      <c r="F103" s="191">
        <f ca="1">IF(ROWS($1:92)&gt;COUNT(Dong2),"",IF(OFFSET(TH!O$1,SMALL(Dong2,ROWS($1:92)),)=$I$6,IF($I$6="1121",OFFSET(TH!M$1,SMALL(Dong2,ROWS($1:92)),),OFFSET(TH!K$1,SMALL(Dong2,ROWS($1:92)),)),0))</f>
        <v>0</v>
      </c>
      <c r="G103" s="191">
        <f ca="1">IF(ROWS($1:92)&gt;COUNT(Dong2),"",IF(OFFSET(TH!P$1,SMALL(Dong2,ROWS($1:92)),)=$I$6,IF($I$6="1121",OFFSET(TH!M$1,SMALL(Dong2,ROWS($1:92)),),OFFSET(TH!K$1,SMALL(Dong2,ROWS($1:92)),)),0))</f>
        <v>8196747</v>
      </c>
      <c r="H103" s="192">
        <f t="shared" ca="1" si="2"/>
        <v>163185938</v>
      </c>
      <c r="I103" s="192"/>
    </row>
    <row r="104" spans="1:9" s="181" customFormat="1" ht="20.25" customHeight="1">
      <c r="A104" s="1070">
        <f ca="1">IF(ROWS($1:93)&gt;COUNT(Dong2),"",OFFSET(TH!C$1,SMALL(Dong2,ROWS($1:93)),))</f>
        <v>42637</v>
      </c>
      <c r="B104" s="190" t="str">
        <f ca="1">IF(ROWS($1:93)&gt;COUNT(Dong2),"",OFFSET(TH!D$1,SMALL(Dong2,ROWS($1:93)),))</f>
        <v>GBN</v>
      </c>
      <c r="C104" s="1070">
        <f ca="1">IF(ROWS($1:93)&gt;COUNT(Dong2),"",OFFSET(TH!E$1,SMALL(Dong2,ROWS($1:93)),))</f>
        <v>42637</v>
      </c>
      <c r="D104" s="413" t="str">
        <f ca="1">IF(ROWS($1:93)&gt;COUNT(Dong2),"",OFFSET(TH!F$1,SMALL(Dong2,ROWS($1:93)),))</f>
        <v>Lãi vay</v>
      </c>
      <c r="E104" s="190" t="str">
        <f ca="1">IF(ROWS($1:93)&gt;COUNT(Dong2),"",IF(OFFSET(TH!P$1,SMALL(Dong2,ROWS($1:93)),)=$I$6,OFFSET(TH!O$1,SMALL(Dong2,ROWS($1:93)),),OFFSET(TH!P$1,SMALL(Dong2,ROWS($1:93)),)))</f>
        <v>635</v>
      </c>
      <c r="F104" s="191">
        <f ca="1">IF(ROWS($1:93)&gt;COUNT(Dong2),"",IF(OFFSET(TH!O$1,SMALL(Dong2,ROWS($1:93)),)=$I$6,IF($I$6="1121",OFFSET(TH!M$1,SMALL(Dong2,ROWS($1:93)),),OFFSET(TH!K$1,SMALL(Dong2,ROWS($1:93)),)),0))</f>
        <v>0</v>
      </c>
      <c r="G104" s="191">
        <f ca="1">IF(ROWS($1:93)&gt;COUNT(Dong2),"",IF(OFFSET(TH!P$1,SMALL(Dong2,ROWS($1:93)),)=$I$6,IF($I$6="1121",OFFSET(TH!M$1,SMALL(Dong2,ROWS($1:93)),),OFFSET(TH!K$1,SMALL(Dong2,ROWS($1:93)),)),0))</f>
        <v>16393492</v>
      </c>
      <c r="H104" s="192">
        <f t="shared" ca="1" si="2"/>
        <v>146792446</v>
      </c>
      <c r="I104" s="192"/>
    </row>
    <row r="105" spans="1:9" s="181" customFormat="1" ht="20.25" customHeight="1">
      <c r="A105" s="1070">
        <f ca="1">IF(ROWS($1:94)&gt;COUNT(Dong2),"",OFFSET(TH!C$1,SMALL(Dong2,ROWS($1:94)),))</f>
        <v>42637</v>
      </c>
      <c r="B105" s="190" t="str">
        <f ca="1">IF(ROWS($1:94)&gt;COUNT(Dong2),"",OFFSET(TH!D$1,SMALL(Dong2,ROWS($1:94)),))</f>
        <v>GBN</v>
      </c>
      <c r="C105" s="1070">
        <f ca="1">IF(ROWS($1:94)&gt;COUNT(Dong2),"",OFFSET(TH!E$1,SMALL(Dong2,ROWS($1:94)),))</f>
        <v>42637</v>
      </c>
      <c r="D105" s="413" t="str">
        <f ca="1">IF(ROWS($1:94)&gt;COUNT(Dong2),"",OFFSET(TH!F$1,SMALL(Dong2,ROWS($1:94)),))</f>
        <v>Lãi vay</v>
      </c>
      <c r="E105" s="190" t="str">
        <f ca="1">IF(ROWS($1:94)&gt;COUNT(Dong2),"",IF(OFFSET(TH!P$1,SMALL(Dong2,ROWS($1:94)),)=$I$6,OFFSET(TH!O$1,SMALL(Dong2,ROWS($1:94)),),OFFSET(TH!P$1,SMALL(Dong2,ROWS($1:94)),)))</f>
        <v>635</v>
      </c>
      <c r="F105" s="191">
        <f ca="1">IF(ROWS($1:94)&gt;COUNT(Dong2),"",IF(OFFSET(TH!O$1,SMALL(Dong2,ROWS($1:94)),)=$I$6,IF($I$6="1121",OFFSET(TH!M$1,SMALL(Dong2,ROWS($1:94)),),OFFSET(TH!K$1,SMALL(Dong2,ROWS($1:94)),)),0))</f>
        <v>0</v>
      </c>
      <c r="G105" s="191">
        <f ca="1">IF(ROWS($1:94)&gt;COUNT(Dong2),"",IF(OFFSET(TH!P$1,SMALL(Dong2,ROWS($1:94)),)=$I$6,IF($I$6="1121",OFFSET(TH!M$1,SMALL(Dong2,ROWS($1:94)),),OFFSET(TH!K$1,SMALL(Dong2,ROWS($1:94)),)),0))</f>
        <v>13114794</v>
      </c>
      <c r="H105" s="192">
        <f t="shared" ca="1" si="2"/>
        <v>133677652</v>
      </c>
      <c r="I105" s="192"/>
    </row>
    <row r="106" spans="1:9" s="181" customFormat="1" ht="20.25" customHeight="1">
      <c r="A106" s="1070">
        <f ca="1">IF(ROWS($1:95)&gt;COUNT(Dong2),"",OFFSET(TH!C$1,SMALL(Dong2,ROWS($1:95)),))</f>
        <v>42637</v>
      </c>
      <c r="B106" s="190" t="str">
        <f ca="1">IF(ROWS($1:95)&gt;COUNT(Dong2),"",OFFSET(TH!D$1,SMALL(Dong2,ROWS($1:95)),))</f>
        <v>GBN</v>
      </c>
      <c r="C106" s="1070">
        <f ca="1">IF(ROWS($1:95)&gt;COUNT(Dong2),"",OFFSET(TH!E$1,SMALL(Dong2,ROWS($1:95)),))</f>
        <v>42637</v>
      </c>
      <c r="D106" s="413" t="str">
        <f ca="1">IF(ROWS($1:95)&gt;COUNT(Dong2),"",OFFSET(TH!F$1,SMALL(Dong2,ROWS($1:95)),))</f>
        <v>Lãi vay</v>
      </c>
      <c r="E106" s="190" t="str">
        <f ca="1">IF(ROWS($1:95)&gt;COUNT(Dong2),"",IF(OFFSET(TH!P$1,SMALL(Dong2,ROWS($1:95)),)=$I$6,OFFSET(TH!O$1,SMALL(Dong2,ROWS($1:95)),),OFFSET(TH!P$1,SMALL(Dong2,ROWS($1:95)),)))</f>
        <v>635</v>
      </c>
      <c r="F106" s="191">
        <f ca="1">IF(ROWS($1:95)&gt;COUNT(Dong2),"",IF(OFFSET(TH!O$1,SMALL(Dong2,ROWS($1:95)),)=$I$6,IF($I$6="1121",OFFSET(TH!M$1,SMALL(Dong2,ROWS($1:95)),),OFFSET(TH!K$1,SMALL(Dong2,ROWS($1:95)),)),0))</f>
        <v>0</v>
      </c>
      <c r="G106" s="191">
        <f ca="1">IF(ROWS($1:95)&gt;COUNT(Dong2),"",IF(OFFSET(TH!P$1,SMALL(Dong2,ROWS($1:95)),)=$I$6,IF($I$6="1121",OFFSET(TH!M$1,SMALL(Dong2,ROWS($1:95)),),OFFSET(TH!K$1,SMALL(Dong2,ROWS($1:95)),)),0))</f>
        <v>12295119</v>
      </c>
      <c r="H106" s="192">
        <f t="shared" ca="1" si="2"/>
        <v>121382533</v>
      </c>
      <c r="I106" s="192"/>
    </row>
    <row r="107" spans="1:9" s="181" customFormat="1" ht="20.25" customHeight="1">
      <c r="A107" s="1070">
        <f ca="1">IF(ROWS($1:96)&gt;COUNT(Dong2),"",OFFSET(TH!C$1,SMALL(Dong2,ROWS($1:96)),))</f>
        <v>42637</v>
      </c>
      <c r="B107" s="190" t="str">
        <f ca="1">IF(ROWS($1:96)&gt;COUNT(Dong2),"",OFFSET(TH!D$1,SMALL(Dong2,ROWS($1:96)),))</f>
        <v>GBN</v>
      </c>
      <c r="C107" s="1070">
        <f ca="1">IF(ROWS($1:96)&gt;COUNT(Dong2),"",OFFSET(TH!E$1,SMALL(Dong2,ROWS($1:96)),))</f>
        <v>42637</v>
      </c>
      <c r="D107" s="413" t="str">
        <f ca="1">IF(ROWS($1:96)&gt;COUNT(Dong2),"",OFFSET(TH!F$1,SMALL(Dong2,ROWS($1:96)),))</f>
        <v>Lãi vay</v>
      </c>
      <c r="E107" s="190" t="str">
        <f ca="1">IF(ROWS($1:96)&gt;COUNT(Dong2),"",IF(OFFSET(TH!P$1,SMALL(Dong2,ROWS($1:96)),)=$I$6,OFFSET(TH!O$1,SMALL(Dong2,ROWS($1:96)),),OFFSET(TH!P$1,SMALL(Dong2,ROWS($1:96)),)))</f>
        <v>635</v>
      </c>
      <c r="F107" s="191">
        <f ca="1">IF(ROWS($1:96)&gt;COUNT(Dong2),"",IF(OFFSET(TH!O$1,SMALL(Dong2,ROWS($1:96)),)=$I$6,IF($I$6="1121",OFFSET(TH!M$1,SMALL(Dong2,ROWS($1:96)),),OFFSET(TH!K$1,SMALL(Dong2,ROWS($1:96)),)),0))</f>
        <v>0</v>
      </c>
      <c r="G107" s="191">
        <f ca="1">IF(ROWS($1:96)&gt;COUNT(Dong2),"",IF(OFFSET(TH!P$1,SMALL(Dong2,ROWS($1:96)),)=$I$6,IF($I$6="1121",OFFSET(TH!M$1,SMALL(Dong2,ROWS($1:96)),),OFFSET(TH!K$1,SMALL(Dong2,ROWS($1:96)),)),0))</f>
        <v>8196747</v>
      </c>
      <c r="H107" s="192">
        <f t="shared" ca="1" si="2"/>
        <v>113185786</v>
      </c>
      <c r="I107" s="192"/>
    </row>
    <row r="108" spans="1:9" s="181" customFormat="1" ht="20.25" customHeight="1">
      <c r="A108" s="1070">
        <f ca="1">IF(ROWS($1:97)&gt;COUNT(Dong2),"",OFFSET(TH!C$1,SMALL(Dong2,ROWS($1:97)),))</f>
        <v>42637</v>
      </c>
      <c r="B108" s="190" t="str">
        <f ca="1">IF(ROWS($1:97)&gt;COUNT(Dong2),"",OFFSET(TH!D$1,SMALL(Dong2,ROWS($1:97)),))</f>
        <v>GBN</v>
      </c>
      <c r="C108" s="1070">
        <f ca="1">IF(ROWS($1:97)&gt;COUNT(Dong2),"",OFFSET(TH!E$1,SMALL(Dong2,ROWS($1:97)),))</f>
        <v>42637</v>
      </c>
      <c r="D108" s="413" t="str">
        <f ca="1">IF(ROWS($1:97)&gt;COUNT(Dong2),"",OFFSET(TH!F$1,SMALL(Dong2,ROWS($1:97)),))</f>
        <v>Lãi vay</v>
      </c>
      <c r="E108" s="190" t="str">
        <f ca="1">IF(ROWS($1:97)&gt;COUNT(Dong2),"",IF(OFFSET(TH!P$1,SMALL(Dong2,ROWS($1:97)),)=$I$6,OFFSET(TH!O$1,SMALL(Dong2,ROWS($1:97)),),OFFSET(TH!P$1,SMALL(Dong2,ROWS($1:97)),)))</f>
        <v>635</v>
      </c>
      <c r="F108" s="191">
        <f ca="1">IF(ROWS($1:97)&gt;COUNT(Dong2),"",IF(OFFSET(TH!O$1,SMALL(Dong2,ROWS($1:97)),)=$I$6,IF($I$6="1121",OFFSET(TH!M$1,SMALL(Dong2,ROWS($1:97)),),OFFSET(TH!K$1,SMALL(Dong2,ROWS($1:97)),)),0))</f>
        <v>0</v>
      </c>
      <c r="G108" s="191">
        <f ca="1">IF(ROWS($1:97)&gt;COUNT(Dong2),"",IF(OFFSET(TH!P$1,SMALL(Dong2,ROWS($1:97)),)=$I$6,IF($I$6="1121",OFFSET(TH!M$1,SMALL(Dong2,ROWS($1:97)),),OFFSET(TH!K$1,SMALL(Dong2,ROWS($1:97)),)),0))</f>
        <v>12295119</v>
      </c>
      <c r="H108" s="192">
        <f t="shared" ca="1" si="2"/>
        <v>100890667</v>
      </c>
      <c r="I108" s="192"/>
    </row>
    <row r="109" spans="1:9" s="181" customFormat="1" ht="20.25" customHeight="1">
      <c r="A109" s="1070">
        <f ca="1">IF(ROWS($1:98)&gt;COUNT(Dong2),"",OFFSET(TH!C$1,SMALL(Dong2,ROWS($1:98)),))</f>
        <v>42637</v>
      </c>
      <c r="B109" s="190" t="str">
        <f ca="1">IF(ROWS($1:98)&gt;COUNT(Dong2),"",OFFSET(TH!D$1,SMALL(Dong2,ROWS($1:98)),))</f>
        <v>GBN</v>
      </c>
      <c r="C109" s="1070">
        <f ca="1">IF(ROWS($1:98)&gt;COUNT(Dong2),"",OFFSET(TH!E$1,SMALL(Dong2,ROWS($1:98)),))</f>
        <v>42637</v>
      </c>
      <c r="D109" s="413" t="str">
        <f ca="1">IF(ROWS($1:98)&gt;COUNT(Dong2),"",OFFSET(TH!F$1,SMALL(Dong2,ROWS($1:98)),))</f>
        <v>Lãi vay</v>
      </c>
      <c r="E109" s="190" t="str">
        <f ca="1">IF(ROWS($1:98)&gt;COUNT(Dong2),"",IF(OFFSET(TH!P$1,SMALL(Dong2,ROWS($1:98)),)=$I$6,OFFSET(TH!O$1,SMALL(Dong2,ROWS($1:98)),),OFFSET(TH!P$1,SMALL(Dong2,ROWS($1:98)),)))</f>
        <v>635</v>
      </c>
      <c r="F109" s="191">
        <f ca="1">IF(ROWS($1:98)&gt;COUNT(Dong2),"",IF(OFFSET(TH!O$1,SMALL(Dong2,ROWS($1:98)),)=$I$6,IF($I$6="1121",OFFSET(TH!M$1,SMALL(Dong2,ROWS($1:98)),),OFFSET(TH!K$1,SMALL(Dong2,ROWS($1:98)),)),0))</f>
        <v>0</v>
      </c>
      <c r="G109" s="191">
        <f ca="1">IF(ROWS($1:98)&gt;COUNT(Dong2),"",IF(OFFSET(TH!P$1,SMALL(Dong2,ROWS($1:98)),)=$I$6,IF($I$6="1121",OFFSET(TH!M$1,SMALL(Dong2,ROWS($1:98)),),OFFSET(TH!K$1,SMALL(Dong2,ROWS($1:98)),)),0))</f>
        <v>16393492</v>
      </c>
      <c r="H109" s="192">
        <f t="shared" ca="1" si="2"/>
        <v>84497175</v>
      </c>
      <c r="I109" s="192"/>
    </row>
    <row r="110" spans="1:9" s="181" customFormat="1" ht="20.25" customHeight="1">
      <c r="A110" s="1070">
        <f ca="1">IF(ROWS($1:99)&gt;COUNT(Dong2),"",OFFSET(TH!C$1,SMALL(Dong2,ROWS($1:99)),))</f>
        <v>42637</v>
      </c>
      <c r="B110" s="190" t="str">
        <f ca="1">IF(ROWS($1:99)&gt;COUNT(Dong2),"",OFFSET(TH!D$1,SMALL(Dong2,ROWS($1:99)),))</f>
        <v>GBN</v>
      </c>
      <c r="C110" s="1070">
        <f ca="1">IF(ROWS($1:99)&gt;COUNT(Dong2),"",OFFSET(TH!E$1,SMALL(Dong2,ROWS($1:99)),))</f>
        <v>42637</v>
      </c>
      <c r="D110" s="413" t="str">
        <f ca="1">IF(ROWS($1:99)&gt;COUNT(Dong2),"",OFFSET(TH!F$1,SMALL(Dong2,ROWS($1:99)),))</f>
        <v>Lãi vay</v>
      </c>
      <c r="E110" s="190" t="str">
        <f ca="1">IF(ROWS($1:99)&gt;COUNT(Dong2),"",IF(OFFSET(TH!P$1,SMALL(Dong2,ROWS($1:99)),)=$I$6,OFFSET(TH!O$1,SMALL(Dong2,ROWS($1:99)),),OFFSET(TH!P$1,SMALL(Dong2,ROWS($1:99)),)))</f>
        <v>635</v>
      </c>
      <c r="F110" s="191">
        <f ca="1">IF(ROWS($1:99)&gt;COUNT(Dong2),"",IF(OFFSET(TH!O$1,SMALL(Dong2,ROWS($1:99)),)=$I$6,IF($I$6="1121",OFFSET(TH!M$1,SMALL(Dong2,ROWS($1:99)),),OFFSET(TH!K$1,SMALL(Dong2,ROWS($1:99)),)),0))</f>
        <v>0</v>
      </c>
      <c r="G110" s="191">
        <f ca="1">IF(ROWS($1:99)&gt;COUNT(Dong2),"",IF(OFFSET(TH!P$1,SMALL(Dong2,ROWS($1:99)),)=$I$6,IF($I$6="1121",OFFSET(TH!M$1,SMALL(Dong2,ROWS($1:99)),),OFFSET(TH!K$1,SMALL(Dong2,ROWS($1:99)),)),0))</f>
        <v>11475445</v>
      </c>
      <c r="H110" s="192">
        <f t="shared" ca="1" si="2"/>
        <v>73021730</v>
      </c>
      <c r="I110" s="192"/>
    </row>
    <row r="111" spans="1:9" s="181" customFormat="1" ht="20.25" customHeight="1">
      <c r="A111" s="1070">
        <f ca="1">IF(ROWS($1:100)&gt;COUNT(Dong2),"",OFFSET(TH!C$1,SMALL(Dong2,ROWS($1:100)),))</f>
        <v>42637</v>
      </c>
      <c r="B111" s="190" t="str">
        <f ca="1">IF(ROWS($1:100)&gt;COUNT(Dong2),"",OFFSET(TH!D$1,SMALL(Dong2,ROWS($1:100)),))</f>
        <v>GBN</v>
      </c>
      <c r="C111" s="1070">
        <f ca="1">IF(ROWS($1:100)&gt;COUNT(Dong2),"",OFFSET(TH!E$1,SMALL(Dong2,ROWS($1:100)),))</f>
        <v>42637</v>
      </c>
      <c r="D111" s="413" t="str">
        <f ca="1">IF(ROWS($1:100)&gt;COUNT(Dong2),"",OFFSET(TH!F$1,SMALL(Dong2,ROWS($1:100)),))</f>
        <v>Lãi vay</v>
      </c>
      <c r="E111" s="190" t="str">
        <f ca="1">IF(ROWS($1:100)&gt;COUNT(Dong2),"",IF(OFFSET(TH!P$1,SMALL(Dong2,ROWS($1:100)),)=$I$6,OFFSET(TH!O$1,SMALL(Dong2,ROWS($1:100)),),OFFSET(TH!P$1,SMALL(Dong2,ROWS($1:100)),)))</f>
        <v>635</v>
      </c>
      <c r="F111" s="191">
        <f ca="1">IF(ROWS($1:100)&gt;COUNT(Dong2),"",IF(OFFSET(TH!O$1,SMALL(Dong2,ROWS($1:100)),)=$I$6,IF($I$6="1121",OFFSET(TH!M$1,SMALL(Dong2,ROWS($1:100)),),OFFSET(TH!K$1,SMALL(Dong2,ROWS($1:100)),)),0))</f>
        <v>0</v>
      </c>
      <c r="G111" s="191">
        <f ca="1">IF(ROWS($1:100)&gt;COUNT(Dong2),"",IF(OFFSET(TH!P$1,SMALL(Dong2,ROWS($1:100)),)=$I$6,IF($I$6="1121",OFFSET(TH!M$1,SMALL(Dong2,ROWS($1:100)),),OFFSET(TH!K$1,SMALL(Dong2,ROWS($1:100)),)),0))</f>
        <v>12295119</v>
      </c>
      <c r="H111" s="192">
        <f t="shared" ca="1" si="2"/>
        <v>60726611</v>
      </c>
      <c r="I111" s="192"/>
    </row>
    <row r="112" spans="1:9" s="181" customFormat="1" ht="20.25" customHeight="1">
      <c r="A112" s="1070">
        <f ca="1">IF(ROWS($1:101)&gt;COUNT(Dong2),"",OFFSET(TH!C$1,SMALL(Dong2,ROWS($1:101)),))</f>
        <v>42637</v>
      </c>
      <c r="B112" s="190" t="str">
        <f ca="1">IF(ROWS($1:101)&gt;COUNT(Dong2),"",OFFSET(TH!D$1,SMALL(Dong2,ROWS($1:101)),))</f>
        <v>GBN</v>
      </c>
      <c r="C112" s="1070">
        <f ca="1">IF(ROWS($1:101)&gt;COUNT(Dong2),"",OFFSET(TH!E$1,SMALL(Dong2,ROWS($1:101)),))</f>
        <v>42637</v>
      </c>
      <c r="D112" s="413" t="str">
        <f ca="1">IF(ROWS($1:101)&gt;COUNT(Dong2),"",OFFSET(TH!F$1,SMALL(Dong2,ROWS($1:101)),))</f>
        <v>Trả gốc vay</v>
      </c>
      <c r="E112" s="190" t="str">
        <f ca="1">IF(ROWS($1:101)&gt;COUNT(Dong2),"",IF(OFFSET(TH!P$1,SMALL(Dong2,ROWS($1:101)),)=$I$6,OFFSET(TH!O$1,SMALL(Dong2,ROWS($1:101)),),OFFSET(TH!P$1,SMALL(Dong2,ROWS($1:101)),)))</f>
        <v>3411</v>
      </c>
      <c r="F112" s="191">
        <f ca="1">IF(ROWS($1:101)&gt;COUNT(Dong2),"",IF(OFFSET(TH!O$1,SMALL(Dong2,ROWS($1:101)),)=$I$6,IF($I$6="1121",OFFSET(TH!M$1,SMALL(Dong2,ROWS($1:101)),),OFFSET(TH!K$1,SMALL(Dong2,ROWS($1:101)),)),0))</f>
        <v>0</v>
      </c>
      <c r="G112" s="191">
        <f ca="1">IF(ROWS($1:101)&gt;COUNT(Dong2),"",IF(OFFSET(TH!P$1,SMALL(Dong2,ROWS($1:101)),)=$I$6,IF($I$6="1121",OFFSET(TH!M$1,SMALL(Dong2,ROWS($1:101)),),OFFSET(TH!K$1,SMALL(Dong2,ROWS($1:101)),)),0))</f>
        <v>8340000</v>
      </c>
      <c r="H112" s="192">
        <f t="shared" ca="1" si="2"/>
        <v>52386611</v>
      </c>
      <c r="I112" s="192"/>
    </row>
    <row r="113" spans="1:9" s="181" customFormat="1" ht="20.25" customHeight="1">
      <c r="A113" s="1070">
        <f ca="1">IF(ROWS($1:102)&gt;COUNT(Dong2),"",OFFSET(TH!C$1,SMALL(Dong2,ROWS($1:102)),))</f>
        <v>42637</v>
      </c>
      <c r="B113" s="190" t="str">
        <f ca="1">IF(ROWS($1:102)&gt;COUNT(Dong2),"",OFFSET(TH!D$1,SMALL(Dong2,ROWS($1:102)),))</f>
        <v>GBN</v>
      </c>
      <c r="C113" s="1070">
        <f ca="1">IF(ROWS($1:102)&gt;COUNT(Dong2),"",OFFSET(TH!E$1,SMALL(Dong2,ROWS($1:102)),))</f>
        <v>42637</v>
      </c>
      <c r="D113" s="413" t="str">
        <f ca="1">IF(ROWS($1:102)&gt;COUNT(Dong2),"",OFFSET(TH!F$1,SMALL(Dong2,ROWS($1:102)),))</f>
        <v>Trả gốc vay</v>
      </c>
      <c r="E113" s="190" t="str">
        <f ca="1">IF(ROWS($1:102)&gt;COUNT(Dong2),"",IF(OFFSET(TH!P$1,SMALL(Dong2,ROWS($1:102)),)=$I$6,OFFSET(TH!O$1,SMALL(Dong2,ROWS($1:102)),),OFFSET(TH!P$1,SMALL(Dong2,ROWS($1:102)),)))</f>
        <v>3411</v>
      </c>
      <c r="F113" s="191">
        <f ca="1">IF(ROWS($1:102)&gt;COUNT(Dong2),"",IF(OFFSET(TH!O$1,SMALL(Dong2,ROWS($1:102)),)=$I$6,IF($I$6="1121",OFFSET(TH!M$1,SMALL(Dong2,ROWS($1:102)),),OFFSET(TH!K$1,SMALL(Dong2,ROWS($1:102)),)),0))</f>
        <v>0</v>
      </c>
      <c r="G113" s="191">
        <f ca="1">IF(ROWS($1:102)&gt;COUNT(Dong2),"",IF(OFFSET(TH!P$1,SMALL(Dong2,ROWS($1:102)),)=$I$6,IF($I$6="1121",OFFSET(TH!M$1,SMALL(Dong2,ROWS($1:102)),),OFFSET(TH!K$1,SMALL(Dong2,ROWS($1:102)),)),0))</f>
        <v>16670000</v>
      </c>
      <c r="H113" s="192">
        <f t="shared" ca="1" si="2"/>
        <v>35716611</v>
      </c>
      <c r="I113" s="192"/>
    </row>
    <row r="114" spans="1:9" s="181" customFormat="1" ht="20.25" customHeight="1">
      <c r="A114" s="1070">
        <f ca="1">IF(ROWS($1:103)&gt;COUNT(Dong2),"",OFFSET(TH!C$1,SMALL(Dong2,ROWS($1:103)),))</f>
        <v>42637</v>
      </c>
      <c r="B114" s="190" t="str">
        <f ca="1">IF(ROWS($1:103)&gt;COUNT(Dong2),"",OFFSET(TH!D$1,SMALL(Dong2,ROWS($1:103)),))</f>
        <v>GBN</v>
      </c>
      <c r="C114" s="1070">
        <f ca="1">IF(ROWS($1:103)&gt;COUNT(Dong2),"",OFFSET(TH!E$1,SMALL(Dong2,ROWS($1:103)),))</f>
        <v>42637</v>
      </c>
      <c r="D114" s="413" t="str">
        <f ca="1">IF(ROWS($1:103)&gt;COUNT(Dong2),"",OFFSET(TH!F$1,SMALL(Dong2,ROWS($1:103)),))</f>
        <v>Trả gốc vay</v>
      </c>
      <c r="E114" s="190" t="str">
        <f ca="1">IF(ROWS($1:103)&gt;COUNT(Dong2),"",IF(OFFSET(TH!P$1,SMALL(Dong2,ROWS($1:103)),)=$I$6,OFFSET(TH!O$1,SMALL(Dong2,ROWS($1:103)),),OFFSET(TH!P$1,SMALL(Dong2,ROWS($1:103)),)))</f>
        <v>3411</v>
      </c>
      <c r="F114" s="191">
        <f ca="1">IF(ROWS($1:103)&gt;COUNT(Dong2),"",IF(OFFSET(TH!O$1,SMALL(Dong2,ROWS($1:103)),)=$I$6,IF($I$6="1121",OFFSET(TH!M$1,SMALL(Dong2,ROWS($1:103)),),OFFSET(TH!K$1,SMALL(Dong2,ROWS($1:103)),)),0))</f>
        <v>0</v>
      </c>
      <c r="G114" s="191">
        <f ca="1">IF(ROWS($1:103)&gt;COUNT(Dong2),"",IF(OFFSET(TH!P$1,SMALL(Dong2,ROWS($1:103)),)=$I$6,IF($I$6="1121",OFFSET(TH!M$1,SMALL(Dong2,ROWS($1:103)),),OFFSET(TH!K$1,SMALL(Dong2,ROWS($1:103)),)),0))</f>
        <v>13340000</v>
      </c>
      <c r="H114" s="192">
        <f t="shared" ca="1" si="2"/>
        <v>22376611</v>
      </c>
      <c r="I114" s="192"/>
    </row>
    <row r="115" spans="1:9" s="181" customFormat="1" ht="20.25" customHeight="1">
      <c r="A115" s="1070">
        <f ca="1">IF(ROWS($1:104)&gt;COUNT(Dong2),"",OFFSET(TH!C$1,SMALL(Dong2,ROWS($1:104)),))</f>
        <v>42637</v>
      </c>
      <c r="B115" s="190" t="str">
        <f ca="1">IF(ROWS($1:104)&gt;COUNT(Dong2),"",OFFSET(TH!D$1,SMALL(Dong2,ROWS($1:104)),))</f>
        <v>GBN</v>
      </c>
      <c r="C115" s="1070">
        <f ca="1">IF(ROWS($1:104)&gt;COUNT(Dong2),"",OFFSET(TH!E$1,SMALL(Dong2,ROWS($1:104)),))</f>
        <v>42637</v>
      </c>
      <c r="D115" s="413" t="str">
        <f ca="1">IF(ROWS($1:104)&gt;COUNT(Dong2),"",OFFSET(TH!F$1,SMALL(Dong2,ROWS($1:104)),))</f>
        <v>Trả gốc vay</v>
      </c>
      <c r="E115" s="190" t="str">
        <f ca="1">IF(ROWS($1:104)&gt;COUNT(Dong2),"",IF(OFFSET(TH!P$1,SMALL(Dong2,ROWS($1:104)),)=$I$6,OFFSET(TH!O$1,SMALL(Dong2,ROWS($1:104)),),OFFSET(TH!P$1,SMALL(Dong2,ROWS($1:104)),)))</f>
        <v>3411</v>
      </c>
      <c r="F115" s="191">
        <f ca="1">IF(ROWS($1:104)&gt;COUNT(Dong2),"",IF(OFFSET(TH!O$1,SMALL(Dong2,ROWS($1:104)),)=$I$6,IF($I$6="1121",OFFSET(TH!M$1,SMALL(Dong2,ROWS($1:104)),),OFFSET(TH!K$1,SMALL(Dong2,ROWS($1:104)),)),0))</f>
        <v>0</v>
      </c>
      <c r="G115" s="191">
        <f ca="1">IF(ROWS($1:104)&gt;COUNT(Dong2),"",IF(OFFSET(TH!P$1,SMALL(Dong2,ROWS($1:104)),)=$I$6,IF($I$6="1121",OFFSET(TH!M$1,SMALL(Dong2,ROWS($1:104)),),OFFSET(TH!K$1,SMALL(Dong2,ROWS($1:104)),)),0))</f>
        <v>12500000</v>
      </c>
      <c r="H115" s="192">
        <f t="shared" ca="1" si="2"/>
        <v>9876611</v>
      </c>
      <c r="I115" s="192"/>
    </row>
    <row r="116" spans="1:9" s="181" customFormat="1" ht="20.25" customHeight="1">
      <c r="A116" s="1070">
        <f ca="1">IF(ROWS($1:105)&gt;COUNT(Dong2),"",OFFSET(TH!C$1,SMALL(Dong2,ROWS($1:105)),))</f>
        <v>42637</v>
      </c>
      <c r="B116" s="190" t="str">
        <f ca="1">IF(ROWS($1:105)&gt;COUNT(Dong2),"",OFFSET(TH!D$1,SMALL(Dong2,ROWS($1:105)),))</f>
        <v>GBN</v>
      </c>
      <c r="C116" s="1070">
        <f ca="1">IF(ROWS($1:105)&gt;COUNT(Dong2),"",OFFSET(TH!E$1,SMALL(Dong2,ROWS($1:105)),))</f>
        <v>42637</v>
      </c>
      <c r="D116" s="413" t="str">
        <f ca="1">IF(ROWS($1:105)&gt;COUNT(Dong2),"",OFFSET(TH!F$1,SMALL(Dong2,ROWS($1:105)),))</f>
        <v>Trả gốc vay</v>
      </c>
      <c r="E116" s="190" t="str">
        <f ca="1">IF(ROWS($1:105)&gt;COUNT(Dong2),"",IF(OFFSET(TH!P$1,SMALL(Dong2,ROWS($1:105)),)=$I$6,OFFSET(TH!O$1,SMALL(Dong2,ROWS($1:105)),),OFFSET(TH!P$1,SMALL(Dong2,ROWS($1:105)),)))</f>
        <v>3411</v>
      </c>
      <c r="F116" s="191">
        <f ca="1">IF(ROWS($1:105)&gt;COUNT(Dong2),"",IF(OFFSET(TH!O$1,SMALL(Dong2,ROWS($1:105)),)=$I$6,IF($I$6="1121",OFFSET(TH!M$1,SMALL(Dong2,ROWS($1:105)),),OFFSET(TH!K$1,SMALL(Dong2,ROWS($1:105)),)),0))</f>
        <v>0</v>
      </c>
      <c r="G116" s="191">
        <f ca="1">IF(ROWS($1:105)&gt;COUNT(Dong2),"",IF(OFFSET(TH!P$1,SMALL(Dong2,ROWS($1:105)),)=$I$6,IF($I$6="1121",OFFSET(TH!M$1,SMALL(Dong2,ROWS($1:105)),),OFFSET(TH!K$1,SMALL(Dong2,ROWS($1:105)),)),0))</f>
        <v>8330000</v>
      </c>
      <c r="H116" s="192">
        <f t="shared" ca="1" si="2"/>
        <v>1546611</v>
      </c>
      <c r="I116" s="192"/>
    </row>
    <row r="117" spans="1:9" s="181" customFormat="1" ht="20.25" customHeight="1">
      <c r="A117" s="1070">
        <f ca="1">IF(ROWS($1:106)&gt;COUNT(Dong2),"",OFFSET(TH!C$1,SMALL(Dong2,ROWS($1:106)),))</f>
        <v>42639</v>
      </c>
      <c r="B117" s="190" t="str">
        <f ca="1">IF(ROWS($1:106)&gt;COUNT(Dong2),"",OFFSET(TH!D$1,SMALL(Dong2,ROWS($1:106)),))</f>
        <v>GBN</v>
      </c>
      <c r="C117" s="1070">
        <f ca="1">IF(ROWS($1:106)&gt;COUNT(Dong2),"",OFFSET(TH!E$1,SMALL(Dong2,ROWS($1:106)),))</f>
        <v>42639</v>
      </c>
      <c r="D117" s="413" t="str">
        <f ca="1">IF(ROWS($1:106)&gt;COUNT(Dong2),"",OFFSET(TH!F$1,SMALL(Dong2,ROWS($1:106)),))</f>
        <v>Dịch vụ thông báo số dư 0982 911 262 VNĐ 26/9-26/12/16</v>
      </c>
      <c r="E117" s="190" t="str">
        <f ca="1">IF(ROWS($1:106)&gt;COUNT(Dong2),"",IF(OFFSET(TH!P$1,SMALL(Dong2,ROWS($1:106)),)=$I$6,OFFSET(TH!O$1,SMALL(Dong2,ROWS($1:106)),),OFFSET(TH!P$1,SMALL(Dong2,ROWS($1:106)),)))</f>
        <v>642</v>
      </c>
      <c r="F117" s="191">
        <f ca="1">IF(ROWS($1:106)&gt;COUNT(Dong2),"",IF(OFFSET(TH!O$1,SMALL(Dong2,ROWS($1:106)),)=$I$6,IF($I$6="1121",OFFSET(TH!M$1,SMALL(Dong2,ROWS($1:106)),),OFFSET(TH!K$1,SMALL(Dong2,ROWS($1:106)),)),0))</f>
        <v>0</v>
      </c>
      <c r="G117" s="191">
        <f ca="1">IF(ROWS($1:106)&gt;COUNT(Dong2),"",IF(OFFSET(TH!P$1,SMALL(Dong2,ROWS($1:106)),)=$I$6,IF($I$6="1121",OFFSET(TH!M$1,SMALL(Dong2,ROWS($1:106)),),OFFSET(TH!K$1,SMALL(Dong2,ROWS($1:106)),)),0))</f>
        <v>50000</v>
      </c>
      <c r="H117" s="192">
        <f t="shared" ca="1" si="2"/>
        <v>1496611</v>
      </c>
      <c r="I117" s="192"/>
    </row>
    <row r="118" spans="1:9" s="181" customFormat="1" ht="20.25" customHeight="1">
      <c r="A118" s="1070">
        <f ca="1">IF(ROWS($1:107)&gt;COUNT(Dong2),"",OFFSET(TH!C$1,SMALL(Dong2,ROWS($1:107)),))</f>
        <v>42639</v>
      </c>
      <c r="B118" s="190" t="str">
        <f ca="1">IF(ROWS($1:107)&gt;COUNT(Dong2),"",OFFSET(TH!D$1,SMALL(Dong2,ROWS($1:107)),))</f>
        <v>GBN</v>
      </c>
      <c r="C118" s="1070">
        <f ca="1">IF(ROWS($1:107)&gt;COUNT(Dong2),"",OFFSET(TH!E$1,SMALL(Dong2,ROWS($1:107)),))</f>
        <v>42639</v>
      </c>
      <c r="D118" s="413" t="str">
        <f ca="1">IF(ROWS($1:107)&gt;COUNT(Dong2),"",OFFSET(TH!F$1,SMALL(Dong2,ROWS($1:107)),))</f>
        <v>VAT Dịch vụ thông báo số dư</v>
      </c>
      <c r="E118" s="190" t="str">
        <f ca="1">IF(ROWS($1:107)&gt;COUNT(Dong2),"",IF(OFFSET(TH!P$1,SMALL(Dong2,ROWS($1:107)),)=$I$6,OFFSET(TH!O$1,SMALL(Dong2,ROWS($1:107)),),OFFSET(TH!P$1,SMALL(Dong2,ROWS($1:107)),)))</f>
        <v>1331</v>
      </c>
      <c r="F118" s="191">
        <f ca="1">IF(ROWS($1:107)&gt;COUNT(Dong2),"",IF(OFFSET(TH!O$1,SMALL(Dong2,ROWS($1:107)),)=$I$6,IF($I$6="1121",OFFSET(TH!M$1,SMALL(Dong2,ROWS($1:107)),),OFFSET(TH!K$1,SMALL(Dong2,ROWS($1:107)),)),0))</f>
        <v>0</v>
      </c>
      <c r="G118" s="191">
        <f ca="1">IF(ROWS($1:107)&gt;COUNT(Dong2),"",IF(OFFSET(TH!P$1,SMALL(Dong2,ROWS($1:107)),)=$I$6,IF($I$6="1121",OFFSET(TH!M$1,SMALL(Dong2,ROWS($1:107)),),OFFSET(TH!K$1,SMALL(Dong2,ROWS($1:107)),)),0))</f>
        <v>5000</v>
      </c>
      <c r="H118" s="192">
        <f t="shared" ca="1" si="2"/>
        <v>1491611</v>
      </c>
      <c r="I118" s="192"/>
    </row>
    <row r="119" spans="1:9" s="181" customFormat="1" ht="20.25" customHeight="1">
      <c r="A119" s="1070">
        <f ca="1">IF(ROWS($1:108)&gt;COUNT(Dong2),"",OFFSET(TH!C$1,SMALL(Dong2,ROWS($1:108)),))</f>
        <v>42639</v>
      </c>
      <c r="B119" s="190" t="str">
        <f ca="1">IF(ROWS($1:108)&gt;COUNT(Dong2),"",OFFSET(TH!D$1,SMALL(Dong2,ROWS($1:108)),))</f>
        <v>GBN</v>
      </c>
      <c r="C119" s="1070">
        <f ca="1">IF(ROWS($1:108)&gt;COUNT(Dong2),"",OFFSET(TH!E$1,SMALL(Dong2,ROWS($1:108)),))</f>
        <v>42639</v>
      </c>
      <c r="D119" s="413" t="str">
        <f ca="1">IF(ROWS($1:108)&gt;COUNT(Dong2),"",OFFSET(TH!F$1,SMALL(Dong2,ROWS($1:108)),))</f>
        <v>Dịch vụ thông báo số dư 0903921945 VNĐ</v>
      </c>
      <c r="E119" s="190" t="str">
        <f ca="1">IF(ROWS($1:108)&gt;COUNT(Dong2),"",IF(OFFSET(TH!P$1,SMALL(Dong2,ROWS($1:108)),)=$I$6,OFFSET(TH!O$1,SMALL(Dong2,ROWS($1:108)),),OFFSET(TH!P$1,SMALL(Dong2,ROWS($1:108)),)))</f>
        <v>642</v>
      </c>
      <c r="F119" s="191">
        <f ca="1">IF(ROWS($1:108)&gt;COUNT(Dong2),"",IF(OFFSET(TH!O$1,SMALL(Dong2,ROWS($1:108)),)=$I$6,IF($I$6="1121",OFFSET(TH!M$1,SMALL(Dong2,ROWS($1:108)),),OFFSET(TH!K$1,SMALL(Dong2,ROWS($1:108)),)),0))</f>
        <v>0</v>
      </c>
      <c r="G119" s="191">
        <f ca="1">IF(ROWS($1:108)&gt;COUNT(Dong2),"",IF(OFFSET(TH!P$1,SMALL(Dong2,ROWS($1:108)),)=$I$6,IF($I$6="1121",OFFSET(TH!M$1,SMALL(Dong2,ROWS($1:108)),),OFFSET(TH!K$1,SMALL(Dong2,ROWS($1:108)),)),0))</f>
        <v>50000</v>
      </c>
      <c r="H119" s="192">
        <f t="shared" ca="1" si="2"/>
        <v>1441611</v>
      </c>
      <c r="I119" s="192"/>
    </row>
    <row r="120" spans="1:9" s="181" customFormat="1" ht="20.25" customHeight="1">
      <c r="A120" s="1070">
        <f ca="1">IF(ROWS($1:109)&gt;COUNT(Dong2),"",OFFSET(TH!C$1,SMALL(Dong2,ROWS($1:109)),))</f>
        <v>42639</v>
      </c>
      <c r="B120" s="190" t="str">
        <f ca="1">IF(ROWS($1:109)&gt;COUNT(Dong2),"",OFFSET(TH!D$1,SMALL(Dong2,ROWS($1:109)),))</f>
        <v>GBN</v>
      </c>
      <c r="C120" s="1070">
        <f ca="1">IF(ROWS($1:109)&gt;COUNT(Dong2),"",OFFSET(TH!E$1,SMALL(Dong2,ROWS($1:109)),))</f>
        <v>42639</v>
      </c>
      <c r="D120" s="413" t="str">
        <f ca="1">IF(ROWS($1:109)&gt;COUNT(Dong2),"",OFFSET(TH!F$1,SMALL(Dong2,ROWS($1:109)),))</f>
        <v>VAT Dịch vụ thông báo số dư</v>
      </c>
      <c r="E120" s="190" t="str">
        <f ca="1">IF(ROWS($1:109)&gt;COUNT(Dong2),"",IF(OFFSET(TH!P$1,SMALL(Dong2,ROWS($1:109)),)=$I$6,OFFSET(TH!O$1,SMALL(Dong2,ROWS($1:109)),),OFFSET(TH!P$1,SMALL(Dong2,ROWS($1:109)),)))</f>
        <v>1331</v>
      </c>
      <c r="F120" s="191">
        <f ca="1">IF(ROWS($1:109)&gt;COUNT(Dong2),"",IF(OFFSET(TH!O$1,SMALL(Dong2,ROWS($1:109)),)=$I$6,IF($I$6="1121",OFFSET(TH!M$1,SMALL(Dong2,ROWS($1:109)),),OFFSET(TH!K$1,SMALL(Dong2,ROWS($1:109)),)),0))</f>
        <v>0</v>
      </c>
      <c r="G120" s="191">
        <f ca="1">IF(ROWS($1:109)&gt;COUNT(Dong2),"",IF(OFFSET(TH!P$1,SMALL(Dong2,ROWS($1:109)),)=$I$6,IF($I$6="1121",OFFSET(TH!M$1,SMALL(Dong2,ROWS($1:109)),),OFFSET(TH!K$1,SMALL(Dong2,ROWS($1:109)),)),0))</f>
        <v>5000</v>
      </c>
      <c r="H120" s="192">
        <f t="shared" ca="1" si="2"/>
        <v>1436611</v>
      </c>
      <c r="I120" s="192"/>
    </row>
    <row r="121" spans="1:9" s="181" customFormat="1" ht="20.25" customHeight="1">
      <c r="A121" s="1070">
        <f ca="1">IF(ROWS($1:110)&gt;COUNT(Dong2),"",OFFSET(TH!C$1,SMALL(Dong2,ROWS($1:110)),))</f>
        <v>42641</v>
      </c>
      <c r="B121" s="190" t="str">
        <f ca="1">IF(ROWS($1:110)&gt;COUNT(Dong2),"",OFFSET(TH!D$1,SMALL(Dong2,ROWS($1:110)),))</f>
        <v>C34</v>
      </c>
      <c r="C121" s="1070">
        <f ca="1">IF(ROWS($1:110)&gt;COUNT(Dong2),"",OFFSET(TH!E$1,SMALL(Dong2,ROWS($1:110)),))</f>
        <v>42641</v>
      </c>
      <c r="D121" s="413" t="str">
        <f ca="1">IF(ROWS($1:110)&gt;COUNT(Dong2),"",OFFSET(TH!F$1,SMALL(Dong2,ROWS($1:110)),))</f>
        <v>Nộp TM</v>
      </c>
      <c r="E121" s="190" t="str">
        <f ca="1">IF(ROWS($1:110)&gt;COUNT(Dong2),"",IF(OFFSET(TH!P$1,SMALL(Dong2,ROWS($1:110)),)=$I$6,OFFSET(TH!O$1,SMALL(Dong2,ROWS($1:110)),),OFFSET(TH!P$1,SMALL(Dong2,ROWS($1:110)),)))</f>
        <v>1111</v>
      </c>
      <c r="F121" s="191">
        <f ca="1">IF(ROWS($1:110)&gt;COUNT(Dong2),"",IF(OFFSET(TH!O$1,SMALL(Dong2,ROWS($1:110)),)=$I$6,IF($I$6="1121",OFFSET(TH!M$1,SMALL(Dong2,ROWS($1:110)),),OFFSET(TH!K$1,SMALL(Dong2,ROWS($1:110)),)),0))</f>
        <v>160000000</v>
      </c>
      <c r="G121" s="191">
        <f ca="1">IF(ROWS($1:110)&gt;COUNT(Dong2),"",IF(OFFSET(TH!P$1,SMALL(Dong2,ROWS($1:110)),)=$I$6,IF($I$6="1121",OFFSET(TH!M$1,SMALL(Dong2,ROWS($1:110)),),OFFSET(TH!K$1,SMALL(Dong2,ROWS($1:110)),)),0))</f>
        <v>0</v>
      </c>
      <c r="H121" s="192">
        <f t="shared" ref="H121:H127" ca="1" si="3">IF(A121&lt;&gt;"",H120+F121-G121,0)</f>
        <v>161436611</v>
      </c>
      <c r="I121" s="192"/>
    </row>
    <row r="122" spans="1:9" s="181" customFormat="1" ht="20.25" customHeight="1">
      <c r="A122" s="1070">
        <f ca="1">IF(ROWS($1:111)&gt;COUNT(Dong2),"",OFFSET(TH!C$1,SMALL(Dong2,ROWS($1:111)),))</f>
        <v>42641</v>
      </c>
      <c r="B122" s="190" t="str">
        <f ca="1">IF(ROWS($1:111)&gt;COUNT(Dong2),"",OFFSET(TH!D$1,SMALL(Dong2,ROWS($1:111)),))</f>
        <v>GBN</v>
      </c>
      <c r="C122" s="1070">
        <f ca="1">IF(ROWS($1:111)&gt;COUNT(Dong2),"",OFFSET(TH!E$1,SMALL(Dong2,ROWS($1:111)),))</f>
        <v>42641</v>
      </c>
      <c r="D122" s="413" t="str">
        <f ca="1">IF(ROWS($1:111)&gt;COUNT(Dong2),"",OFFSET(TH!F$1,SMALL(Dong2,ROWS($1:111)),))</f>
        <v>Trả gốc vay</v>
      </c>
      <c r="E122" s="190" t="str">
        <f ca="1">IF(ROWS($1:111)&gt;COUNT(Dong2),"",IF(OFFSET(TH!P$1,SMALL(Dong2,ROWS($1:111)),)=$I$6,OFFSET(TH!O$1,SMALL(Dong2,ROWS($1:111)),),OFFSET(TH!P$1,SMALL(Dong2,ROWS($1:111)),)))</f>
        <v>3411</v>
      </c>
      <c r="F122" s="191">
        <f ca="1">IF(ROWS($1:111)&gt;COUNT(Dong2),"",IF(OFFSET(TH!O$1,SMALL(Dong2,ROWS($1:111)),)=$I$6,IF($I$6="1121",OFFSET(TH!M$1,SMALL(Dong2,ROWS($1:111)),),OFFSET(TH!K$1,SMALL(Dong2,ROWS($1:111)),)),0))</f>
        <v>0</v>
      </c>
      <c r="G122" s="191">
        <f ca="1">IF(ROWS($1:111)&gt;COUNT(Dong2),"",IF(OFFSET(TH!P$1,SMALL(Dong2,ROWS($1:111)),)=$I$6,IF($I$6="1121",OFFSET(TH!M$1,SMALL(Dong2,ROWS($1:111)),),OFFSET(TH!K$1,SMALL(Dong2,ROWS($1:111)),)),0))</f>
        <v>12500000</v>
      </c>
      <c r="H122" s="192">
        <f t="shared" ca="1" si="3"/>
        <v>148936611</v>
      </c>
      <c r="I122" s="192"/>
    </row>
    <row r="123" spans="1:9" s="181" customFormat="1" ht="20.25" customHeight="1">
      <c r="A123" s="1070">
        <f ca="1">IF(ROWS($1:112)&gt;COUNT(Dong2),"",OFFSET(TH!C$1,SMALL(Dong2,ROWS($1:112)),))</f>
        <v>42641</v>
      </c>
      <c r="B123" s="190" t="str">
        <f ca="1">IF(ROWS($1:112)&gt;COUNT(Dong2),"",OFFSET(TH!D$1,SMALL(Dong2,ROWS($1:112)),))</f>
        <v>GBN</v>
      </c>
      <c r="C123" s="1070">
        <f ca="1">IF(ROWS($1:112)&gt;COUNT(Dong2),"",OFFSET(TH!E$1,SMALL(Dong2,ROWS($1:112)),))</f>
        <v>42641</v>
      </c>
      <c r="D123" s="413" t="str">
        <f ca="1">IF(ROWS($1:112)&gt;COUNT(Dong2),"",OFFSET(TH!F$1,SMALL(Dong2,ROWS($1:112)),))</f>
        <v>Trả gốc vay</v>
      </c>
      <c r="E123" s="190" t="str">
        <f ca="1">IF(ROWS($1:112)&gt;COUNT(Dong2),"",IF(OFFSET(TH!P$1,SMALL(Dong2,ROWS($1:112)),)=$I$6,OFFSET(TH!O$1,SMALL(Dong2,ROWS($1:112)),),OFFSET(TH!P$1,SMALL(Dong2,ROWS($1:112)),)))</f>
        <v>3411</v>
      </c>
      <c r="F123" s="191">
        <f ca="1">IF(ROWS($1:112)&gt;COUNT(Dong2),"",IF(OFFSET(TH!O$1,SMALL(Dong2,ROWS($1:112)),)=$I$6,IF($I$6="1121",OFFSET(TH!M$1,SMALL(Dong2,ROWS($1:112)),),OFFSET(TH!K$1,SMALL(Dong2,ROWS($1:112)),)),0))</f>
        <v>0</v>
      </c>
      <c r="G123" s="191">
        <f ca="1">IF(ROWS($1:112)&gt;COUNT(Dong2),"",IF(OFFSET(TH!P$1,SMALL(Dong2,ROWS($1:112)),)=$I$6,IF($I$6="1121",OFFSET(TH!M$1,SMALL(Dong2,ROWS($1:112)),),OFFSET(TH!K$1,SMALL(Dong2,ROWS($1:112)),)),0))</f>
        <v>16670000</v>
      </c>
      <c r="H123" s="192">
        <f t="shared" ca="1" si="3"/>
        <v>132266611</v>
      </c>
      <c r="I123" s="192"/>
    </row>
    <row r="124" spans="1:9" s="181" customFormat="1" ht="20.25" customHeight="1">
      <c r="A124" s="1070">
        <f ca="1">IF(ROWS($1:113)&gt;COUNT(Dong2),"",OFFSET(TH!C$1,SMALL(Dong2,ROWS($1:113)),))</f>
        <v>42641</v>
      </c>
      <c r="B124" s="190" t="str">
        <f ca="1">IF(ROWS($1:113)&gt;COUNT(Dong2),"",OFFSET(TH!D$1,SMALL(Dong2,ROWS($1:113)),))</f>
        <v>GBN</v>
      </c>
      <c r="C124" s="1070">
        <f ca="1">IF(ROWS($1:113)&gt;COUNT(Dong2),"",OFFSET(TH!E$1,SMALL(Dong2,ROWS($1:113)),))</f>
        <v>42641</v>
      </c>
      <c r="D124" s="413" t="str">
        <f ca="1">IF(ROWS($1:113)&gt;COUNT(Dong2),"",OFFSET(TH!F$1,SMALL(Dong2,ROWS($1:113)),))</f>
        <v>Trả gốc vay</v>
      </c>
      <c r="E124" s="190" t="str">
        <f ca="1">IF(ROWS($1:113)&gt;COUNT(Dong2),"",IF(OFFSET(TH!P$1,SMALL(Dong2,ROWS($1:113)),)=$I$6,OFFSET(TH!O$1,SMALL(Dong2,ROWS($1:113)),),OFFSET(TH!P$1,SMALL(Dong2,ROWS($1:113)),)))</f>
        <v>3411</v>
      </c>
      <c r="F124" s="191">
        <f ca="1">IF(ROWS($1:113)&gt;COUNT(Dong2),"",IF(OFFSET(TH!O$1,SMALL(Dong2,ROWS($1:113)),)=$I$6,IF($I$6="1121",OFFSET(TH!M$1,SMALL(Dong2,ROWS($1:113)),),OFFSET(TH!K$1,SMALL(Dong2,ROWS($1:113)),)),0))</f>
        <v>0</v>
      </c>
      <c r="G124" s="191">
        <f ca="1">IF(ROWS($1:113)&gt;COUNT(Dong2),"",IF(OFFSET(TH!P$1,SMALL(Dong2,ROWS($1:113)),)=$I$6,IF($I$6="1121",OFFSET(TH!M$1,SMALL(Dong2,ROWS($1:113)),),OFFSET(TH!K$1,SMALL(Dong2,ROWS($1:113)),)),0))</f>
        <v>11670000</v>
      </c>
      <c r="H124" s="192">
        <f t="shared" ca="1" si="3"/>
        <v>120596611</v>
      </c>
      <c r="I124" s="192"/>
    </row>
    <row r="125" spans="1:9" s="181" customFormat="1" ht="20.25" customHeight="1">
      <c r="A125" s="1070">
        <f ca="1">IF(ROWS($1:114)&gt;COUNT(Dong2),"",OFFSET(TH!C$1,SMALL(Dong2,ROWS($1:114)),))</f>
        <v>42641</v>
      </c>
      <c r="B125" s="190" t="str">
        <f ca="1">IF(ROWS($1:114)&gt;COUNT(Dong2),"",OFFSET(TH!D$1,SMALL(Dong2,ROWS($1:114)),))</f>
        <v>GBN</v>
      </c>
      <c r="C125" s="1070">
        <f ca="1">IF(ROWS($1:114)&gt;COUNT(Dong2),"",OFFSET(TH!E$1,SMALL(Dong2,ROWS($1:114)),))</f>
        <v>42641</v>
      </c>
      <c r="D125" s="413" t="str">
        <f ca="1">IF(ROWS($1:114)&gt;COUNT(Dong2),"",OFFSET(TH!F$1,SMALL(Dong2,ROWS($1:114)),))</f>
        <v>Trả gốc vay</v>
      </c>
      <c r="E125" s="190" t="str">
        <f ca="1">IF(ROWS($1:114)&gt;COUNT(Dong2),"",IF(OFFSET(TH!P$1,SMALL(Dong2,ROWS($1:114)),)=$I$6,OFFSET(TH!O$1,SMALL(Dong2,ROWS($1:114)),),OFFSET(TH!P$1,SMALL(Dong2,ROWS($1:114)),)))</f>
        <v>3411</v>
      </c>
      <c r="F125" s="191">
        <f ca="1">IF(ROWS($1:114)&gt;COUNT(Dong2),"",IF(OFFSET(TH!O$1,SMALL(Dong2,ROWS($1:114)),)=$I$6,IF($I$6="1121",OFFSET(TH!M$1,SMALL(Dong2,ROWS($1:114)),),OFFSET(TH!K$1,SMALL(Dong2,ROWS($1:114)),)),0))</f>
        <v>0</v>
      </c>
      <c r="G125" s="191">
        <f ca="1">IF(ROWS($1:114)&gt;COUNT(Dong2),"",IF(OFFSET(TH!P$1,SMALL(Dong2,ROWS($1:114)),)=$I$6,IF($I$6="1121",OFFSET(TH!M$1,SMALL(Dong2,ROWS($1:114)),),OFFSET(TH!K$1,SMALL(Dong2,ROWS($1:114)),)),0))</f>
        <v>12500000</v>
      </c>
      <c r="H125" s="192">
        <f t="shared" ca="1" si="3"/>
        <v>108096611</v>
      </c>
      <c r="I125" s="192"/>
    </row>
    <row r="126" spans="1:9" s="181" customFormat="1" ht="20.25" customHeight="1">
      <c r="A126" s="1070">
        <f ca="1">IF(ROWS($1:115)&gt;COUNT(Dong2),"",OFFSET(TH!C$1,SMALL(Dong2,ROWS($1:115)),))</f>
        <v>42641</v>
      </c>
      <c r="B126" s="190" t="str">
        <f ca="1">IF(ROWS($1:115)&gt;COUNT(Dong2),"",OFFSET(TH!D$1,SMALL(Dong2,ROWS($1:115)),))</f>
        <v>GBN</v>
      </c>
      <c r="C126" s="1070">
        <f ca="1">IF(ROWS($1:115)&gt;COUNT(Dong2),"",OFFSET(TH!E$1,SMALL(Dong2,ROWS($1:115)),))</f>
        <v>42641</v>
      </c>
      <c r="D126" s="413" t="str">
        <f ca="1">IF(ROWS($1:115)&gt;COUNT(Dong2),"",OFFSET(TH!F$1,SMALL(Dong2,ROWS($1:115)),))</f>
        <v>Trả gốc vay</v>
      </c>
      <c r="E126" s="190" t="str">
        <f ca="1">IF(ROWS($1:115)&gt;COUNT(Dong2),"",IF(OFFSET(TH!P$1,SMALL(Dong2,ROWS($1:115)),)=$I$6,OFFSET(TH!O$1,SMALL(Dong2,ROWS($1:115)),),OFFSET(TH!P$1,SMALL(Dong2,ROWS($1:115)),)))</f>
        <v>3411</v>
      </c>
      <c r="F126" s="191">
        <f ca="1">IF(ROWS($1:115)&gt;COUNT(Dong2),"",IF(OFFSET(TH!O$1,SMALL(Dong2,ROWS($1:115)),)=$I$6,IF($I$6="1121",OFFSET(TH!M$1,SMALL(Dong2,ROWS($1:115)),),OFFSET(TH!K$1,SMALL(Dong2,ROWS($1:115)),)),0))</f>
        <v>0</v>
      </c>
      <c r="G126" s="191">
        <f ca="1">IF(ROWS($1:115)&gt;COUNT(Dong2),"",IF(OFFSET(TH!P$1,SMALL(Dong2,ROWS($1:115)),)=$I$6,IF($I$6="1121",OFFSET(TH!M$1,SMALL(Dong2,ROWS($1:115)),),OFFSET(TH!K$1,SMALL(Dong2,ROWS($1:115)),)),0))</f>
        <v>12500000</v>
      </c>
      <c r="H126" s="192">
        <f t="shared" ca="1" si="3"/>
        <v>95596611</v>
      </c>
      <c r="I126" s="192"/>
    </row>
    <row r="127" spans="1:9" s="181" customFormat="1" ht="20.25" customHeight="1">
      <c r="A127" s="1070">
        <f ca="1">IF(ROWS($1:116)&gt;COUNT(Dong2),"",OFFSET(TH!C$1,SMALL(Dong2,ROWS($1:116)),))</f>
        <v>42641</v>
      </c>
      <c r="B127" s="190" t="str">
        <f ca="1">IF(ROWS($1:116)&gt;COUNT(Dong2),"",OFFSET(TH!D$1,SMALL(Dong2,ROWS($1:116)),))</f>
        <v>GBN</v>
      </c>
      <c r="C127" s="1070">
        <f ca="1">IF(ROWS($1:116)&gt;COUNT(Dong2),"",OFFSET(TH!E$1,SMALL(Dong2,ROWS($1:116)),))</f>
        <v>42641</v>
      </c>
      <c r="D127" s="413" t="str">
        <f ca="1">IF(ROWS($1:116)&gt;COUNT(Dong2),"",OFFSET(TH!F$1,SMALL(Dong2,ROWS($1:116)),))</f>
        <v>Lãi vay</v>
      </c>
      <c r="E127" s="190" t="str">
        <f ca="1">IF(ROWS($1:116)&gt;COUNT(Dong2),"",IF(OFFSET(TH!P$1,SMALL(Dong2,ROWS($1:116)),)=$I$6,OFFSET(TH!O$1,SMALL(Dong2,ROWS($1:116)),),OFFSET(TH!P$1,SMALL(Dong2,ROWS($1:116)),)))</f>
        <v>635</v>
      </c>
      <c r="F127" s="191">
        <f ca="1">IF(ROWS($1:116)&gt;COUNT(Dong2),"",IF(OFFSET(TH!O$1,SMALL(Dong2,ROWS($1:116)),)=$I$6,IF($I$6="1121",OFFSET(TH!M$1,SMALL(Dong2,ROWS($1:116)),),OFFSET(TH!K$1,SMALL(Dong2,ROWS($1:116)),)),0))</f>
        <v>0</v>
      </c>
      <c r="G127" s="191">
        <f ca="1">IF(ROWS($1:116)&gt;COUNT(Dong2),"",IF(OFFSET(TH!P$1,SMALL(Dong2,ROWS($1:116)),)=$I$6,IF($I$6="1121",OFFSET(TH!M$1,SMALL(Dong2,ROWS($1:116)),),OFFSET(TH!K$1,SMALL(Dong2,ROWS($1:116)),)),0))</f>
        <v>12314548</v>
      </c>
      <c r="H127" s="192">
        <f t="shared" ca="1" si="3"/>
        <v>83282063</v>
      </c>
      <c r="I127" s="192"/>
    </row>
    <row r="128" spans="1:9" s="181" customFormat="1" ht="20.25" customHeight="1">
      <c r="A128" s="1070">
        <f ca="1">IF(ROWS($1:117)&gt;COUNT(Dong2),"",OFFSET(TH!C$1,SMALL(Dong2,ROWS($1:117)),))</f>
        <v>42641</v>
      </c>
      <c r="B128" s="190" t="str">
        <f ca="1">IF(ROWS($1:117)&gt;COUNT(Dong2),"",OFFSET(TH!D$1,SMALL(Dong2,ROWS($1:117)),))</f>
        <v>GBN</v>
      </c>
      <c r="C128" s="1070">
        <f ca="1">IF(ROWS($1:117)&gt;COUNT(Dong2),"",OFFSET(TH!E$1,SMALL(Dong2,ROWS($1:117)),))</f>
        <v>42641</v>
      </c>
      <c r="D128" s="413" t="str">
        <f ca="1">IF(ROWS($1:117)&gt;COUNT(Dong2),"",OFFSET(TH!F$1,SMALL(Dong2,ROWS($1:117)),))</f>
        <v>Lãi vay</v>
      </c>
      <c r="E128" s="190" t="str">
        <f ca="1">IF(ROWS($1:117)&gt;COUNT(Dong2),"",IF(OFFSET(TH!P$1,SMALL(Dong2,ROWS($1:117)),)=$I$6,OFFSET(TH!O$1,SMALL(Dong2,ROWS($1:117)),),OFFSET(TH!P$1,SMALL(Dong2,ROWS($1:117)),)))</f>
        <v>635</v>
      </c>
      <c r="F128" s="191">
        <f ca="1">IF(ROWS($1:117)&gt;COUNT(Dong2),"",IF(OFFSET(TH!O$1,SMALL(Dong2,ROWS($1:117)),)=$I$6,IF($I$6="1121",OFFSET(TH!M$1,SMALL(Dong2,ROWS($1:117)),),OFFSET(TH!K$1,SMALL(Dong2,ROWS($1:117)),)),0))</f>
        <v>0</v>
      </c>
      <c r="G128" s="191">
        <f ca="1">IF(ROWS($1:117)&gt;COUNT(Dong2),"",IF(OFFSET(TH!P$1,SMALL(Dong2,ROWS($1:117)),)=$I$6,IF($I$6="1121",OFFSET(TH!M$1,SMALL(Dong2,ROWS($1:117)),),OFFSET(TH!K$1,SMALL(Dong2,ROWS($1:117)),)),0))</f>
        <v>12314548</v>
      </c>
      <c r="H128" s="192">
        <f t="shared" ref="H128:H191" ca="1" si="4">IF(A128&lt;&gt;"",H127+F128-G128,0)</f>
        <v>70967515</v>
      </c>
      <c r="I128" s="192"/>
    </row>
    <row r="129" spans="1:9" s="181" customFormat="1" ht="20.25" customHeight="1">
      <c r="A129" s="1070">
        <f ca="1">IF(ROWS($1:118)&gt;COUNT(Dong2),"",OFFSET(TH!C$1,SMALL(Dong2,ROWS($1:118)),))</f>
        <v>42641</v>
      </c>
      <c r="B129" s="190" t="str">
        <f ca="1">IF(ROWS($1:118)&gt;COUNT(Dong2),"",OFFSET(TH!D$1,SMALL(Dong2,ROWS($1:118)),))</f>
        <v>GBN</v>
      </c>
      <c r="C129" s="1070">
        <f ca="1">IF(ROWS($1:118)&gt;COUNT(Dong2),"",OFFSET(TH!E$1,SMALL(Dong2,ROWS($1:118)),))</f>
        <v>42641</v>
      </c>
      <c r="D129" s="413" t="str">
        <f ca="1">IF(ROWS($1:118)&gt;COUNT(Dong2),"",OFFSET(TH!F$1,SMALL(Dong2,ROWS($1:118)),))</f>
        <v>Trả gốc vay</v>
      </c>
      <c r="E129" s="190" t="str">
        <f ca="1">IF(ROWS($1:118)&gt;COUNT(Dong2),"",IF(OFFSET(TH!P$1,SMALL(Dong2,ROWS($1:118)),)=$I$6,OFFSET(TH!O$1,SMALL(Dong2,ROWS($1:118)),),OFFSET(TH!P$1,SMALL(Dong2,ROWS($1:118)),)))</f>
        <v>3411</v>
      </c>
      <c r="F129" s="191">
        <f ca="1">IF(ROWS($1:118)&gt;COUNT(Dong2),"",IF(OFFSET(TH!O$1,SMALL(Dong2,ROWS($1:118)),)=$I$6,IF($I$6="1121",OFFSET(TH!M$1,SMALL(Dong2,ROWS($1:118)),),OFFSET(TH!K$1,SMALL(Dong2,ROWS($1:118)),)),0))</f>
        <v>0</v>
      </c>
      <c r="G129" s="191">
        <f ca="1">IF(ROWS($1:118)&gt;COUNT(Dong2),"",IF(OFFSET(TH!P$1,SMALL(Dong2,ROWS($1:118)),)=$I$6,IF($I$6="1121",OFFSET(TH!M$1,SMALL(Dong2,ROWS($1:118)),),OFFSET(TH!K$1,SMALL(Dong2,ROWS($1:118)),)),0))</f>
        <v>12500000</v>
      </c>
      <c r="H129" s="192">
        <f t="shared" ca="1" si="4"/>
        <v>58467515</v>
      </c>
      <c r="I129" s="192"/>
    </row>
    <row r="130" spans="1:9" s="181" customFormat="1" ht="20.25" customHeight="1">
      <c r="A130" s="1070">
        <f ca="1">IF(ROWS($1:119)&gt;COUNT(Dong2),"",OFFSET(TH!C$1,SMALL(Dong2,ROWS($1:119)),))</f>
        <v>42641</v>
      </c>
      <c r="B130" s="190" t="str">
        <f ca="1">IF(ROWS($1:119)&gt;COUNT(Dong2),"",OFFSET(TH!D$1,SMALL(Dong2,ROWS($1:119)),))</f>
        <v>GBN</v>
      </c>
      <c r="C130" s="1070">
        <f ca="1">IF(ROWS($1:119)&gt;COUNT(Dong2),"",OFFSET(TH!E$1,SMALL(Dong2,ROWS($1:119)),))</f>
        <v>42641</v>
      </c>
      <c r="D130" s="413" t="str">
        <f ca="1">IF(ROWS($1:119)&gt;COUNT(Dong2),"",OFFSET(TH!F$1,SMALL(Dong2,ROWS($1:119)),))</f>
        <v>Trả gốc vay</v>
      </c>
      <c r="E130" s="190" t="str">
        <f ca="1">IF(ROWS($1:119)&gt;COUNT(Dong2),"",IF(OFFSET(TH!P$1,SMALL(Dong2,ROWS($1:119)),)=$I$6,OFFSET(TH!O$1,SMALL(Dong2,ROWS($1:119)),),OFFSET(TH!P$1,SMALL(Dong2,ROWS($1:119)),)))</f>
        <v>3411</v>
      </c>
      <c r="F130" s="191">
        <f ca="1">IF(ROWS($1:119)&gt;COUNT(Dong2),"",IF(OFFSET(TH!O$1,SMALL(Dong2,ROWS($1:119)),)=$I$6,IF($I$6="1121",OFFSET(TH!M$1,SMALL(Dong2,ROWS($1:119)),),OFFSET(TH!K$1,SMALL(Dong2,ROWS($1:119)),)),0))</f>
        <v>0</v>
      </c>
      <c r="G130" s="191">
        <f ca="1">IF(ROWS($1:119)&gt;COUNT(Dong2),"",IF(OFFSET(TH!P$1,SMALL(Dong2,ROWS($1:119)),)=$I$6,IF($I$6="1121",OFFSET(TH!M$1,SMALL(Dong2,ROWS($1:119)),),OFFSET(TH!K$1,SMALL(Dong2,ROWS($1:119)),)),0))</f>
        <v>8340000</v>
      </c>
      <c r="H130" s="192">
        <f t="shared" ca="1" si="4"/>
        <v>50127515</v>
      </c>
      <c r="I130" s="192"/>
    </row>
    <row r="131" spans="1:9" s="181" customFormat="1" ht="20.25" customHeight="1">
      <c r="A131" s="1070">
        <f ca="1">IF(ROWS($1:120)&gt;COUNT(Dong2),"",OFFSET(TH!C$1,SMALL(Dong2,ROWS($1:120)),))</f>
        <v>42641</v>
      </c>
      <c r="B131" s="190" t="str">
        <f ca="1">IF(ROWS($1:120)&gt;COUNT(Dong2),"",OFFSET(TH!D$1,SMALL(Dong2,ROWS($1:120)),))</f>
        <v>GBN</v>
      </c>
      <c r="C131" s="1070">
        <f ca="1">IF(ROWS($1:120)&gt;COUNT(Dong2),"",OFFSET(TH!E$1,SMALL(Dong2,ROWS($1:120)),))</f>
        <v>42641</v>
      </c>
      <c r="D131" s="413" t="str">
        <f ca="1">IF(ROWS($1:120)&gt;COUNT(Dong2),"",OFFSET(TH!F$1,SMALL(Dong2,ROWS($1:120)),))</f>
        <v>Lãi vay</v>
      </c>
      <c r="E131" s="190" t="str">
        <f ca="1">IF(ROWS($1:120)&gt;COUNT(Dong2),"",IF(OFFSET(TH!P$1,SMALL(Dong2,ROWS($1:120)),)=$I$6,OFFSET(TH!O$1,SMALL(Dong2,ROWS($1:120)),),OFFSET(TH!P$1,SMALL(Dong2,ROWS($1:120)),)))</f>
        <v>635</v>
      </c>
      <c r="F131" s="191">
        <f ca="1">IF(ROWS($1:120)&gt;COUNT(Dong2),"",IF(OFFSET(TH!O$1,SMALL(Dong2,ROWS($1:120)),)=$I$6,IF($I$6="1121",OFFSET(TH!M$1,SMALL(Dong2,ROWS($1:120)),),OFFSET(TH!K$1,SMALL(Dong2,ROWS($1:120)),)),0))</f>
        <v>0</v>
      </c>
      <c r="G131" s="191">
        <f ca="1">IF(ROWS($1:120)&gt;COUNT(Dong2),"",IF(OFFSET(TH!P$1,SMALL(Dong2,ROWS($1:120)),)=$I$6,IF($I$6="1121",OFFSET(TH!M$1,SMALL(Dong2,ROWS($1:120)),),OFFSET(TH!K$1,SMALL(Dong2,ROWS($1:120)),)),0))</f>
        <v>8209699</v>
      </c>
      <c r="H131" s="192">
        <f t="shared" ca="1" si="4"/>
        <v>41917816</v>
      </c>
      <c r="I131" s="192"/>
    </row>
    <row r="132" spans="1:9" s="181" customFormat="1" ht="20.25" customHeight="1">
      <c r="A132" s="1070">
        <f ca="1">IF(ROWS($1:121)&gt;COUNT(Dong2),"",OFFSET(TH!C$1,SMALL(Dong2,ROWS($1:121)),))</f>
        <v>42641</v>
      </c>
      <c r="B132" s="190" t="str">
        <f ca="1">IF(ROWS($1:121)&gt;COUNT(Dong2),"",OFFSET(TH!D$1,SMALL(Dong2,ROWS($1:121)),))</f>
        <v>GBN</v>
      </c>
      <c r="C132" s="1070">
        <f ca="1">IF(ROWS($1:121)&gt;COUNT(Dong2),"",OFFSET(TH!E$1,SMALL(Dong2,ROWS($1:121)),))</f>
        <v>42641</v>
      </c>
      <c r="D132" s="413" t="str">
        <f ca="1">IF(ROWS($1:121)&gt;COUNT(Dong2),"",OFFSET(TH!F$1,SMALL(Dong2,ROWS($1:121)),))</f>
        <v>Trả gốc vay</v>
      </c>
      <c r="E132" s="190" t="str">
        <f ca="1">IF(ROWS($1:121)&gt;COUNT(Dong2),"",IF(OFFSET(TH!P$1,SMALL(Dong2,ROWS($1:121)),)=$I$6,OFFSET(TH!O$1,SMALL(Dong2,ROWS($1:121)),),OFFSET(TH!P$1,SMALL(Dong2,ROWS($1:121)),)))</f>
        <v>3411</v>
      </c>
      <c r="F132" s="191">
        <f ca="1">IF(ROWS($1:121)&gt;COUNT(Dong2),"",IF(OFFSET(TH!O$1,SMALL(Dong2,ROWS($1:121)),)=$I$6,IF($I$6="1121",OFFSET(TH!M$1,SMALL(Dong2,ROWS($1:121)),),OFFSET(TH!K$1,SMALL(Dong2,ROWS($1:121)),)),0))</f>
        <v>0</v>
      </c>
      <c r="G132" s="191">
        <f ca="1">IF(ROWS($1:121)&gt;COUNT(Dong2),"",IF(OFFSET(TH!P$1,SMALL(Dong2,ROWS($1:121)),)=$I$6,IF($I$6="1121",OFFSET(TH!M$1,SMALL(Dong2,ROWS($1:121)),),OFFSET(TH!K$1,SMALL(Dong2,ROWS($1:121)),)),0))</f>
        <v>8340000</v>
      </c>
      <c r="H132" s="192">
        <f t="shared" ca="1" si="4"/>
        <v>33577816</v>
      </c>
      <c r="I132" s="192"/>
    </row>
    <row r="133" spans="1:9" s="181" customFormat="1" ht="20.25" customHeight="1">
      <c r="A133" s="1070">
        <f ca="1">IF(ROWS($1:122)&gt;COUNT(Dong2),"",OFFSET(TH!C$1,SMALL(Dong2,ROWS($1:122)),))</f>
        <v>42641</v>
      </c>
      <c r="B133" s="190" t="str">
        <f ca="1">IF(ROWS($1:122)&gt;COUNT(Dong2),"",OFFSET(TH!D$1,SMALL(Dong2,ROWS($1:122)),))</f>
        <v>GBN</v>
      </c>
      <c r="C133" s="1070">
        <f ca="1">IF(ROWS($1:122)&gt;COUNT(Dong2),"",OFFSET(TH!E$1,SMALL(Dong2,ROWS($1:122)),))</f>
        <v>42641</v>
      </c>
      <c r="D133" s="413" t="str">
        <f ca="1">IF(ROWS($1:122)&gt;COUNT(Dong2),"",OFFSET(TH!F$1,SMALL(Dong2,ROWS($1:122)),))</f>
        <v>Lãi vay</v>
      </c>
      <c r="E133" s="190" t="str">
        <f ca="1">IF(ROWS($1:122)&gt;COUNT(Dong2),"",IF(OFFSET(TH!P$1,SMALL(Dong2,ROWS($1:122)),)=$I$6,OFFSET(TH!O$1,SMALL(Dong2,ROWS($1:122)),),OFFSET(TH!P$1,SMALL(Dong2,ROWS($1:122)),)))</f>
        <v>635</v>
      </c>
      <c r="F133" s="191">
        <f ca="1">IF(ROWS($1:122)&gt;COUNT(Dong2),"",IF(OFFSET(TH!O$1,SMALL(Dong2,ROWS($1:122)),)=$I$6,IF($I$6="1121",OFFSET(TH!M$1,SMALL(Dong2,ROWS($1:122)),),OFFSET(TH!K$1,SMALL(Dong2,ROWS($1:122)),)),0))</f>
        <v>0</v>
      </c>
      <c r="G133" s="191">
        <f ca="1">IF(ROWS($1:122)&gt;COUNT(Dong2),"",IF(OFFSET(TH!P$1,SMALL(Dong2,ROWS($1:122)),)=$I$6,IF($I$6="1121",OFFSET(TH!M$1,SMALL(Dong2,ROWS($1:122)),),OFFSET(TH!K$1,SMALL(Dong2,ROWS($1:122)),)),0))</f>
        <v>8209699</v>
      </c>
      <c r="H133" s="192">
        <f t="shared" ca="1" si="4"/>
        <v>25368117</v>
      </c>
      <c r="I133" s="192"/>
    </row>
    <row r="134" spans="1:9" s="181" customFormat="1" ht="20.25" customHeight="1">
      <c r="A134" s="1070">
        <f ca="1">IF(ROWS($1:123)&gt;COUNT(Dong2),"",OFFSET(TH!C$1,SMALL(Dong2,ROWS($1:123)),))</f>
        <v>42641</v>
      </c>
      <c r="B134" s="190" t="str">
        <f ca="1">IF(ROWS($1:123)&gt;COUNT(Dong2),"",OFFSET(TH!D$1,SMALL(Dong2,ROWS($1:123)),))</f>
        <v>GBN</v>
      </c>
      <c r="C134" s="1070">
        <f ca="1">IF(ROWS($1:123)&gt;COUNT(Dong2),"",OFFSET(TH!E$1,SMALL(Dong2,ROWS($1:123)),))</f>
        <v>42641</v>
      </c>
      <c r="D134" s="413" t="str">
        <f ca="1">IF(ROWS($1:123)&gt;COUNT(Dong2),"",OFFSET(TH!F$1,SMALL(Dong2,ROWS($1:123)),))</f>
        <v>Trả gốc vay</v>
      </c>
      <c r="E134" s="190" t="str">
        <f ca="1">IF(ROWS($1:123)&gt;COUNT(Dong2),"",IF(OFFSET(TH!P$1,SMALL(Dong2,ROWS($1:123)),)=$I$6,OFFSET(TH!O$1,SMALL(Dong2,ROWS($1:123)),),OFFSET(TH!P$1,SMALL(Dong2,ROWS($1:123)),)))</f>
        <v>3411</v>
      </c>
      <c r="F134" s="191">
        <f ca="1">IF(ROWS($1:123)&gt;COUNT(Dong2),"",IF(OFFSET(TH!O$1,SMALL(Dong2,ROWS($1:123)),)=$I$6,IF($I$6="1121",OFFSET(TH!M$1,SMALL(Dong2,ROWS($1:123)),),OFFSET(TH!K$1,SMALL(Dong2,ROWS($1:123)),)),0))</f>
        <v>0</v>
      </c>
      <c r="G134" s="191">
        <f ca="1">IF(ROWS($1:123)&gt;COUNT(Dong2),"",IF(OFFSET(TH!P$1,SMALL(Dong2,ROWS($1:123)),)=$I$6,IF($I$6="1121",OFFSET(TH!M$1,SMALL(Dong2,ROWS($1:123)),),OFFSET(TH!K$1,SMALL(Dong2,ROWS($1:123)),)),0))</f>
        <v>12500000</v>
      </c>
      <c r="H134" s="192">
        <f t="shared" ca="1" si="4"/>
        <v>12868117</v>
      </c>
      <c r="I134" s="192"/>
    </row>
    <row r="135" spans="1:9" s="181" customFormat="1" ht="20.25" customHeight="1">
      <c r="A135" s="1070">
        <f ca="1">IF(ROWS($1:124)&gt;COUNT(Dong2),"",OFFSET(TH!C$1,SMALL(Dong2,ROWS($1:124)),))</f>
        <v>42641</v>
      </c>
      <c r="B135" s="190" t="str">
        <f ca="1">IF(ROWS($1:124)&gt;COUNT(Dong2),"",OFFSET(TH!D$1,SMALL(Dong2,ROWS($1:124)),))</f>
        <v>GBN</v>
      </c>
      <c r="C135" s="1070">
        <f ca="1">IF(ROWS($1:124)&gt;COUNT(Dong2),"",OFFSET(TH!E$1,SMALL(Dong2,ROWS($1:124)),))</f>
        <v>42641</v>
      </c>
      <c r="D135" s="413" t="str">
        <f ca="1">IF(ROWS($1:124)&gt;COUNT(Dong2),"",OFFSET(TH!F$1,SMALL(Dong2,ROWS($1:124)),))</f>
        <v>Lãi vay</v>
      </c>
      <c r="E135" s="190" t="str">
        <f ca="1">IF(ROWS($1:124)&gt;COUNT(Dong2),"",IF(OFFSET(TH!P$1,SMALL(Dong2,ROWS($1:124)),)=$I$6,OFFSET(TH!O$1,SMALL(Dong2,ROWS($1:124)),),OFFSET(TH!P$1,SMALL(Dong2,ROWS($1:124)),)))</f>
        <v>635</v>
      </c>
      <c r="F135" s="191">
        <f ca="1">IF(ROWS($1:124)&gt;COUNT(Dong2),"",IF(OFFSET(TH!O$1,SMALL(Dong2,ROWS($1:124)),)=$I$6,IF($I$6="1121",OFFSET(TH!M$1,SMALL(Dong2,ROWS($1:124)),),OFFSET(TH!K$1,SMALL(Dong2,ROWS($1:124)),)),0))</f>
        <v>0</v>
      </c>
      <c r="G135" s="191">
        <f ca="1">IF(ROWS($1:124)&gt;COUNT(Dong2),"",IF(OFFSET(TH!P$1,SMALL(Dong2,ROWS($1:124)),)=$I$6,IF($I$6="1121",OFFSET(TH!M$1,SMALL(Dong2,ROWS($1:124)),),OFFSET(TH!K$1,SMALL(Dong2,ROWS($1:124)),)),0))</f>
        <v>12314548</v>
      </c>
      <c r="H135" s="192">
        <f t="shared" ca="1" si="4"/>
        <v>553569</v>
      </c>
      <c r="I135" s="192"/>
    </row>
    <row r="136" spans="1:9" s="181" customFormat="1" ht="20.25" customHeight="1">
      <c r="A136" s="1070">
        <f ca="1">IF(ROWS($1:125)&gt;COUNT(Dong2),"",OFFSET(TH!C$1,SMALL(Dong2,ROWS($1:125)),))</f>
        <v>42642</v>
      </c>
      <c r="B136" s="190" t="str">
        <f ca="1">IF(ROWS($1:125)&gt;COUNT(Dong2),"",OFFSET(TH!D$1,SMALL(Dong2,ROWS($1:125)),))</f>
        <v>C35</v>
      </c>
      <c r="C136" s="1070">
        <f ca="1">IF(ROWS($1:125)&gt;COUNT(Dong2),"",OFFSET(TH!E$1,SMALL(Dong2,ROWS($1:125)),))</f>
        <v>42642</v>
      </c>
      <c r="D136" s="413" t="str">
        <f ca="1">IF(ROWS($1:125)&gt;COUNT(Dong2),"",OFFSET(TH!F$1,SMALL(Dong2,ROWS($1:125)),))</f>
        <v>Nộp TM</v>
      </c>
      <c r="E136" s="190" t="str">
        <f ca="1">IF(ROWS($1:125)&gt;COUNT(Dong2),"",IF(OFFSET(TH!P$1,SMALL(Dong2,ROWS($1:125)),)=$I$6,OFFSET(TH!O$1,SMALL(Dong2,ROWS($1:125)),),OFFSET(TH!P$1,SMALL(Dong2,ROWS($1:125)),)))</f>
        <v>1111</v>
      </c>
      <c r="F136" s="191">
        <f ca="1">IF(ROWS($1:125)&gt;COUNT(Dong2),"",IF(OFFSET(TH!O$1,SMALL(Dong2,ROWS($1:125)),)=$I$6,IF($I$6="1121",OFFSET(TH!M$1,SMALL(Dong2,ROWS($1:125)),),OFFSET(TH!K$1,SMALL(Dong2,ROWS($1:125)),)),0))</f>
        <v>30000000</v>
      </c>
      <c r="G136" s="191">
        <f ca="1">IF(ROWS($1:125)&gt;COUNT(Dong2),"",IF(OFFSET(TH!P$1,SMALL(Dong2,ROWS($1:125)),)=$I$6,IF($I$6="1121",OFFSET(TH!M$1,SMALL(Dong2,ROWS($1:125)),),OFFSET(TH!K$1,SMALL(Dong2,ROWS($1:125)),)),0))</f>
        <v>0</v>
      </c>
      <c r="H136" s="192">
        <f t="shared" ca="1" si="4"/>
        <v>30553569</v>
      </c>
      <c r="I136" s="192"/>
    </row>
    <row r="137" spans="1:9" s="181" customFormat="1" ht="20.25" customHeight="1">
      <c r="A137" s="1070">
        <f ca="1">IF(ROWS($1:126)&gt;COUNT(Dong2),"",OFFSET(TH!C$1,SMALL(Dong2,ROWS($1:126)),))</f>
        <v>42642</v>
      </c>
      <c r="B137" s="190" t="str">
        <f ca="1">IF(ROWS($1:126)&gt;COUNT(Dong2),"",OFFSET(TH!D$1,SMALL(Dong2,ROWS($1:126)),))</f>
        <v>GBC</v>
      </c>
      <c r="C137" s="1070">
        <f ca="1">IF(ROWS($1:126)&gt;COUNT(Dong2),"",OFFSET(TH!E$1,SMALL(Dong2,ROWS($1:126)),))</f>
        <v>42642</v>
      </c>
      <c r="D137" s="413" t="str">
        <f ca="1">IF(ROWS($1:126)&gt;COUNT(Dong2),"",OFFSET(TH!F$1,SMALL(Dong2,ROWS($1:126)),))</f>
        <v>Mượn vốn</v>
      </c>
      <c r="E137" s="190" t="str">
        <f ca="1">IF(ROWS($1:126)&gt;COUNT(Dong2),"",IF(OFFSET(TH!P$1,SMALL(Dong2,ROWS($1:126)),)=$I$6,OFFSET(TH!O$1,SMALL(Dong2,ROWS($1:126)),),OFFSET(TH!P$1,SMALL(Dong2,ROWS($1:126)),)))</f>
        <v>3388</v>
      </c>
      <c r="F137" s="191">
        <f ca="1">IF(ROWS($1:126)&gt;COUNT(Dong2),"",IF(OFFSET(TH!O$1,SMALL(Dong2,ROWS($1:126)),)=$I$6,IF($I$6="1121",OFFSET(TH!M$1,SMALL(Dong2,ROWS($1:126)),),OFFSET(TH!K$1,SMALL(Dong2,ROWS($1:126)),)),0))</f>
        <v>60000000</v>
      </c>
      <c r="G137" s="191">
        <f ca="1">IF(ROWS($1:126)&gt;COUNT(Dong2),"",IF(OFFSET(TH!P$1,SMALL(Dong2,ROWS($1:126)),)=$I$6,IF($I$6="1121",OFFSET(TH!M$1,SMALL(Dong2,ROWS($1:126)),),OFFSET(TH!K$1,SMALL(Dong2,ROWS($1:126)),)),0))</f>
        <v>0</v>
      </c>
      <c r="H137" s="192">
        <f t="shared" ca="1" si="4"/>
        <v>90553569</v>
      </c>
      <c r="I137" s="192"/>
    </row>
    <row r="138" spans="1:9" s="181" customFormat="1" ht="20.25" customHeight="1">
      <c r="A138" s="1070">
        <f ca="1">IF(ROWS($1:127)&gt;COUNT(Dong2),"",OFFSET(TH!C$1,SMALL(Dong2,ROWS($1:127)),))</f>
        <v>42643</v>
      </c>
      <c r="B138" s="190" t="str">
        <f ca="1">IF(ROWS($1:127)&gt;COUNT(Dong2),"",OFFSET(TH!D$1,SMALL(Dong2,ROWS($1:127)),))</f>
        <v>GBN</v>
      </c>
      <c r="C138" s="1070">
        <f ca="1">IF(ROWS($1:127)&gt;COUNT(Dong2),"",OFFSET(TH!E$1,SMALL(Dong2,ROWS($1:127)),))</f>
        <v>42643</v>
      </c>
      <c r="D138" s="413" t="str">
        <f ca="1">IF(ROWS($1:127)&gt;COUNT(Dong2),"",OFFSET(TH!F$1,SMALL(Dong2,ROWS($1:127)),))</f>
        <v>Thanh toán tiền điện Kì 1+2 T9</v>
      </c>
      <c r="E138" s="190" t="str">
        <f ca="1">IF(ROWS($1:127)&gt;COUNT(Dong2),"",IF(OFFSET(TH!P$1,SMALL(Dong2,ROWS($1:127)),)=$I$6,OFFSET(TH!O$1,SMALL(Dong2,ROWS($1:127)),),OFFSET(TH!P$1,SMALL(Dong2,ROWS($1:127)),)))</f>
        <v>331</v>
      </c>
      <c r="F138" s="191">
        <f ca="1">IF(ROWS($1:127)&gt;COUNT(Dong2),"",IF(OFFSET(TH!O$1,SMALL(Dong2,ROWS($1:127)),)=$I$6,IF($I$6="1121",OFFSET(TH!M$1,SMALL(Dong2,ROWS($1:127)),),OFFSET(TH!K$1,SMALL(Dong2,ROWS($1:127)),)),0))</f>
        <v>0</v>
      </c>
      <c r="G138" s="191">
        <f ca="1">IF(ROWS($1:127)&gt;COUNT(Dong2),"",IF(OFFSET(TH!P$1,SMALL(Dong2,ROWS($1:127)),)=$I$6,IF($I$6="1121",OFFSET(TH!M$1,SMALL(Dong2,ROWS($1:127)),),OFFSET(TH!K$1,SMALL(Dong2,ROWS($1:127)),)),0))</f>
        <v>88048620</v>
      </c>
      <c r="H138" s="192">
        <f t="shared" ca="1" si="4"/>
        <v>2504949</v>
      </c>
      <c r="I138" s="192"/>
    </row>
    <row r="139" spans="1:9" s="181" customFormat="1" ht="20.25" customHeight="1">
      <c r="A139" s="1070">
        <f ca="1">IF(ROWS($1:128)&gt;COUNT(Dong2),"",OFFSET(TH!C$1,SMALL(Dong2,ROWS($1:128)),))</f>
        <v>42643</v>
      </c>
      <c r="B139" s="190" t="str">
        <f ca="1">IF(ROWS($1:128)&gt;COUNT(Dong2),"",OFFSET(TH!D$1,SMALL(Dong2,ROWS($1:128)),))</f>
        <v>GBN</v>
      </c>
      <c r="C139" s="1070">
        <f ca="1">IF(ROWS($1:128)&gt;COUNT(Dong2),"",OFFSET(TH!E$1,SMALL(Dong2,ROWS($1:128)),))</f>
        <v>42643</v>
      </c>
      <c r="D139" s="413" t="str">
        <f ca="1">IF(ROWS($1:128)&gt;COUNT(Dong2),"",OFFSET(TH!F$1,SMALL(Dong2,ROWS($1:128)),))</f>
        <v xml:space="preserve">Phí chuyển tiền </v>
      </c>
      <c r="E139" s="190" t="str">
        <f ca="1">IF(ROWS($1:128)&gt;COUNT(Dong2),"",IF(OFFSET(TH!P$1,SMALL(Dong2,ROWS($1:128)),)=$I$6,OFFSET(TH!O$1,SMALL(Dong2,ROWS($1:128)),),OFFSET(TH!P$1,SMALL(Dong2,ROWS($1:128)),)))</f>
        <v>642</v>
      </c>
      <c r="F139" s="191">
        <f ca="1">IF(ROWS($1:128)&gt;COUNT(Dong2),"",IF(OFFSET(TH!O$1,SMALL(Dong2,ROWS($1:128)),)=$I$6,IF($I$6="1121",OFFSET(TH!M$1,SMALL(Dong2,ROWS($1:128)),),OFFSET(TH!K$1,SMALL(Dong2,ROWS($1:128)),)),0))</f>
        <v>0</v>
      </c>
      <c r="G139" s="191">
        <f ca="1">IF(ROWS($1:128)&gt;COUNT(Dong2),"",IF(OFFSET(TH!P$1,SMALL(Dong2,ROWS($1:128)),)=$I$6,IF($I$6="1121",OFFSET(TH!M$1,SMALL(Dong2,ROWS($1:128)),),OFFSET(TH!K$1,SMALL(Dong2,ROWS($1:128)),)),0))</f>
        <v>64024</v>
      </c>
      <c r="H139" s="192">
        <f t="shared" ca="1" si="4"/>
        <v>2440925</v>
      </c>
      <c r="I139" s="192"/>
    </row>
    <row r="140" spans="1:9" s="181" customFormat="1" ht="20.25" customHeight="1">
      <c r="A140" s="1070">
        <f ca="1">IF(ROWS($1:129)&gt;COUNT(Dong2),"",OFFSET(TH!C$1,SMALL(Dong2,ROWS($1:129)),))</f>
        <v>42643</v>
      </c>
      <c r="B140" s="190" t="str">
        <f ca="1">IF(ROWS($1:129)&gt;COUNT(Dong2),"",OFFSET(TH!D$1,SMALL(Dong2,ROWS($1:129)),))</f>
        <v>GBN</v>
      </c>
      <c r="C140" s="1070">
        <f ca="1">IF(ROWS($1:129)&gt;COUNT(Dong2),"",OFFSET(TH!E$1,SMALL(Dong2,ROWS($1:129)),))</f>
        <v>42643</v>
      </c>
      <c r="D140" s="413" t="str">
        <f ca="1">IF(ROWS($1:129)&gt;COUNT(Dong2),"",OFFSET(TH!F$1,SMALL(Dong2,ROWS($1:129)),))</f>
        <v xml:space="preserve">VAT Phí chuyển tiền </v>
      </c>
      <c r="E140" s="190" t="str">
        <f ca="1">IF(ROWS($1:129)&gt;COUNT(Dong2),"",IF(OFFSET(TH!P$1,SMALL(Dong2,ROWS($1:129)),)=$I$6,OFFSET(TH!O$1,SMALL(Dong2,ROWS($1:129)),),OFFSET(TH!P$1,SMALL(Dong2,ROWS($1:129)),)))</f>
        <v>1331</v>
      </c>
      <c r="F140" s="191">
        <f ca="1">IF(ROWS($1:129)&gt;COUNT(Dong2),"",IF(OFFSET(TH!O$1,SMALL(Dong2,ROWS($1:129)),)=$I$6,IF($I$6="1121",OFFSET(TH!M$1,SMALL(Dong2,ROWS($1:129)),),OFFSET(TH!K$1,SMALL(Dong2,ROWS($1:129)),)),0))</f>
        <v>0</v>
      </c>
      <c r="G140" s="191">
        <f ca="1">IF(ROWS($1:129)&gt;COUNT(Dong2),"",IF(OFFSET(TH!P$1,SMALL(Dong2,ROWS($1:129)),)=$I$6,IF($I$6="1121",OFFSET(TH!M$1,SMALL(Dong2,ROWS($1:129)),),OFFSET(TH!K$1,SMALL(Dong2,ROWS($1:129)),)),0))</f>
        <v>6402</v>
      </c>
      <c r="H140" s="192">
        <f t="shared" ca="1" si="4"/>
        <v>2434523</v>
      </c>
      <c r="I140" s="192"/>
    </row>
    <row r="141" spans="1:9" s="181" customFormat="1" ht="20.25" customHeight="1">
      <c r="A141" s="1070" t="str">
        <f ca="1">IF(ROWS($1:130)&gt;COUNT(Dong2),"",OFFSET(TH!C$1,SMALL(Dong2,ROWS($1:130)),))</f>
        <v/>
      </c>
      <c r="B141" s="190" t="str">
        <f ca="1">IF(ROWS($1:130)&gt;COUNT(Dong2),"",OFFSET(TH!D$1,SMALL(Dong2,ROWS($1:130)),))</f>
        <v/>
      </c>
      <c r="C141" s="1070" t="str">
        <f ca="1">IF(ROWS($1:130)&gt;COUNT(Dong2),"",OFFSET(TH!E$1,SMALL(Dong2,ROWS($1:130)),))</f>
        <v/>
      </c>
      <c r="D141" s="413" t="str">
        <f ca="1">IF(ROWS($1:130)&gt;COUNT(Dong2),"",OFFSET(TH!F$1,SMALL(Dong2,ROWS($1:130)),))</f>
        <v/>
      </c>
      <c r="E141" s="190" t="str">
        <f ca="1">IF(ROWS($1:130)&gt;COUNT(Dong2),"",IF(OFFSET(TH!P$1,SMALL(Dong2,ROWS($1:130)),)=$I$6,OFFSET(TH!O$1,SMALL(Dong2,ROWS($1:130)),),OFFSET(TH!P$1,SMALL(Dong2,ROWS($1:130)),)))</f>
        <v/>
      </c>
      <c r="F141" s="191" t="str">
        <f ca="1">IF(ROWS($1:130)&gt;COUNT(Dong2),"",IF(OFFSET(TH!O$1,SMALL(Dong2,ROWS($1:130)),)=$I$6,IF($I$6="1121",OFFSET(TH!M$1,SMALL(Dong2,ROWS($1:130)),),OFFSET(TH!K$1,SMALL(Dong2,ROWS($1:130)),)),0))</f>
        <v/>
      </c>
      <c r="G141" s="191" t="str">
        <f ca="1">IF(ROWS($1:130)&gt;COUNT(Dong2),"",IF(OFFSET(TH!P$1,SMALL(Dong2,ROWS($1:130)),)=$I$6,IF($I$6="1121",OFFSET(TH!M$1,SMALL(Dong2,ROWS($1:130)),),OFFSET(TH!K$1,SMALL(Dong2,ROWS($1:130)),)),0))</f>
        <v/>
      </c>
      <c r="H141" s="192">
        <f t="shared" ca="1" si="4"/>
        <v>0</v>
      </c>
      <c r="I141" s="192"/>
    </row>
    <row r="142" spans="1:9" s="181" customFormat="1" ht="20.25" customHeight="1">
      <c r="A142" s="1070" t="str">
        <f ca="1">IF(ROWS($1:131)&gt;COUNT(Dong2),"",OFFSET(TH!C$1,SMALL(Dong2,ROWS($1:131)),))</f>
        <v/>
      </c>
      <c r="B142" s="190" t="str">
        <f ca="1">IF(ROWS($1:131)&gt;COUNT(Dong2),"",OFFSET(TH!D$1,SMALL(Dong2,ROWS($1:131)),))</f>
        <v/>
      </c>
      <c r="C142" s="1070" t="str">
        <f ca="1">IF(ROWS($1:131)&gt;COUNT(Dong2),"",OFFSET(TH!E$1,SMALL(Dong2,ROWS($1:131)),))</f>
        <v/>
      </c>
      <c r="D142" s="413" t="str">
        <f ca="1">IF(ROWS($1:131)&gt;COUNT(Dong2),"",OFFSET(TH!F$1,SMALL(Dong2,ROWS($1:131)),))</f>
        <v/>
      </c>
      <c r="E142" s="190" t="str">
        <f ca="1">IF(ROWS($1:131)&gt;COUNT(Dong2),"",IF(OFFSET(TH!P$1,SMALL(Dong2,ROWS($1:131)),)=$I$6,OFFSET(TH!O$1,SMALL(Dong2,ROWS($1:131)),),OFFSET(TH!P$1,SMALL(Dong2,ROWS($1:131)),)))</f>
        <v/>
      </c>
      <c r="F142" s="191" t="str">
        <f ca="1">IF(ROWS($1:131)&gt;COUNT(Dong2),"",IF(OFFSET(TH!O$1,SMALL(Dong2,ROWS($1:131)),)=$I$6,IF($I$6="1121",OFFSET(TH!M$1,SMALL(Dong2,ROWS($1:131)),),OFFSET(TH!K$1,SMALL(Dong2,ROWS($1:131)),)),0))</f>
        <v/>
      </c>
      <c r="G142" s="191" t="str">
        <f ca="1">IF(ROWS($1:131)&gt;COUNT(Dong2),"",IF(OFFSET(TH!P$1,SMALL(Dong2,ROWS($1:131)),)=$I$6,IF($I$6="1121",OFFSET(TH!M$1,SMALL(Dong2,ROWS($1:131)),),OFFSET(TH!K$1,SMALL(Dong2,ROWS($1:131)),)),0))</f>
        <v/>
      </c>
      <c r="H142" s="192">
        <f t="shared" ca="1" si="4"/>
        <v>0</v>
      </c>
      <c r="I142" s="192"/>
    </row>
    <row r="143" spans="1:9" s="181" customFormat="1" ht="20.25" customHeight="1">
      <c r="A143" s="1070" t="str">
        <f ca="1">IF(ROWS($1:132)&gt;COUNT(Dong2),"",OFFSET(TH!C$1,SMALL(Dong2,ROWS($1:132)),))</f>
        <v/>
      </c>
      <c r="B143" s="190" t="str">
        <f ca="1">IF(ROWS($1:132)&gt;COUNT(Dong2),"",OFFSET(TH!D$1,SMALL(Dong2,ROWS($1:132)),))</f>
        <v/>
      </c>
      <c r="C143" s="1070" t="str">
        <f ca="1">IF(ROWS($1:132)&gt;COUNT(Dong2),"",OFFSET(TH!E$1,SMALL(Dong2,ROWS($1:132)),))</f>
        <v/>
      </c>
      <c r="D143" s="413" t="str">
        <f ca="1">IF(ROWS($1:132)&gt;COUNT(Dong2),"",OFFSET(TH!F$1,SMALL(Dong2,ROWS($1:132)),))</f>
        <v/>
      </c>
      <c r="E143" s="190" t="str">
        <f ca="1">IF(ROWS($1:132)&gt;COUNT(Dong2),"",IF(OFFSET(TH!P$1,SMALL(Dong2,ROWS($1:132)),)=$I$6,OFFSET(TH!O$1,SMALL(Dong2,ROWS($1:132)),),OFFSET(TH!P$1,SMALL(Dong2,ROWS($1:132)),)))</f>
        <v/>
      </c>
      <c r="F143" s="191" t="str">
        <f ca="1">IF(ROWS($1:132)&gt;COUNT(Dong2),"",IF(OFFSET(TH!O$1,SMALL(Dong2,ROWS($1:132)),)=$I$6,IF($I$6="1121",OFFSET(TH!M$1,SMALL(Dong2,ROWS($1:132)),),OFFSET(TH!K$1,SMALL(Dong2,ROWS($1:132)),)),0))</f>
        <v/>
      </c>
      <c r="G143" s="191" t="str">
        <f ca="1">IF(ROWS($1:132)&gt;COUNT(Dong2),"",IF(OFFSET(TH!P$1,SMALL(Dong2,ROWS($1:132)),)=$I$6,IF($I$6="1121",OFFSET(TH!M$1,SMALL(Dong2,ROWS($1:132)),),OFFSET(TH!K$1,SMALL(Dong2,ROWS($1:132)),)),0))</f>
        <v/>
      </c>
      <c r="H143" s="192">
        <f t="shared" ca="1" si="4"/>
        <v>0</v>
      </c>
      <c r="I143" s="192"/>
    </row>
    <row r="144" spans="1:9" s="181" customFormat="1" ht="20.25" customHeight="1">
      <c r="A144" s="1070" t="str">
        <f ca="1">IF(ROWS($1:133)&gt;COUNT(Dong2),"",OFFSET(TH!C$1,SMALL(Dong2,ROWS($1:133)),))</f>
        <v/>
      </c>
      <c r="B144" s="190" t="str">
        <f ca="1">IF(ROWS($1:133)&gt;COUNT(Dong2),"",OFFSET(TH!D$1,SMALL(Dong2,ROWS($1:133)),))</f>
        <v/>
      </c>
      <c r="C144" s="1070" t="str">
        <f ca="1">IF(ROWS($1:133)&gt;COUNT(Dong2),"",OFFSET(TH!E$1,SMALL(Dong2,ROWS($1:133)),))</f>
        <v/>
      </c>
      <c r="D144" s="413" t="str">
        <f ca="1">IF(ROWS($1:133)&gt;COUNT(Dong2),"",OFFSET(TH!F$1,SMALL(Dong2,ROWS($1:133)),))</f>
        <v/>
      </c>
      <c r="E144" s="190" t="str">
        <f ca="1">IF(ROWS($1:133)&gt;COUNT(Dong2),"",IF(OFFSET(TH!P$1,SMALL(Dong2,ROWS($1:133)),)=$I$6,OFFSET(TH!O$1,SMALL(Dong2,ROWS($1:133)),),OFFSET(TH!P$1,SMALL(Dong2,ROWS($1:133)),)))</f>
        <v/>
      </c>
      <c r="F144" s="191" t="str">
        <f ca="1">IF(ROWS($1:133)&gt;COUNT(Dong2),"",IF(OFFSET(TH!O$1,SMALL(Dong2,ROWS($1:133)),)=$I$6,IF($I$6="1121",OFFSET(TH!M$1,SMALL(Dong2,ROWS($1:133)),),OFFSET(TH!K$1,SMALL(Dong2,ROWS($1:133)),)),0))</f>
        <v/>
      </c>
      <c r="G144" s="191" t="str">
        <f ca="1">IF(ROWS($1:133)&gt;COUNT(Dong2),"",IF(OFFSET(TH!P$1,SMALL(Dong2,ROWS($1:133)),)=$I$6,IF($I$6="1121",OFFSET(TH!M$1,SMALL(Dong2,ROWS($1:133)),),OFFSET(TH!K$1,SMALL(Dong2,ROWS($1:133)),)),0))</f>
        <v/>
      </c>
      <c r="H144" s="192">
        <f t="shared" ca="1" si="4"/>
        <v>0</v>
      </c>
      <c r="I144" s="192"/>
    </row>
    <row r="145" spans="1:9" s="181" customFormat="1" ht="20.25" customHeight="1">
      <c r="A145" s="1070" t="str">
        <f ca="1">IF(ROWS($1:134)&gt;COUNT(Dong2),"",OFFSET(TH!C$1,SMALL(Dong2,ROWS($1:134)),))</f>
        <v/>
      </c>
      <c r="B145" s="190" t="str">
        <f ca="1">IF(ROWS($1:134)&gt;COUNT(Dong2),"",OFFSET(TH!D$1,SMALL(Dong2,ROWS($1:134)),))</f>
        <v/>
      </c>
      <c r="C145" s="1070" t="str">
        <f ca="1">IF(ROWS($1:134)&gt;COUNT(Dong2),"",OFFSET(TH!E$1,SMALL(Dong2,ROWS($1:134)),))</f>
        <v/>
      </c>
      <c r="D145" s="413" t="str">
        <f ca="1">IF(ROWS($1:134)&gt;COUNT(Dong2),"",OFFSET(TH!F$1,SMALL(Dong2,ROWS($1:134)),))</f>
        <v/>
      </c>
      <c r="E145" s="190" t="str">
        <f ca="1">IF(ROWS($1:134)&gt;COUNT(Dong2),"",IF(OFFSET(TH!P$1,SMALL(Dong2,ROWS($1:134)),)=$I$6,OFFSET(TH!O$1,SMALL(Dong2,ROWS($1:134)),),OFFSET(TH!P$1,SMALL(Dong2,ROWS($1:134)),)))</f>
        <v/>
      </c>
      <c r="F145" s="191" t="str">
        <f ca="1">IF(ROWS($1:134)&gt;COUNT(Dong2),"",IF(OFFSET(TH!O$1,SMALL(Dong2,ROWS($1:134)),)=$I$6,IF($I$6="1121",OFFSET(TH!M$1,SMALL(Dong2,ROWS($1:134)),),OFFSET(TH!K$1,SMALL(Dong2,ROWS($1:134)),)),0))</f>
        <v/>
      </c>
      <c r="G145" s="191" t="str">
        <f ca="1">IF(ROWS($1:134)&gt;COUNT(Dong2),"",IF(OFFSET(TH!P$1,SMALL(Dong2,ROWS($1:134)),)=$I$6,IF($I$6="1121",OFFSET(TH!M$1,SMALL(Dong2,ROWS($1:134)),),OFFSET(TH!K$1,SMALL(Dong2,ROWS($1:134)),)),0))</f>
        <v/>
      </c>
      <c r="H145" s="192">
        <f t="shared" ca="1" si="4"/>
        <v>0</v>
      </c>
      <c r="I145" s="192"/>
    </row>
    <row r="146" spans="1:9" s="181" customFormat="1" ht="20.25" customHeight="1">
      <c r="A146" s="1070" t="str">
        <f ca="1">IF(ROWS($1:135)&gt;COUNT(Dong2),"",OFFSET(TH!C$1,SMALL(Dong2,ROWS($1:135)),))</f>
        <v/>
      </c>
      <c r="B146" s="190" t="str">
        <f ca="1">IF(ROWS($1:135)&gt;COUNT(Dong2),"",OFFSET(TH!D$1,SMALL(Dong2,ROWS($1:135)),))</f>
        <v/>
      </c>
      <c r="C146" s="1070" t="str">
        <f ca="1">IF(ROWS($1:135)&gt;COUNT(Dong2),"",OFFSET(TH!E$1,SMALL(Dong2,ROWS($1:135)),))</f>
        <v/>
      </c>
      <c r="D146" s="413" t="str">
        <f ca="1">IF(ROWS($1:135)&gt;COUNT(Dong2),"",OFFSET(TH!F$1,SMALL(Dong2,ROWS($1:135)),))</f>
        <v/>
      </c>
      <c r="E146" s="190" t="str">
        <f ca="1">IF(ROWS($1:135)&gt;COUNT(Dong2),"",IF(OFFSET(TH!P$1,SMALL(Dong2,ROWS($1:135)),)=$I$6,OFFSET(TH!O$1,SMALL(Dong2,ROWS($1:135)),),OFFSET(TH!P$1,SMALL(Dong2,ROWS($1:135)),)))</f>
        <v/>
      </c>
      <c r="F146" s="191" t="str">
        <f ca="1">IF(ROWS($1:135)&gt;COUNT(Dong2),"",IF(OFFSET(TH!O$1,SMALL(Dong2,ROWS($1:135)),)=$I$6,IF($I$6="1121",OFFSET(TH!M$1,SMALL(Dong2,ROWS($1:135)),),OFFSET(TH!K$1,SMALL(Dong2,ROWS($1:135)),)),0))</f>
        <v/>
      </c>
      <c r="G146" s="191" t="str">
        <f ca="1">IF(ROWS($1:135)&gt;COUNT(Dong2),"",IF(OFFSET(TH!P$1,SMALL(Dong2,ROWS($1:135)),)=$I$6,IF($I$6="1121",OFFSET(TH!M$1,SMALL(Dong2,ROWS($1:135)),),OFFSET(TH!K$1,SMALL(Dong2,ROWS($1:135)),)),0))</f>
        <v/>
      </c>
      <c r="H146" s="192">
        <f t="shared" ca="1" si="4"/>
        <v>0</v>
      </c>
      <c r="I146" s="192"/>
    </row>
    <row r="147" spans="1:9" s="181" customFormat="1" ht="20.25" customHeight="1">
      <c r="A147" s="1070" t="str">
        <f ca="1">IF(ROWS($1:136)&gt;COUNT(Dong2),"",OFFSET(TH!C$1,SMALL(Dong2,ROWS($1:136)),))</f>
        <v/>
      </c>
      <c r="B147" s="190" t="str">
        <f ca="1">IF(ROWS($1:136)&gt;COUNT(Dong2),"",OFFSET(TH!D$1,SMALL(Dong2,ROWS($1:136)),))</f>
        <v/>
      </c>
      <c r="C147" s="1070" t="str">
        <f ca="1">IF(ROWS($1:136)&gt;COUNT(Dong2),"",OFFSET(TH!E$1,SMALL(Dong2,ROWS($1:136)),))</f>
        <v/>
      </c>
      <c r="D147" s="413" t="str">
        <f ca="1">IF(ROWS($1:136)&gt;COUNT(Dong2),"",OFFSET(TH!F$1,SMALL(Dong2,ROWS($1:136)),))</f>
        <v/>
      </c>
      <c r="E147" s="190" t="str">
        <f ca="1">IF(ROWS($1:136)&gt;COUNT(Dong2),"",IF(OFFSET(TH!P$1,SMALL(Dong2,ROWS($1:136)),)=$I$6,OFFSET(TH!O$1,SMALL(Dong2,ROWS($1:136)),),OFFSET(TH!P$1,SMALL(Dong2,ROWS($1:136)),)))</f>
        <v/>
      </c>
      <c r="F147" s="191" t="str">
        <f ca="1">IF(ROWS($1:136)&gt;COUNT(Dong2),"",IF(OFFSET(TH!O$1,SMALL(Dong2,ROWS($1:136)),)=$I$6,IF($I$6="1121",OFFSET(TH!M$1,SMALL(Dong2,ROWS($1:136)),),OFFSET(TH!K$1,SMALL(Dong2,ROWS($1:136)),)),0))</f>
        <v/>
      </c>
      <c r="G147" s="191" t="str">
        <f ca="1">IF(ROWS($1:136)&gt;COUNT(Dong2),"",IF(OFFSET(TH!P$1,SMALL(Dong2,ROWS($1:136)),)=$I$6,IF($I$6="1121",OFFSET(TH!M$1,SMALL(Dong2,ROWS($1:136)),),OFFSET(TH!K$1,SMALL(Dong2,ROWS($1:136)),)),0))</f>
        <v/>
      </c>
      <c r="H147" s="192">
        <f t="shared" ca="1" si="4"/>
        <v>0</v>
      </c>
      <c r="I147" s="192"/>
    </row>
    <row r="148" spans="1:9" s="181" customFormat="1" ht="20.25" customHeight="1">
      <c r="A148" s="1070" t="str">
        <f ca="1">IF(ROWS($1:137)&gt;COUNT(Dong2),"",OFFSET(TH!C$1,SMALL(Dong2,ROWS($1:137)),))</f>
        <v/>
      </c>
      <c r="B148" s="190" t="str">
        <f ca="1">IF(ROWS($1:137)&gt;COUNT(Dong2),"",OFFSET(TH!D$1,SMALL(Dong2,ROWS($1:137)),))</f>
        <v/>
      </c>
      <c r="C148" s="1070" t="str">
        <f ca="1">IF(ROWS($1:137)&gt;COUNT(Dong2),"",OFFSET(TH!E$1,SMALL(Dong2,ROWS($1:137)),))</f>
        <v/>
      </c>
      <c r="D148" s="413" t="str">
        <f ca="1">IF(ROWS($1:137)&gt;COUNT(Dong2),"",OFFSET(TH!F$1,SMALL(Dong2,ROWS($1:137)),))</f>
        <v/>
      </c>
      <c r="E148" s="190" t="str">
        <f ca="1">IF(ROWS($1:137)&gt;COUNT(Dong2),"",IF(OFFSET(TH!P$1,SMALL(Dong2,ROWS($1:137)),)=$I$6,OFFSET(TH!O$1,SMALL(Dong2,ROWS($1:137)),),OFFSET(TH!P$1,SMALL(Dong2,ROWS($1:137)),)))</f>
        <v/>
      </c>
      <c r="F148" s="191" t="str">
        <f ca="1">IF(ROWS($1:137)&gt;COUNT(Dong2),"",IF(OFFSET(TH!O$1,SMALL(Dong2,ROWS($1:137)),)=$I$6,IF($I$6="1121",OFFSET(TH!M$1,SMALL(Dong2,ROWS($1:137)),),OFFSET(TH!K$1,SMALL(Dong2,ROWS($1:137)),)),0))</f>
        <v/>
      </c>
      <c r="G148" s="191" t="str">
        <f ca="1">IF(ROWS($1:137)&gt;COUNT(Dong2),"",IF(OFFSET(TH!P$1,SMALL(Dong2,ROWS($1:137)),)=$I$6,IF($I$6="1121",OFFSET(TH!M$1,SMALL(Dong2,ROWS($1:137)),),OFFSET(TH!K$1,SMALL(Dong2,ROWS($1:137)),)),0))</f>
        <v/>
      </c>
      <c r="H148" s="192">
        <f t="shared" ca="1" si="4"/>
        <v>0</v>
      </c>
      <c r="I148" s="192"/>
    </row>
    <row r="149" spans="1:9" s="181" customFormat="1" ht="20.25" customHeight="1">
      <c r="A149" s="1070" t="str">
        <f ca="1">IF(ROWS($1:138)&gt;COUNT(Dong2),"",OFFSET(TH!C$1,SMALL(Dong2,ROWS($1:138)),))</f>
        <v/>
      </c>
      <c r="B149" s="190" t="str">
        <f ca="1">IF(ROWS($1:138)&gt;COUNT(Dong2),"",OFFSET(TH!D$1,SMALL(Dong2,ROWS($1:138)),))</f>
        <v/>
      </c>
      <c r="C149" s="1070" t="str">
        <f ca="1">IF(ROWS($1:138)&gt;COUNT(Dong2),"",OFFSET(TH!E$1,SMALL(Dong2,ROWS($1:138)),))</f>
        <v/>
      </c>
      <c r="D149" s="413" t="str">
        <f ca="1">IF(ROWS($1:138)&gt;COUNT(Dong2),"",OFFSET(TH!F$1,SMALL(Dong2,ROWS($1:138)),))</f>
        <v/>
      </c>
      <c r="E149" s="190" t="str">
        <f ca="1">IF(ROWS($1:138)&gt;COUNT(Dong2),"",IF(OFFSET(TH!P$1,SMALL(Dong2,ROWS($1:138)),)=$I$6,OFFSET(TH!O$1,SMALL(Dong2,ROWS($1:138)),),OFFSET(TH!P$1,SMALL(Dong2,ROWS($1:138)),)))</f>
        <v/>
      </c>
      <c r="F149" s="191" t="str">
        <f ca="1">IF(ROWS($1:138)&gt;COUNT(Dong2),"",IF(OFFSET(TH!O$1,SMALL(Dong2,ROWS($1:138)),)=$I$6,IF($I$6="1121",OFFSET(TH!M$1,SMALL(Dong2,ROWS($1:138)),),OFFSET(TH!K$1,SMALL(Dong2,ROWS($1:138)),)),0))</f>
        <v/>
      </c>
      <c r="G149" s="191" t="str">
        <f ca="1">IF(ROWS($1:138)&gt;COUNT(Dong2),"",IF(OFFSET(TH!P$1,SMALL(Dong2,ROWS($1:138)),)=$I$6,IF($I$6="1121",OFFSET(TH!M$1,SMALL(Dong2,ROWS($1:138)),),OFFSET(TH!K$1,SMALL(Dong2,ROWS($1:138)),)),0))</f>
        <v/>
      </c>
      <c r="H149" s="192">
        <f t="shared" ca="1" si="4"/>
        <v>0</v>
      </c>
      <c r="I149" s="192"/>
    </row>
    <row r="150" spans="1:9" s="181" customFormat="1" ht="20.25" customHeight="1">
      <c r="A150" s="1070" t="str">
        <f ca="1">IF(ROWS($1:139)&gt;COUNT(Dong2),"",OFFSET(TH!C$1,SMALL(Dong2,ROWS($1:139)),))</f>
        <v/>
      </c>
      <c r="B150" s="190" t="str">
        <f ca="1">IF(ROWS($1:139)&gt;COUNT(Dong2),"",OFFSET(TH!D$1,SMALL(Dong2,ROWS($1:139)),))</f>
        <v/>
      </c>
      <c r="C150" s="1070" t="str">
        <f ca="1">IF(ROWS($1:139)&gt;COUNT(Dong2),"",OFFSET(TH!E$1,SMALL(Dong2,ROWS($1:139)),))</f>
        <v/>
      </c>
      <c r="D150" s="413" t="str">
        <f ca="1">IF(ROWS($1:139)&gt;COUNT(Dong2),"",OFFSET(TH!F$1,SMALL(Dong2,ROWS($1:139)),))</f>
        <v/>
      </c>
      <c r="E150" s="190" t="str">
        <f ca="1">IF(ROWS($1:139)&gt;COUNT(Dong2),"",IF(OFFSET(TH!P$1,SMALL(Dong2,ROWS($1:139)),)=$I$6,OFFSET(TH!O$1,SMALL(Dong2,ROWS($1:139)),),OFFSET(TH!P$1,SMALL(Dong2,ROWS($1:139)),)))</f>
        <v/>
      </c>
      <c r="F150" s="191" t="str">
        <f ca="1">IF(ROWS($1:139)&gt;COUNT(Dong2),"",IF(OFFSET(TH!O$1,SMALL(Dong2,ROWS($1:139)),)=$I$6,IF($I$6="1121",OFFSET(TH!M$1,SMALL(Dong2,ROWS($1:139)),),OFFSET(TH!K$1,SMALL(Dong2,ROWS($1:139)),)),0))</f>
        <v/>
      </c>
      <c r="G150" s="191" t="str">
        <f ca="1">IF(ROWS($1:139)&gt;COUNT(Dong2),"",IF(OFFSET(TH!P$1,SMALL(Dong2,ROWS($1:139)),)=$I$6,IF($I$6="1121",OFFSET(TH!M$1,SMALL(Dong2,ROWS($1:139)),),OFFSET(TH!K$1,SMALL(Dong2,ROWS($1:139)),)),0))</f>
        <v/>
      </c>
      <c r="H150" s="192">
        <f t="shared" ca="1" si="4"/>
        <v>0</v>
      </c>
      <c r="I150" s="192"/>
    </row>
    <row r="151" spans="1:9" s="181" customFormat="1" ht="20.25" customHeight="1">
      <c r="A151" s="1070" t="str">
        <f ca="1">IF(ROWS($1:140)&gt;COUNT(Dong2),"",OFFSET(TH!C$1,SMALL(Dong2,ROWS($1:140)),))</f>
        <v/>
      </c>
      <c r="B151" s="190" t="str">
        <f ca="1">IF(ROWS($1:140)&gt;COUNT(Dong2),"",OFFSET(TH!D$1,SMALL(Dong2,ROWS($1:140)),))</f>
        <v/>
      </c>
      <c r="C151" s="1070" t="str">
        <f ca="1">IF(ROWS($1:140)&gt;COUNT(Dong2),"",OFFSET(TH!E$1,SMALL(Dong2,ROWS($1:140)),))</f>
        <v/>
      </c>
      <c r="D151" s="413" t="str">
        <f ca="1">IF(ROWS($1:140)&gt;COUNT(Dong2),"",OFFSET(TH!F$1,SMALL(Dong2,ROWS($1:140)),))</f>
        <v/>
      </c>
      <c r="E151" s="190" t="str">
        <f ca="1">IF(ROWS($1:140)&gt;COUNT(Dong2),"",IF(OFFSET(TH!P$1,SMALL(Dong2,ROWS($1:140)),)=$I$6,OFFSET(TH!O$1,SMALL(Dong2,ROWS($1:140)),),OFFSET(TH!P$1,SMALL(Dong2,ROWS($1:140)),)))</f>
        <v/>
      </c>
      <c r="F151" s="191" t="str">
        <f ca="1">IF(ROWS($1:140)&gt;COUNT(Dong2),"",IF(OFFSET(TH!O$1,SMALL(Dong2,ROWS($1:140)),)=$I$6,IF($I$6="1121",OFFSET(TH!M$1,SMALL(Dong2,ROWS($1:140)),),OFFSET(TH!K$1,SMALL(Dong2,ROWS($1:140)),)),0))</f>
        <v/>
      </c>
      <c r="G151" s="191" t="str">
        <f ca="1">IF(ROWS($1:140)&gt;COUNT(Dong2),"",IF(OFFSET(TH!P$1,SMALL(Dong2,ROWS($1:140)),)=$I$6,IF($I$6="1121",OFFSET(TH!M$1,SMALL(Dong2,ROWS($1:140)),),OFFSET(TH!K$1,SMALL(Dong2,ROWS($1:140)),)),0))</f>
        <v/>
      </c>
      <c r="H151" s="192">
        <f t="shared" ca="1" si="4"/>
        <v>0</v>
      </c>
      <c r="I151" s="192"/>
    </row>
    <row r="152" spans="1:9" s="181" customFormat="1" ht="20.25" customHeight="1">
      <c r="A152" s="1070" t="str">
        <f ca="1">IF(ROWS($1:141)&gt;COUNT(Dong2),"",OFFSET(TH!C$1,SMALL(Dong2,ROWS($1:141)),))</f>
        <v/>
      </c>
      <c r="B152" s="190" t="str">
        <f ca="1">IF(ROWS($1:141)&gt;COUNT(Dong2),"",OFFSET(TH!D$1,SMALL(Dong2,ROWS($1:141)),))</f>
        <v/>
      </c>
      <c r="C152" s="1070" t="str">
        <f ca="1">IF(ROWS($1:141)&gt;COUNT(Dong2),"",OFFSET(TH!E$1,SMALL(Dong2,ROWS($1:141)),))</f>
        <v/>
      </c>
      <c r="D152" s="413" t="str">
        <f ca="1">IF(ROWS($1:141)&gt;COUNT(Dong2),"",OFFSET(TH!F$1,SMALL(Dong2,ROWS($1:141)),))</f>
        <v/>
      </c>
      <c r="E152" s="190" t="str">
        <f ca="1">IF(ROWS($1:141)&gt;COUNT(Dong2),"",IF(OFFSET(TH!P$1,SMALL(Dong2,ROWS($1:141)),)=$I$6,OFFSET(TH!O$1,SMALL(Dong2,ROWS($1:141)),),OFFSET(TH!P$1,SMALL(Dong2,ROWS($1:141)),)))</f>
        <v/>
      </c>
      <c r="F152" s="191" t="str">
        <f ca="1">IF(ROWS($1:141)&gt;COUNT(Dong2),"",IF(OFFSET(TH!O$1,SMALL(Dong2,ROWS($1:141)),)=$I$6,IF($I$6="1121",OFFSET(TH!M$1,SMALL(Dong2,ROWS($1:141)),),OFFSET(TH!K$1,SMALL(Dong2,ROWS($1:141)),)),0))</f>
        <v/>
      </c>
      <c r="G152" s="191" t="str">
        <f ca="1">IF(ROWS($1:141)&gt;COUNT(Dong2),"",IF(OFFSET(TH!P$1,SMALL(Dong2,ROWS($1:141)),)=$I$6,IF($I$6="1121",OFFSET(TH!M$1,SMALL(Dong2,ROWS($1:141)),),OFFSET(TH!K$1,SMALL(Dong2,ROWS($1:141)),)),0))</f>
        <v/>
      </c>
      <c r="H152" s="192">
        <f t="shared" ca="1" si="4"/>
        <v>0</v>
      </c>
      <c r="I152" s="192"/>
    </row>
    <row r="153" spans="1:9" s="181" customFormat="1" ht="20.25" customHeight="1">
      <c r="A153" s="1070" t="str">
        <f ca="1">IF(ROWS($1:142)&gt;COUNT(Dong2),"",OFFSET(TH!C$1,SMALL(Dong2,ROWS($1:142)),))</f>
        <v/>
      </c>
      <c r="B153" s="190" t="str">
        <f ca="1">IF(ROWS($1:142)&gt;COUNT(Dong2),"",OFFSET(TH!D$1,SMALL(Dong2,ROWS($1:142)),))</f>
        <v/>
      </c>
      <c r="C153" s="1070" t="str">
        <f ca="1">IF(ROWS($1:142)&gt;COUNT(Dong2),"",OFFSET(TH!E$1,SMALL(Dong2,ROWS($1:142)),))</f>
        <v/>
      </c>
      <c r="D153" s="413" t="str">
        <f ca="1">IF(ROWS($1:142)&gt;COUNT(Dong2),"",OFFSET(TH!F$1,SMALL(Dong2,ROWS($1:142)),))</f>
        <v/>
      </c>
      <c r="E153" s="190" t="str">
        <f ca="1">IF(ROWS($1:142)&gt;COUNT(Dong2),"",IF(OFFSET(TH!P$1,SMALL(Dong2,ROWS($1:142)),)=$I$6,OFFSET(TH!O$1,SMALL(Dong2,ROWS($1:142)),),OFFSET(TH!P$1,SMALL(Dong2,ROWS($1:142)),)))</f>
        <v/>
      </c>
      <c r="F153" s="191" t="str">
        <f ca="1">IF(ROWS($1:142)&gt;COUNT(Dong2),"",IF(OFFSET(TH!O$1,SMALL(Dong2,ROWS($1:142)),)=$I$6,IF($I$6="1121",OFFSET(TH!M$1,SMALL(Dong2,ROWS($1:142)),),OFFSET(TH!K$1,SMALL(Dong2,ROWS($1:142)),)),0))</f>
        <v/>
      </c>
      <c r="G153" s="191" t="str">
        <f ca="1">IF(ROWS($1:142)&gt;COUNT(Dong2),"",IF(OFFSET(TH!P$1,SMALL(Dong2,ROWS($1:142)),)=$I$6,IF($I$6="1121",OFFSET(TH!M$1,SMALL(Dong2,ROWS($1:142)),),OFFSET(TH!K$1,SMALL(Dong2,ROWS($1:142)),)),0))</f>
        <v/>
      </c>
      <c r="H153" s="192">
        <f t="shared" ca="1" si="4"/>
        <v>0</v>
      </c>
      <c r="I153" s="192"/>
    </row>
    <row r="154" spans="1:9" s="181" customFormat="1" ht="20.25" customHeight="1">
      <c r="A154" s="1070" t="str">
        <f ca="1">IF(ROWS($1:143)&gt;COUNT(Dong2),"",OFFSET(TH!C$1,SMALL(Dong2,ROWS($1:143)),))</f>
        <v/>
      </c>
      <c r="B154" s="190" t="str">
        <f ca="1">IF(ROWS($1:143)&gt;COUNT(Dong2),"",OFFSET(TH!D$1,SMALL(Dong2,ROWS($1:143)),))</f>
        <v/>
      </c>
      <c r="C154" s="1070" t="str">
        <f ca="1">IF(ROWS($1:143)&gt;COUNT(Dong2),"",OFFSET(TH!E$1,SMALL(Dong2,ROWS($1:143)),))</f>
        <v/>
      </c>
      <c r="D154" s="413" t="str">
        <f ca="1">IF(ROWS($1:143)&gt;COUNT(Dong2),"",OFFSET(TH!F$1,SMALL(Dong2,ROWS($1:143)),))</f>
        <v/>
      </c>
      <c r="E154" s="190" t="str">
        <f ca="1">IF(ROWS($1:143)&gt;COUNT(Dong2),"",IF(OFFSET(TH!P$1,SMALL(Dong2,ROWS($1:143)),)=$I$6,OFFSET(TH!O$1,SMALL(Dong2,ROWS($1:143)),),OFFSET(TH!P$1,SMALL(Dong2,ROWS($1:143)),)))</f>
        <v/>
      </c>
      <c r="F154" s="191" t="str">
        <f ca="1">IF(ROWS($1:143)&gt;COUNT(Dong2),"",IF(OFFSET(TH!O$1,SMALL(Dong2,ROWS($1:143)),)=$I$6,IF($I$6="1121",OFFSET(TH!M$1,SMALL(Dong2,ROWS($1:143)),),OFFSET(TH!K$1,SMALL(Dong2,ROWS($1:143)),)),0))</f>
        <v/>
      </c>
      <c r="G154" s="191" t="str">
        <f ca="1">IF(ROWS($1:143)&gt;COUNT(Dong2),"",IF(OFFSET(TH!P$1,SMALL(Dong2,ROWS($1:143)),)=$I$6,IF($I$6="1121",OFFSET(TH!M$1,SMALL(Dong2,ROWS($1:143)),),OFFSET(TH!K$1,SMALL(Dong2,ROWS($1:143)),)),0))</f>
        <v/>
      </c>
      <c r="H154" s="192">
        <f t="shared" ca="1" si="4"/>
        <v>0</v>
      </c>
      <c r="I154" s="192"/>
    </row>
    <row r="155" spans="1:9" s="181" customFormat="1" ht="20.25" customHeight="1">
      <c r="A155" s="1070" t="str">
        <f ca="1">IF(ROWS($1:144)&gt;COUNT(Dong2),"",OFFSET(TH!C$1,SMALL(Dong2,ROWS($1:144)),))</f>
        <v/>
      </c>
      <c r="B155" s="190" t="str">
        <f ca="1">IF(ROWS($1:144)&gt;COUNT(Dong2),"",OFFSET(TH!D$1,SMALL(Dong2,ROWS($1:144)),))</f>
        <v/>
      </c>
      <c r="C155" s="1070" t="str">
        <f ca="1">IF(ROWS($1:144)&gt;COUNT(Dong2),"",OFFSET(TH!E$1,SMALL(Dong2,ROWS($1:144)),))</f>
        <v/>
      </c>
      <c r="D155" s="413" t="str">
        <f ca="1">IF(ROWS($1:144)&gt;COUNT(Dong2),"",OFFSET(TH!F$1,SMALL(Dong2,ROWS($1:144)),))</f>
        <v/>
      </c>
      <c r="E155" s="190" t="str">
        <f ca="1">IF(ROWS($1:144)&gt;COUNT(Dong2),"",IF(OFFSET(TH!P$1,SMALL(Dong2,ROWS($1:144)),)=$I$6,OFFSET(TH!O$1,SMALL(Dong2,ROWS($1:144)),),OFFSET(TH!P$1,SMALL(Dong2,ROWS($1:144)),)))</f>
        <v/>
      </c>
      <c r="F155" s="191" t="str">
        <f ca="1">IF(ROWS($1:144)&gt;COUNT(Dong2),"",IF(OFFSET(TH!O$1,SMALL(Dong2,ROWS($1:144)),)=$I$6,IF($I$6="1121",OFFSET(TH!M$1,SMALL(Dong2,ROWS($1:144)),),OFFSET(TH!K$1,SMALL(Dong2,ROWS($1:144)),)),0))</f>
        <v/>
      </c>
      <c r="G155" s="191" t="str">
        <f ca="1">IF(ROWS($1:144)&gt;COUNT(Dong2),"",IF(OFFSET(TH!P$1,SMALL(Dong2,ROWS($1:144)),)=$I$6,IF($I$6="1121",OFFSET(TH!M$1,SMALL(Dong2,ROWS($1:144)),),OFFSET(TH!K$1,SMALL(Dong2,ROWS($1:144)),)),0))</f>
        <v/>
      </c>
      <c r="H155" s="192">
        <f t="shared" ca="1" si="4"/>
        <v>0</v>
      </c>
      <c r="I155" s="192"/>
    </row>
    <row r="156" spans="1:9" s="181" customFormat="1" ht="20.25" customHeight="1">
      <c r="A156" s="1070" t="str">
        <f ca="1">IF(ROWS($1:145)&gt;COUNT(Dong2),"",OFFSET(TH!C$1,SMALL(Dong2,ROWS($1:145)),))</f>
        <v/>
      </c>
      <c r="B156" s="190" t="str">
        <f ca="1">IF(ROWS($1:145)&gt;COUNT(Dong2),"",OFFSET(TH!D$1,SMALL(Dong2,ROWS($1:145)),))</f>
        <v/>
      </c>
      <c r="C156" s="1070" t="str">
        <f ca="1">IF(ROWS($1:145)&gt;COUNT(Dong2),"",OFFSET(TH!E$1,SMALL(Dong2,ROWS($1:145)),))</f>
        <v/>
      </c>
      <c r="D156" s="413" t="str">
        <f ca="1">IF(ROWS($1:145)&gt;COUNT(Dong2),"",OFFSET(TH!F$1,SMALL(Dong2,ROWS($1:145)),))</f>
        <v/>
      </c>
      <c r="E156" s="190" t="str">
        <f ca="1">IF(ROWS($1:145)&gt;COUNT(Dong2),"",IF(OFFSET(TH!P$1,SMALL(Dong2,ROWS($1:145)),)=$I$6,OFFSET(TH!O$1,SMALL(Dong2,ROWS($1:145)),),OFFSET(TH!P$1,SMALL(Dong2,ROWS($1:145)),)))</f>
        <v/>
      </c>
      <c r="F156" s="191" t="str">
        <f ca="1">IF(ROWS($1:145)&gt;COUNT(Dong2),"",IF(OFFSET(TH!O$1,SMALL(Dong2,ROWS($1:145)),)=$I$6,IF($I$6="1121",OFFSET(TH!M$1,SMALL(Dong2,ROWS($1:145)),),OFFSET(TH!K$1,SMALL(Dong2,ROWS($1:145)),)),0))</f>
        <v/>
      </c>
      <c r="G156" s="191" t="str">
        <f ca="1">IF(ROWS($1:145)&gt;COUNT(Dong2),"",IF(OFFSET(TH!P$1,SMALL(Dong2,ROWS($1:145)),)=$I$6,IF($I$6="1121",OFFSET(TH!M$1,SMALL(Dong2,ROWS($1:145)),),OFFSET(TH!K$1,SMALL(Dong2,ROWS($1:145)),)),0))</f>
        <v/>
      </c>
      <c r="H156" s="192">
        <f t="shared" ca="1" si="4"/>
        <v>0</v>
      </c>
      <c r="I156" s="192"/>
    </row>
    <row r="157" spans="1:9" s="181" customFormat="1" ht="20.25" customHeight="1">
      <c r="A157" s="1070" t="str">
        <f ca="1">IF(ROWS($1:146)&gt;COUNT(Dong2),"",OFFSET(TH!C$1,SMALL(Dong2,ROWS($1:146)),))</f>
        <v/>
      </c>
      <c r="B157" s="190" t="str">
        <f ca="1">IF(ROWS($1:146)&gt;COUNT(Dong2),"",OFFSET(TH!D$1,SMALL(Dong2,ROWS($1:146)),))</f>
        <v/>
      </c>
      <c r="C157" s="1070" t="str">
        <f ca="1">IF(ROWS($1:146)&gt;COUNT(Dong2),"",OFFSET(TH!E$1,SMALL(Dong2,ROWS($1:146)),))</f>
        <v/>
      </c>
      <c r="D157" s="413" t="str">
        <f ca="1">IF(ROWS($1:146)&gt;COUNT(Dong2),"",OFFSET(TH!F$1,SMALL(Dong2,ROWS($1:146)),))</f>
        <v/>
      </c>
      <c r="E157" s="190" t="str">
        <f ca="1">IF(ROWS($1:146)&gt;COUNT(Dong2),"",IF(OFFSET(TH!P$1,SMALL(Dong2,ROWS($1:146)),)=$I$6,OFFSET(TH!O$1,SMALL(Dong2,ROWS($1:146)),),OFFSET(TH!P$1,SMALL(Dong2,ROWS($1:146)),)))</f>
        <v/>
      </c>
      <c r="F157" s="191" t="str">
        <f ca="1">IF(ROWS($1:146)&gt;COUNT(Dong2),"",IF(OFFSET(TH!O$1,SMALL(Dong2,ROWS($1:146)),)=$I$6,IF($I$6="1121",OFFSET(TH!M$1,SMALL(Dong2,ROWS($1:146)),),OFFSET(TH!K$1,SMALL(Dong2,ROWS($1:146)),)),0))</f>
        <v/>
      </c>
      <c r="G157" s="191" t="str">
        <f ca="1">IF(ROWS($1:146)&gt;COUNT(Dong2),"",IF(OFFSET(TH!P$1,SMALL(Dong2,ROWS($1:146)),)=$I$6,IF($I$6="1121",OFFSET(TH!M$1,SMALL(Dong2,ROWS($1:146)),),OFFSET(TH!K$1,SMALL(Dong2,ROWS($1:146)),)),0))</f>
        <v/>
      </c>
      <c r="H157" s="192">
        <f t="shared" ca="1" si="4"/>
        <v>0</v>
      </c>
      <c r="I157" s="192"/>
    </row>
    <row r="158" spans="1:9" s="181" customFormat="1" ht="20.25" customHeight="1">
      <c r="A158" s="1070" t="str">
        <f ca="1">IF(ROWS($1:147)&gt;COUNT(Dong2),"",OFFSET(TH!C$1,SMALL(Dong2,ROWS($1:147)),))</f>
        <v/>
      </c>
      <c r="B158" s="190" t="str">
        <f ca="1">IF(ROWS($1:147)&gt;COUNT(Dong2),"",OFFSET(TH!D$1,SMALL(Dong2,ROWS($1:147)),))</f>
        <v/>
      </c>
      <c r="C158" s="1070" t="str">
        <f ca="1">IF(ROWS($1:147)&gt;COUNT(Dong2),"",OFFSET(TH!E$1,SMALL(Dong2,ROWS($1:147)),))</f>
        <v/>
      </c>
      <c r="D158" s="413" t="str">
        <f ca="1">IF(ROWS($1:147)&gt;COUNT(Dong2),"",OFFSET(TH!F$1,SMALL(Dong2,ROWS($1:147)),))</f>
        <v/>
      </c>
      <c r="E158" s="190" t="str">
        <f ca="1">IF(ROWS($1:147)&gt;COUNT(Dong2),"",IF(OFFSET(TH!P$1,SMALL(Dong2,ROWS($1:147)),)=$I$6,OFFSET(TH!O$1,SMALL(Dong2,ROWS($1:147)),),OFFSET(TH!P$1,SMALL(Dong2,ROWS($1:147)),)))</f>
        <v/>
      </c>
      <c r="F158" s="191" t="str">
        <f ca="1">IF(ROWS($1:147)&gt;COUNT(Dong2),"",IF(OFFSET(TH!O$1,SMALL(Dong2,ROWS($1:147)),)=$I$6,IF($I$6="1121",OFFSET(TH!M$1,SMALL(Dong2,ROWS($1:147)),),OFFSET(TH!K$1,SMALL(Dong2,ROWS($1:147)),)),0))</f>
        <v/>
      </c>
      <c r="G158" s="191" t="str">
        <f ca="1">IF(ROWS($1:147)&gt;COUNT(Dong2),"",IF(OFFSET(TH!P$1,SMALL(Dong2,ROWS($1:147)),)=$I$6,IF($I$6="1121",OFFSET(TH!M$1,SMALL(Dong2,ROWS($1:147)),),OFFSET(TH!K$1,SMALL(Dong2,ROWS($1:147)),)),0))</f>
        <v/>
      </c>
      <c r="H158" s="192">
        <f t="shared" ca="1" si="4"/>
        <v>0</v>
      </c>
      <c r="I158" s="192"/>
    </row>
    <row r="159" spans="1:9" s="181" customFormat="1" ht="20.25" customHeight="1">
      <c r="A159" s="1070" t="str">
        <f ca="1">IF(ROWS($1:148)&gt;COUNT(Dong2),"",OFFSET(TH!C$1,SMALL(Dong2,ROWS($1:148)),))</f>
        <v/>
      </c>
      <c r="B159" s="190" t="str">
        <f ca="1">IF(ROWS($1:148)&gt;COUNT(Dong2),"",OFFSET(TH!D$1,SMALL(Dong2,ROWS($1:148)),))</f>
        <v/>
      </c>
      <c r="C159" s="1070" t="str">
        <f ca="1">IF(ROWS($1:148)&gt;COUNT(Dong2),"",OFFSET(TH!E$1,SMALL(Dong2,ROWS($1:148)),))</f>
        <v/>
      </c>
      <c r="D159" s="413" t="str">
        <f ca="1">IF(ROWS($1:148)&gt;COUNT(Dong2),"",OFFSET(TH!F$1,SMALL(Dong2,ROWS($1:148)),))</f>
        <v/>
      </c>
      <c r="E159" s="190" t="str">
        <f ca="1">IF(ROWS($1:148)&gt;COUNT(Dong2),"",IF(OFFSET(TH!P$1,SMALL(Dong2,ROWS($1:148)),)=$I$6,OFFSET(TH!O$1,SMALL(Dong2,ROWS($1:148)),),OFFSET(TH!P$1,SMALL(Dong2,ROWS($1:148)),)))</f>
        <v/>
      </c>
      <c r="F159" s="191" t="str">
        <f ca="1">IF(ROWS($1:148)&gt;COUNT(Dong2),"",IF(OFFSET(TH!O$1,SMALL(Dong2,ROWS($1:148)),)=$I$6,IF($I$6="1121",OFFSET(TH!M$1,SMALL(Dong2,ROWS($1:148)),),OFFSET(TH!K$1,SMALL(Dong2,ROWS($1:148)),)),0))</f>
        <v/>
      </c>
      <c r="G159" s="191" t="str">
        <f ca="1">IF(ROWS($1:148)&gt;COUNT(Dong2),"",IF(OFFSET(TH!P$1,SMALL(Dong2,ROWS($1:148)),)=$I$6,IF($I$6="1121",OFFSET(TH!M$1,SMALL(Dong2,ROWS($1:148)),),OFFSET(TH!K$1,SMALL(Dong2,ROWS($1:148)),)),0))</f>
        <v/>
      </c>
      <c r="H159" s="192">
        <f t="shared" ca="1" si="4"/>
        <v>0</v>
      </c>
      <c r="I159" s="192"/>
    </row>
    <row r="160" spans="1:9" s="181" customFormat="1" ht="20.25" customHeight="1">
      <c r="A160" s="1070" t="str">
        <f ca="1">IF(ROWS($1:149)&gt;COUNT(Dong2),"",OFFSET(TH!C$1,SMALL(Dong2,ROWS($1:149)),))</f>
        <v/>
      </c>
      <c r="B160" s="190" t="str">
        <f ca="1">IF(ROWS($1:149)&gt;COUNT(Dong2),"",OFFSET(TH!D$1,SMALL(Dong2,ROWS($1:149)),))</f>
        <v/>
      </c>
      <c r="C160" s="1070" t="str">
        <f ca="1">IF(ROWS($1:149)&gt;COUNT(Dong2),"",OFFSET(TH!E$1,SMALL(Dong2,ROWS($1:149)),))</f>
        <v/>
      </c>
      <c r="D160" s="413" t="str">
        <f ca="1">IF(ROWS($1:149)&gt;COUNT(Dong2),"",OFFSET(TH!F$1,SMALL(Dong2,ROWS($1:149)),))</f>
        <v/>
      </c>
      <c r="E160" s="190" t="str">
        <f ca="1">IF(ROWS($1:149)&gt;COUNT(Dong2),"",IF(OFFSET(TH!P$1,SMALL(Dong2,ROWS($1:149)),)=$I$6,OFFSET(TH!O$1,SMALL(Dong2,ROWS($1:149)),),OFFSET(TH!P$1,SMALL(Dong2,ROWS($1:149)),)))</f>
        <v/>
      </c>
      <c r="F160" s="191" t="str">
        <f ca="1">IF(ROWS($1:149)&gt;COUNT(Dong2),"",IF(OFFSET(TH!O$1,SMALL(Dong2,ROWS($1:149)),)=$I$6,IF($I$6="1121",OFFSET(TH!M$1,SMALL(Dong2,ROWS($1:149)),),OFFSET(TH!K$1,SMALL(Dong2,ROWS($1:149)),)),0))</f>
        <v/>
      </c>
      <c r="G160" s="191" t="str">
        <f ca="1">IF(ROWS($1:149)&gt;COUNT(Dong2),"",IF(OFFSET(TH!P$1,SMALL(Dong2,ROWS($1:149)),)=$I$6,IF($I$6="1121",OFFSET(TH!M$1,SMALL(Dong2,ROWS($1:149)),),OFFSET(TH!K$1,SMALL(Dong2,ROWS($1:149)),)),0))</f>
        <v/>
      </c>
      <c r="H160" s="192">
        <f t="shared" ca="1" si="4"/>
        <v>0</v>
      </c>
      <c r="I160" s="192"/>
    </row>
    <row r="161" spans="1:9" s="181" customFormat="1" ht="20.25" customHeight="1">
      <c r="A161" s="1070" t="str">
        <f ca="1">IF(ROWS($1:150)&gt;COUNT(Dong2),"",OFFSET(TH!C$1,SMALL(Dong2,ROWS($1:150)),))</f>
        <v/>
      </c>
      <c r="B161" s="190" t="str">
        <f ca="1">IF(ROWS($1:150)&gt;COUNT(Dong2),"",OFFSET(TH!D$1,SMALL(Dong2,ROWS($1:150)),))</f>
        <v/>
      </c>
      <c r="C161" s="1070" t="str">
        <f ca="1">IF(ROWS($1:150)&gt;COUNT(Dong2),"",OFFSET(TH!E$1,SMALL(Dong2,ROWS($1:150)),))</f>
        <v/>
      </c>
      <c r="D161" s="413" t="str">
        <f ca="1">IF(ROWS($1:150)&gt;COUNT(Dong2),"",OFFSET(TH!F$1,SMALL(Dong2,ROWS($1:150)),))</f>
        <v/>
      </c>
      <c r="E161" s="190" t="str">
        <f ca="1">IF(ROWS($1:150)&gt;COUNT(Dong2),"",IF(OFFSET(TH!P$1,SMALL(Dong2,ROWS($1:150)),)=$I$6,OFFSET(TH!O$1,SMALL(Dong2,ROWS($1:150)),),OFFSET(TH!P$1,SMALL(Dong2,ROWS($1:150)),)))</f>
        <v/>
      </c>
      <c r="F161" s="191" t="str">
        <f ca="1">IF(ROWS($1:150)&gt;COUNT(Dong2),"",IF(OFFSET(TH!O$1,SMALL(Dong2,ROWS($1:150)),)=$I$6,IF($I$6="1121",OFFSET(TH!M$1,SMALL(Dong2,ROWS($1:150)),),OFFSET(TH!K$1,SMALL(Dong2,ROWS($1:150)),)),0))</f>
        <v/>
      </c>
      <c r="G161" s="191" t="str">
        <f ca="1">IF(ROWS($1:150)&gt;COUNT(Dong2),"",IF(OFFSET(TH!P$1,SMALL(Dong2,ROWS($1:150)),)=$I$6,IF($I$6="1121",OFFSET(TH!M$1,SMALL(Dong2,ROWS($1:150)),),OFFSET(TH!K$1,SMALL(Dong2,ROWS($1:150)),)),0))</f>
        <v/>
      </c>
      <c r="H161" s="192">
        <f t="shared" ca="1" si="4"/>
        <v>0</v>
      </c>
      <c r="I161" s="192"/>
    </row>
    <row r="162" spans="1:9" s="181" customFormat="1" ht="20.25" customHeight="1">
      <c r="A162" s="1070" t="str">
        <f ca="1">IF(ROWS($1:151)&gt;COUNT(Dong2),"",OFFSET(TH!C$1,SMALL(Dong2,ROWS($1:151)),))</f>
        <v/>
      </c>
      <c r="B162" s="190" t="str">
        <f ca="1">IF(ROWS($1:151)&gt;COUNT(Dong2),"",OFFSET(TH!D$1,SMALL(Dong2,ROWS($1:151)),))</f>
        <v/>
      </c>
      <c r="C162" s="1070" t="str">
        <f ca="1">IF(ROWS($1:151)&gt;COUNT(Dong2),"",OFFSET(TH!E$1,SMALL(Dong2,ROWS($1:151)),))</f>
        <v/>
      </c>
      <c r="D162" s="413" t="str">
        <f ca="1">IF(ROWS($1:151)&gt;COUNT(Dong2),"",OFFSET(TH!F$1,SMALL(Dong2,ROWS($1:151)),))</f>
        <v/>
      </c>
      <c r="E162" s="190" t="str">
        <f ca="1">IF(ROWS($1:151)&gt;COUNT(Dong2),"",IF(OFFSET(TH!P$1,SMALL(Dong2,ROWS($1:151)),)=$I$6,OFFSET(TH!O$1,SMALL(Dong2,ROWS($1:151)),),OFFSET(TH!P$1,SMALL(Dong2,ROWS($1:151)),)))</f>
        <v/>
      </c>
      <c r="F162" s="191" t="str">
        <f ca="1">IF(ROWS($1:151)&gt;COUNT(Dong2),"",IF(OFFSET(TH!O$1,SMALL(Dong2,ROWS($1:151)),)=$I$6,IF($I$6="1121",OFFSET(TH!M$1,SMALL(Dong2,ROWS($1:151)),),OFFSET(TH!K$1,SMALL(Dong2,ROWS($1:151)),)),0))</f>
        <v/>
      </c>
      <c r="G162" s="191" t="str">
        <f ca="1">IF(ROWS($1:151)&gt;COUNT(Dong2),"",IF(OFFSET(TH!P$1,SMALL(Dong2,ROWS($1:151)),)=$I$6,IF($I$6="1121",OFFSET(TH!M$1,SMALL(Dong2,ROWS($1:151)),),OFFSET(TH!K$1,SMALL(Dong2,ROWS($1:151)),)),0))</f>
        <v/>
      </c>
      <c r="H162" s="192">
        <f t="shared" ca="1" si="4"/>
        <v>0</v>
      </c>
      <c r="I162" s="192"/>
    </row>
    <row r="163" spans="1:9" s="181" customFormat="1" ht="20.25" customHeight="1">
      <c r="A163" s="1070" t="str">
        <f ca="1">IF(ROWS($1:152)&gt;COUNT(Dong2),"",OFFSET(TH!C$1,SMALL(Dong2,ROWS($1:152)),))</f>
        <v/>
      </c>
      <c r="B163" s="190" t="str">
        <f ca="1">IF(ROWS($1:152)&gt;COUNT(Dong2),"",OFFSET(TH!D$1,SMALL(Dong2,ROWS($1:152)),))</f>
        <v/>
      </c>
      <c r="C163" s="1070" t="str">
        <f ca="1">IF(ROWS($1:152)&gt;COUNT(Dong2),"",OFFSET(TH!E$1,SMALL(Dong2,ROWS($1:152)),))</f>
        <v/>
      </c>
      <c r="D163" s="413" t="str">
        <f ca="1">IF(ROWS($1:152)&gt;COUNT(Dong2),"",OFFSET(TH!F$1,SMALL(Dong2,ROWS($1:152)),))</f>
        <v/>
      </c>
      <c r="E163" s="190" t="str">
        <f ca="1">IF(ROWS($1:152)&gt;COUNT(Dong2),"",IF(OFFSET(TH!P$1,SMALL(Dong2,ROWS($1:152)),)=$I$6,OFFSET(TH!O$1,SMALL(Dong2,ROWS($1:152)),),OFFSET(TH!P$1,SMALL(Dong2,ROWS($1:152)),)))</f>
        <v/>
      </c>
      <c r="F163" s="191" t="str">
        <f ca="1">IF(ROWS($1:152)&gt;COUNT(Dong2),"",IF(OFFSET(TH!O$1,SMALL(Dong2,ROWS($1:152)),)=$I$6,IF($I$6="1121",OFFSET(TH!M$1,SMALL(Dong2,ROWS($1:152)),),OFFSET(TH!K$1,SMALL(Dong2,ROWS($1:152)),)),0))</f>
        <v/>
      </c>
      <c r="G163" s="191" t="str">
        <f ca="1">IF(ROWS($1:152)&gt;COUNT(Dong2),"",IF(OFFSET(TH!P$1,SMALL(Dong2,ROWS($1:152)),)=$I$6,IF($I$6="1121",OFFSET(TH!M$1,SMALL(Dong2,ROWS($1:152)),),OFFSET(TH!K$1,SMALL(Dong2,ROWS($1:152)),)),0))</f>
        <v/>
      </c>
      <c r="H163" s="192">
        <f t="shared" ca="1" si="4"/>
        <v>0</v>
      </c>
      <c r="I163" s="192"/>
    </row>
    <row r="164" spans="1:9" s="181" customFormat="1" ht="20.25" customHeight="1">
      <c r="A164" s="1070" t="str">
        <f ca="1">IF(ROWS($1:153)&gt;COUNT(Dong2),"",OFFSET(TH!C$1,SMALL(Dong2,ROWS($1:153)),))</f>
        <v/>
      </c>
      <c r="B164" s="190" t="str">
        <f ca="1">IF(ROWS($1:153)&gt;COUNT(Dong2),"",OFFSET(TH!D$1,SMALL(Dong2,ROWS($1:153)),))</f>
        <v/>
      </c>
      <c r="C164" s="1070" t="str">
        <f ca="1">IF(ROWS($1:153)&gt;COUNT(Dong2),"",OFFSET(TH!E$1,SMALL(Dong2,ROWS($1:153)),))</f>
        <v/>
      </c>
      <c r="D164" s="413" t="str">
        <f ca="1">IF(ROWS($1:153)&gt;COUNT(Dong2),"",OFFSET(TH!F$1,SMALL(Dong2,ROWS($1:153)),))</f>
        <v/>
      </c>
      <c r="E164" s="190" t="str">
        <f ca="1">IF(ROWS($1:153)&gt;COUNT(Dong2),"",IF(OFFSET(TH!P$1,SMALL(Dong2,ROWS($1:153)),)=$I$6,OFFSET(TH!O$1,SMALL(Dong2,ROWS($1:153)),),OFFSET(TH!P$1,SMALL(Dong2,ROWS($1:153)),)))</f>
        <v/>
      </c>
      <c r="F164" s="191" t="str">
        <f ca="1">IF(ROWS($1:153)&gt;COUNT(Dong2),"",IF(OFFSET(TH!O$1,SMALL(Dong2,ROWS($1:153)),)=$I$6,IF($I$6="1121",OFFSET(TH!M$1,SMALL(Dong2,ROWS($1:153)),),OFFSET(TH!K$1,SMALL(Dong2,ROWS($1:153)),)),0))</f>
        <v/>
      </c>
      <c r="G164" s="191" t="str">
        <f ca="1">IF(ROWS($1:153)&gt;COUNT(Dong2),"",IF(OFFSET(TH!P$1,SMALL(Dong2,ROWS($1:153)),)=$I$6,IF($I$6="1121",OFFSET(TH!M$1,SMALL(Dong2,ROWS($1:153)),),OFFSET(TH!K$1,SMALL(Dong2,ROWS($1:153)),)),0))</f>
        <v/>
      </c>
      <c r="H164" s="192">
        <f t="shared" ca="1" si="4"/>
        <v>0</v>
      </c>
      <c r="I164" s="192"/>
    </row>
    <row r="165" spans="1:9" s="181" customFormat="1" ht="20.25" customHeight="1">
      <c r="A165" s="1070" t="str">
        <f ca="1">IF(ROWS($1:154)&gt;COUNT(Dong2),"",OFFSET(TH!C$1,SMALL(Dong2,ROWS($1:154)),))</f>
        <v/>
      </c>
      <c r="B165" s="190" t="str">
        <f ca="1">IF(ROWS($1:154)&gt;COUNT(Dong2),"",OFFSET(TH!D$1,SMALL(Dong2,ROWS($1:154)),))</f>
        <v/>
      </c>
      <c r="C165" s="1070" t="str">
        <f ca="1">IF(ROWS($1:154)&gt;COUNT(Dong2),"",OFFSET(TH!E$1,SMALL(Dong2,ROWS($1:154)),))</f>
        <v/>
      </c>
      <c r="D165" s="413" t="str">
        <f ca="1">IF(ROWS($1:154)&gt;COUNT(Dong2),"",OFFSET(TH!F$1,SMALL(Dong2,ROWS($1:154)),))</f>
        <v/>
      </c>
      <c r="E165" s="190" t="str">
        <f ca="1">IF(ROWS($1:154)&gt;COUNT(Dong2),"",IF(OFFSET(TH!P$1,SMALL(Dong2,ROWS($1:154)),)=$I$6,OFFSET(TH!O$1,SMALL(Dong2,ROWS($1:154)),),OFFSET(TH!P$1,SMALL(Dong2,ROWS($1:154)),)))</f>
        <v/>
      </c>
      <c r="F165" s="191" t="str">
        <f ca="1">IF(ROWS($1:154)&gt;COUNT(Dong2),"",IF(OFFSET(TH!O$1,SMALL(Dong2,ROWS($1:154)),)=$I$6,IF($I$6="1121",OFFSET(TH!M$1,SMALL(Dong2,ROWS($1:154)),),OFFSET(TH!K$1,SMALL(Dong2,ROWS($1:154)),)),0))</f>
        <v/>
      </c>
      <c r="G165" s="191" t="str">
        <f ca="1">IF(ROWS($1:154)&gt;COUNT(Dong2),"",IF(OFFSET(TH!P$1,SMALL(Dong2,ROWS($1:154)),)=$I$6,IF($I$6="1121",OFFSET(TH!M$1,SMALL(Dong2,ROWS($1:154)),),OFFSET(TH!K$1,SMALL(Dong2,ROWS($1:154)),)),0))</f>
        <v/>
      </c>
      <c r="H165" s="192">
        <f t="shared" ca="1" si="4"/>
        <v>0</v>
      </c>
      <c r="I165" s="192"/>
    </row>
    <row r="166" spans="1:9" s="181" customFormat="1" ht="20.25" customHeight="1">
      <c r="A166" s="1070" t="str">
        <f ca="1">IF(ROWS($1:155)&gt;COUNT(Dong2),"",OFFSET(TH!C$1,SMALL(Dong2,ROWS($1:155)),))</f>
        <v/>
      </c>
      <c r="B166" s="190" t="str">
        <f ca="1">IF(ROWS($1:155)&gt;COUNT(Dong2),"",OFFSET(TH!D$1,SMALL(Dong2,ROWS($1:155)),))</f>
        <v/>
      </c>
      <c r="C166" s="1070" t="str">
        <f ca="1">IF(ROWS($1:155)&gt;COUNT(Dong2),"",OFFSET(TH!E$1,SMALL(Dong2,ROWS($1:155)),))</f>
        <v/>
      </c>
      <c r="D166" s="413" t="str">
        <f ca="1">IF(ROWS($1:155)&gt;COUNT(Dong2),"",OFFSET(TH!F$1,SMALL(Dong2,ROWS($1:155)),))</f>
        <v/>
      </c>
      <c r="E166" s="190" t="str">
        <f ca="1">IF(ROWS($1:155)&gt;COUNT(Dong2),"",IF(OFFSET(TH!P$1,SMALL(Dong2,ROWS($1:155)),)=$I$6,OFFSET(TH!O$1,SMALL(Dong2,ROWS($1:155)),),OFFSET(TH!P$1,SMALL(Dong2,ROWS($1:155)),)))</f>
        <v/>
      </c>
      <c r="F166" s="191" t="str">
        <f ca="1">IF(ROWS($1:155)&gt;COUNT(Dong2),"",IF(OFFSET(TH!O$1,SMALL(Dong2,ROWS($1:155)),)=$I$6,IF($I$6="1121",OFFSET(TH!M$1,SMALL(Dong2,ROWS($1:155)),),OFFSET(TH!K$1,SMALL(Dong2,ROWS($1:155)),)),0))</f>
        <v/>
      </c>
      <c r="G166" s="191" t="str">
        <f ca="1">IF(ROWS($1:155)&gt;COUNT(Dong2),"",IF(OFFSET(TH!P$1,SMALL(Dong2,ROWS($1:155)),)=$I$6,IF($I$6="1121",OFFSET(TH!M$1,SMALL(Dong2,ROWS($1:155)),),OFFSET(TH!K$1,SMALL(Dong2,ROWS($1:155)),)),0))</f>
        <v/>
      </c>
      <c r="H166" s="192">
        <f t="shared" ca="1" si="4"/>
        <v>0</v>
      </c>
      <c r="I166" s="192"/>
    </row>
    <row r="167" spans="1:9" s="181" customFormat="1" ht="20.25" customHeight="1">
      <c r="A167" s="1070" t="str">
        <f ca="1">IF(ROWS($1:156)&gt;COUNT(Dong2),"",OFFSET(TH!C$1,SMALL(Dong2,ROWS($1:156)),))</f>
        <v/>
      </c>
      <c r="B167" s="190" t="str">
        <f ca="1">IF(ROWS($1:156)&gt;COUNT(Dong2),"",OFFSET(TH!D$1,SMALL(Dong2,ROWS($1:156)),))</f>
        <v/>
      </c>
      <c r="C167" s="1070" t="str">
        <f ca="1">IF(ROWS($1:156)&gt;COUNT(Dong2),"",OFFSET(TH!E$1,SMALL(Dong2,ROWS($1:156)),))</f>
        <v/>
      </c>
      <c r="D167" s="413" t="str">
        <f ca="1">IF(ROWS($1:156)&gt;COUNT(Dong2),"",OFFSET(TH!F$1,SMALL(Dong2,ROWS($1:156)),))</f>
        <v/>
      </c>
      <c r="E167" s="190" t="str">
        <f ca="1">IF(ROWS($1:156)&gt;COUNT(Dong2),"",IF(OFFSET(TH!P$1,SMALL(Dong2,ROWS($1:156)),)=$I$6,OFFSET(TH!O$1,SMALL(Dong2,ROWS($1:156)),),OFFSET(TH!P$1,SMALL(Dong2,ROWS($1:156)),)))</f>
        <v/>
      </c>
      <c r="F167" s="191" t="str">
        <f ca="1">IF(ROWS($1:156)&gt;COUNT(Dong2),"",IF(OFFSET(TH!O$1,SMALL(Dong2,ROWS($1:156)),)=$I$6,IF($I$6="1121",OFFSET(TH!M$1,SMALL(Dong2,ROWS($1:156)),),OFFSET(TH!K$1,SMALL(Dong2,ROWS($1:156)),)),0))</f>
        <v/>
      </c>
      <c r="G167" s="191" t="str">
        <f ca="1">IF(ROWS($1:156)&gt;COUNT(Dong2),"",IF(OFFSET(TH!P$1,SMALL(Dong2,ROWS($1:156)),)=$I$6,IF($I$6="1121",OFFSET(TH!M$1,SMALL(Dong2,ROWS($1:156)),),OFFSET(TH!K$1,SMALL(Dong2,ROWS($1:156)),)),0))</f>
        <v/>
      </c>
      <c r="H167" s="192">
        <f t="shared" ca="1" si="4"/>
        <v>0</v>
      </c>
      <c r="I167" s="192"/>
    </row>
    <row r="168" spans="1:9" s="181" customFormat="1" ht="20.25" customHeight="1">
      <c r="A168" s="1070" t="str">
        <f ca="1">IF(ROWS($1:157)&gt;COUNT(Dong2),"",OFFSET(TH!C$1,SMALL(Dong2,ROWS($1:157)),))</f>
        <v/>
      </c>
      <c r="B168" s="190" t="str">
        <f ca="1">IF(ROWS($1:157)&gt;COUNT(Dong2),"",OFFSET(TH!D$1,SMALL(Dong2,ROWS($1:157)),))</f>
        <v/>
      </c>
      <c r="C168" s="1070" t="str">
        <f ca="1">IF(ROWS($1:157)&gt;COUNT(Dong2),"",OFFSET(TH!E$1,SMALL(Dong2,ROWS($1:157)),))</f>
        <v/>
      </c>
      <c r="D168" s="413" t="str">
        <f ca="1">IF(ROWS($1:157)&gt;COUNT(Dong2),"",OFFSET(TH!F$1,SMALL(Dong2,ROWS($1:157)),))</f>
        <v/>
      </c>
      <c r="E168" s="190" t="str">
        <f ca="1">IF(ROWS($1:157)&gt;COUNT(Dong2),"",IF(OFFSET(TH!P$1,SMALL(Dong2,ROWS($1:157)),)=$I$6,OFFSET(TH!O$1,SMALL(Dong2,ROWS($1:157)),),OFFSET(TH!P$1,SMALL(Dong2,ROWS($1:157)),)))</f>
        <v/>
      </c>
      <c r="F168" s="191" t="str">
        <f ca="1">IF(ROWS($1:157)&gt;COUNT(Dong2),"",IF(OFFSET(TH!O$1,SMALL(Dong2,ROWS($1:157)),)=$I$6,IF($I$6="1121",OFFSET(TH!M$1,SMALL(Dong2,ROWS($1:157)),),OFFSET(TH!K$1,SMALL(Dong2,ROWS($1:157)),)),0))</f>
        <v/>
      </c>
      <c r="G168" s="191" t="str">
        <f ca="1">IF(ROWS($1:157)&gt;COUNT(Dong2),"",IF(OFFSET(TH!P$1,SMALL(Dong2,ROWS($1:157)),)=$I$6,IF($I$6="1121",OFFSET(TH!M$1,SMALL(Dong2,ROWS($1:157)),),OFFSET(TH!K$1,SMALL(Dong2,ROWS($1:157)),)),0))</f>
        <v/>
      </c>
      <c r="H168" s="192">
        <f t="shared" ca="1" si="4"/>
        <v>0</v>
      </c>
      <c r="I168" s="192"/>
    </row>
    <row r="169" spans="1:9" s="181" customFormat="1" ht="20.25" customHeight="1">
      <c r="A169" s="1070" t="str">
        <f ca="1">IF(ROWS($1:158)&gt;COUNT(Dong2),"",OFFSET(TH!C$1,SMALL(Dong2,ROWS($1:158)),))</f>
        <v/>
      </c>
      <c r="B169" s="190" t="str">
        <f ca="1">IF(ROWS($1:158)&gt;COUNT(Dong2),"",OFFSET(TH!D$1,SMALL(Dong2,ROWS($1:158)),))</f>
        <v/>
      </c>
      <c r="C169" s="1070" t="str">
        <f ca="1">IF(ROWS($1:158)&gt;COUNT(Dong2),"",OFFSET(TH!E$1,SMALL(Dong2,ROWS($1:158)),))</f>
        <v/>
      </c>
      <c r="D169" s="413" t="str">
        <f ca="1">IF(ROWS($1:158)&gt;COUNT(Dong2),"",OFFSET(TH!F$1,SMALL(Dong2,ROWS($1:158)),))</f>
        <v/>
      </c>
      <c r="E169" s="190" t="str">
        <f ca="1">IF(ROWS($1:158)&gt;COUNT(Dong2),"",IF(OFFSET(TH!P$1,SMALL(Dong2,ROWS($1:158)),)=$I$6,OFFSET(TH!O$1,SMALL(Dong2,ROWS($1:158)),),OFFSET(TH!P$1,SMALL(Dong2,ROWS($1:158)),)))</f>
        <v/>
      </c>
      <c r="F169" s="191" t="str">
        <f ca="1">IF(ROWS($1:158)&gt;COUNT(Dong2),"",IF(OFFSET(TH!O$1,SMALL(Dong2,ROWS($1:158)),)=$I$6,IF($I$6="1121",OFFSET(TH!M$1,SMALL(Dong2,ROWS($1:158)),),OFFSET(TH!K$1,SMALL(Dong2,ROWS($1:158)),)),0))</f>
        <v/>
      </c>
      <c r="G169" s="191" t="str">
        <f ca="1">IF(ROWS($1:158)&gt;COUNT(Dong2),"",IF(OFFSET(TH!P$1,SMALL(Dong2,ROWS($1:158)),)=$I$6,IF($I$6="1121",OFFSET(TH!M$1,SMALL(Dong2,ROWS($1:158)),),OFFSET(TH!K$1,SMALL(Dong2,ROWS($1:158)),)),0))</f>
        <v/>
      </c>
      <c r="H169" s="192">
        <f t="shared" ca="1" si="4"/>
        <v>0</v>
      </c>
      <c r="I169" s="192"/>
    </row>
    <row r="170" spans="1:9" s="181" customFormat="1" ht="20.25" customHeight="1">
      <c r="A170" s="1070" t="str">
        <f ca="1">IF(ROWS($1:159)&gt;COUNT(Dong2),"",OFFSET(TH!C$1,SMALL(Dong2,ROWS($1:159)),))</f>
        <v/>
      </c>
      <c r="B170" s="190" t="str">
        <f ca="1">IF(ROWS($1:159)&gt;COUNT(Dong2),"",OFFSET(TH!D$1,SMALL(Dong2,ROWS($1:159)),))</f>
        <v/>
      </c>
      <c r="C170" s="1070" t="str">
        <f ca="1">IF(ROWS($1:159)&gt;COUNT(Dong2),"",OFFSET(TH!E$1,SMALL(Dong2,ROWS($1:159)),))</f>
        <v/>
      </c>
      <c r="D170" s="413" t="str">
        <f ca="1">IF(ROWS($1:159)&gt;COUNT(Dong2),"",OFFSET(TH!F$1,SMALL(Dong2,ROWS($1:159)),))</f>
        <v/>
      </c>
      <c r="E170" s="190" t="str">
        <f ca="1">IF(ROWS($1:159)&gt;COUNT(Dong2),"",IF(OFFSET(TH!P$1,SMALL(Dong2,ROWS($1:159)),)=$I$6,OFFSET(TH!O$1,SMALL(Dong2,ROWS($1:159)),),OFFSET(TH!P$1,SMALL(Dong2,ROWS($1:159)),)))</f>
        <v/>
      </c>
      <c r="F170" s="191" t="str">
        <f ca="1">IF(ROWS($1:159)&gt;COUNT(Dong2),"",IF(OFFSET(TH!O$1,SMALL(Dong2,ROWS($1:159)),)=$I$6,IF($I$6="1121",OFFSET(TH!M$1,SMALL(Dong2,ROWS($1:159)),),OFFSET(TH!K$1,SMALL(Dong2,ROWS($1:159)),)),0))</f>
        <v/>
      </c>
      <c r="G170" s="191" t="str">
        <f ca="1">IF(ROWS($1:159)&gt;COUNT(Dong2),"",IF(OFFSET(TH!P$1,SMALL(Dong2,ROWS($1:159)),)=$I$6,IF($I$6="1121",OFFSET(TH!M$1,SMALL(Dong2,ROWS($1:159)),),OFFSET(TH!K$1,SMALL(Dong2,ROWS($1:159)),)),0))</f>
        <v/>
      </c>
      <c r="H170" s="192">
        <f t="shared" ca="1" si="4"/>
        <v>0</v>
      </c>
      <c r="I170" s="192"/>
    </row>
    <row r="171" spans="1:9" s="181" customFormat="1" ht="20.25" customHeight="1">
      <c r="A171" s="1070" t="str">
        <f ca="1">IF(ROWS($1:160)&gt;COUNT(Dong2),"",OFFSET(TH!C$1,SMALL(Dong2,ROWS($1:160)),))</f>
        <v/>
      </c>
      <c r="B171" s="190" t="str">
        <f ca="1">IF(ROWS($1:160)&gt;COUNT(Dong2),"",OFFSET(TH!D$1,SMALL(Dong2,ROWS($1:160)),))</f>
        <v/>
      </c>
      <c r="C171" s="1070" t="str">
        <f ca="1">IF(ROWS($1:160)&gt;COUNT(Dong2),"",OFFSET(TH!E$1,SMALL(Dong2,ROWS($1:160)),))</f>
        <v/>
      </c>
      <c r="D171" s="413" t="str">
        <f ca="1">IF(ROWS($1:160)&gt;COUNT(Dong2),"",OFFSET(TH!F$1,SMALL(Dong2,ROWS($1:160)),))</f>
        <v/>
      </c>
      <c r="E171" s="190" t="str">
        <f ca="1">IF(ROWS($1:160)&gt;COUNT(Dong2),"",IF(OFFSET(TH!P$1,SMALL(Dong2,ROWS($1:160)),)=$I$6,OFFSET(TH!O$1,SMALL(Dong2,ROWS($1:160)),),OFFSET(TH!P$1,SMALL(Dong2,ROWS($1:160)),)))</f>
        <v/>
      </c>
      <c r="F171" s="191" t="str">
        <f ca="1">IF(ROWS($1:160)&gt;COUNT(Dong2),"",IF(OFFSET(TH!O$1,SMALL(Dong2,ROWS($1:160)),)=$I$6,IF($I$6="1121",OFFSET(TH!M$1,SMALL(Dong2,ROWS($1:160)),),OFFSET(TH!K$1,SMALL(Dong2,ROWS($1:160)),)),0))</f>
        <v/>
      </c>
      <c r="G171" s="191" t="str">
        <f ca="1">IF(ROWS($1:160)&gt;COUNT(Dong2),"",IF(OFFSET(TH!P$1,SMALL(Dong2,ROWS($1:160)),)=$I$6,IF($I$6="1121",OFFSET(TH!M$1,SMALL(Dong2,ROWS($1:160)),),OFFSET(TH!K$1,SMALL(Dong2,ROWS($1:160)),)),0))</f>
        <v/>
      </c>
      <c r="H171" s="192">
        <f t="shared" ca="1" si="4"/>
        <v>0</v>
      </c>
      <c r="I171" s="192"/>
    </row>
    <row r="172" spans="1:9" s="181" customFormat="1" ht="20.25" customHeight="1">
      <c r="A172" s="1070" t="str">
        <f ca="1">IF(ROWS($1:161)&gt;COUNT(Dong2),"",OFFSET(TH!C$1,SMALL(Dong2,ROWS($1:161)),))</f>
        <v/>
      </c>
      <c r="B172" s="190" t="str">
        <f ca="1">IF(ROWS($1:161)&gt;COUNT(Dong2),"",OFFSET(TH!D$1,SMALL(Dong2,ROWS($1:161)),))</f>
        <v/>
      </c>
      <c r="C172" s="1070" t="str">
        <f ca="1">IF(ROWS($1:161)&gt;COUNT(Dong2),"",OFFSET(TH!E$1,SMALL(Dong2,ROWS($1:161)),))</f>
        <v/>
      </c>
      <c r="D172" s="413" t="str">
        <f ca="1">IF(ROWS($1:161)&gt;COUNT(Dong2),"",OFFSET(TH!F$1,SMALL(Dong2,ROWS($1:161)),))</f>
        <v/>
      </c>
      <c r="E172" s="190" t="str">
        <f ca="1">IF(ROWS($1:161)&gt;COUNT(Dong2),"",IF(OFFSET(TH!P$1,SMALL(Dong2,ROWS($1:161)),)=$I$6,OFFSET(TH!O$1,SMALL(Dong2,ROWS($1:161)),),OFFSET(TH!P$1,SMALL(Dong2,ROWS($1:161)),)))</f>
        <v/>
      </c>
      <c r="F172" s="191" t="str">
        <f ca="1">IF(ROWS($1:161)&gt;COUNT(Dong2),"",IF(OFFSET(TH!O$1,SMALL(Dong2,ROWS($1:161)),)=$I$6,IF($I$6="1121",OFFSET(TH!M$1,SMALL(Dong2,ROWS($1:161)),),OFFSET(TH!K$1,SMALL(Dong2,ROWS($1:161)),)),0))</f>
        <v/>
      </c>
      <c r="G172" s="191" t="str">
        <f ca="1">IF(ROWS($1:161)&gt;COUNT(Dong2),"",IF(OFFSET(TH!P$1,SMALL(Dong2,ROWS($1:161)),)=$I$6,IF($I$6="1121",OFFSET(TH!M$1,SMALL(Dong2,ROWS($1:161)),),OFFSET(TH!K$1,SMALL(Dong2,ROWS($1:161)),)),0))</f>
        <v/>
      </c>
      <c r="H172" s="192">
        <f t="shared" ca="1" si="4"/>
        <v>0</v>
      </c>
      <c r="I172" s="192"/>
    </row>
    <row r="173" spans="1:9" s="181" customFormat="1" ht="20.25" customHeight="1">
      <c r="A173" s="1070" t="str">
        <f ca="1">IF(ROWS($1:162)&gt;COUNT(Dong2),"",OFFSET(TH!C$1,SMALL(Dong2,ROWS($1:162)),))</f>
        <v/>
      </c>
      <c r="B173" s="190" t="str">
        <f ca="1">IF(ROWS($1:162)&gt;COUNT(Dong2),"",OFFSET(TH!D$1,SMALL(Dong2,ROWS($1:162)),))</f>
        <v/>
      </c>
      <c r="C173" s="1070" t="str">
        <f ca="1">IF(ROWS($1:162)&gt;COUNT(Dong2),"",OFFSET(TH!E$1,SMALL(Dong2,ROWS($1:162)),))</f>
        <v/>
      </c>
      <c r="D173" s="413" t="str">
        <f ca="1">IF(ROWS($1:162)&gt;COUNT(Dong2),"",OFFSET(TH!F$1,SMALL(Dong2,ROWS($1:162)),))</f>
        <v/>
      </c>
      <c r="E173" s="190" t="str">
        <f ca="1">IF(ROWS($1:162)&gt;COUNT(Dong2),"",IF(OFFSET(TH!P$1,SMALL(Dong2,ROWS($1:162)),)=$I$6,OFFSET(TH!O$1,SMALL(Dong2,ROWS($1:162)),),OFFSET(TH!P$1,SMALL(Dong2,ROWS($1:162)),)))</f>
        <v/>
      </c>
      <c r="F173" s="191" t="str">
        <f ca="1">IF(ROWS($1:162)&gt;COUNT(Dong2),"",IF(OFFSET(TH!O$1,SMALL(Dong2,ROWS($1:162)),)=$I$6,IF($I$6="1121",OFFSET(TH!M$1,SMALL(Dong2,ROWS($1:162)),),OFFSET(TH!K$1,SMALL(Dong2,ROWS($1:162)),)),0))</f>
        <v/>
      </c>
      <c r="G173" s="191" t="str">
        <f ca="1">IF(ROWS($1:162)&gt;COUNT(Dong2),"",IF(OFFSET(TH!P$1,SMALL(Dong2,ROWS($1:162)),)=$I$6,IF($I$6="1121",OFFSET(TH!M$1,SMALL(Dong2,ROWS($1:162)),),OFFSET(TH!K$1,SMALL(Dong2,ROWS($1:162)),)),0))</f>
        <v/>
      </c>
      <c r="H173" s="192">
        <f t="shared" ca="1" si="4"/>
        <v>0</v>
      </c>
      <c r="I173" s="192"/>
    </row>
    <row r="174" spans="1:9" s="181" customFormat="1" ht="20.25" customHeight="1">
      <c r="A174" s="1070" t="str">
        <f ca="1">IF(ROWS($1:163)&gt;COUNT(Dong2),"",OFFSET(TH!C$1,SMALL(Dong2,ROWS($1:163)),))</f>
        <v/>
      </c>
      <c r="B174" s="190" t="str">
        <f ca="1">IF(ROWS($1:163)&gt;COUNT(Dong2),"",OFFSET(TH!D$1,SMALL(Dong2,ROWS($1:163)),))</f>
        <v/>
      </c>
      <c r="C174" s="1070" t="str">
        <f ca="1">IF(ROWS($1:163)&gt;COUNT(Dong2),"",OFFSET(TH!E$1,SMALL(Dong2,ROWS($1:163)),))</f>
        <v/>
      </c>
      <c r="D174" s="413" t="str">
        <f ca="1">IF(ROWS($1:163)&gt;COUNT(Dong2),"",OFFSET(TH!F$1,SMALL(Dong2,ROWS($1:163)),))</f>
        <v/>
      </c>
      <c r="E174" s="190" t="str">
        <f ca="1">IF(ROWS($1:163)&gt;COUNT(Dong2),"",IF(OFFSET(TH!P$1,SMALL(Dong2,ROWS($1:163)),)=$I$6,OFFSET(TH!O$1,SMALL(Dong2,ROWS($1:163)),),OFFSET(TH!P$1,SMALL(Dong2,ROWS($1:163)),)))</f>
        <v/>
      </c>
      <c r="F174" s="191" t="str">
        <f ca="1">IF(ROWS($1:163)&gt;COUNT(Dong2),"",IF(OFFSET(TH!O$1,SMALL(Dong2,ROWS($1:163)),)=$I$6,IF($I$6="1121",OFFSET(TH!M$1,SMALL(Dong2,ROWS($1:163)),),OFFSET(TH!K$1,SMALL(Dong2,ROWS($1:163)),)),0))</f>
        <v/>
      </c>
      <c r="G174" s="191" t="str">
        <f ca="1">IF(ROWS($1:163)&gt;COUNT(Dong2),"",IF(OFFSET(TH!P$1,SMALL(Dong2,ROWS($1:163)),)=$I$6,IF($I$6="1121",OFFSET(TH!M$1,SMALL(Dong2,ROWS($1:163)),),OFFSET(TH!K$1,SMALL(Dong2,ROWS($1:163)),)),0))</f>
        <v/>
      </c>
      <c r="H174" s="192">
        <f t="shared" ca="1" si="4"/>
        <v>0</v>
      </c>
      <c r="I174" s="192"/>
    </row>
    <row r="175" spans="1:9" s="181" customFormat="1" ht="20.25" customHeight="1">
      <c r="A175" s="1070" t="str">
        <f ca="1">IF(ROWS($1:164)&gt;COUNT(Dong2),"",OFFSET(TH!C$1,SMALL(Dong2,ROWS($1:164)),))</f>
        <v/>
      </c>
      <c r="B175" s="190" t="str">
        <f ca="1">IF(ROWS($1:164)&gt;COUNT(Dong2),"",OFFSET(TH!D$1,SMALL(Dong2,ROWS($1:164)),))</f>
        <v/>
      </c>
      <c r="C175" s="1070" t="str">
        <f ca="1">IF(ROWS($1:164)&gt;COUNT(Dong2),"",OFFSET(TH!E$1,SMALL(Dong2,ROWS($1:164)),))</f>
        <v/>
      </c>
      <c r="D175" s="413" t="str">
        <f ca="1">IF(ROWS($1:164)&gt;COUNT(Dong2),"",OFFSET(TH!F$1,SMALL(Dong2,ROWS($1:164)),))</f>
        <v/>
      </c>
      <c r="E175" s="190" t="str">
        <f ca="1">IF(ROWS($1:164)&gt;COUNT(Dong2),"",IF(OFFSET(TH!P$1,SMALL(Dong2,ROWS($1:164)),)=$I$6,OFFSET(TH!O$1,SMALL(Dong2,ROWS($1:164)),),OFFSET(TH!P$1,SMALL(Dong2,ROWS($1:164)),)))</f>
        <v/>
      </c>
      <c r="F175" s="191" t="str">
        <f ca="1">IF(ROWS($1:164)&gt;COUNT(Dong2),"",IF(OFFSET(TH!O$1,SMALL(Dong2,ROWS($1:164)),)=$I$6,IF($I$6="1121",OFFSET(TH!M$1,SMALL(Dong2,ROWS($1:164)),),OFFSET(TH!K$1,SMALL(Dong2,ROWS($1:164)),)),0))</f>
        <v/>
      </c>
      <c r="G175" s="191" t="str">
        <f ca="1">IF(ROWS($1:164)&gt;COUNT(Dong2),"",IF(OFFSET(TH!P$1,SMALL(Dong2,ROWS($1:164)),)=$I$6,IF($I$6="1121",OFFSET(TH!M$1,SMALL(Dong2,ROWS($1:164)),),OFFSET(TH!K$1,SMALL(Dong2,ROWS($1:164)),)),0))</f>
        <v/>
      </c>
      <c r="H175" s="192">
        <f t="shared" ca="1" si="4"/>
        <v>0</v>
      </c>
      <c r="I175" s="192"/>
    </row>
    <row r="176" spans="1:9" s="181" customFormat="1" ht="20.25" customHeight="1">
      <c r="A176" s="1070" t="str">
        <f ca="1">IF(ROWS($1:165)&gt;COUNT(Dong2),"",OFFSET(TH!C$1,SMALL(Dong2,ROWS($1:165)),))</f>
        <v/>
      </c>
      <c r="B176" s="190" t="str">
        <f ca="1">IF(ROWS($1:165)&gt;COUNT(Dong2),"",OFFSET(TH!D$1,SMALL(Dong2,ROWS($1:165)),))</f>
        <v/>
      </c>
      <c r="C176" s="1070" t="str">
        <f ca="1">IF(ROWS($1:165)&gt;COUNT(Dong2),"",OFFSET(TH!E$1,SMALL(Dong2,ROWS($1:165)),))</f>
        <v/>
      </c>
      <c r="D176" s="413" t="str">
        <f ca="1">IF(ROWS($1:165)&gt;COUNT(Dong2),"",OFFSET(TH!F$1,SMALL(Dong2,ROWS($1:165)),))</f>
        <v/>
      </c>
      <c r="E176" s="190" t="str">
        <f ca="1">IF(ROWS($1:165)&gt;COUNT(Dong2),"",IF(OFFSET(TH!P$1,SMALL(Dong2,ROWS($1:165)),)=$I$6,OFFSET(TH!O$1,SMALL(Dong2,ROWS($1:165)),),OFFSET(TH!P$1,SMALL(Dong2,ROWS($1:165)),)))</f>
        <v/>
      </c>
      <c r="F176" s="191" t="str">
        <f ca="1">IF(ROWS($1:165)&gt;COUNT(Dong2),"",IF(OFFSET(TH!O$1,SMALL(Dong2,ROWS($1:165)),)=$I$6,IF($I$6="1121",OFFSET(TH!M$1,SMALL(Dong2,ROWS($1:165)),),OFFSET(TH!K$1,SMALL(Dong2,ROWS($1:165)),)),0))</f>
        <v/>
      </c>
      <c r="G176" s="191" t="str">
        <f ca="1">IF(ROWS($1:165)&gt;COUNT(Dong2),"",IF(OFFSET(TH!P$1,SMALL(Dong2,ROWS($1:165)),)=$I$6,IF($I$6="1121",OFFSET(TH!M$1,SMALL(Dong2,ROWS($1:165)),),OFFSET(TH!K$1,SMALL(Dong2,ROWS($1:165)),)),0))</f>
        <v/>
      </c>
      <c r="H176" s="192">
        <f t="shared" ca="1" si="4"/>
        <v>0</v>
      </c>
      <c r="I176" s="192"/>
    </row>
    <row r="177" spans="1:9" s="181" customFormat="1" ht="20.25" customHeight="1">
      <c r="A177" s="1070" t="str">
        <f ca="1">IF(ROWS($1:166)&gt;COUNT(Dong2),"",OFFSET(TH!C$1,SMALL(Dong2,ROWS($1:166)),))</f>
        <v/>
      </c>
      <c r="B177" s="190" t="str">
        <f ca="1">IF(ROWS($1:166)&gt;COUNT(Dong2),"",OFFSET(TH!D$1,SMALL(Dong2,ROWS($1:166)),))</f>
        <v/>
      </c>
      <c r="C177" s="1070" t="str">
        <f ca="1">IF(ROWS($1:166)&gt;COUNT(Dong2),"",OFFSET(TH!E$1,SMALL(Dong2,ROWS($1:166)),))</f>
        <v/>
      </c>
      <c r="D177" s="413" t="str">
        <f ca="1">IF(ROWS($1:166)&gt;COUNT(Dong2),"",OFFSET(TH!F$1,SMALL(Dong2,ROWS($1:166)),))</f>
        <v/>
      </c>
      <c r="E177" s="190" t="str">
        <f ca="1">IF(ROWS($1:166)&gt;COUNT(Dong2),"",IF(OFFSET(TH!P$1,SMALL(Dong2,ROWS($1:166)),)=$I$6,OFFSET(TH!O$1,SMALL(Dong2,ROWS($1:166)),),OFFSET(TH!P$1,SMALL(Dong2,ROWS($1:166)),)))</f>
        <v/>
      </c>
      <c r="F177" s="191" t="str">
        <f ca="1">IF(ROWS($1:166)&gt;COUNT(Dong2),"",IF(OFFSET(TH!O$1,SMALL(Dong2,ROWS($1:166)),)=$I$6,IF($I$6="1121",OFFSET(TH!M$1,SMALL(Dong2,ROWS($1:166)),),OFFSET(TH!K$1,SMALL(Dong2,ROWS($1:166)),)),0))</f>
        <v/>
      </c>
      <c r="G177" s="191" t="str">
        <f ca="1">IF(ROWS($1:166)&gt;COUNT(Dong2),"",IF(OFFSET(TH!P$1,SMALL(Dong2,ROWS($1:166)),)=$I$6,IF($I$6="1121",OFFSET(TH!M$1,SMALL(Dong2,ROWS($1:166)),),OFFSET(TH!K$1,SMALL(Dong2,ROWS($1:166)),)),0))</f>
        <v/>
      </c>
      <c r="H177" s="192">
        <f t="shared" ca="1" si="4"/>
        <v>0</v>
      </c>
      <c r="I177" s="192"/>
    </row>
    <row r="178" spans="1:9" s="181" customFormat="1" ht="20.25" customHeight="1">
      <c r="A178" s="1070" t="str">
        <f ca="1">IF(ROWS($1:167)&gt;COUNT(Dong2),"",OFFSET(TH!C$1,SMALL(Dong2,ROWS($1:167)),))</f>
        <v/>
      </c>
      <c r="B178" s="190" t="str">
        <f ca="1">IF(ROWS($1:167)&gt;COUNT(Dong2),"",OFFSET(TH!D$1,SMALL(Dong2,ROWS($1:167)),))</f>
        <v/>
      </c>
      <c r="C178" s="1070" t="str">
        <f ca="1">IF(ROWS($1:167)&gt;COUNT(Dong2),"",OFFSET(TH!E$1,SMALL(Dong2,ROWS($1:167)),))</f>
        <v/>
      </c>
      <c r="D178" s="413" t="str">
        <f ca="1">IF(ROWS($1:167)&gt;COUNT(Dong2),"",OFFSET(TH!F$1,SMALL(Dong2,ROWS($1:167)),))</f>
        <v/>
      </c>
      <c r="E178" s="190" t="str">
        <f ca="1">IF(ROWS($1:167)&gt;COUNT(Dong2),"",IF(OFFSET(TH!P$1,SMALL(Dong2,ROWS($1:167)),)=$I$6,OFFSET(TH!O$1,SMALL(Dong2,ROWS($1:167)),),OFFSET(TH!P$1,SMALL(Dong2,ROWS($1:167)),)))</f>
        <v/>
      </c>
      <c r="F178" s="191" t="str">
        <f ca="1">IF(ROWS($1:167)&gt;COUNT(Dong2),"",IF(OFFSET(TH!O$1,SMALL(Dong2,ROWS($1:167)),)=$I$6,IF($I$6="1121",OFFSET(TH!M$1,SMALL(Dong2,ROWS($1:167)),),OFFSET(TH!K$1,SMALL(Dong2,ROWS($1:167)),)),0))</f>
        <v/>
      </c>
      <c r="G178" s="191" t="str">
        <f ca="1">IF(ROWS($1:167)&gt;COUNT(Dong2),"",IF(OFFSET(TH!P$1,SMALL(Dong2,ROWS($1:167)),)=$I$6,IF($I$6="1121",OFFSET(TH!M$1,SMALL(Dong2,ROWS($1:167)),),OFFSET(TH!K$1,SMALL(Dong2,ROWS($1:167)),)),0))</f>
        <v/>
      </c>
      <c r="H178" s="192">
        <f t="shared" ca="1" si="4"/>
        <v>0</v>
      </c>
      <c r="I178" s="192"/>
    </row>
    <row r="179" spans="1:9" s="181" customFormat="1" ht="20.25" customHeight="1">
      <c r="A179" s="1070" t="str">
        <f ca="1">IF(ROWS($1:168)&gt;COUNT(Dong2),"",OFFSET(TH!C$1,SMALL(Dong2,ROWS($1:168)),))</f>
        <v/>
      </c>
      <c r="B179" s="190" t="str">
        <f ca="1">IF(ROWS($1:168)&gt;COUNT(Dong2),"",OFFSET(TH!D$1,SMALL(Dong2,ROWS($1:168)),))</f>
        <v/>
      </c>
      <c r="C179" s="1070" t="str">
        <f ca="1">IF(ROWS($1:168)&gt;COUNT(Dong2),"",OFFSET(TH!E$1,SMALL(Dong2,ROWS($1:168)),))</f>
        <v/>
      </c>
      <c r="D179" s="413" t="str">
        <f ca="1">IF(ROWS($1:168)&gt;COUNT(Dong2),"",OFFSET(TH!F$1,SMALL(Dong2,ROWS($1:168)),))</f>
        <v/>
      </c>
      <c r="E179" s="190" t="str">
        <f ca="1">IF(ROWS($1:168)&gt;COUNT(Dong2),"",IF(OFFSET(TH!P$1,SMALL(Dong2,ROWS($1:168)),)=$I$6,OFFSET(TH!O$1,SMALL(Dong2,ROWS($1:168)),),OFFSET(TH!P$1,SMALL(Dong2,ROWS($1:168)),)))</f>
        <v/>
      </c>
      <c r="F179" s="191" t="str">
        <f ca="1">IF(ROWS($1:168)&gt;COUNT(Dong2),"",IF(OFFSET(TH!O$1,SMALL(Dong2,ROWS($1:168)),)=$I$6,IF($I$6="1121",OFFSET(TH!M$1,SMALL(Dong2,ROWS($1:168)),),OFFSET(TH!K$1,SMALL(Dong2,ROWS($1:168)),)),0))</f>
        <v/>
      </c>
      <c r="G179" s="191" t="str">
        <f ca="1">IF(ROWS($1:168)&gt;COUNT(Dong2),"",IF(OFFSET(TH!P$1,SMALL(Dong2,ROWS($1:168)),)=$I$6,IF($I$6="1121",OFFSET(TH!M$1,SMALL(Dong2,ROWS($1:168)),),OFFSET(TH!K$1,SMALL(Dong2,ROWS($1:168)),)),0))</f>
        <v/>
      </c>
      <c r="H179" s="192">
        <f t="shared" ca="1" si="4"/>
        <v>0</v>
      </c>
      <c r="I179" s="192"/>
    </row>
    <row r="180" spans="1:9" s="181" customFormat="1" ht="20.25" customHeight="1">
      <c r="A180" s="1070" t="str">
        <f ca="1">IF(ROWS($1:169)&gt;COUNT(Dong2),"",OFFSET(TH!C$1,SMALL(Dong2,ROWS($1:169)),))</f>
        <v/>
      </c>
      <c r="B180" s="190" t="str">
        <f ca="1">IF(ROWS($1:169)&gt;COUNT(Dong2),"",OFFSET(TH!D$1,SMALL(Dong2,ROWS($1:169)),))</f>
        <v/>
      </c>
      <c r="C180" s="1070" t="str">
        <f ca="1">IF(ROWS($1:169)&gt;COUNT(Dong2),"",OFFSET(TH!E$1,SMALL(Dong2,ROWS($1:169)),))</f>
        <v/>
      </c>
      <c r="D180" s="413" t="str">
        <f ca="1">IF(ROWS($1:169)&gt;COUNT(Dong2),"",OFFSET(TH!F$1,SMALL(Dong2,ROWS($1:169)),))</f>
        <v/>
      </c>
      <c r="E180" s="190" t="str">
        <f ca="1">IF(ROWS($1:169)&gt;COUNT(Dong2),"",IF(OFFSET(TH!P$1,SMALL(Dong2,ROWS($1:169)),)=$I$6,OFFSET(TH!O$1,SMALL(Dong2,ROWS($1:169)),),OFFSET(TH!P$1,SMALL(Dong2,ROWS($1:169)),)))</f>
        <v/>
      </c>
      <c r="F180" s="191" t="str">
        <f ca="1">IF(ROWS($1:169)&gt;COUNT(Dong2),"",IF(OFFSET(TH!O$1,SMALL(Dong2,ROWS($1:169)),)=$I$6,IF($I$6="1121",OFFSET(TH!M$1,SMALL(Dong2,ROWS($1:169)),),OFFSET(TH!K$1,SMALL(Dong2,ROWS($1:169)),)),0))</f>
        <v/>
      </c>
      <c r="G180" s="191" t="str">
        <f ca="1">IF(ROWS($1:169)&gt;COUNT(Dong2),"",IF(OFFSET(TH!P$1,SMALL(Dong2,ROWS($1:169)),)=$I$6,IF($I$6="1121",OFFSET(TH!M$1,SMALL(Dong2,ROWS($1:169)),),OFFSET(TH!K$1,SMALL(Dong2,ROWS($1:169)),)),0))</f>
        <v/>
      </c>
      <c r="H180" s="192">
        <f t="shared" ca="1" si="4"/>
        <v>0</v>
      </c>
      <c r="I180" s="192"/>
    </row>
    <row r="181" spans="1:9" s="181" customFormat="1" ht="20.25" customHeight="1">
      <c r="A181" s="1070" t="str">
        <f ca="1">IF(ROWS($1:170)&gt;COUNT(Dong2),"",OFFSET(TH!C$1,SMALL(Dong2,ROWS($1:170)),))</f>
        <v/>
      </c>
      <c r="B181" s="190" t="str">
        <f ca="1">IF(ROWS($1:170)&gt;COUNT(Dong2),"",OFFSET(TH!D$1,SMALL(Dong2,ROWS($1:170)),))</f>
        <v/>
      </c>
      <c r="C181" s="1070" t="str">
        <f ca="1">IF(ROWS($1:170)&gt;COUNT(Dong2),"",OFFSET(TH!E$1,SMALL(Dong2,ROWS($1:170)),))</f>
        <v/>
      </c>
      <c r="D181" s="413" t="str">
        <f ca="1">IF(ROWS($1:170)&gt;COUNT(Dong2),"",OFFSET(TH!F$1,SMALL(Dong2,ROWS($1:170)),))</f>
        <v/>
      </c>
      <c r="E181" s="190" t="str">
        <f ca="1">IF(ROWS($1:170)&gt;COUNT(Dong2),"",IF(OFFSET(TH!P$1,SMALL(Dong2,ROWS($1:170)),)=$I$6,OFFSET(TH!O$1,SMALL(Dong2,ROWS($1:170)),),OFFSET(TH!P$1,SMALL(Dong2,ROWS($1:170)),)))</f>
        <v/>
      </c>
      <c r="F181" s="191" t="str">
        <f ca="1">IF(ROWS($1:170)&gt;COUNT(Dong2),"",IF(OFFSET(TH!O$1,SMALL(Dong2,ROWS($1:170)),)=$I$6,IF($I$6="1121",OFFSET(TH!M$1,SMALL(Dong2,ROWS($1:170)),),OFFSET(TH!K$1,SMALL(Dong2,ROWS($1:170)),)),0))</f>
        <v/>
      </c>
      <c r="G181" s="191" t="str">
        <f ca="1">IF(ROWS($1:170)&gt;COUNT(Dong2),"",IF(OFFSET(TH!P$1,SMALL(Dong2,ROWS($1:170)),)=$I$6,IF($I$6="1121",OFFSET(TH!M$1,SMALL(Dong2,ROWS($1:170)),),OFFSET(TH!K$1,SMALL(Dong2,ROWS($1:170)),)),0))</f>
        <v/>
      </c>
      <c r="H181" s="192">
        <f t="shared" ca="1" si="4"/>
        <v>0</v>
      </c>
      <c r="I181" s="192"/>
    </row>
    <row r="182" spans="1:9" s="181" customFormat="1" ht="20.25" customHeight="1">
      <c r="A182" s="1070" t="str">
        <f ca="1">IF(ROWS($1:171)&gt;COUNT(Dong2),"",OFFSET(TH!C$1,SMALL(Dong2,ROWS($1:171)),))</f>
        <v/>
      </c>
      <c r="B182" s="190" t="str">
        <f ca="1">IF(ROWS($1:171)&gt;COUNT(Dong2),"",OFFSET(TH!D$1,SMALL(Dong2,ROWS($1:171)),))</f>
        <v/>
      </c>
      <c r="C182" s="1070" t="str">
        <f ca="1">IF(ROWS($1:171)&gt;COUNT(Dong2),"",OFFSET(TH!E$1,SMALL(Dong2,ROWS($1:171)),))</f>
        <v/>
      </c>
      <c r="D182" s="413" t="str">
        <f ca="1">IF(ROWS($1:171)&gt;COUNT(Dong2),"",OFFSET(TH!F$1,SMALL(Dong2,ROWS($1:171)),))</f>
        <v/>
      </c>
      <c r="E182" s="190" t="str">
        <f ca="1">IF(ROWS($1:171)&gt;COUNT(Dong2),"",IF(OFFSET(TH!P$1,SMALL(Dong2,ROWS($1:171)),)=$I$6,OFFSET(TH!O$1,SMALL(Dong2,ROWS($1:171)),),OFFSET(TH!P$1,SMALL(Dong2,ROWS($1:171)),)))</f>
        <v/>
      </c>
      <c r="F182" s="191" t="str">
        <f ca="1">IF(ROWS($1:171)&gt;COUNT(Dong2),"",IF(OFFSET(TH!O$1,SMALL(Dong2,ROWS($1:171)),)=$I$6,IF($I$6="1121",OFFSET(TH!M$1,SMALL(Dong2,ROWS($1:171)),),OFFSET(TH!K$1,SMALL(Dong2,ROWS($1:171)),)),0))</f>
        <v/>
      </c>
      <c r="G182" s="191" t="str">
        <f ca="1">IF(ROWS($1:171)&gt;COUNT(Dong2),"",IF(OFFSET(TH!P$1,SMALL(Dong2,ROWS($1:171)),)=$I$6,IF($I$6="1121",OFFSET(TH!M$1,SMALL(Dong2,ROWS($1:171)),),OFFSET(TH!K$1,SMALL(Dong2,ROWS($1:171)),)),0))</f>
        <v/>
      </c>
      <c r="H182" s="192">
        <f t="shared" ca="1" si="4"/>
        <v>0</v>
      </c>
      <c r="I182" s="192"/>
    </row>
    <row r="183" spans="1:9" s="181" customFormat="1" ht="20.25" customHeight="1">
      <c r="A183" s="1070" t="str">
        <f ca="1">IF(ROWS($1:172)&gt;COUNT(Dong2),"",OFFSET(TH!C$1,SMALL(Dong2,ROWS($1:172)),))</f>
        <v/>
      </c>
      <c r="B183" s="190" t="str">
        <f ca="1">IF(ROWS($1:172)&gt;COUNT(Dong2),"",OFFSET(TH!D$1,SMALL(Dong2,ROWS($1:172)),))</f>
        <v/>
      </c>
      <c r="C183" s="1070" t="str">
        <f ca="1">IF(ROWS($1:172)&gt;COUNT(Dong2),"",OFFSET(TH!E$1,SMALL(Dong2,ROWS($1:172)),))</f>
        <v/>
      </c>
      <c r="D183" s="413" t="str">
        <f ca="1">IF(ROWS($1:172)&gt;COUNT(Dong2),"",OFFSET(TH!F$1,SMALL(Dong2,ROWS($1:172)),))</f>
        <v/>
      </c>
      <c r="E183" s="190" t="str">
        <f ca="1">IF(ROWS($1:172)&gt;COUNT(Dong2),"",IF(OFFSET(TH!P$1,SMALL(Dong2,ROWS($1:172)),)=$I$6,OFFSET(TH!O$1,SMALL(Dong2,ROWS($1:172)),),OFFSET(TH!P$1,SMALL(Dong2,ROWS($1:172)),)))</f>
        <v/>
      </c>
      <c r="F183" s="191" t="str">
        <f ca="1">IF(ROWS($1:172)&gt;COUNT(Dong2),"",IF(OFFSET(TH!O$1,SMALL(Dong2,ROWS($1:172)),)=$I$6,IF($I$6="1121",OFFSET(TH!M$1,SMALL(Dong2,ROWS($1:172)),),OFFSET(TH!K$1,SMALL(Dong2,ROWS($1:172)),)),0))</f>
        <v/>
      </c>
      <c r="G183" s="191" t="str">
        <f ca="1">IF(ROWS($1:172)&gt;COUNT(Dong2),"",IF(OFFSET(TH!P$1,SMALL(Dong2,ROWS($1:172)),)=$I$6,IF($I$6="1121",OFFSET(TH!M$1,SMALL(Dong2,ROWS($1:172)),),OFFSET(TH!K$1,SMALL(Dong2,ROWS($1:172)),)),0))</f>
        <v/>
      </c>
      <c r="H183" s="192">
        <f t="shared" ca="1" si="4"/>
        <v>0</v>
      </c>
      <c r="I183" s="192"/>
    </row>
    <row r="184" spans="1:9" s="181" customFormat="1" ht="20.25" customHeight="1">
      <c r="A184" s="1070" t="str">
        <f ca="1">IF(ROWS($1:173)&gt;COUNT(Dong2),"",OFFSET(TH!C$1,SMALL(Dong2,ROWS($1:173)),))</f>
        <v/>
      </c>
      <c r="B184" s="190" t="str">
        <f ca="1">IF(ROWS($1:173)&gt;COUNT(Dong2),"",OFFSET(TH!D$1,SMALL(Dong2,ROWS($1:173)),))</f>
        <v/>
      </c>
      <c r="C184" s="1070" t="str">
        <f ca="1">IF(ROWS($1:173)&gt;COUNT(Dong2),"",OFFSET(TH!E$1,SMALL(Dong2,ROWS($1:173)),))</f>
        <v/>
      </c>
      <c r="D184" s="413" t="str">
        <f ca="1">IF(ROWS($1:173)&gt;COUNT(Dong2),"",OFFSET(TH!F$1,SMALL(Dong2,ROWS($1:173)),))</f>
        <v/>
      </c>
      <c r="E184" s="190" t="str">
        <f ca="1">IF(ROWS($1:173)&gt;COUNT(Dong2),"",IF(OFFSET(TH!P$1,SMALL(Dong2,ROWS($1:173)),)=$I$6,OFFSET(TH!O$1,SMALL(Dong2,ROWS($1:173)),),OFFSET(TH!P$1,SMALL(Dong2,ROWS($1:173)),)))</f>
        <v/>
      </c>
      <c r="F184" s="191" t="str">
        <f ca="1">IF(ROWS($1:173)&gt;COUNT(Dong2),"",IF(OFFSET(TH!O$1,SMALL(Dong2,ROWS($1:173)),)=$I$6,IF($I$6="1121",OFFSET(TH!M$1,SMALL(Dong2,ROWS($1:173)),),OFFSET(TH!K$1,SMALL(Dong2,ROWS($1:173)),)),0))</f>
        <v/>
      </c>
      <c r="G184" s="191" t="str">
        <f ca="1">IF(ROWS($1:173)&gt;COUNT(Dong2),"",IF(OFFSET(TH!P$1,SMALL(Dong2,ROWS($1:173)),)=$I$6,IF($I$6="1121",OFFSET(TH!M$1,SMALL(Dong2,ROWS($1:173)),),OFFSET(TH!K$1,SMALL(Dong2,ROWS($1:173)),)),0))</f>
        <v/>
      </c>
      <c r="H184" s="192">
        <f t="shared" ca="1" si="4"/>
        <v>0</v>
      </c>
      <c r="I184" s="192"/>
    </row>
    <row r="185" spans="1:9" s="181" customFormat="1" ht="20.25" customHeight="1">
      <c r="A185" s="1070" t="str">
        <f ca="1">IF(ROWS($1:174)&gt;COUNT(Dong2),"",OFFSET(TH!C$1,SMALL(Dong2,ROWS($1:174)),))</f>
        <v/>
      </c>
      <c r="B185" s="190" t="str">
        <f ca="1">IF(ROWS($1:174)&gt;COUNT(Dong2),"",OFFSET(TH!D$1,SMALL(Dong2,ROWS($1:174)),))</f>
        <v/>
      </c>
      <c r="C185" s="1070" t="str">
        <f ca="1">IF(ROWS($1:174)&gt;COUNT(Dong2),"",OFFSET(TH!E$1,SMALL(Dong2,ROWS($1:174)),))</f>
        <v/>
      </c>
      <c r="D185" s="413" t="str">
        <f ca="1">IF(ROWS($1:174)&gt;COUNT(Dong2),"",OFFSET(TH!F$1,SMALL(Dong2,ROWS($1:174)),))</f>
        <v/>
      </c>
      <c r="E185" s="190" t="str">
        <f ca="1">IF(ROWS($1:174)&gt;COUNT(Dong2),"",IF(OFFSET(TH!P$1,SMALL(Dong2,ROWS($1:174)),)=$I$6,OFFSET(TH!O$1,SMALL(Dong2,ROWS($1:174)),),OFFSET(TH!P$1,SMALL(Dong2,ROWS($1:174)),)))</f>
        <v/>
      </c>
      <c r="F185" s="191" t="str">
        <f ca="1">IF(ROWS($1:174)&gt;COUNT(Dong2),"",IF(OFFSET(TH!O$1,SMALL(Dong2,ROWS($1:174)),)=$I$6,IF($I$6="1121",OFFSET(TH!M$1,SMALL(Dong2,ROWS($1:174)),),OFFSET(TH!K$1,SMALL(Dong2,ROWS($1:174)),)),0))</f>
        <v/>
      </c>
      <c r="G185" s="191" t="str">
        <f ca="1">IF(ROWS($1:174)&gt;COUNT(Dong2),"",IF(OFFSET(TH!P$1,SMALL(Dong2,ROWS($1:174)),)=$I$6,IF($I$6="1121",OFFSET(TH!M$1,SMALL(Dong2,ROWS($1:174)),),OFFSET(TH!K$1,SMALL(Dong2,ROWS($1:174)),)),0))</f>
        <v/>
      </c>
      <c r="H185" s="192">
        <f t="shared" ca="1" si="4"/>
        <v>0</v>
      </c>
      <c r="I185" s="192"/>
    </row>
    <row r="186" spans="1:9" s="181" customFormat="1" ht="20.25" customHeight="1">
      <c r="A186" s="1070" t="str">
        <f ca="1">IF(ROWS($1:175)&gt;COUNT(Dong2),"",OFFSET(TH!C$1,SMALL(Dong2,ROWS($1:175)),))</f>
        <v/>
      </c>
      <c r="B186" s="190" t="str">
        <f ca="1">IF(ROWS($1:175)&gt;COUNT(Dong2),"",OFFSET(TH!D$1,SMALL(Dong2,ROWS($1:175)),))</f>
        <v/>
      </c>
      <c r="C186" s="1070" t="str">
        <f ca="1">IF(ROWS($1:175)&gt;COUNT(Dong2),"",OFFSET(TH!E$1,SMALL(Dong2,ROWS($1:175)),))</f>
        <v/>
      </c>
      <c r="D186" s="413" t="str">
        <f ca="1">IF(ROWS($1:175)&gt;COUNT(Dong2),"",OFFSET(TH!F$1,SMALL(Dong2,ROWS($1:175)),))</f>
        <v/>
      </c>
      <c r="E186" s="190" t="str">
        <f ca="1">IF(ROWS($1:175)&gt;COUNT(Dong2),"",IF(OFFSET(TH!P$1,SMALL(Dong2,ROWS($1:175)),)=$I$6,OFFSET(TH!O$1,SMALL(Dong2,ROWS($1:175)),),OFFSET(TH!P$1,SMALL(Dong2,ROWS($1:175)),)))</f>
        <v/>
      </c>
      <c r="F186" s="191" t="str">
        <f ca="1">IF(ROWS($1:175)&gt;COUNT(Dong2),"",IF(OFFSET(TH!O$1,SMALL(Dong2,ROWS($1:175)),)=$I$6,IF($I$6="1121",OFFSET(TH!M$1,SMALL(Dong2,ROWS($1:175)),),OFFSET(TH!K$1,SMALL(Dong2,ROWS($1:175)),)),0))</f>
        <v/>
      </c>
      <c r="G186" s="191" t="str">
        <f ca="1">IF(ROWS($1:175)&gt;COUNT(Dong2),"",IF(OFFSET(TH!P$1,SMALL(Dong2,ROWS($1:175)),)=$I$6,IF($I$6="1121",OFFSET(TH!M$1,SMALL(Dong2,ROWS($1:175)),),OFFSET(TH!K$1,SMALL(Dong2,ROWS($1:175)),)),0))</f>
        <v/>
      </c>
      <c r="H186" s="192">
        <f t="shared" ca="1" si="4"/>
        <v>0</v>
      </c>
      <c r="I186" s="192"/>
    </row>
    <row r="187" spans="1:9" s="181" customFormat="1" ht="20.25" customHeight="1">
      <c r="A187" s="1070" t="str">
        <f ca="1">IF(ROWS($1:176)&gt;COUNT(Dong2),"",OFFSET(TH!C$1,SMALL(Dong2,ROWS($1:176)),))</f>
        <v/>
      </c>
      <c r="B187" s="190" t="str">
        <f ca="1">IF(ROWS($1:176)&gt;COUNT(Dong2),"",OFFSET(TH!D$1,SMALL(Dong2,ROWS($1:176)),))</f>
        <v/>
      </c>
      <c r="C187" s="1070" t="str">
        <f ca="1">IF(ROWS($1:176)&gt;COUNT(Dong2),"",OFFSET(TH!E$1,SMALL(Dong2,ROWS($1:176)),))</f>
        <v/>
      </c>
      <c r="D187" s="413" t="str">
        <f ca="1">IF(ROWS($1:176)&gt;COUNT(Dong2),"",OFFSET(TH!F$1,SMALL(Dong2,ROWS($1:176)),))</f>
        <v/>
      </c>
      <c r="E187" s="190" t="str">
        <f ca="1">IF(ROWS($1:176)&gt;COUNT(Dong2),"",IF(OFFSET(TH!P$1,SMALL(Dong2,ROWS($1:176)),)=$I$6,OFFSET(TH!O$1,SMALL(Dong2,ROWS($1:176)),),OFFSET(TH!P$1,SMALL(Dong2,ROWS($1:176)),)))</f>
        <v/>
      </c>
      <c r="F187" s="191" t="str">
        <f ca="1">IF(ROWS($1:176)&gt;COUNT(Dong2),"",IF(OFFSET(TH!O$1,SMALL(Dong2,ROWS($1:176)),)=$I$6,IF($I$6="1121",OFFSET(TH!M$1,SMALL(Dong2,ROWS($1:176)),),OFFSET(TH!K$1,SMALL(Dong2,ROWS($1:176)),)),0))</f>
        <v/>
      </c>
      <c r="G187" s="191" t="str">
        <f ca="1">IF(ROWS($1:176)&gt;COUNT(Dong2),"",IF(OFFSET(TH!P$1,SMALL(Dong2,ROWS($1:176)),)=$I$6,IF($I$6="1121",OFFSET(TH!M$1,SMALL(Dong2,ROWS($1:176)),),OFFSET(TH!K$1,SMALL(Dong2,ROWS($1:176)),)),0))</f>
        <v/>
      </c>
      <c r="H187" s="192">
        <f t="shared" ca="1" si="4"/>
        <v>0</v>
      </c>
      <c r="I187" s="192"/>
    </row>
    <row r="188" spans="1:9" s="181" customFormat="1" ht="20.25" customHeight="1">
      <c r="A188" s="1070" t="str">
        <f ca="1">IF(ROWS($1:177)&gt;COUNT(Dong2),"",OFFSET(TH!C$1,SMALL(Dong2,ROWS($1:177)),))</f>
        <v/>
      </c>
      <c r="B188" s="190" t="str">
        <f ca="1">IF(ROWS($1:177)&gt;COUNT(Dong2),"",OFFSET(TH!D$1,SMALL(Dong2,ROWS($1:177)),))</f>
        <v/>
      </c>
      <c r="C188" s="1070" t="str">
        <f ca="1">IF(ROWS($1:177)&gt;COUNT(Dong2),"",OFFSET(TH!E$1,SMALL(Dong2,ROWS($1:177)),))</f>
        <v/>
      </c>
      <c r="D188" s="413" t="str">
        <f ca="1">IF(ROWS($1:177)&gt;COUNT(Dong2),"",OFFSET(TH!F$1,SMALL(Dong2,ROWS($1:177)),))</f>
        <v/>
      </c>
      <c r="E188" s="190" t="str">
        <f ca="1">IF(ROWS($1:177)&gt;COUNT(Dong2),"",IF(OFFSET(TH!P$1,SMALL(Dong2,ROWS($1:177)),)=$I$6,OFFSET(TH!O$1,SMALL(Dong2,ROWS($1:177)),),OFFSET(TH!P$1,SMALL(Dong2,ROWS($1:177)),)))</f>
        <v/>
      </c>
      <c r="F188" s="191" t="str">
        <f ca="1">IF(ROWS($1:177)&gt;COUNT(Dong2),"",IF(OFFSET(TH!O$1,SMALL(Dong2,ROWS($1:177)),)=$I$6,IF($I$6="1121",OFFSET(TH!M$1,SMALL(Dong2,ROWS($1:177)),),OFFSET(TH!K$1,SMALL(Dong2,ROWS($1:177)),)),0))</f>
        <v/>
      </c>
      <c r="G188" s="191" t="str">
        <f ca="1">IF(ROWS($1:177)&gt;COUNT(Dong2),"",IF(OFFSET(TH!P$1,SMALL(Dong2,ROWS($1:177)),)=$I$6,IF($I$6="1121",OFFSET(TH!M$1,SMALL(Dong2,ROWS($1:177)),),OFFSET(TH!K$1,SMALL(Dong2,ROWS($1:177)),)),0))</f>
        <v/>
      </c>
      <c r="H188" s="192">
        <f t="shared" ca="1" si="4"/>
        <v>0</v>
      </c>
      <c r="I188" s="192"/>
    </row>
    <row r="189" spans="1:9" s="181" customFormat="1" ht="20.25" customHeight="1">
      <c r="A189" s="1070" t="str">
        <f ca="1">IF(ROWS($1:178)&gt;COUNT(Dong2),"",OFFSET(TH!C$1,SMALL(Dong2,ROWS($1:178)),))</f>
        <v/>
      </c>
      <c r="B189" s="190" t="str">
        <f ca="1">IF(ROWS($1:178)&gt;COUNT(Dong2),"",OFFSET(TH!D$1,SMALL(Dong2,ROWS($1:178)),))</f>
        <v/>
      </c>
      <c r="C189" s="1070" t="str">
        <f ca="1">IF(ROWS($1:178)&gt;COUNT(Dong2),"",OFFSET(TH!E$1,SMALL(Dong2,ROWS($1:178)),))</f>
        <v/>
      </c>
      <c r="D189" s="413" t="str">
        <f ca="1">IF(ROWS($1:178)&gt;COUNT(Dong2),"",OFFSET(TH!F$1,SMALL(Dong2,ROWS($1:178)),))</f>
        <v/>
      </c>
      <c r="E189" s="190" t="str">
        <f ca="1">IF(ROWS($1:178)&gt;COUNT(Dong2),"",IF(OFFSET(TH!P$1,SMALL(Dong2,ROWS($1:178)),)=$I$6,OFFSET(TH!O$1,SMALL(Dong2,ROWS($1:178)),),OFFSET(TH!P$1,SMALL(Dong2,ROWS($1:178)),)))</f>
        <v/>
      </c>
      <c r="F189" s="191" t="str">
        <f ca="1">IF(ROWS($1:178)&gt;COUNT(Dong2),"",IF(OFFSET(TH!O$1,SMALL(Dong2,ROWS($1:178)),)=$I$6,IF($I$6="1121",OFFSET(TH!M$1,SMALL(Dong2,ROWS($1:178)),),OFFSET(TH!K$1,SMALL(Dong2,ROWS($1:178)),)),0))</f>
        <v/>
      </c>
      <c r="G189" s="191" t="str">
        <f ca="1">IF(ROWS($1:178)&gt;COUNT(Dong2),"",IF(OFFSET(TH!P$1,SMALL(Dong2,ROWS($1:178)),)=$I$6,IF($I$6="1121",OFFSET(TH!M$1,SMALL(Dong2,ROWS($1:178)),),OFFSET(TH!K$1,SMALL(Dong2,ROWS($1:178)),)),0))</f>
        <v/>
      </c>
      <c r="H189" s="192">
        <f t="shared" ca="1" si="4"/>
        <v>0</v>
      </c>
      <c r="I189" s="192"/>
    </row>
    <row r="190" spans="1:9" s="181" customFormat="1" ht="20.25" customHeight="1">
      <c r="A190" s="1070" t="str">
        <f ca="1">IF(ROWS($1:179)&gt;COUNT(Dong2),"",OFFSET(TH!C$1,SMALL(Dong2,ROWS($1:179)),))</f>
        <v/>
      </c>
      <c r="B190" s="190" t="str">
        <f ca="1">IF(ROWS($1:179)&gt;COUNT(Dong2),"",OFFSET(TH!D$1,SMALL(Dong2,ROWS($1:179)),))</f>
        <v/>
      </c>
      <c r="C190" s="1070" t="str">
        <f ca="1">IF(ROWS($1:179)&gt;COUNT(Dong2),"",OFFSET(TH!E$1,SMALL(Dong2,ROWS($1:179)),))</f>
        <v/>
      </c>
      <c r="D190" s="413" t="str">
        <f ca="1">IF(ROWS($1:179)&gt;COUNT(Dong2),"",OFFSET(TH!F$1,SMALL(Dong2,ROWS($1:179)),))</f>
        <v/>
      </c>
      <c r="E190" s="190" t="str">
        <f ca="1">IF(ROWS($1:179)&gt;COUNT(Dong2),"",IF(OFFSET(TH!P$1,SMALL(Dong2,ROWS($1:179)),)=$I$6,OFFSET(TH!O$1,SMALL(Dong2,ROWS($1:179)),),OFFSET(TH!P$1,SMALL(Dong2,ROWS($1:179)),)))</f>
        <v/>
      </c>
      <c r="F190" s="191" t="str">
        <f ca="1">IF(ROWS($1:179)&gt;COUNT(Dong2),"",IF(OFFSET(TH!O$1,SMALL(Dong2,ROWS($1:179)),)=$I$6,IF($I$6="1121",OFFSET(TH!M$1,SMALL(Dong2,ROWS($1:179)),),OFFSET(TH!K$1,SMALL(Dong2,ROWS($1:179)),)),0))</f>
        <v/>
      </c>
      <c r="G190" s="191" t="str">
        <f ca="1">IF(ROWS($1:179)&gt;COUNT(Dong2),"",IF(OFFSET(TH!P$1,SMALL(Dong2,ROWS($1:179)),)=$I$6,IF($I$6="1121",OFFSET(TH!M$1,SMALL(Dong2,ROWS($1:179)),),OFFSET(TH!K$1,SMALL(Dong2,ROWS($1:179)),)),0))</f>
        <v/>
      </c>
      <c r="H190" s="192">
        <f t="shared" ca="1" si="4"/>
        <v>0</v>
      </c>
      <c r="I190" s="192"/>
    </row>
    <row r="191" spans="1:9" s="181" customFormat="1" ht="20.25" customHeight="1">
      <c r="A191" s="1070" t="str">
        <f ca="1">IF(ROWS($1:180)&gt;COUNT(Dong2),"",OFFSET(TH!C$1,SMALL(Dong2,ROWS($1:180)),))</f>
        <v/>
      </c>
      <c r="B191" s="190" t="str">
        <f ca="1">IF(ROWS($1:180)&gt;COUNT(Dong2),"",OFFSET(TH!D$1,SMALL(Dong2,ROWS($1:180)),))</f>
        <v/>
      </c>
      <c r="C191" s="1070" t="str">
        <f ca="1">IF(ROWS($1:180)&gt;COUNT(Dong2),"",OFFSET(TH!E$1,SMALL(Dong2,ROWS($1:180)),))</f>
        <v/>
      </c>
      <c r="D191" s="413" t="str">
        <f ca="1">IF(ROWS($1:180)&gt;COUNT(Dong2),"",OFFSET(TH!F$1,SMALL(Dong2,ROWS($1:180)),))</f>
        <v/>
      </c>
      <c r="E191" s="190" t="str">
        <f ca="1">IF(ROWS($1:180)&gt;COUNT(Dong2),"",IF(OFFSET(TH!P$1,SMALL(Dong2,ROWS($1:180)),)=$I$6,OFFSET(TH!O$1,SMALL(Dong2,ROWS($1:180)),),OFFSET(TH!P$1,SMALL(Dong2,ROWS($1:180)),)))</f>
        <v/>
      </c>
      <c r="F191" s="191" t="str">
        <f ca="1">IF(ROWS($1:180)&gt;COUNT(Dong2),"",IF(OFFSET(TH!O$1,SMALL(Dong2,ROWS($1:180)),)=$I$6,IF($I$6="1121",OFFSET(TH!M$1,SMALL(Dong2,ROWS($1:180)),),OFFSET(TH!K$1,SMALL(Dong2,ROWS($1:180)),)),0))</f>
        <v/>
      </c>
      <c r="G191" s="191" t="str">
        <f ca="1">IF(ROWS($1:180)&gt;COUNT(Dong2),"",IF(OFFSET(TH!P$1,SMALL(Dong2,ROWS($1:180)),)=$I$6,IF($I$6="1121",OFFSET(TH!M$1,SMALL(Dong2,ROWS($1:180)),),OFFSET(TH!K$1,SMALL(Dong2,ROWS($1:180)),)),0))</f>
        <v/>
      </c>
      <c r="H191" s="192">
        <f t="shared" ca="1" si="4"/>
        <v>0</v>
      </c>
      <c r="I191" s="192"/>
    </row>
    <row r="192" spans="1:9" s="181" customFormat="1" ht="20.25" customHeight="1">
      <c r="A192" s="1070" t="str">
        <f ca="1">IF(ROWS($1:181)&gt;COUNT(Dong2),"",OFFSET(TH!C$1,SMALL(Dong2,ROWS($1:181)),))</f>
        <v/>
      </c>
      <c r="B192" s="190" t="str">
        <f ca="1">IF(ROWS($1:181)&gt;COUNT(Dong2),"",OFFSET(TH!D$1,SMALL(Dong2,ROWS($1:181)),))</f>
        <v/>
      </c>
      <c r="C192" s="1070" t="str">
        <f ca="1">IF(ROWS($1:181)&gt;COUNT(Dong2),"",OFFSET(TH!E$1,SMALL(Dong2,ROWS($1:181)),))</f>
        <v/>
      </c>
      <c r="D192" s="413" t="str">
        <f ca="1">IF(ROWS($1:181)&gt;COUNT(Dong2),"",OFFSET(TH!F$1,SMALL(Dong2,ROWS($1:181)),))</f>
        <v/>
      </c>
      <c r="E192" s="190" t="str">
        <f ca="1">IF(ROWS($1:181)&gt;COUNT(Dong2),"",IF(OFFSET(TH!P$1,SMALL(Dong2,ROWS($1:181)),)=$I$6,OFFSET(TH!O$1,SMALL(Dong2,ROWS($1:181)),),OFFSET(TH!P$1,SMALL(Dong2,ROWS($1:181)),)))</f>
        <v/>
      </c>
      <c r="F192" s="191" t="str">
        <f ca="1">IF(ROWS($1:181)&gt;COUNT(Dong2),"",IF(OFFSET(TH!O$1,SMALL(Dong2,ROWS($1:181)),)=$I$6,IF($I$6="1121",OFFSET(TH!M$1,SMALL(Dong2,ROWS($1:181)),),OFFSET(TH!K$1,SMALL(Dong2,ROWS($1:181)),)),0))</f>
        <v/>
      </c>
      <c r="G192" s="191" t="str">
        <f ca="1">IF(ROWS($1:181)&gt;COUNT(Dong2),"",IF(OFFSET(TH!P$1,SMALL(Dong2,ROWS($1:181)),)=$I$6,IF($I$6="1121",OFFSET(TH!M$1,SMALL(Dong2,ROWS($1:181)),),OFFSET(TH!K$1,SMALL(Dong2,ROWS($1:181)),)),0))</f>
        <v/>
      </c>
      <c r="H192" s="192">
        <f t="shared" ref="H192" ca="1" si="5">IF(A192&lt;&gt;"",H191+F192-G192,0)</f>
        <v>0</v>
      </c>
      <c r="I192" s="192"/>
    </row>
    <row r="193" spans="1:11" s="181" customFormat="1" ht="20.25" customHeight="1">
      <c r="A193" s="1070"/>
      <c r="B193" s="190"/>
      <c r="C193" s="1070"/>
      <c r="D193" s="413"/>
      <c r="E193" s="190"/>
      <c r="F193" s="191"/>
      <c r="G193" s="191"/>
      <c r="H193" s="192"/>
      <c r="I193" s="192"/>
    </row>
    <row r="194" spans="1:11" s="181" customFormat="1" ht="20.25" customHeight="1">
      <c r="A194" s="1070"/>
      <c r="B194" s="190"/>
      <c r="C194" s="1070"/>
      <c r="D194" s="413"/>
      <c r="E194" s="190"/>
      <c r="F194" s="191"/>
      <c r="G194" s="191"/>
      <c r="H194" s="192"/>
      <c r="I194" s="192"/>
    </row>
    <row r="195" spans="1:11" s="181" customFormat="1" ht="20.25" customHeight="1">
      <c r="A195" s="1070"/>
      <c r="B195" s="190"/>
      <c r="C195" s="1070"/>
      <c r="D195" s="413"/>
      <c r="E195" s="190"/>
      <c r="F195" s="191"/>
      <c r="G195" s="191"/>
      <c r="H195" s="192"/>
      <c r="I195" s="192"/>
    </row>
    <row r="196" spans="1:11" s="181" customFormat="1" ht="20.25" customHeight="1">
      <c r="A196" s="1070"/>
      <c r="B196" s="190"/>
      <c r="C196" s="1070"/>
      <c r="D196" s="413"/>
      <c r="E196" s="190"/>
      <c r="F196" s="191"/>
      <c r="G196" s="191"/>
      <c r="H196" s="192"/>
      <c r="I196" s="192"/>
    </row>
    <row r="197" spans="1:11" s="189" customFormat="1" ht="20.25" customHeight="1">
      <c r="A197" s="1071"/>
      <c r="B197" s="193"/>
      <c r="C197" s="1071"/>
      <c r="D197" s="187" t="s">
        <v>237</v>
      </c>
      <c r="E197" s="194"/>
      <c r="F197" s="195">
        <f ca="1">SUM(F12:F196)</f>
        <v>2280599895</v>
      </c>
      <c r="G197" s="195">
        <f ca="1">SUM(G12:G196)</f>
        <v>2279683676</v>
      </c>
      <c r="H197" s="195">
        <f ca="1">H11+F197-G197</f>
        <v>2434523</v>
      </c>
      <c r="I197" s="194"/>
    </row>
    <row r="198" spans="1:11" s="189" customFormat="1" ht="20.25" customHeight="1">
      <c r="A198" s="1071"/>
      <c r="B198" s="193"/>
      <c r="C198" s="1071"/>
      <c r="D198" s="187" t="s">
        <v>13</v>
      </c>
      <c r="E198" s="194"/>
      <c r="F198" s="187"/>
      <c r="G198" s="187"/>
      <c r="H198" s="195">
        <f ca="1">H197</f>
        <v>2434523</v>
      </c>
      <c r="I198" s="194"/>
    </row>
    <row r="199" spans="1:11" s="189" customFormat="1" ht="22.5" customHeight="1">
      <c r="A199" s="1072" t="s">
        <v>1041</v>
      </c>
      <c r="B199" s="196"/>
      <c r="C199" s="1075"/>
      <c r="F199" s="197"/>
      <c r="I199" s="198"/>
    </row>
    <row r="200" spans="1:11" s="189" customFormat="1" ht="12.75">
      <c r="A200" s="1073" t="s">
        <v>1042</v>
      </c>
      <c r="B200" s="199"/>
      <c r="C200" s="1075"/>
      <c r="F200" s="197"/>
      <c r="I200" s="198"/>
    </row>
    <row r="201" spans="1:11" s="189" customFormat="1" ht="12.75">
      <c r="A201" s="1074"/>
      <c r="B201" s="201"/>
      <c r="C201" s="1078"/>
      <c r="F201" s="197"/>
      <c r="G201" s="335" t="str">
        <f>"Ngày "&amp;IF(OR($N$9=3,$N$9=12),"31","30")&amp;" tháng "&amp;$N$9&amp;"  năm  2015 "</f>
        <v xml:space="preserve">Ngày 30 tháng 9  năm  2015 </v>
      </c>
    </row>
    <row r="202" spans="1:11" s="189" customFormat="1" ht="17.25" customHeight="1">
      <c r="A202" s="1075"/>
      <c r="B202" s="202" t="s">
        <v>14</v>
      </c>
      <c r="C202" s="1075"/>
      <c r="D202" s="202" t="s">
        <v>15</v>
      </c>
      <c r="F202" s="203"/>
      <c r="G202" s="392" t="s">
        <v>205</v>
      </c>
      <c r="H202" s="414"/>
      <c r="I202" s="414"/>
      <c r="J202" s="204"/>
      <c r="K202" s="200"/>
    </row>
    <row r="203" spans="1:11" s="189" customFormat="1" ht="12.75">
      <c r="A203" s="1075"/>
      <c r="B203" s="393" t="s">
        <v>16</v>
      </c>
      <c r="C203" s="1075"/>
      <c r="D203" s="205" t="s">
        <v>16</v>
      </c>
      <c r="F203" s="206"/>
      <c r="G203" s="394" t="s">
        <v>240</v>
      </c>
      <c r="K203" s="207"/>
    </row>
    <row r="210" spans="2:7">
      <c r="B210" s="402" t="s">
        <v>329</v>
      </c>
      <c r="G210" s="415" t="s">
        <v>182</v>
      </c>
    </row>
  </sheetData>
  <autoFilter ref="A10:K200"/>
  <mergeCells count="10">
    <mergeCell ref="M8:N8"/>
    <mergeCell ref="A4:I4"/>
    <mergeCell ref="A5:I5"/>
    <mergeCell ref="A8:A9"/>
    <mergeCell ref="B8:C8"/>
    <mergeCell ref="D8:D9"/>
    <mergeCell ref="E8:E9"/>
    <mergeCell ref="F8:H8"/>
    <mergeCell ref="I8:I9"/>
    <mergeCell ref="E6:G6"/>
  </mergeCells>
  <dataValidations count="2">
    <dataValidation type="list" allowBlank="1" showInputMessage="1" showErrorMessage="1" sqref="K9">
      <formula1>"Quý I, Quý II, Quý III, Quý IV"</formula1>
    </dataValidation>
    <dataValidation type="list" allowBlank="1" showInputMessage="1" showErrorMessage="1" sqref="H6">
      <formula1>"VNĐ,USD"</formula1>
    </dataValidation>
  </dataValidations>
  <pageMargins left="0.55000000000000004" right="0.2" top="0.3" bottom="0.3" header="0.1" footer="0.1"/>
  <pageSetup paperSize="9" scale="80" orientation="portrait" r:id="rId1"/>
  <headerFooter alignWithMargins="0">
    <oddFooter>&amp;R&amp;"Times New Roman,Regular"&amp;11Trang &amp;P/&amp;N</oddFooter>
  </headerFooter>
</worksheet>
</file>

<file path=xl/worksheets/sheet12.xml><?xml version="1.0" encoding="utf-8"?>
<worksheet xmlns="http://schemas.openxmlformats.org/spreadsheetml/2006/main" xmlns:r="http://schemas.openxmlformats.org/officeDocument/2006/relationships">
  <sheetPr>
    <tabColor rgb="FF00B0F0"/>
  </sheetPr>
  <dimension ref="A1:N21"/>
  <sheetViews>
    <sheetView workbookViewId="0">
      <pane xSplit="2" ySplit="4" topLeftCell="C5" activePane="bottomRight" state="frozen"/>
      <selection activeCell="B5" sqref="B5"/>
      <selection pane="topRight" activeCell="B5" sqref="B5"/>
      <selection pane="bottomLeft" activeCell="B5" sqref="B5"/>
      <selection pane="bottomRight" activeCell="H14" sqref="H14"/>
    </sheetView>
  </sheetViews>
  <sheetFormatPr defaultColWidth="8" defaultRowHeight="13.5"/>
  <cols>
    <col min="1" max="1" width="2.7109375" style="938" customWidth="1"/>
    <col min="2" max="2" width="34" style="938" customWidth="1"/>
    <col min="3" max="3" width="10.5703125" style="242" customWidth="1"/>
    <col min="4" max="4" width="14" style="958" customWidth="1"/>
    <col min="5" max="5" width="10.85546875" style="242" customWidth="1"/>
    <col min="6" max="6" width="14" style="958" customWidth="1"/>
    <col min="7" max="7" width="12.7109375" style="242" customWidth="1"/>
    <col min="8" max="8" width="15.7109375" style="958" customWidth="1"/>
    <col min="9" max="9" width="15.5703125" style="242" customWidth="1"/>
    <col min="10" max="10" width="14.7109375" style="958" customWidth="1"/>
    <col min="11" max="11" width="11.140625" style="242" customWidth="1"/>
    <col min="12" max="12" width="12.5703125" style="958" customWidth="1"/>
    <col min="13" max="13" width="14.5703125" style="242" customWidth="1"/>
    <col min="14" max="14" width="14.42578125" style="958" customWidth="1"/>
    <col min="15" max="16384" width="8" style="938"/>
  </cols>
  <sheetData>
    <row r="1" spans="1:14" ht="21" customHeight="1">
      <c r="A1" s="1241" t="s">
        <v>774</v>
      </c>
      <c r="B1" s="1241"/>
      <c r="C1" s="1241"/>
      <c r="D1" s="1241"/>
      <c r="E1" s="1241"/>
      <c r="F1" s="1241"/>
      <c r="G1" s="1241"/>
      <c r="H1" s="1241"/>
      <c r="I1" s="1241"/>
      <c r="J1" s="1241"/>
      <c r="K1" s="1241"/>
      <c r="L1" s="1241"/>
      <c r="M1" s="1241"/>
      <c r="N1" s="1241"/>
    </row>
    <row r="2" spans="1:14" s="10" customFormat="1" ht="15.75" customHeight="1">
      <c r="A2" s="1242" t="s">
        <v>45</v>
      </c>
      <c r="B2" s="1243" t="s">
        <v>46</v>
      </c>
      <c r="C2" s="939" t="s">
        <v>47</v>
      </c>
      <c r="D2" s="940"/>
      <c r="E2" s="939"/>
      <c r="F2" s="940"/>
      <c r="G2" s="939" t="s">
        <v>48</v>
      </c>
      <c r="H2" s="940"/>
      <c r="I2" s="939"/>
      <c r="J2" s="940"/>
      <c r="K2" s="939" t="s">
        <v>59</v>
      </c>
      <c r="L2" s="940"/>
      <c r="M2" s="939"/>
      <c r="N2" s="940"/>
    </row>
    <row r="3" spans="1:14" s="10" customFormat="1" ht="15.75" customHeight="1">
      <c r="A3" s="1242"/>
      <c r="B3" s="1243"/>
      <c r="C3" s="1243" t="s">
        <v>60</v>
      </c>
      <c r="D3" s="1243"/>
      <c r="E3" s="1243" t="s">
        <v>61</v>
      </c>
      <c r="F3" s="1243"/>
      <c r="G3" s="1243" t="s">
        <v>60</v>
      </c>
      <c r="H3" s="1243"/>
      <c r="I3" s="1243" t="s">
        <v>61</v>
      </c>
      <c r="J3" s="1243"/>
      <c r="K3" s="1243" t="s">
        <v>60</v>
      </c>
      <c r="L3" s="1243"/>
      <c r="M3" s="1243" t="s">
        <v>61</v>
      </c>
      <c r="N3" s="1243"/>
    </row>
    <row r="4" spans="1:14" s="10" customFormat="1" ht="15.75" customHeight="1">
      <c r="A4" s="1242"/>
      <c r="B4" s="1243"/>
      <c r="C4" s="937" t="s">
        <v>346</v>
      </c>
      <c r="D4" s="941" t="s">
        <v>775</v>
      </c>
      <c r="E4" s="937" t="s">
        <v>346</v>
      </c>
      <c r="F4" s="941" t="s">
        <v>775</v>
      </c>
      <c r="G4" s="937" t="s">
        <v>346</v>
      </c>
      <c r="H4" s="941" t="s">
        <v>775</v>
      </c>
      <c r="I4" s="937" t="s">
        <v>346</v>
      </c>
      <c r="J4" s="941" t="s">
        <v>775</v>
      </c>
      <c r="K4" s="937" t="s">
        <v>346</v>
      </c>
      <c r="L4" s="941" t="s">
        <v>775</v>
      </c>
      <c r="M4" s="937" t="s">
        <v>346</v>
      </c>
      <c r="N4" s="941" t="s">
        <v>775</v>
      </c>
    </row>
    <row r="5" spans="1:14" s="10" customFormat="1" ht="18" customHeight="1">
      <c r="A5" s="942">
        <f>IF(B5&lt;&gt;"",ROW()-4,"")</f>
        <v>1</v>
      </c>
      <c r="B5" s="247" t="s">
        <v>429</v>
      </c>
      <c r="C5" s="943">
        <v>0</v>
      </c>
      <c r="D5" s="944">
        <v>0</v>
      </c>
      <c r="E5" s="943">
        <v>0</v>
      </c>
      <c r="F5" s="944">
        <v>0</v>
      </c>
      <c r="G5" s="943">
        <f t="array" ref="G5">SUM(IF("131"&amp;B5=KHN&amp;KH,_TH))</f>
        <v>0</v>
      </c>
      <c r="H5" s="944">
        <f t="array" ref="H5">SUM(IF("131"&amp;B5=KHN&amp;KH,TH))</f>
        <v>0</v>
      </c>
      <c r="I5" s="943">
        <f t="array" ref="I5">SUM(IF("131"&amp;B5=KHC&amp;KH,_TH))</f>
        <v>0</v>
      </c>
      <c r="J5" s="944">
        <f t="array" ref="J5">SUM(IF("131"&amp;B5=KHC&amp;KH,TH))</f>
        <v>0</v>
      </c>
      <c r="K5" s="945">
        <f t="shared" ref="K5:K15" si="0">ROUND(MAX(C5+G5-E5-I5,0),2)</f>
        <v>0</v>
      </c>
      <c r="L5" s="946">
        <f t="shared" ref="L5:L15" si="1">ROUND(MAX(D5+H5-F5-J5,0),0)</f>
        <v>0</v>
      </c>
      <c r="M5" s="945">
        <f t="shared" ref="M5:M15" si="2">ROUND(MAX(E5+I5-C5-G5,0),2)</f>
        <v>0</v>
      </c>
      <c r="N5" s="946">
        <f t="shared" ref="N5:N15" si="3">ROUND(MAX(F5+J5-D5-H5,0),0)</f>
        <v>0</v>
      </c>
    </row>
    <row r="6" spans="1:14" s="10" customFormat="1" ht="18" customHeight="1">
      <c r="A6" s="942" t="str">
        <f t="shared" ref="A6:A15" si="4">IF(B6&lt;&gt;"",ROW()-4,"")</f>
        <v/>
      </c>
      <c r="B6" s="7"/>
      <c r="C6" s="943">
        <v>0</v>
      </c>
      <c r="D6" s="944">
        <v>0</v>
      </c>
      <c r="E6" s="943">
        <v>0</v>
      </c>
      <c r="F6" s="944">
        <v>0</v>
      </c>
      <c r="G6" s="943">
        <f t="array" ref="G6">SUM(IF("131"&amp;B6=KHN&amp;KH,_TH))</f>
        <v>0</v>
      </c>
      <c r="H6" s="944">
        <f t="array" ref="H6">SUM(IF("131"&amp;B6=KHN&amp;KH,TH))</f>
        <v>0</v>
      </c>
      <c r="I6" s="943">
        <f t="array" ref="I6">SUM(IF("131"&amp;B6=KHC&amp;KH,_TH))</f>
        <v>0</v>
      </c>
      <c r="J6" s="944">
        <f t="array" ref="J6">SUM(IF("131"&amp;B6=KHC&amp;KH,TH))</f>
        <v>0</v>
      </c>
      <c r="K6" s="947">
        <f t="shared" si="0"/>
        <v>0</v>
      </c>
      <c r="L6" s="446">
        <f t="shared" si="1"/>
        <v>0</v>
      </c>
      <c r="M6" s="947">
        <f t="shared" si="2"/>
        <v>0</v>
      </c>
      <c r="N6" s="446">
        <f t="shared" si="3"/>
        <v>0</v>
      </c>
    </row>
    <row r="7" spans="1:14" s="10" customFormat="1" ht="18" customHeight="1">
      <c r="A7" s="942" t="str">
        <f t="shared" si="4"/>
        <v/>
      </c>
      <c r="B7" s="7"/>
      <c r="C7" s="943">
        <v>0</v>
      </c>
      <c r="D7" s="944">
        <v>0</v>
      </c>
      <c r="E7" s="943">
        <v>0</v>
      </c>
      <c r="F7" s="944">
        <v>0</v>
      </c>
      <c r="G7" s="943">
        <f t="array" ref="G7">SUM(IF("131"&amp;B7=KHN&amp;KH,_TH))</f>
        <v>0</v>
      </c>
      <c r="H7" s="944">
        <f t="array" ref="H7">SUM(IF("131"&amp;B7=KHN&amp;KH,TH))</f>
        <v>0</v>
      </c>
      <c r="I7" s="943">
        <f t="array" ref="I7">SUM(IF("131"&amp;B7=KHC&amp;KH,_TH))</f>
        <v>0</v>
      </c>
      <c r="J7" s="944">
        <f t="array" ref="J7">SUM(IF("131"&amp;B7=KHC&amp;KH,TH))</f>
        <v>0</v>
      </c>
      <c r="K7" s="947">
        <f t="shared" si="0"/>
        <v>0</v>
      </c>
      <c r="L7" s="446">
        <f t="shared" si="1"/>
        <v>0</v>
      </c>
      <c r="M7" s="947">
        <f t="shared" si="2"/>
        <v>0</v>
      </c>
      <c r="N7" s="446">
        <f t="shared" si="3"/>
        <v>0</v>
      </c>
    </row>
    <row r="8" spans="1:14" s="10" customFormat="1" ht="18" customHeight="1">
      <c r="A8" s="942" t="str">
        <f t="shared" si="4"/>
        <v/>
      </c>
      <c r="B8" s="7"/>
      <c r="C8" s="943">
        <v>0</v>
      </c>
      <c r="D8" s="944">
        <v>0</v>
      </c>
      <c r="E8" s="943">
        <v>0</v>
      </c>
      <c r="F8" s="944">
        <v>0</v>
      </c>
      <c r="G8" s="943">
        <f t="array" ref="G8">SUM(IF("131"&amp;B8=KHN&amp;KH,_TH))</f>
        <v>0</v>
      </c>
      <c r="H8" s="944">
        <f t="array" ref="H8">SUM(IF("131"&amp;B8=KHN&amp;KH,TH))</f>
        <v>0</v>
      </c>
      <c r="I8" s="943">
        <f t="array" ref="I8">SUM(IF("131"&amp;B8=KHC&amp;KH,_TH))</f>
        <v>0</v>
      </c>
      <c r="J8" s="944">
        <f t="array" ref="J8">SUM(IF("131"&amp;B8=KHC&amp;KH,TH))</f>
        <v>0</v>
      </c>
      <c r="K8" s="947">
        <f t="shared" si="0"/>
        <v>0</v>
      </c>
      <c r="L8" s="446">
        <f t="shared" si="1"/>
        <v>0</v>
      </c>
      <c r="M8" s="947">
        <f t="shared" si="2"/>
        <v>0</v>
      </c>
      <c r="N8" s="446">
        <f t="shared" si="3"/>
        <v>0</v>
      </c>
    </row>
    <row r="9" spans="1:14" s="10" customFormat="1" ht="18" customHeight="1">
      <c r="A9" s="942" t="str">
        <f t="shared" si="4"/>
        <v/>
      </c>
      <c r="B9" s="7"/>
      <c r="C9" s="943">
        <v>0</v>
      </c>
      <c r="D9" s="944">
        <v>0</v>
      </c>
      <c r="E9" s="943">
        <v>0</v>
      </c>
      <c r="F9" s="944">
        <v>0</v>
      </c>
      <c r="G9" s="943">
        <f t="array" ref="G9">SUM(IF("131"&amp;B9=KHN&amp;KH,_TH))</f>
        <v>0</v>
      </c>
      <c r="H9" s="944">
        <f t="array" ref="H9">SUM(IF("131"&amp;B9=KHN&amp;KH,TH))</f>
        <v>0</v>
      </c>
      <c r="I9" s="943">
        <f t="array" ref="I9">SUM(IF("131"&amp;B9=KHC&amp;KH,_TH))</f>
        <v>0</v>
      </c>
      <c r="J9" s="944">
        <f t="array" ref="J9">SUM(IF("131"&amp;B9=KHC&amp;KH,TH))</f>
        <v>0</v>
      </c>
      <c r="K9" s="947">
        <f t="shared" si="0"/>
        <v>0</v>
      </c>
      <c r="L9" s="446">
        <f t="shared" si="1"/>
        <v>0</v>
      </c>
      <c r="M9" s="947">
        <f t="shared" si="2"/>
        <v>0</v>
      </c>
      <c r="N9" s="446">
        <f t="shared" si="3"/>
        <v>0</v>
      </c>
    </row>
    <row r="10" spans="1:14" s="10" customFormat="1" ht="18" customHeight="1">
      <c r="A10" s="942" t="str">
        <f t="shared" si="4"/>
        <v/>
      </c>
      <c r="B10" s="7"/>
      <c r="C10" s="943">
        <v>0</v>
      </c>
      <c r="D10" s="944">
        <v>0</v>
      </c>
      <c r="E10" s="943">
        <v>0</v>
      </c>
      <c r="F10" s="943">
        <v>0</v>
      </c>
      <c r="G10" s="943">
        <f t="array" ref="G10">SUM(IF("131"&amp;B10=KHN&amp;KH,_TH))</f>
        <v>0</v>
      </c>
      <c r="H10" s="944">
        <f t="array" ref="H10">SUM(IF("131"&amp;B10=KHN&amp;KH,TH))</f>
        <v>0</v>
      </c>
      <c r="I10" s="943">
        <f t="array" ref="I10">SUM(IF("131"&amp;B10=KHC&amp;KH,_TH))</f>
        <v>0</v>
      </c>
      <c r="J10" s="944">
        <f t="array" ref="J10">SUM(IF("131"&amp;B10=KHC&amp;KH,TH))</f>
        <v>0</v>
      </c>
      <c r="K10" s="947">
        <f t="shared" si="0"/>
        <v>0</v>
      </c>
      <c r="L10" s="446">
        <f t="shared" si="1"/>
        <v>0</v>
      </c>
      <c r="M10" s="947">
        <f t="shared" si="2"/>
        <v>0</v>
      </c>
      <c r="N10" s="446">
        <f t="shared" si="3"/>
        <v>0</v>
      </c>
    </row>
    <row r="11" spans="1:14" s="10" customFormat="1" ht="18" customHeight="1">
      <c r="A11" s="942" t="str">
        <f t="shared" si="4"/>
        <v/>
      </c>
      <c r="B11" s="7"/>
      <c r="C11" s="943">
        <v>0</v>
      </c>
      <c r="D11" s="944">
        <v>0</v>
      </c>
      <c r="E11" s="943">
        <v>0</v>
      </c>
      <c r="F11" s="943">
        <v>0</v>
      </c>
      <c r="G11" s="943">
        <f t="array" ref="G11">SUM(IF("131"&amp;B11=KHN&amp;KH,_TH))</f>
        <v>0</v>
      </c>
      <c r="H11" s="944">
        <f t="array" ref="H11">SUM(IF("131"&amp;B11=KHN&amp;KH,TH))</f>
        <v>0</v>
      </c>
      <c r="I11" s="943">
        <f t="array" ref="I11">SUM(IF("131"&amp;B11=KHC&amp;KH,_TH))</f>
        <v>0</v>
      </c>
      <c r="J11" s="944">
        <f t="array" ref="J11">SUM(IF("131"&amp;B11=KHC&amp;KH,TH))</f>
        <v>0</v>
      </c>
      <c r="K11" s="947">
        <f t="shared" si="0"/>
        <v>0</v>
      </c>
      <c r="L11" s="446">
        <f t="shared" si="1"/>
        <v>0</v>
      </c>
      <c r="M11" s="947">
        <f t="shared" si="2"/>
        <v>0</v>
      </c>
      <c r="N11" s="446">
        <f t="shared" si="3"/>
        <v>0</v>
      </c>
    </row>
    <row r="12" spans="1:14" s="10" customFormat="1" ht="18" customHeight="1">
      <c r="A12" s="942" t="str">
        <f t="shared" si="4"/>
        <v/>
      </c>
      <c r="B12" s="7"/>
      <c r="C12" s="943">
        <v>0</v>
      </c>
      <c r="D12" s="944">
        <v>0</v>
      </c>
      <c r="E12" s="943">
        <v>0</v>
      </c>
      <c r="F12" s="943">
        <v>0</v>
      </c>
      <c r="G12" s="943">
        <f t="array" ref="G12">SUM(IF("131"&amp;B12=KHN&amp;KH,_TH))</f>
        <v>0</v>
      </c>
      <c r="H12" s="944">
        <f t="array" ref="H12">SUM(IF("131"&amp;B12=KHN&amp;KH,TH))</f>
        <v>0</v>
      </c>
      <c r="I12" s="943">
        <f t="array" ref="I12">SUM(IF("131"&amp;B12=KHC&amp;KH,_TH))</f>
        <v>0</v>
      </c>
      <c r="J12" s="944">
        <f t="array" ref="J12">SUM(IF("131"&amp;B12=KHC&amp;KH,TH))</f>
        <v>0</v>
      </c>
      <c r="K12" s="947">
        <f t="shared" si="0"/>
        <v>0</v>
      </c>
      <c r="L12" s="446">
        <f t="shared" si="1"/>
        <v>0</v>
      </c>
      <c r="M12" s="947">
        <f t="shared" si="2"/>
        <v>0</v>
      </c>
      <c r="N12" s="446">
        <f t="shared" si="3"/>
        <v>0</v>
      </c>
    </row>
    <row r="13" spans="1:14" s="10" customFormat="1" ht="18" customHeight="1">
      <c r="A13" s="942" t="str">
        <f t="shared" si="4"/>
        <v/>
      </c>
      <c r="B13" s="948"/>
      <c r="C13" s="943">
        <v>0</v>
      </c>
      <c r="D13" s="944">
        <v>0</v>
      </c>
      <c r="E13" s="943">
        <v>0</v>
      </c>
      <c r="F13" s="943">
        <v>0</v>
      </c>
      <c r="G13" s="943">
        <f t="array" ref="G13">SUM(IF("131"&amp;B13=KHN&amp;KH,_TH))</f>
        <v>0</v>
      </c>
      <c r="H13" s="944">
        <f t="array" ref="H13">SUM(IF("131"&amp;B13=KHN&amp;KH,TH))</f>
        <v>0</v>
      </c>
      <c r="I13" s="943">
        <f t="array" ref="I13">SUM(IF("131"&amp;B13=KHC&amp;KH,_TH))</f>
        <v>0</v>
      </c>
      <c r="J13" s="944">
        <f t="array" ref="J13">SUM(IF("131"&amp;B13=KHC&amp;KH,TH))</f>
        <v>0</v>
      </c>
      <c r="K13" s="947">
        <f t="shared" si="0"/>
        <v>0</v>
      </c>
      <c r="L13" s="446">
        <f t="shared" si="1"/>
        <v>0</v>
      </c>
      <c r="M13" s="947">
        <f t="shared" si="2"/>
        <v>0</v>
      </c>
      <c r="N13" s="446">
        <f t="shared" si="3"/>
        <v>0</v>
      </c>
    </row>
    <row r="14" spans="1:14" s="10" customFormat="1" ht="18" customHeight="1">
      <c r="A14" s="942" t="str">
        <f t="shared" si="4"/>
        <v/>
      </c>
      <c r="B14" s="949"/>
      <c r="C14" s="943">
        <v>0</v>
      </c>
      <c r="D14" s="944">
        <v>0</v>
      </c>
      <c r="E14" s="943">
        <v>0</v>
      </c>
      <c r="F14" s="943">
        <v>0</v>
      </c>
      <c r="G14" s="943">
        <f t="array" ref="G14">SUM(IF("131"&amp;B14=KHN&amp;KH,_TH))</f>
        <v>0</v>
      </c>
      <c r="H14" s="944">
        <f t="array" ref="H14">SUM(IF("131"&amp;B14=KHN&amp;KH,TH))</f>
        <v>0</v>
      </c>
      <c r="I14" s="943">
        <f t="array" ref="I14">SUM(IF("131"&amp;B14=KHC&amp;KH,_TH))</f>
        <v>0</v>
      </c>
      <c r="J14" s="944">
        <f t="array" ref="J14">SUM(IF("131"&amp;B14=KHC&amp;KH,TH))</f>
        <v>0</v>
      </c>
      <c r="K14" s="947">
        <f t="shared" si="0"/>
        <v>0</v>
      </c>
      <c r="L14" s="446">
        <f t="shared" si="1"/>
        <v>0</v>
      </c>
      <c r="M14" s="947">
        <f t="shared" si="2"/>
        <v>0</v>
      </c>
      <c r="N14" s="446">
        <f t="shared" si="3"/>
        <v>0</v>
      </c>
    </row>
    <row r="15" spans="1:14" s="10" customFormat="1" ht="18" customHeight="1">
      <c r="A15" s="942" t="str">
        <f t="shared" si="4"/>
        <v/>
      </c>
      <c r="B15" s="949"/>
      <c r="C15" s="943">
        <v>0</v>
      </c>
      <c r="D15" s="944">
        <v>0</v>
      </c>
      <c r="E15" s="943">
        <v>0</v>
      </c>
      <c r="F15" s="943">
        <v>0</v>
      </c>
      <c r="G15" s="943">
        <f t="array" ref="G15">SUM(IF("131"&amp;B15=KHN&amp;KH,_TH))</f>
        <v>0</v>
      </c>
      <c r="H15" s="944">
        <f t="array" ref="H15">SUM(IF("131"&amp;B15=KHN&amp;KH,TH))</f>
        <v>0</v>
      </c>
      <c r="I15" s="943">
        <f t="array" ref="I15">SUM(IF("131"&amp;B15=KHC&amp;KH,_TH))</f>
        <v>0</v>
      </c>
      <c r="J15" s="944">
        <f t="array" ref="J15">SUM(IF("131"&amp;B15=KHC&amp;KH,TH))</f>
        <v>0</v>
      </c>
      <c r="K15" s="947">
        <f t="shared" si="0"/>
        <v>0</v>
      </c>
      <c r="L15" s="446">
        <f t="shared" si="1"/>
        <v>0</v>
      </c>
      <c r="M15" s="947">
        <f t="shared" si="2"/>
        <v>0</v>
      </c>
      <c r="N15" s="446">
        <f t="shared" si="3"/>
        <v>0</v>
      </c>
    </row>
    <row r="16" spans="1:14" s="10" customFormat="1" ht="18" customHeight="1">
      <c r="A16" s="950"/>
      <c r="B16" s="951"/>
      <c r="C16" s="943"/>
      <c r="D16" s="944"/>
      <c r="E16" s="952"/>
      <c r="F16" s="952"/>
      <c r="G16" s="952"/>
      <c r="H16" s="953"/>
      <c r="I16" s="952"/>
      <c r="J16" s="953"/>
      <c r="K16" s="954"/>
      <c r="L16" s="955"/>
      <c r="M16" s="954"/>
      <c r="N16" s="955"/>
    </row>
    <row r="17" spans="1:14" ht="18" customHeight="1">
      <c r="A17" s="11"/>
      <c r="B17" s="12" t="s">
        <v>55</v>
      </c>
      <c r="C17" s="956">
        <f t="shared" ref="C17:N17" si="5">SUM(C5:C16)</f>
        <v>0</v>
      </c>
      <c r="D17" s="957">
        <f t="shared" si="5"/>
        <v>0</v>
      </c>
      <c r="E17" s="956">
        <f t="shared" si="5"/>
        <v>0</v>
      </c>
      <c r="F17" s="957">
        <f t="shared" si="5"/>
        <v>0</v>
      </c>
      <c r="G17" s="956">
        <f t="shared" si="5"/>
        <v>0</v>
      </c>
      <c r="H17" s="957">
        <f t="shared" si="5"/>
        <v>0</v>
      </c>
      <c r="I17" s="956">
        <f t="shared" si="5"/>
        <v>0</v>
      </c>
      <c r="J17" s="957">
        <f t="shared" si="5"/>
        <v>0</v>
      </c>
      <c r="K17" s="956">
        <f t="shared" si="5"/>
        <v>0</v>
      </c>
      <c r="L17" s="957">
        <f t="shared" si="5"/>
        <v>0</v>
      </c>
      <c r="M17" s="956">
        <f t="shared" si="5"/>
        <v>0</v>
      </c>
      <c r="N17" s="957">
        <f t="shared" si="5"/>
        <v>0</v>
      </c>
    </row>
    <row r="19" spans="1:14">
      <c r="H19" s="958">
        <f>CDPS!E15</f>
        <v>0</v>
      </c>
      <c r="J19" s="958">
        <f>CDPS!F15</f>
        <v>0</v>
      </c>
    </row>
    <row r="21" spans="1:14">
      <c r="H21" s="958">
        <f>H17-H19</f>
        <v>0</v>
      </c>
      <c r="I21" s="958"/>
      <c r="J21" s="958">
        <f t="shared" ref="J21" si="6">J17-J19</f>
        <v>0</v>
      </c>
    </row>
  </sheetData>
  <autoFilter ref="A1:N17">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A1:N1"/>
    <mergeCell ref="A2:A4"/>
    <mergeCell ref="B2:B4"/>
    <mergeCell ref="C3:D3"/>
    <mergeCell ref="E3:F3"/>
    <mergeCell ref="G3:H3"/>
    <mergeCell ref="I3:J3"/>
    <mergeCell ref="K3:L3"/>
    <mergeCell ref="M3:N3"/>
  </mergeCells>
  <dataValidations count="1">
    <dataValidation type="list" allowBlank="1" showInputMessage="1" showErrorMessage="1" sqref="B13">
      <formula1>DSKHusd</formula1>
    </dataValidation>
  </dataValidations>
  <pageMargins left="0.16" right="0" top="0" bottom="0" header="0" footer="0"/>
  <pageSetup paperSize="9" scale="80" orientation="landscape" r:id="rId1"/>
  <headerFooter alignWithMargins="0"/>
</worksheet>
</file>

<file path=xl/worksheets/sheet13.xml><?xml version="1.0" encoding="utf-8"?>
<worksheet xmlns="http://schemas.openxmlformats.org/spreadsheetml/2006/main" xmlns:r="http://schemas.openxmlformats.org/officeDocument/2006/relationships">
  <sheetPr>
    <tabColor rgb="FF00B0F0"/>
  </sheetPr>
  <dimension ref="A2:O38"/>
  <sheetViews>
    <sheetView topLeftCell="A6" zoomScale="90" zoomScaleNormal="90" workbookViewId="0">
      <pane ySplit="11" topLeftCell="A17" activePane="bottomLeft" state="frozen"/>
      <selection activeCell="I21" sqref="I21"/>
      <selection pane="bottomLeft" activeCell="B17" sqref="B17"/>
    </sheetView>
  </sheetViews>
  <sheetFormatPr defaultRowHeight="14.25"/>
  <cols>
    <col min="1" max="1" width="9.85546875" style="137" customWidth="1"/>
    <col min="2" max="2" width="10.140625" style="137" bestFit="1" customWidth="1"/>
    <col min="3" max="3" width="9.85546875" style="137" customWidth="1"/>
    <col min="4" max="4" width="38" style="137" customWidth="1"/>
    <col min="5" max="5" width="8.28515625" style="137" customWidth="1"/>
    <col min="6" max="6" width="8.42578125" style="137" customWidth="1"/>
    <col min="7" max="7" width="9" style="137" customWidth="1"/>
    <col min="8" max="8" width="11.42578125" style="137" customWidth="1"/>
    <col min="9" max="9" width="14.85546875" style="137" customWidth="1"/>
    <col min="10" max="10" width="12.140625" style="137" customWidth="1"/>
    <col min="11" max="11" width="15.140625" style="137" customWidth="1"/>
    <col min="12" max="12" width="12.5703125" style="137" customWidth="1"/>
    <col min="13" max="13" width="13.42578125" style="137" customWidth="1"/>
    <col min="14" max="14" width="11.85546875" style="137" customWidth="1"/>
    <col min="15" max="15" width="14.5703125" style="137" customWidth="1"/>
    <col min="16" max="16384" width="9.140625" style="137"/>
  </cols>
  <sheetData>
    <row r="2" spans="1:15" s="936" customFormat="1" ht="16.5" customHeight="1">
      <c r="A2" s="959" t="s">
        <v>502</v>
      </c>
      <c r="B2" s="960"/>
      <c r="C2" s="961"/>
      <c r="D2" s="520"/>
      <c r="E2" s="962"/>
      <c r="G2" s="963"/>
      <c r="H2" s="964"/>
      <c r="I2" s="965"/>
      <c r="J2" s="966"/>
      <c r="K2" s="2"/>
      <c r="L2" s="2"/>
      <c r="M2" s="935" t="s">
        <v>776</v>
      </c>
      <c r="N2" s="2"/>
      <c r="O2" s="2"/>
    </row>
    <row r="3" spans="1:15" s="936" customFormat="1" ht="16.5" customHeight="1">
      <c r="A3" s="1244" t="s">
        <v>777</v>
      </c>
      <c r="B3" s="1244"/>
      <c r="C3" s="1244"/>
      <c r="D3" s="1244"/>
      <c r="E3" s="962"/>
      <c r="G3" s="963"/>
      <c r="H3" s="964"/>
      <c r="I3" s="967"/>
      <c r="J3" s="968"/>
      <c r="K3" s="17"/>
      <c r="L3" s="17"/>
      <c r="M3" s="969" t="s">
        <v>505</v>
      </c>
      <c r="N3" s="17"/>
      <c r="O3" s="17"/>
    </row>
    <row r="4" spans="1:15" s="936" customFormat="1" ht="16.5" customHeight="1">
      <c r="A4" s="970"/>
      <c r="B4" s="970"/>
      <c r="C4" s="970"/>
      <c r="D4" s="970"/>
      <c r="E4" s="962"/>
      <c r="G4" s="963" t="s">
        <v>778</v>
      </c>
      <c r="H4" s="964"/>
      <c r="I4" s="967"/>
      <c r="J4" s="968"/>
      <c r="K4" s="17"/>
      <c r="L4" s="17"/>
      <c r="M4" s="969" t="s">
        <v>506</v>
      </c>
      <c r="N4" s="17"/>
      <c r="O4" s="17"/>
    </row>
    <row r="5" spans="1:15" s="936" customFormat="1" ht="6.75" customHeight="1">
      <c r="A5" s="971"/>
      <c r="B5" s="971"/>
      <c r="C5" s="971"/>
      <c r="E5" s="962"/>
      <c r="G5" s="963"/>
      <c r="H5" s="964"/>
      <c r="I5" s="967"/>
      <c r="J5" s="968"/>
      <c r="K5" s="972"/>
      <c r="L5" s="932"/>
      <c r="M5" s="932"/>
      <c r="N5" s="932"/>
      <c r="O5" s="932"/>
    </row>
    <row r="6" spans="1:15" s="5" customFormat="1" ht="23.25" customHeight="1">
      <c r="A6" s="1245" t="s">
        <v>779</v>
      </c>
      <c r="B6" s="1245"/>
      <c r="C6" s="1245"/>
      <c r="D6" s="1245"/>
      <c r="E6" s="1245"/>
      <c r="F6" s="1245"/>
      <c r="G6" s="1245"/>
      <c r="H6" s="1245"/>
      <c r="I6" s="1245"/>
      <c r="J6" s="1245"/>
      <c r="K6" s="1245"/>
      <c r="L6" s="1245"/>
      <c r="M6" s="1245"/>
      <c r="N6" s="1245"/>
      <c r="O6" s="1245"/>
    </row>
    <row r="7" spans="1:15" s="5" customFormat="1" ht="15">
      <c r="H7" s="933" t="s">
        <v>34</v>
      </c>
    </row>
    <row r="8" spans="1:15" s="5" customFormat="1" ht="15">
      <c r="H8" s="933" t="s">
        <v>780</v>
      </c>
    </row>
    <row r="9" spans="1:15" s="5" customFormat="1" ht="15">
      <c r="G9" s="259" t="s">
        <v>781</v>
      </c>
      <c r="H9" s="1246" t="s">
        <v>785</v>
      </c>
      <c r="I9" s="1246"/>
      <c r="J9" s="1246"/>
    </row>
    <row r="10" spans="1:15" s="5" customFormat="1" ht="15">
      <c r="H10" s="933" t="s">
        <v>344</v>
      </c>
    </row>
    <row r="11" spans="1:15" s="5" customFormat="1" ht="15">
      <c r="A11" s="4"/>
      <c r="B11" s="4"/>
      <c r="C11" s="973"/>
      <c r="D11" s="973"/>
      <c r="E11" s="973"/>
      <c r="F11" s="973"/>
      <c r="G11" s="973"/>
      <c r="H11" s="973"/>
      <c r="I11" s="973"/>
      <c r="J11" s="973"/>
      <c r="K11" s="973"/>
      <c r="L11" s="973"/>
      <c r="M11" s="973"/>
      <c r="N11" s="973"/>
      <c r="O11" s="973"/>
    </row>
    <row r="12" spans="1:15" s="933" customFormat="1" ht="15.75" customHeight="1">
      <c r="A12" s="1247" t="s">
        <v>27</v>
      </c>
      <c r="B12" s="1250" t="s">
        <v>1</v>
      </c>
      <c r="C12" s="1251"/>
      <c r="D12" s="1247" t="s">
        <v>0</v>
      </c>
      <c r="E12" s="1247" t="s">
        <v>19</v>
      </c>
      <c r="F12" s="1247" t="s">
        <v>345</v>
      </c>
      <c r="G12" s="1252" t="s">
        <v>782</v>
      </c>
      <c r="H12" s="1250" t="s">
        <v>28</v>
      </c>
      <c r="I12" s="1255"/>
      <c r="J12" s="1255"/>
      <c r="K12" s="1251"/>
      <c r="L12" s="1250" t="s">
        <v>38</v>
      </c>
      <c r="M12" s="1256"/>
      <c r="N12" s="1256"/>
      <c r="O12" s="1257"/>
    </row>
    <row r="13" spans="1:15" s="933" customFormat="1" ht="15.75" customHeight="1">
      <c r="A13" s="1248"/>
      <c r="B13" s="1258" t="s">
        <v>20</v>
      </c>
      <c r="C13" s="1258" t="s">
        <v>39</v>
      </c>
      <c r="D13" s="1248"/>
      <c r="E13" s="1248"/>
      <c r="F13" s="1248"/>
      <c r="G13" s="1253"/>
      <c r="H13" s="1260" t="s">
        <v>29</v>
      </c>
      <c r="I13" s="1261"/>
      <c r="J13" s="1260" t="s">
        <v>30</v>
      </c>
      <c r="K13" s="1261"/>
      <c r="L13" s="1260" t="s">
        <v>29</v>
      </c>
      <c r="M13" s="1257"/>
      <c r="N13" s="1260" t="s">
        <v>30</v>
      </c>
      <c r="O13" s="1257"/>
    </row>
    <row r="14" spans="1:15" s="933" customFormat="1" ht="27.75" customHeight="1">
      <c r="A14" s="1249"/>
      <c r="B14" s="1259"/>
      <c r="C14" s="1259"/>
      <c r="D14" s="1249"/>
      <c r="E14" s="1249"/>
      <c r="F14" s="1249"/>
      <c r="G14" s="1254"/>
      <c r="H14" s="974" t="s">
        <v>346</v>
      </c>
      <c r="I14" s="975" t="s">
        <v>347</v>
      </c>
      <c r="J14" s="976" t="s">
        <v>346</v>
      </c>
      <c r="K14" s="975" t="s">
        <v>347</v>
      </c>
      <c r="L14" s="977" t="s">
        <v>346</v>
      </c>
      <c r="M14" s="977" t="s">
        <v>347</v>
      </c>
      <c r="N14" s="977" t="s">
        <v>346</v>
      </c>
      <c r="O14" s="977" t="s">
        <v>347</v>
      </c>
    </row>
    <row r="15" spans="1:15" s="933" customFormat="1" ht="15">
      <c r="A15" s="978" t="s">
        <v>2</v>
      </c>
      <c r="B15" s="979" t="s">
        <v>3</v>
      </c>
      <c r="C15" s="978" t="s">
        <v>4</v>
      </c>
      <c r="D15" s="978" t="s">
        <v>5</v>
      </c>
      <c r="E15" s="978" t="s">
        <v>6</v>
      </c>
      <c r="F15" s="978">
        <v>1</v>
      </c>
      <c r="G15" s="978">
        <v>2</v>
      </c>
      <c r="H15" s="978">
        <v>3</v>
      </c>
      <c r="I15" s="978">
        <v>4</v>
      </c>
      <c r="J15" s="978">
        <v>5</v>
      </c>
      <c r="K15" s="978">
        <v>6</v>
      </c>
      <c r="L15" s="978">
        <v>7</v>
      </c>
      <c r="M15" s="978">
        <v>8</v>
      </c>
      <c r="N15" s="978">
        <v>9</v>
      </c>
      <c r="O15" s="978">
        <v>10</v>
      </c>
    </row>
    <row r="16" spans="1:15" s="5" customFormat="1" ht="16.5" customHeight="1">
      <c r="A16" s="980"/>
      <c r="B16" s="980"/>
      <c r="C16" s="980"/>
      <c r="D16" s="981" t="s">
        <v>7</v>
      </c>
      <c r="E16" s="980"/>
      <c r="F16" s="978"/>
      <c r="G16" s="982"/>
      <c r="H16" s="983"/>
      <c r="I16" s="982"/>
      <c r="J16" s="984"/>
      <c r="K16" s="982"/>
      <c r="L16" s="983" t="e">
        <f>VLOOKUP($H$9,'131'!$B$5:$F$15,2,0)</f>
        <v>#N/A</v>
      </c>
      <c r="M16" s="985" t="e">
        <f>VLOOKUP($H$9,'131'!$B$5:$F$15,3,0)</f>
        <v>#N/A</v>
      </c>
      <c r="N16" s="983" t="e">
        <f>VLOOKUP($H$9,'131'!$B$5:$F$15,4,0)</f>
        <v>#N/A</v>
      </c>
      <c r="O16" s="985" t="e">
        <f>VLOOKUP($H$9,'131'!$B$5:$F$15,5,0)</f>
        <v>#N/A</v>
      </c>
    </row>
    <row r="17" spans="1:15" s="5" customFormat="1" ht="16.5" customHeight="1">
      <c r="A17" s="229">
        <f t="shared" ref="A17:A31" ca="1" si="0">IF(C17&lt;&gt;"",C17,"")</f>
        <v>42581</v>
      </c>
      <c r="B17" s="240" t="str">
        <f ca="1">IF(ROWS($1:1)&gt;COUNT(Dong14),"",OFFSET(TH!D$1,SMALL(Dong14,ROWS($1:1)),))</f>
        <v>T01</v>
      </c>
      <c r="C17" s="229">
        <f ca="1">IF(ROWS($1:1)&gt;COUNT(Dong14),"",OFFSET(TH!E$1,SMALL(Dong14,ROWS($1:1)),))</f>
        <v>42581</v>
      </c>
      <c r="D17" s="986" t="str">
        <f ca="1">IF(ROWS($1:1)&gt;COUNT(Dong14),"",OFFSET(TH!F$1,SMALL(Dong14,ROWS($1:1)),))</f>
        <v>Ứng vốn</v>
      </c>
      <c r="E17" s="987" t="str">
        <f ca="1">IF(ROWS($1:1)&gt;COUNT(Dong14),"",IF(OFFSET(TH!O$1,SMALL(Dong14,ROWS($1:1)),)="131",OFFSET(TH!P$1,SMALL(Dong14,ROWS($1:1)),),OFFSET(TH!O$1,SMALL(Dong14,ROWS($1:1)),)))</f>
        <v>1111</v>
      </c>
      <c r="F17" s="987">
        <f ca="1">IF(ROWS($1:1)&gt;COUNT(Dong14),0,OFFSET(TH!L$1,SMALL(Dong14,ROWS($1:1)),))</f>
        <v>0</v>
      </c>
      <c r="G17" s="987"/>
      <c r="H17" s="988">
        <f ca="1">IF(ROWS($1:1)&gt;COUNT(Dong14),0,IF(OFFSET(TH!O$1,SMALL(Dong14,ROWS($1:1)),)="131",OFFSET(TH!K$1,SMALL(Dong14,ROWS($1:1)),),0))</f>
        <v>0</v>
      </c>
      <c r="I17" s="987">
        <f ca="1">IF(ROWS($1:1)&gt;COUNT(Dong14),0,IF(OFFSET(TH!O$1,SMALL(Dong14,ROWS($1:1)),)="131",OFFSET(TH!M$1,SMALL(Dong14,ROWS($1:1)),),0))</f>
        <v>0</v>
      </c>
      <c r="J17" s="988">
        <f ca="1">IF(ROWS($1:1)&gt;COUNT(Dong14),0,IF(OFFSET(TH!P$1,SMALL(Dong14,ROWS($1:1)),)="131",OFFSET(TH!K$1,SMALL(Dong14,ROWS($1:1)),),0))</f>
        <v>0</v>
      </c>
      <c r="K17" s="987">
        <f ca="1">IF(ROWS($1:1)&gt;COUNT(Dong14),0,IF(OFFSET(TH!P$1,SMALL(Dong14,ROWS($1:1)),)="131",OFFSET(TH!M$1,SMALL(Dong14,ROWS($1:1)),),0))</f>
        <v>0</v>
      </c>
      <c r="L17" s="989" t="e">
        <f ca="1">IF(D17&lt;&gt;"",ROUND(MAX(L16+H17-J17-N16,0),2),0)</f>
        <v>#N/A</v>
      </c>
      <c r="M17" s="990" t="e">
        <f ca="1">IF(D17&lt;&gt;"",MAX(M16-O16+I17-K17,0),0)</f>
        <v>#N/A</v>
      </c>
      <c r="N17" s="989" t="e">
        <f ca="1">IF(D17&lt;&gt;"",ROUND(MAX(N16+J17-H17-L16,0),2),0)</f>
        <v>#N/A</v>
      </c>
      <c r="O17" s="990" t="e">
        <f ca="1">IF(D17&lt;&gt;"",MAX(O16-M16+K17-I17,0),0)</f>
        <v>#N/A</v>
      </c>
    </row>
    <row r="18" spans="1:15" s="5" customFormat="1" ht="16.5" customHeight="1">
      <c r="A18" s="229" t="str">
        <f t="shared" ca="1" si="0"/>
        <v/>
      </c>
      <c r="B18" s="240" t="str">
        <f ca="1">IF(ROWS($1:2)&gt;COUNT(Dong14),"",OFFSET(TH!D$1,SMALL(Dong14,ROWS($1:2)),))</f>
        <v/>
      </c>
      <c r="C18" s="229" t="str">
        <f ca="1">IF(ROWS($1:2)&gt;COUNT(Dong14),"",OFFSET(TH!E$1,SMALL(Dong14,ROWS($1:2)),))</f>
        <v/>
      </c>
      <c r="D18" s="986" t="str">
        <f ca="1">IF(ROWS($1:2)&gt;COUNT(Dong14),"",OFFSET(TH!F$1,SMALL(Dong14,ROWS($1:2)),))</f>
        <v/>
      </c>
      <c r="E18" s="987" t="str">
        <f ca="1">IF(ROWS($1:2)&gt;COUNT(Dong14),"",IF(OFFSET(TH!O$1,SMALL(Dong14,ROWS($1:2)),)="131",OFFSET(TH!P$1,SMALL(Dong14,ROWS($1:2)),),OFFSET(TH!O$1,SMALL(Dong14,ROWS($1:2)),)))</f>
        <v/>
      </c>
      <c r="F18" s="987">
        <f ca="1">IF(ROWS($1:2)&gt;COUNT(Dong14),0,OFFSET(TH!L$1,SMALL(Dong14,ROWS($1:2)),))</f>
        <v>0</v>
      </c>
      <c r="G18" s="987"/>
      <c r="H18" s="988">
        <f ca="1">IF(ROWS($1:2)&gt;COUNT(Dong14),0,IF(OFFSET(TH!O$1,SMALL(Dong14,ROWS($1:2)),)="131",OFFSET(TH!K$1,SMALL(Dong14,ROWS($1:2)),),0))</f>
        <v>0</v>
      </c>
      <c r="I18" s="987">
        <f ca="1">IF(ROWS($1:2)&gt;COUNT(Dong14),0,IF(OFFSET(TH!O$1,SMALL(Dong14,ROWS($1:2)),)="131",OFFSET(TH!M$1,SMALL(Dong14,ROWS($1:2)),),0))</f>
        <v>0</v>
      </c>
      <c r="J18" s="988">
        <f ca="1">IF(ROWS($1:2)&gt;COUNT(Dong14),0,IF(OFFSET(TH!P$1,SMALL(Dong14,ROWS($1:2)),)="131",OFFSET(TH!K$1,SMALL(Dong14,ROWS($1:2)),),0))</f>
        <v>0</v>
      </c>
      <c r="K18" s="987">
        <f ca="1">IF(ROWS($1:2)&gt;COUNT(Dong14),0,IF(OFFSET(TH!P$1,SMALL(Dong14,ROWS($1:2)),)="131",OFFSET(TH!M$1,SMALL(Dong14,ROWS($1:2)),),0))</f>
        <v>0</v>
      </c>
      <c r="L18" s="989">
        <f t="shared" ref="L18:L30" ca="1" si="1">IF(D18&lt;&gt;"",ROUND(MAX(L17+H18-J18-N17,0),2),0)</f>
        <v>0</v>
      </c>
      <c r="M18" s="990">
        <f t="shared" ref="M18:M30" ca="1" si="2">IF(D18&lt;&gt;"",MAX(M17-O17+I18-K18,0),0)</f>
        <v>0</v>
      </c>
      <c r="N18" s="989">
        <f t="shared" ref="N18:N30" ca="1" si="3">IF(D18&lt;&gt;"",ROUND(MAX(N17+J18-H18-L17,0),2),0)</f>
        <v>0</v>
      </c>
      <c r="O18" s="990">
        <f t="shared" ref="O18:O30" ca="1" si="4">IF(D18&lt;&gt;"",MAX(O17-M17+K18-I18,0),0)</f>
        <v>0</v>
      </c>
    </row>
    <row r="19" spans="1:15" s="5" customFormat="1" ht="16.5" customHeight="1">
      <c r="A19" s="229" t="str">
        <f t="shared" ca="1" si="0"/>
        <v/>
      </c>
      <c r="B19" s="240" t="str">
        <f ca="1">IF(ROWS($1:3)&gt;COUNT(Dong14),"",OFFSET(TH!D$1,SMALL(Dong14,ROWS($1:3)),))</f>
        <v/>
      </c>
      <c r="C19" s="229" t="str">
        <f ca="1">IF(ROWS($1:3)&gt;COUNT(Dong14),"",OFFSET(TH!E$1,SMALL(Dong14,ROWS($1:3)),))</f>
        <v/>
      </c>
      <c r="D19" s="986" t="str">
        <f ca="1">IF(ROWS($1:3)&gt;COUNT(Dong14),"",OFFSET(TH!F$1,SMALL(Dong14,ROWS($1:3)),))</f>
        <v/>
      </c>
      <c r="E19" s="987" t="str">
        <f ca="1">IF(ROWS($1:3)&gt;COUNT(Dong14),"",IF(OFFSET(TH!O$1,SMALL(Dong14,ROWS($1:3)),)="131",OFFSET(TH!P$1,SMALL(Dong14,ROWS($1:3)),),OFFSET(TH!O$1,SMALL(Dong14,ROWS($1:3)),)))</f>
        <v/>
      </c>
      <c r="F19" s="987">
        <f ca="1">IF(ROWS($1:3)&gt;COUNT(Dong14),0,OFFSET(TH!L$1,SMALL(Dong14,ROWS($1:3)),))</f>
        <v>0</v>
      </c>
      <c r="G19" s="987"/>
      <c r="H19" s="988">
        <f ca="1">IF(ROWS($1:3)&gt;COUNT(Dong14),0,IF(OFFSET(TH!O$1,SMALL(Dong14,ROWS($1:3)),)="131",OFFSET(TH!K$1,SMALL(Dong14,ROWS($1:3)),),0))</f>
        <v>0</v>
      </c>
      <c r="I19" s="987">
        <f ca="1">IF(ROWS($1:3)&gt;COUNT(Dong14),0,IF(OFFSET(TH!O$1,SMALL(Dong14,ROWS($1:3)),)="131",OFFSET(TH!M$1,SMALL(Dong14,ROWS($1:3)),),0))</f>
        <v>0</v>
      </c>
      <c r="J19" s="988">
        <f ca="1">IF(ROWS($1:3)&gt;COUNT(Dong14),0,IF(OFFSET(TH!P$1,SMALL(Dong14,ROWS($1:3)),)="131",OFFSET(TH!K$1,SMALL(Dong14,ROWS($1:3)),),0))</f>
        <v>0</v>
      </c>
      <c r="K19" s="987">
        <f ca="1">IF(ROWS($1:3)&gt;COUNT(Dong14),0,IF(OFFSET(TH!P$1,SMALL(Dong14,ROWS($1:3)),)="131",OFFSET(TH!M$1,SMALL(Dong14,ROWS($1:3)),),0))</f>
        <v>0</v>
      </c>
      <c r="L19" s="989">
        <f t="shared" ca="1" si="1"/>
        <v>0</v>
      </c>
      <c r="M19" s="990">
        <f t="shared" ca="1" si="2"/>
        <v>0</v>
      </c>
      <c r="N19" s="989">
        <f t="shared" ca="1" si="3"/>
        <v>0</v>
      </c>
      <c r="O19" s="990">
        <f t="shared" ca="1" si="4"/>
        <v>0</v>
      </c>
    </row>
    <row r="20" spans="1:15" s="5" customFormat="1" ht="16.5" customHeight="1">
      <c r="A20" s="229" t="str">
        <f t="shared" ca="1" si="0"/>
        <v/>
      </c>
      <c r="B20" s="240" t="str">
        <f ca="1">IF(ROWS($1:4)&gt;COUNT(Dong14),"",OFFSET(TH!D$1,SMALL(Dong14,ROWS($1:4)),))</f>
        <v/>
      </c>
      <c r="C20" s="229" t="str">
        <f ca="1">IF(ROWS($1:4)&gt;COUNT(Dong14),"",OFFSET(TH!E$1,SMALL(Dong14,ROWS($1:4)),))</f>
        <v/>
      </c>
      <c r="D20" s="986" t="str">
        <f ca="1">IF(ROWS($1:4)&gt;COUNT(Dong14),"",OFFSET(TH!F$1,SMALL(Dong14,ROWS($1:4)),))</f>
        <v/>
      </c>
      <c r="E20" s="987" t="str">
        <f ca="1">IF(ROWS($1:4)&gt;COUNT(Dong14),"",IF(OFFSET(TH!O$1,SMALL(Dong14,ROWS($1:4)),)="131",OFFSET(TH!P$1,SMALL(Dong14,ROWS($1:4)),),OFFSET(TH!O$1,SMALL(Dong14,ROWS($1:4)),)))</f>
        <v/>
      </c>
      <c r="F20" s="987">
        <f ca="1">IF(ROWS($1:4)&gt;COUNT(Dong14),0,OFFSET(TH!L$1,SMALL(Dong14,ROWS($1:4)),))</f>
        <v>0</v>
      </c>
      <c r="G20" s="987"/>
      <c r="H20" s="988">
        <f ca="1">IF(ROWS($1:4)&gt;COUNT(Dong14),0,IF(OFFSET(TH!O$1,SMALL(Dong14,ROWS($1:4)),)="131",OFFSET(TH!K$1,SMALL(Dong14,ROWS($1:4)),),0))</f>
        <v>0</v>
      </c>
      <c r="I20" s="987">
        <f ca="1">IF(ROWS($1:4)&gt;COUNT(Dong14),0,IF(OFFSET(TH!O$1,SMALL(Dong14,ROWS($1:4)),)="131",OFFSET(TH!M$1,SMALL(Dong14,ROWS($1:4)),),0))</f>
        <v>0</v>
      </c>
      <c r="J20" s="988">
        <f ca="1">IF(ROWS($1:4)&gt;COUNT(Dong14),0,IF(OFFSET(TH!P$1,SMALL(Dong14,ROWS($1:4)),)="131",OFFSET(TH!K$1,SMALL(Dong14,ROWS($1:4)),),0))</f>
        <v>0</v>
      </c>
      <c r="K20" s="987">
        <f ca="1">IF(ROWS($1:4)&gt;COUNT(Dong14),0,IF(OFFSET(TH!P$1,SMALL(Dong14,ROWS($1:4)),)="131",OFFSET(TH!M$1,SMALL(Dong14,ROWS($1:4)),),0))</f>
        <v>0</v>
      </c>
      <c r="L20" s="989">
        <f t="shared" ca="1" si="1"/>
        <v>0</v>
      </c>
      <c r="M20" s="990">
        <f t="shared" ca="1" si="2"/>
        <v>0</v>
      </c>
      <c r="N20" s="989">
        <f t="shared" ca="1" si="3"/>
        <v>0</v>
      </c>
      <c r="O20" s="990">
        <f t="shared" ca="1" si="4"/>
        <v>0</v>
      </c>
    </row>
    <row r="21" spans="1:15" s="5" customFormat="1" ht="16.5" customHeight="1">
      <c r="A21" s="229" t="str">
        <f t="shared" ca="1" si="0"/>
        <v/>
      </c>
      <c r="B21" s="240" t="str">
        <f ca="1">IF(ROWS($1:5)&gt;COUNT(Dong14),"",OFFSET(TH!D$1,SMALL(Dong14,ROWS($1:5)),))</f>
        <v/>
      </c>
      <c r="C21" s="229" t="str">
        <f ca="1">IF(ROWS($1:5)&gt;COUNT(Dong14),"",OFFSET(TH!E$1,SMALL(Dong14,ROWS($1:5)),))</f>
        <v/>
      </c>
      <c r="D21" s="986" t="str">
        <f ca="1">IF(ROWS($1:5)&gt;COUNT(Dong14),"",OFFSET(TH!F$1,SMALL(Dong14,ROWS($1:5)),))</f>
        <v/>
      </c>
      <c r="E21" s="987" t="str">
        <f ca="1">IF(ROWS($1:5)&gt;COUNT(Dong14),"",IF(OFFSET(TH!O$1,SMALL(Dong14,ROWS($1:5)),)="131",OFFSET(TH!P$1,SMALL(Dong14,ROWS($1:5)),),OFFSET(TH!O$1,SMALL(Dong14,ROWS($1:5)),)))</f>
        <v/>
      </c>
      <c r="F21" s="987">
        <f ca="1">IF(ROWS($1:5)&gt;COUNT(Dong14),0,OFFSET(TH!L$1,SMALL(Dong14,ROWS($1:5)),))</f>
        <v>0</v>
      </c>
      <c r="G21" s="987"/>
      <c r="H21" s="988">
        <f ca="1">IF(ROWS($1:5)&gt;COUNT(Dong14),0,IF(OFFSET(TH!O$1,SMALL(Dong14,ROWS($1:5)),)="131",OFFSET(TH!K$1,SMALL(Dong14,ROWS($1:5)),),0))</f>
        <v>0</v>
      </c>
      <c r="I21" s="987">
        <f ca="1">IF(ROWS($1:5)&gt;COUNT(Dong14),0,IF(OFFSET(TH!O$1,SMALL(Dong14,ROWS($1:5)),)="131",OFFSET(TH!M$1,SMALL(Dong14,ROWS($1:5)),),0))</f>
        <v>0</v>
      </c>
      <c r="J21" s="988">
        <f ca="1">IF(ROWS($1:5)&gt;COUNT(Dong14),0,IF(OFFSET(TH!P$1,SMALL(Dong14,ROWS($1:5)),)="131",OFFSET(TH!K$1,SMALL(Dong14,ROWS($1:5)),),0))</f>
        <v>0</v>
      </c>
      <c r="K21" s="987">
        <f ca="1">IF(ROWS($1:5)&gt;COUNT(Dong14),0,IF(OFFSET(TH!P$1,SMALL(Dong14,ROWS($1:5)),)="131",OFFSET(TH!M$1,SMALL(Dong14,ROWS($1:5)),),0))</f>
        <v>0</v>
      </c>
      <c r="L21" s="989">
        <f t="shared" ca="1" si="1"/>
        <v>0</v>
      </c>
      <c r="M21" s="990">
        <f t="shared" ca="1" si="2"/>
        <v>0</v>
      </c>
      <c r="N21" s="989">
        <f t="shared" ca="1" si="3"/>
        <v>0</v>
      </c>
      <c r="O21" s="990">
        <f t="shared" ca="1" si="4"/>
        <v>0</v>
      </c>
    </row>
    <row r="22" spans="1:15" s="5" customFormat="1" ht="16.5" customHeight="1">
      <c r="A22" s="229" t="str">
        <f t="shared" ca="1" si="0"/>
        <v/>
      </c>
      <c r="B22" s="240" t="str">
        <f ca="1">IF(ROWS($1:6)&gt;COUNT(Dong14),"",OFFSET(TH!D$1,SMALL(Dong14,ROWS($1:6)),))</f>
        <v/>
      </c>
      <c r="C22" s="229" t="str">
        <f ca="1">IF(ROWS($1:6)&gt;COUNT(Dong14),"",OFFSET(TH!E$1,SMALL(Dong14,ROWS($1:6)),))</f>
        <v/>
      </c>
      <c r="D22" s="986" t="str">
        <f ca="1">IF(ROWS($1:6)&gt;COUNT(Dong14),"",OFFSET(TH!F$1,SMALL(Dong14,ROWS($1:6)),))</f>
        <v/>
      </c>
      <c r="E22" s="987" t="str">
        <f ca="1">IF(ROWS($1:6)&gt;COUNT(Dong14),"",IF(OFFSET(TH!O$1,SMALL(Dong14,ROWS($1:6)),)="131",OFFSET(TH!P$1,SMALL(Dong14,ROWS($1:6)),),OFFSET(TH!O$1,SMALL(Dong14,ROWS($1:6)),)))</f>
        <v/>
      </c>
      <c r="F22" s="987">
        <f ca="1">IF(ROWS($1:6)&gt;COUNT(Dong14),0,OFFSET(TH!L$1,SMALL(Dong14,ROWS($1:6)),))</f>
        <v>0</v>
      </c>
      <c r="G22" s="987"/>
      <c r="H22" s="988">
        <f ca="1">IF(ROWS($1:6)&gt;COUNT(Dong14),0,IF(OFFSET(TH!O$1,SMALL(Dong14,ROWS($1:6)),)="131",OFFSET(TH!K$1,SMALL(Dong14,ROWS($1:6)),),0))</f>
        <v>0</v>
      </c>
      <c r="I22" s="987">
        <f ca="1">IF(ROWS($1:6)&gt;COUNT(Dong14),0,IF(OFFSET(TH!O$1,SMALL(Dong14,ROWS($1:6)),)="131",OFFSET(TH!M$1,SMALL(Dong14,ROWS($1:6)),),0))</f>
        <v>0</v>
      </c>
      <c r="J22" s="988">
        <f ca="1">IF(ROWS($1:6)&gt;COUNT(Dong14),0,IF(OFFSET(TH!P$1,SMALL(Dong14,ROWS($1:6)),)="131",OFFSET(TH!K$1,SMALL(Dong14,ROWS($1:6)),),0))</f>
        <v>0</v>
      </c>
      <c r="K22" s="987">
        <f ca="1">IF(ROWS($1:6)&gt;COUNT(Dong14),0,IF(OFFSET(TH!P$1,SMALL(Dong14,ROWS($1:6)),)="131",OFFSET(TH!M$1,SMALL(Dong14,ROWS($1:6)),),0))</f>
        <v>0</v>
      </c>
      <c r="L22" s="989">
        <f t="shared" ca="1" si="1"/>
        <v>0</v>
      </c>
      <c r="M22" s="990">
        <f t="shared" ca="1" si="2"/>
        <v>0</v>
      </c>
      <c r="N22" s="989">
        <f t="shared" ca="1" si="3"/>
        <v>0</v>
      </c>
      <c r="O22" s="990">
        <f t="shared" ca="1" si="4"/>
        <v>0</v>
      </c>
    </row>
    <row r="23" spans="1:15" s="5" customFormat="1" ht="16.5" customHeight="1">
      <c r="A23" s="229" t="str">
        <f t="shared" ca="1" si="0"/>
        <v/>
      </c>
      <c r="B23" s="240" t="str">
        <f ca="1">IF(ROWS($1:7)&gt;COUNT(Dong14),"",OFFSET(TH!D$1,SMALL(Dong14,ROWS($1:7)),))</f>
        <v/>
      </c>
      <c r="C23" s="229" t="str">
        <f ca="1">IF(ROWS($1:7)&gt;COUNT(Dong14),"",OFFSET(TH!E$1,SMALL(Dong14,ROWS($1:7)),))</f>
        <v/>
      </c>
      <c r="D23" s="986" t="str">
        <f ca="1">IF(ROWS($1:7)&gt;COUNT(Dong14),"",OFFSET(TH!F$1,SMALL(Dong14,ROWS($1:7)),))</f>
        <v/>
      </c>
      <c r="E23" s="987" t="str">
        <f ca="1">IF(ROWS($1:7)&gt;COUNT(Dong14),"",IF(OFFSET(TH!O$1,SMALL(Dong14,ROWS($1:7)),)="131",OFFSET(TH!P$1,SMALL(Dong14,ROWS($1:7)),),OFFSET(TH!O$1,SMALL(Dong14,ROWS($1:7)),)))</f>
        <v/>
      </c>
      <c r="F23" s="987">
        <f ca="1">IF(ROWS($1:7)&gt;COUNT(Dong14),0,OFFSET(TH!L$1,SMALL(Dong14,ROWS($1:7)),))</f>
        <v>0</v>
      </c>
      <c r="G23" s="987"/>
      <c r="H23" s="988">
        <f ca="1">IF(ROWS($1:7)&gt;COUNT(Dong14),0,IF(OFFSET(TH!O$1,SMALL(Dong14,ROWS($1:7)),)="131",OFFSET(TH!K$1,SMALL(Dong14,ROWS($1:7)),),0))</f>
        <v>0</v>
      </c>
      <c r="I23" s="987">
        <f ca="1">IF(ROWS($1:7)&gt;COUNT(Dong14),0,IF(OFFSET(TH!O$1,SMALL(Dong14,ROWS($1:7)),)="131",OFFSET(TH!M$1,SMALL(Dong14,ROWS($1:7)),),0))</f>
        <v>0</v>
      </c>
      <c r="J23" s="988">
        <f ca="1">IF(ROWS($1:7)&gt;COUNT(Dong14),0,IF(OFFSET(TH!P$1,SMALL(Dong14,ROWS($1:7)),)="131",OFFSET(TH!K$1,SMALL(Dong14,ROWS($1:7)),),0))</f>
        <v>0</v>
      </c>
      <c r="K23" s="987">
        <f ca="1">IF(ROWS($1:7)&gt;COUNT(Dong14),0,IF(OFFSET(TH!P$1,SMALL(Dong14,ROWS($1:7)),)="131",OFFSET(TH!M$1,SMALL(Dong14,ROWS($1:7)),),0))</f>
        <v>0</v>
      </c>
      <c r="L23" s="989">
        <f t="shared" ca="1" si="1"/>
        <v>0</v>
      </c>
      <c r="M23" s="990">
        <f t="shared" ca="1" si="2"/>
        <v>0</v>
      </c>
      <c r="N23" s="989">
        <f t="shared" ca="1" si="3"/>
        <v>0</v>
      </c>
      <c r="O23" s="990">
        <f t="shared" ca="1" si="4"/>
        <v>0</v>
      </c>
    </row>
    <row r="24" spans="1:15" s="5" customFormat="1" ht="16.5" customHeight="1">
      <c r="A24" s="229" t="str">
        <f t="shared" ca="1" si="0"/>
        <v/>
      </c>
      <c r="B24" s="240" t="str">
        <f ca="1">IF(ROWS($1:8)&gt;COUNT(Dong14),"",OFFSET(TH!D$1,SMALL(Dong14,ROWS($1:8)),))</f>
        <v/>
      </c>
      <c r="C24" s="229" t="str">
        <f ca="1">IF(ROWS($1:8)&gt;COUNT(Dong14),"",OFFSET(TH!E$1,SMALL(Dong14,ROWS($1:8)),))</f>
        <v/>
      </c>
      <c r="D24" s="986" t="str">
        <f ca="1">IF(ROWS($1:8)&gt;COUNT(Dong14),"",OFFSET(TH!F$1,SMALL(Dong14,ROWS($1:8)),))</f>
        <v/>
      </c>
      <c r="E24" s="987" t="str">
        <f ca="1">IF(ROWS($1:8)&gt;COUNT(Dong14),"",IF(OFFSET(TH!O$1,SMALL(Dong14,ROWS($1:8)),)="131",OFFSET(TH!P$1,SMALL(Dong14,ROWS($1:8)),),OFFSET(TH!O$1,SMALL(Dong14,ROWS($1:8)),)))</f>
        <v/>
      </c>
      <c r="F24" s="987">
        <f ca="1">IF(ROWS($1:8)&gt;COUNT(Dong14),0,OFFSET(TH!L$1,SMALL(Dong14,ROWS($1:8)),))</f>
        <v>0</v>
      </c>
      <c r="G24" s="987"/>
      <c r="H24" s="988">
        <f ca="1">IF(ROWS($1:8)&gt;COUNT(Dong14),0,IF(OFFSET(TH!O$1,SMALL(Dong14,ROWS($1:8)),)="131",OFFSET(TH!K$1,SMALL(Dong14,ROWS($1:8)),),0))</f>
        <v>0</v>
      </c>
      <c r="I24" s="987">
        <f ca="1">IF(ROWS($1:8)&gt;COUNT(Dong14),0,IF(OFFSET(TH!O$1,SMALL(Dong14,ROWS($1:8)),)="131",OFFSET(TH!M$1,SMALL(Dong14,ROWS($1:8)),),0))</f>
        <v>0</v>
      </c>
      <c r="J24" s="988">
        <f ca="1">IF(ROWS($1:8)&gt;COUNT(Dong14),0,IF(OFFSET(TH!P$1,SMALL(Dong14,ROWS($1:8)),)="131",OFFSET(TH!K$1,SMALL(Dong14,ROWS($1:8)),),0))</f>
        <v>0</v>
      </c>
      <c r="K24" s="987">
        <f ca="1">IF(ROWS($1:8)&gt;COUNT(Dong14),0,IF(OFFSET(TH!P$1,SMALL(Dong14,ROWS($1:8)),)="131",OFFSET(TH!M$1,SMALL(Dong14,ROWS($1:8)),),0))</f>
        <v>0</v>
      </c>
      <c r="L24" s="989">
        <f t="shared" ca="1" si="1"/>
        <v>0</v>
      </c>
      <c r="M24" s="990">
        <f t="shared" ca="1" si="2"/>
        <v>0</v>
      </c>
      <c r="N24" s="989">
        <f t="shared" ca="1" si="3"/>
        <v>0</v>
      </c>
      <c r="O24" s="990">
        <f t="shared" ca="1" si="4"/>
        <v>0</v>
      </c>
    </row>
    <row r="25" spans="1:15" s="5" customFormat="1" ht="16.5" customHeight="1">
      <c r="A25" s="229" t="str">
        <f t="shared" ca="1" si="0"/>
        <v/>
      </c>
      <c r="B25" s="240" t="str">
        <f ca="1">IF(ROWS($1:9)&gt;COUNT(Dong14),"",OFFSET(TH!D$1,SMALL(Dong14,ROWS($1:9)),))</f>
        <v/>
      </c>
      <c r="C25" s="229" t="str">
        <f ca="1">IF(ROWS($1:9)&gt;COUNT(Dong14),"",OFFSET(TH!E$1,SMALL(Dong14,ROWS($1:9)),))</f>
        <v/>
      </c>
      <c r="D25" s="986" t="str">
        <f ca="1">IF(ROWS($1:9)&gt;COUNT(Dong14),"",OFFSET(TH!F$1,SMALL(Dong14,ROWS($1:9)),))</f>
        <v/>
      </c>
      <c r="E25" s="987" t="str">
        <f ca="1">IF(ROWS($1:9)&gt;COUNT(Dong14),"",IF(OFFSET(TH!O$1,SMALL(Dong14,ROWS($1:9)),)="131",OFFSET(TH!P$1,SMALL(Dong14,ROWS($1:9)),),OFFSET(TH!O$1,SMALL(Dong14,ROWS($1:9)),)))</f>
        <v/>
      </c>
      <c r="F25" s="987">
        <f ca="1">IF(ROWS($1:9)&gt;COUNT(Dong14),0,OFFSET(TH!L$1,SMALL(Dong14,ROWS($1:9)),))</f>
        <v>0</v>
      </c>
      <c r="G25" s="987"/>
      <c r="H25" s="988">
        <f ca="1">IF(ROWS($1:9)&gt;COUNT(Dong14),0,IF(OFFSET(TH!O$1,SMALL(Dong14,ROWS($1:9)),)="131",OFFSET(TH!K$1,SMALL(Dong14,ROWS($1:9)),),0))</f>
        <v>0</v>
      </c>
      <c r="I25" s="987">
        <f ca="1">IF(ROWS($1:9)&gt;COUNT(Dong14),0,IF(OFFSET(TH!O$1,SMALL(Dong14,ROWS($1:9)),)="131",OFFSET(TH!M$1,SMALL(Dong14,ROWS($1:9)),),0))</f>
        <v>0</v>
      </c>
      <c r="J25" s="988">
        <f ca="1">IF(ROWS($1:9)&gt;COUNT(Dong14),0,IF(OFFSET(TH!P$1,SMALL(Dong14,ROWS($1:9)),)="131",OFFSET(TH!K$1,SMALL(Dong14,ROWS($1:9)),),0))</f>
        <v>0</v>
      </c>
      <c r="K25" s="987">
        <f ca="1">IF(ROWS($1:9)&gt;COUNT(Dong14),0,IF(OFFSET(TH!P$1,SMALL(Dong14,ROWS($1:9)),)="131",OFFSET(TH!M$1,SMALL(Dong14,ROWS($1:9)),),0))</f>
        <v>0</v>
      </c>
      <c r="L25" s="989">
        <f t="shared" ca="1" si="1"/>
        <v>0</v>
      </c>
      <c r="M25" s="990">
        <f t="shared" ca="1" si="2"/>
        <v>0</v>
      </c>
      <c r="N25" s="989">
        <f t="shared" ca="1" si="3"/>
        <v>0</v>
      </c>
      <c r="O25" s="990">
        <f t="shared" ca="1" si="4"/>
        <v>0</v>
      </c>
    </row>
    <row r="26" spans="1:15" s="5" customFormat="1" ht="16.5" customHeight="1">
      <c r="A26" s="229" t="str">
        <f t="shared" ca="1" si="0"/>
        <v/>
      </c>
      <c r="B26" s="240" t="str">
        <f ca="1">IF(ROWS($1:10)&gt;COUNT(Dong14),"",OFFSET(TH!D$1,SMALL(Dong14,ROWS($1:10)),))</f>
        <v/>
      </c>
      <c r="C26" s="229" t="str">
        <f ca="1">IF(ROWS($1:10)&gt;COUNT(Dong14),"",OFFSET(TH!E$1,SMALL(Dong14,ROWS($1:10)),))</f>
        <v/>
      </c>
      <c r="D26" s="986" t="str">
        <f ca="1">IF(ROWS($1:10)&gt;COUNT(Dong14),"",OFFSET(TH!F$1,SMALL(Dong14,ROWS($1:10)),))</f>
        <v/>
      </c>
      <c r="E26" s="987" t="str">
        <f ca="1">IF(ROWS($1:10)&gt;COUNT(Dong14),"",IF(OFFSET(TH!O$1,SMALL(Dong14,ROWS($1:10)),)="131",OFFSET(TH!P$1,SMALL(Dong14,ROWS($1:10)),),OFFSET(TH!O$1,SMALL(Dong14,ROWS($1:10)),)))</f>
        <v/>
      </c>
      <c r="F26" s="987">
        <f ca="1">IF(ROWS($1:10)&gt;COUNT(Dong14),0,OFFSET(TH!L$1,SMALL(Dong14,ROWS($1:10)),))</f>
        <v>0</v>
      </c>
      <c r="G26" s="987"/>
      <c r="H26" s="988">
        <f ca="1">IF(ROWS($1:10)&gt;COUNT(Dong14),0,IF(OFFSET(TH!O$1,SMALL(Dong14,ROWS($1:10)),)="131",OFFSET(TH!K$1,SMALL(Dong14,ROWS($1:10)),),0))</f>
        <v>0</v>
      </c>
      <c r="I26" s="987">
        <f ca="1">IF(ROWS($1:10)&gt;COUNT(Dong14),0,IF(OFFSET(TH!O$1,SMALL(Dong14,ROWS($1:10)),)="131",OFFSET(TH!M$1,SMALL(Dong14,ROWS($1:10)),),0))</f>
        <v>0</v>
      </c>
      <c r="J26" s="988">
        <f ca="1">IF(ROWS($1:10)&gt;COUNT(Dong14),0,IF(OFFSET(TH!P$1,SMALL(Dong14,ROWS($1:10)),)="131",OFFSET(TH!K$1,SMALL(Dong14,ROWS($1:10)),),0))</f>
        <v>0</v>
      </c>
      <c r="K26" s="987">
        <f ca="1">IF(ROWS($1:10)&gt;COUNT(Dong14),0,IF(OFFSET(TH!P$1,SMALL(Dong14,ROWS($1:10)),)="131",OFFSET(TH!M$1,SMALL(Dong14,ROWS($1:10)),),0))</f>
        <v>0</v>
      </c>
      <c r="L26" s="989">
        <f t="shared" ca="1" si="1"/>
        <v>0</v>
      </c>
      <c r="M26" s="990">
        <f t="shared" ca="1" si="2"/>
        <v>0</v>
      </c>
      <c r="N26" s="989">
        <f t="shared" ca="1" si="3"/>
        <v>0</v>
      </c>
      <c r="O26" s="990">
        <f t="shared" ca="1" si="4"/>
        <v>0</v>
      </c>
    </row>
    <row r="27" spans="1:15" s="5" customFormat="1" ht="16.5" customHeight="1">
      <c r="A27" s="229" t="str">
        <f t="shared" ca="1" si="0"/>
        <v/>
      </c>
      <c r="B27" s="240" t="str">
        <f ca="1">IF(ROWS($1:11)&gt;COUNT(Dong14),"",OFFSET(TH!D$1,SMALL(Dong14,ROWS($1:11)),))</f>
        <v/>
      </c>
      <c r="C27" s="229" t="str">
        <f ca="1">IF(ROWS($1:11)&gt;COUNT(Dong14),"",OFFSET(TH!E$1,SMALL(Dong14,ROWS($1:11)),))</f>
        <v/>
      </c>
      <c r="D27" s="986" t="str">
        <f ca="1">IF(ROWS($1:11)&gt;COUNT(Dong14),"",OFFSET(TH!F$1,SMALL(Dong14,ROWS($1:11)),))</f>
        <v/>
      </c>
      <c r="E27" s="987" t="str">
        <f ca="1">IF(ROWS($1:11)&gt;COUNT(Dong14),"",IF(OFFSET(TH!O$1,SMALL(Dong14,ROWS($1:11)),)="131",OFFSET(TH!P$1,SMALL(Dong14,ROWS($1:11)),),OFFSET(TH!O$1,SMALL(Dong14,ROWS($1:11)),)))</f>
        <v/>
      </c>
      <c r="F27" s="987">
        <f ca="1">IF(ROWS($1:11)&gt;COUNT(Dong14),0,OFFSET(TH!L$1,SMALL(Dong14,ROWS($1:11)),))</f>
        <v>0</v>
      </c>
      <c r="G27" s="987"/>
      <c r="H27" s="988">
        <f ca="1">IF(ROWS($1:11)&gt;COUNT(Dong14),0,IF(OFFSET(TH!O$1,SMALL(Dong14,ROWS($1:11)),)="131",OFFSET(TH!K$1,SMALL(Dong14,ROWS($1:11)),),0))</f>
        <v>0</v>
      </c>
      <c r="I27" s="987">
        <f ca="1">IF(ROWS($1:11)&gt;COUNT(Dong14),0,IF(OFFSET(TH!O$1,SMALL(Dong14,ROWS($1:11)),)="131",OFFSET(TH!M$1,SMALL(Dong14,ROWS($1:11)),),0))</f>
        <v>0</v>
      </c>
      <c r="J27" s="988">
        <f ca="1">IF(ROWS($1:11)&gt;COUNT(Dong14),0,IF(OFFSET(TH!P$1,SMALL(Dong14,ROWS($1:11)),)="131",OFFSET(TH!K$1,SMALL(Dong14,ROWS($1:11)),),0))</f>
        <v>0</v>
      </c>
      <c r="K27" s="987">
        <f ca="1">IF(ROWS($1:11)&gt;COUNT(Dong14),0,IF(OFFSET(TH!P$1,SMALL(Dong14,ROWS($1:11)),)="131",OFFSET(TH!M$1,SMALL(Dong14,ROWS($1:11)),),0))</f>
        <v>0</v>
      </c>
      <c r="L27" s="989">
        <f t="shared" ca="1" si="1"/>
        <v>0</v>
      </c>
      <c r="M27" s="990">
        <f t="shared" ca="1" si="2"/>
        <v>0</v>
      </c>
      <c r="N27" s="989">
        <f t="shared" ca="1" si="3"/>
        <v>0</v>
      </c>
      <c r="O27" s="990">
        <f t="shared" ca="1" si="4"/>
        <v>0</v>
      </c>
    </row>
    <row r="28" spans="1:15" s="5" customFormat="1" ht="16.5" customHeight="1">
      <c r="A28" s="229" t="str">
        <f t="shared" ca="1" si="0"/>
        <v/>
      </c>
      <c r="B28" s="240" t="str">
        <f ca="1">IF(ROWS($1:12)&gt;COUNT(Dong14),"",OFFSET(TH!D$1,SMALL(Dong14,ROWS($1:12)),))</f>
        <v/>
      </c>
      <c r="C28" s="229" t="str">
        <f ca="1">IF(ROWS($1:12)&gt;COUNT(Dong14),"",OFFSET(TH!E$1,SMALL(Dong14,ROWS($1:12)),))</f>
        <v/>
      </c>
      <c r="D28" s="986" t="str">
        <f ca="1">IF(ROWS($1:12)&gt;COUNT(Dong14),"",OFFSET(TH!F$1,SMALL(Dong14,ROWS($1:12)),))</f>
        <v/>
      </c>
      <c r="E28" s="987" t="str">
        <f ca="1">IF(ROWS($1:12)&gt;COUNT(Dong14),"",IF(OFFSET(TH!O$1,SMALL(Dong14,ROWS($1:12)),)="131",OFFSET(TH!P$1,SMALL(Dong14,ROWS($1:12)),),OFFSET(TH!O$1,SMALL(Dong14,ROWS($1:12)),)))</f>
        <v/>
      </c>
      <c r="F28" s="987">
        <f ca="1">IF(ROWS($1:12)&gt;COUNT(Dong14),0,OFFSET(TH!L$1,SMALL(Dong14,ROWS($1:12)),))</f>
        <v>0</v>
      </c>
      <c r="G28" s="987"/>
      <c r="H28" s="988">
        <f ca="1">IF(ROWS($1:12)&gt;COUNT(Dong14),0,IF(OFFSET(TH!O$1,SMALL(Dong14,ROWS($1:12)),)="131",OFFSET(TH!K$1,SMALL(Dong14,ROWS($1:12)),),0))</f>
        <v>0</v>
      </c>
      <c r="I28" s="987">
        <f ca="1">IF(ROWS($1:12)&gt;COUNT(Dong14),0,IF(OFFSET(TH!O$1,SMALL(Dong14,ROWS($1:12)),)="131",OFFSET(TH!M$1,SMALL(Dong14,ROWS($1:12)),),0))</f>
        <v>0</v>
      </c>
      <c r="J28" s="988">
        <f ca="1">IF(ROWS($1:12)&gt;COUNT(Dong14),0,IF(OFFSET(TH!P$1,SMALL(Dong14,ROWS($1:12)),)="131",OFFSET(TH!K$1,SMALL(Dong14,ROWS($1:12)),),0))</f>
        <v>0</v>
      </c>
      <c r="K28" s="987">
        <f ca="1">IF(ROWS($1:12)&gt;COUNT(Dong14),0,IF(OFFSET(TH!P$1,SMALL(Dong14,ROWS($1:12)),)="131",OFFSET(TH!M$1,SMALL(Dong14,ROWS($1:12)),),0))</f>
        <v>0</v>
      </c>
      <c r="L28" s="989">
        <f t="shared" ca="1" si="1"/>
        <v>0</v>
      </c>
      <c r="M28" s="990">
        <f t="shared" ca="1" si="2"/>
        <v>0</v>
      </c>
      <c r="N28" s="989">
        <f t="shared" ca="1" si="3"/>
        <v>0</v>
      </c>
      <c r="O28" s="990">
        <f t="shared" ca="1" si="4"/>
        <v>0</v>
      </c>
    </row>
    <row r="29" spans="1:15" s="5" customFormat="1" ht="16.5" customHeight="1">
      <c r="A29" s="229" t="str">
        <f t="shared" ca="1" si="0"/>
        <v/>
      </c>
      <c r="B29" s="240" t="str">
        <f ca="1">IF(ROWS($1:13)&gt;COUNT(Dong14),"",OFFSET(TH!D$1,SMALL(Dong14,ROWS($1:13)),))</f>
        <v/>
      </c>
      <c r="C29" s="229" t="str">
        <f ca="1">IF(ROWS($1:13)&gt;COUNT(Dong14),"",OFFSET(TH!E$1,SMALL(Dong14,ROWS($1:13)),))</f>
        <v/>
      </c>
      <c r="D29" s="986" t="str">
        <f ca="1">IF(ROWS($1:13)&gt;COUNT(Dong14),"",OFFSET(TH!F$1,SMALL(Dong14,ROWS($1:13)),))</f>
        <v/>
      </c>
      <c r="E29" s="987" t="str">
        <f ca="1">IF(ROWS($1:13)&gt;COUNT(Dong14),"",IF(OFFSET(TH!O$1,SMALL(Dong14,ROWS($1:13)),)="131",OFFSET(TH!P$1,SMALL(Dong14,ROWS($1:13)),),OFFSET(TH!O$1,SMALL(Dong14,ROWS($1:13)),)))</f>
        <v/>
      </c>
      <c r="F29" s="987">
        <f ca="1">IF(ROWS($1:13)&gt;COUNT(Dong14),0,OFFSET(TH!L$1,SMALL(Dong14,ROWS($1:13)),))</f>
        <v>0</v>
      </c>
      <c r="G29" s="987"/>
      <c r="H29" s="988">
        <f ca="1">IF(ROWS($1:13)&gt;COUNT(Dong14),0,IF(OFFSET(TH!O$1,SMALL(Dong14,ROWS($1:13)),)="131",OFFSET(TH!K$1,SMALL(Dong14,ROWS($1:13)),),0))</f>
        <v>0</v>
      </c>
      <c r="I29" s="987">
        <f ca="1">IF(ROWS($1:13)&gt;COUNT(Dong14),0,IF(OFFSET(TH!O$1,SMALL(Dong14,ROWS($1:13)),)="131",OFFSET(TH!M$1,SMALL(Dong14,ROWS($1:13)),),0))</f>
        <v>0</v>
      </c>
      <c r="J29" s="988">
        <f ca="1">IF(ROWS($1:13)&gt;COUNT(Dong14),0,IF(OFFSET(TH!P$1,SMALL(Dong14,ROWS($1:13)),)="131",OFFSET(TH!K$1,SMALL(Dong14,ROWS($1:13)),),0))</f>
        <v>0</v>
      </c>
      <c r="K29" s="987">
        <f ca="1">IF(ROWS($1:13)&gt;COUNT(Dong14),0,IF(OFFSET(TH!P$1,SMALL(Dong14,ROWS($1:13)),)="131",OFFSET(TH!M$1,SMALL(Dong14,ROWS($1:13)),),0))</f>
        <v>0</v>
      </c>
      <c r="L29" s="989">
        <f t="shared" ca="1" si="1"/>
        <v>0</v>
      </c>
      <c r="M29" s="990">
        <f t="shared" ca="1" si="2"/>
        <v>0</v>
      </c>
      <c r="N29" s="989">
        <f t="shared" ca="1" si="3"/>
        <v>0</v>
      </c>
      <c r="O29" s="990">
        <f t="shared" ca="1" si="4"/>
        <v>0</v>
      </c>
    </row>
    <row r="30" spans="1:15" s="5" customFormat="1" ht="16.5" customHeight="1">
      <c r="A30" s="229" t="str">
        <f t="shared" ca="1" si="0"/>
        <v/>
      </c>
      <c r="B30" s="240" t="str">
        <f ca="1">IF(ROWS($1:14)&gt;COUNT(Dong14),"",OFFSET(TH!D$1,SMALL(Dong14,ROWS($1:14)),))</f>
        <v/>
      </c>
      <c r="C30" s="229" t="str">
        <f ca="1">IF(ROWS($1:14)&gt;COUNT(Dong14),"",OFFSET(TH!E$1,SMALL(Dong14,ROWS($1:14)),))</f>
        <v/>
      </c>
      <c r="D30" s="986" t="str">
        <f ca="1">IF(ROWS($1:14)&gt;COUNT(Dong14),"",OFFSET(TH!F$1,SMALL(Dong14,ROWS($1:14)),))</f>
        <v/>
      </c>
      <c r="E30" s="987" t="str">
        <f ca="1">IF(ROWS($1:14)&gt;COUNT(Dong14),"",IF(OFFSET(TH!O$1,SMALL(Dong14,ROWS($1:14)),)="131",OFFSET(TH!P$1,SMALL(Dong14,ROWS($1:14)),),OFFSET(TH!O$1,SMALL(Dong14,ROWS($1:14)),)))</f>
        <v/>
      </c>
      <c r="F30" s="987">
        <f ca="1">IF(ROWS($1:14)&gt;COUNT(Dong14),0,OFFSET(TH!L$1,SMALL(Dong14,ROWS($1:14)),))</f>
        <v>0</v>
      </c>
      <c r="G30" s="987"/>
      <c r="H30" s="988">
        <f ca="1">IF(ROWS($1:14)&gt;COUNT(Dong14),0,IF(OFFSET(TH!O$1,SMALL(Dong14,ROWS($1:14)),)="131",OFFSET(TH!K$1,SMALL(Dong14,ROWS($1:14)),),0))</f>
        <v>0</v>
      </c>
      <c r="I30" s="987">
        <f ca="1">IF(ROWS($1:14)&gt;COUNT(Dong14),0,IF(OFFSET(TH!O$1,SMALL(Dong14,ROWS($1:14)),)="131",OFFSET(TH!M$1,SMALL(Dong14,ROWS($1:14)),),0))</f>
        <v>0</v>
      </c>
      <c r="J30" s="988">
        <f ca="1">IF(ROWS($1:14)&gt;COUNT(Dong14),0,IF(OFFSET(TH!P$1,SMALL(Dong14,ROWS($1:14)),)="131",OFFSET(TH!K$1,SMALL(Dong14,ROWS($1:14)),),0))</f>
        <v>0</v>
      </c>
      <c r="K30" s="987">
        <f ca="1">IF(ROWS($1:14)&gt;COUNT(Dong14),0,IF(OFFSET(TH!P$1,SMALL(Dong14,ROWS($1:14)),)="131",OFFSET(TH!M$1,SMALL(Dong14,ROWS($1:14)),),0))</f>
        <v>0</v>
      </c>
      <c r="L30" s="989">
        <f t="shared" ca="1" si="1"/>
        <v>0</v>
      </c>
      <c r="M30" s="990">
        <f t="shared" ca="1" si="2"/>
        <v>0</v>
      </c>
      <c r="N30" s="989">
        <f t="shared" ca="1" si="3"/>
        <v>0</v>
      </c>
      <c r="O30" s="990">
        <f t="shared" ca="1" si="4"/>
        <v>0</v>
      </c>
    </row>
    <row r="31" spans="1:15" s="5" customFormat="1" ht="16.5" customHeight="1">
      <c r="A31" s="229" t="str">
        <f t="shared" si="0"/>
        <v/>
      </c>
      <c r="B31" s="991"/>
      <c r="C31" s="991"/>
      <c r="D31" s="992"/>
      <c r="E31" s="991"/>
      <c r="F31" s="993"/>
      <c r="G31" s="994"/>
      <c r="H31" s="995"/>
      <c r="I31" s="990"/>
      <c r="J31" s="995"/>
      <c r="K31" s="994"/>
      <c r="L31" s="989"/>
      <c r="M31" s="990"/>
      <c r="N31" s="989"/>
      <c r="O31" s="990"/>
    </row>
    <row r="32" spans="1:15" s="5" customFormat="1" ht="16.5" customHeight="1">
      <c r="A32" s="980"/>
      <c r="B32" s="980"/>
      <c r="C32" s="980"/>
      <c r="D32" s="981" t="s">
        <v>43</v>
      </c>
      <c r="E32" s="978" t="s">
        <v>26</v>
      </c>
      <c r="F32" s="978"/>
      <c r="G32" s="996" t="s">
        <v>26</v>
      </c>
      <c r="H32" s="997">
        <f ca="1">SUM(H17:H31)</f>
        <v>0</v>
      </c>
      <c r="I32" s="996">
        <f ca="1">SUM(I17:I31)</f>
        <v>0</v>
      </c>
      <c r="J32" s="998">
        <f ca="1">SUM(J17:J31)</f>
        <v>0</v>
      </c>
      <c r="K32" s="996">
        <f ca="1">ROUND(SUM(K17:K31),0)</f>
        <v>0</v>
      </c>
      <c r="L32" s="997" t="s">
        <v>26</v>
      </c>
      <c r="M32" s="996" t="s">
        <v>26</v>
      </c>
      <c r="N32" s="996" t="s">
        <v>26</v>
      </c>
      <c r="O32" s="996" t="s">
        <v>26</v>
      </c>
    </row>
    <row r="33" spans="1:15" s="5" customFormat="1" ht="16.5" customHeight="1">
      <c r="A33" s="980"/>
      <c r="B33" s="980"/>
      <c r="C33" s="980"/>
      <c r="D33" s="981" t="s">
        <v>13</v>
      </c>
      <c r="E33" s="978" t="s">
        <v>26</v>
      </c>
      <c r="F33" s="978"/>
      <c r="G33" s="996" t="s">
        <v>26</v>
      </c>
      <c r="H33" s="997" t="s">
        <v>26</v>
      </c>
      <c r="I33" s="996" t="s">
        <v>26</v>
      </c>
      <c r="J33" s="998" t="s">
        <v>26</v>
      </c>
      <c r="K33" s="996" t="s">
        <v>26</v>
      </c>
      <c r="L33" s="997" t="e">
        <f ca="1">ROUND(MAX(L16+H32-N16-J32,0),2)</f>
        <v>#N/A</v>
      </c>
      <c r="M33" s="996" t="e">
        <f ca="1">ROUND(MAX(M16+I32-O16-K32,0),0)</f>
        <v>#N/A</v>
      </c>
      <c r="N33" s="996" t="e">
        <f ca="1">ROUND(MAX(N16+J32-L16-H32,0),2)</f>
        <v>#N/A</v>
      </c>
      <c r="O33" s="996" t="e">
        <f ca="1">ROUND(MAX(O16+K32-M16-I32,0),-1)</f>
        <v>#N/A</v>
      </c>
    </row>
    <row r="34" spans="1:15" s="5" customFormat="1" ht="15">
      <c r="A34" s="237" t="s">
        <v>657</v>
      </c>
      <c r="B34" s="4"/>
      <c r="C34" s="4"/>
      <c r="E34" s="4"/>
      <c r="F34" s="933"/>
      <c r="G34" s="999"/>
      <c r="H34" s="1000"/>
      <c r="I34" s="999"/>
      <c r="J34" s="261"/>
      <c r="K34" s="999"/>
    </row>
    <row r="35" spans="1:15" s="5" customFormat="1" ht="15">
      <c r="A35" s="237" t="s">
        <v>275</v>
      </c>
      <c r="B35" s="4"/>
      <c r="C35" s="4"/>
      <c r="E35" s="4"/>
      <c r="F35" s="933"/>
      <c r="G35" s="999"/>
      <c r="H35" s="1000"/>
      <c r="I35" s="999"/>
      <c r="J35" s="261"/>
      <c r="K35" s="999"/>
    </row>
    <row r="36" spans="1:15" s="5" customFormat="1" ht="15">
      <c r="A36" s="4"/>
      <c r="B36" s="4"/>
      <c r="C36" s="4"/>
      <c r="E36" s="4"/>
      <c r="F36" s="933"/>
      <c r="G36" s="999"/>
      <c r="H36" s="1001"/>
      <c r="I36" s="999"/>
      <c r="J36" s="1217" t="s">
        <v>262</v>
      </c>
      <c r="K36" s="1217"/>
      <c r="L36" s="1217"/>
      <c r="M36" s="1217"/>
      <c r="N36" s="1217"/>
      <c r="O36" s="1217"/>
    </row>
    <row r="37" spans="1:15" s="5" customFormat="1" ht="15">
      <c r="A37" s="4"/>
      <c r="B37" s="4" t="s">
        <v>14</v>
      </c>
      <c r="C37" s="4"/>
      <c r="E37" s="4"/>
      <c r="F37" s="933"/>
      <c r="G37" s="999"/>
      <c r="H37" s="1001"/>
      <c r="I37" s="999"/>
      <c r="J37" s="261"/>
      <c r="K37" s="999"/>
      <c r="L37" s="1217" t="s">
        <v>15</v>
      </c>
      <c r="M37" s="1217"/>
    </row>
    <row r="38" spans="1:15" s="5" customFormat="1" ht="15">
      <c r="A38" s="4"/>
      <c r="B38" s="4" t="s">
        <v>16</v>
      </c>
      <c r="C38" s="4"/>
      <c r="E38" s="4"/>
      <c r="F38" s="933"/>
      <c r="G38" s="999"/>
      <c r="H38" s="1001"/>
      <c r="I38" s="999"/>
      <c r="J38" s="261"/>
      <c r="K38" s="999"/>
      <c r="L38" s="1217" t="s">
        <v>16</v>
      </c>
      <c r="M38" s="1217"/>
    </row>
  </sheetData>
  <mergeCells count="20">
    <mergeCell ref="J36:O36"/>
    <mergeCell ref="L37:M37"/>
    <mergeCell ref="L38:M38"/>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4.xml><?xml version="1.0" encoding="utf-8"?>
<worksheet xmlns="http://schemas.openxmlformats.org/spreadsheetml/2006/main" xmlns:r="http://schemas.openxmlformats.org/officeDocument/2006/relationships">
  <sheetPr>
    <tabColor theme="2" tint="-0.749992370372631"/>
  </sheetPr>
  <dimension ref="A1:L75"/>
  <sheetViews>
    <sheetView topLeftCell="A33" workbookViewId="0">
      <selection activeCell="K64" sqref="K64"/>
    </sheetView>
  </sheetViews>
  <sheetFormatPr defaultRowHeight="15"/>
  <cols>
    <col min="1" max="1" width="32.28515625" style="4" customWidth="1"/>
    <col min="2" max="2" width="13.85546875" style="215" customWidth="1"/>
    <col min="3" max="3" width="38.85546875" style="5" customWidth="1"/>
    <col min="4" max="4" width="19.140625" style="5" customWidth="1"/>
    <col min="5" max="5" width="17.5703125" style="5" customWidth="1"/>
    <col min="6" max="6" width="3" style="5" customWidth="1"/>
    <col min="7" max="7" width="9.140625" style="5"/>
    <col min="8" max="8" width="3.28515625" style="5" customWidth="1"/>
    <col min="9" max="10" width="4.7109375" style="5" customWidth="1"/>
    <col min="11" max="11" width="9.140625" style="5" customWidth="1"/>
    <col min="12" max="12" width="12.85546875" style="5" bestFit="1" customWidth="1"/>
    <col min="13" max="256" width="9.140625" style="5"/>
    <col min="257" max="257" width="9.85546875" style="5" customWidth="1"/>
    <col min="258" max="258" width="10.28515625" style="5" customWidth="1"/>
    <col min="259" max="259" width="40.85546875" style="5" customWidth="1"/>
    <col min="260" max="261" width="19.140625" style="5" customWidth="1"/>
    <col min="262" max="512" width="9.140625" style="5"/>
    <col min="513" max="513" width="9.85546875" style="5" customWidth="1"/>
    <col min="514" max="514" width="10.28515625" style="5" customWidth="1"/>
    <col min="515" max="515" width="40.85546875" style="5" customWidth="1"/>
    <col min="516" max="517" width="19.140625" style="5" customWidth="1"/>
    <col min="518" max="768" width="9.140625" style="5"/>
    <col min="769" max="769" width="9.85546875" style="5" customWidth="1"/>
    <col min="770" max="770" width="10.28515625" style="5" customWidth="1"/>
    <col min="771" max="771" width="40.85546875" style="5" customWidth="1"/>
    <col min="772" max="773" width="19.140625" style="5" customWidth="1"/>
    <col min="774" max="1024" width="9.140625" style="5"/>
    <col min="1025" max="1025" width="9.85546875" style="5" customWidth="1"/>
    <col min="1026" max="1026" width="10.28515625" style="5" customWidth="1"/>
    <col min="1027" max="1027" width="40.85546875" style="5" customWidth="1"/>
    <col min="1028" max="1029" width="19.140625" style="5" customWidth="1"/>
    <col min="1030" max="1280" width="9.140625" style="5"/>
    <col min="1281" max="1281" width="9.85546875" style="5" customWidth="1"/>
    <col min="1282" max="1282" width="10.28515625" style="5" customWidth="1"/>
    <col min="1283" max="1283" width="40.85546875" style="5" customWidth="1"/>
    <col min="1284" max="1285" width="19.140625" style="5" customWidth="1"/>
    <col min="1286" max="1536" width="9.140625" style="5"/>
    <col min="1537" max="1537" width="9.85546875" style="5" customWidth="1"/>
    <col min="1538" max="1538" width="10.28515625" style="5" customWidth="1"/>
    <col min="1539" max="1539" width="40.85546875" style="5" customWidth="1"/>
    <col min="1540" max="1541" width="19.140625" style="5" customWidth="1"/>
    <col min="1542" max="1792" width="9.140625" style="5"/>
    <col min="1793" max="1793" width="9.85546875" style="5" customWidth="1"/>
    <col min="1794" max="1794" width="10.28515625" style="5" customWidth="1"/>
    <col min="1795" max="1795" width="40.85546875" style="5" customWidth="1"/>
    <col min="1796" max="1797" width="19.140625" style="5" customWidth="1"/>
    <col min="1798" max="2048" width="9.140625" style="5"/>
    <col min="2049" max="2049" width="9.85546875" style="5" customWidth="1"/>
    <col min="2050" max="2050" width="10.28515625" style="5" customWidth="1"/>
    <col min="2051" max="2051" width="40.85546875" style="5" customWidth="1"/>
    <col min="2052" max="2053" width="19.140625" style="5" customWidth="1"/>
    <col min="2054" max="2304" width="9.140625" style="5"/>
    <col min="2305" max="2305" width="9.85546875" style="5" customWidth="1"/>
    <col min="2306" max="2306" width="10.28515625" style="5" customWidth="1"/>
    <col min="2307" max="2307" width="40.85546875" style="5" customWidth="1"/>
    <col min="2308" max="2309" width="19.140625" style="5" customWidth="1"/>
    <col min="2310" max="2560" width="9.140625" style="5"/>
    <col min="2561" max="2561" width="9.85546875" style="5" customWidth="1"/>
    <col min="2562" max="2562" width="10.28515625" style="5" customWidth="1"/>
    <col min="2563" max="2563" width="40.85546875" style="5" customWidth="1"/>
    <col min="2564" max="2565" width="19.140625" style="5" customWidth="1"/>
    <col min="2566" max="2816" width="9.140625" style="5"/>
    <col min="2817" max="2817" width="9.85546875" style="5" customWidth="1"/>
    <col min="2818" max="2818" width="10.28515625" style="5" customWidth="1"/>
    <col min="2819" max="2819" width="40.85546875" style="5" customWidth="1"/>
    <col min="2820" max="2821" width="19.140625" style="5" customWidth="1"/>
    <col min="2822" max="3072" width="9.140625" style="5"/>
    <col min="3073" max="3073" width="9.85546875" style="5" customWidth="1"/>
    <col min="3074" max="3074" width="10.28515625" style="5" customWidth="1"/>
    <col min="3075" max="3075" width="40.85546875" style="5" customWidth="1"/>
    <col min="3076" max="3077" width="19.140625" style="5" customWidth="1"/>
    <col min="3078" max="3328" width="9.140625" style="5"/>
    <col min="3329" max="3329" width="9.85546875" style="5" customWidth="1"/>
    <col min="3330" max="3330" width="10.28515625" style="5" customWidth="1"/>
    <col min="3331" max="3331" width="40.85546875" style="5" customWidth="1"/>
    <col min="3332" max="3333" width="19.140625" style="5" customWidth="1"/>
    <col min="3334" max="3584" width="9.140625" style="5"/>
    <col min="3585" max="3585" width="9.85546875" style="5" customWidth="1"/>
    <col min="3586" max="3586" width="10.28515625" style="5" customWidth="1"/>
    <col min="3587" max="3587" width="40.85546875" style="5" customWidth="1"/>
    <col min="3588" max="3589" width="19.140625" style="5" customWidth="1"/>
    <col min="3590" max="3840" width="9.140625" style="5"/>
    <col min="3841" max="3841" width="9.85546875" style="5" customWidth="1"/>
    <col min="3842" max="3842" width="10.28515625" style="5" customWidth="1"/>
    <col min="3843" max="3843" width="40.85546875" style="5" customWidth="1"/>
    <col min="3844" max="3845" width="19.140625" style="5" customWidth="1"/>
    <col min="3846" max="4096" width="9.140625" style="5"/>
    <col min="4097" max="4097" width="9.85546875" style="5" customWidth="1"/>
    <col min="4098" max="4098" width="10.28515625" style="5" customWidth="1"/>
    <col min="4099" max="4099" width="40.85546875" style="5" customWidth="1"/>
    <col min="4100" max="4101" width="19.140625" style="5" customWidth="1"/>
    <col min="4102" max="4352" width="9.140625" style="5"/>
    <col min="4353" max="4353" width="9.85546875" style="5" customWidth="1"/>
    <col min="4354" max="4354" width="10.28515625" style="5" customWidth="1"/>
    <col min="4355" max="4355" width="40.85546875" style="5" customWidth="1"/>
    <col min="4356" max="4357" width="19.140625" style="5" customWidth="1"/>
    <col min="4358" max="4608" width="9.140625" style="5"/>
    <col min="4609" max="4609" width="9.85546875" style="5" customWidth="1"/>
    <col min="4610" max="4610" width="10.28515625" style="5" customWidth="1"/>
    <col min="4611" max="4611" width="40.85546875" style="5" customWidth="1"/>
    <col min="4612" max="4613" width="19.140625" style="5" customWidth="1"/>
    <col min="4614" max="4864" width="9.140625" style="5"/>
    <col min="4865" max="4865" width="9.85546875" style="5" customWidth="1"/>
    <col min="4866" max="4866" width="10.28515625" style="5" customWidth="1"/>
    <col min="4867" max="4867" width="40.85546875" style="5" customWidth="1"/>
    <col min="4868" max="4869" width="19.140625" style="5" customWidth="1"/>
    <col min="4870" max="5120" width="9.140625" style="5"/>
    <col min="5121" max="5121" width="9.85546875" style="5" customWidth="1"/>
    <col min="5122" max="5122" width="10.28515625" style="5" customWidth="1"/>
    <col min="5123" max="5123" width="40.85546875" style="5" customWidth="1"/>
    <col min="5124" max="5125" width="19.140625" style="5" customWidth="1"/>
    <col min="5126" max="5376" width="9.140625" style="5"/>
    <col min="5377" max="5377" width="9.85546875" style="5" customWidth="1"/>
    <col min="5378" max="5378" width="10.28515625" style="5" customWidth="1"/>
    <col min="5379" max="5379" width="40.85546875" style="5" customWidth="1"/>
    <col min="5380" max="5381" width="19.140625" style="5" customWidth="1"/>
    <col min="5382" max="5632" width="9.140625" style="5"/>
    <col min="5633" max="5633" width="9.85546875" style="5" customWidth="1"/>
    <col min="5634" max="5634" width="10.28515625" style="5" customWidth="1"/>
    <col min="5635" max="5635" width="40.85546875" style="5" customWidth="1"/>
    <col min="5636" max="5637" width="19.140625" style="5" customWidth="1"/>
    <col min="5638" max="5888" width="9.140625" style="5"/>
    <col min="5889" max="5889" width="9.85546875" style="5" customWidth="1"/>
    <col min="5890" max="5890" width="10.28515625" style="5" customWidth="1"/>
    <col min="5891" max="5891" width="40.85546875" style="5" customWidth="1"/>
    <col min="5892" max="5893" width="19.140625" style="5" customWidth="1"/>
    <col min="5894" max="6144" width="9.140625" style="5"/>
    <col min="6145" max="6145" width="9.85546875" style="5" customWidth="1"/>
    <col min="6146" max="6146" width="10.28515625" style="5" customWidth="1"/>
    <col min="6147" max="6147" width="40.85546875" style="5" customWidth="1"/>
    <col min="6148" max="6149" width="19.140625" style="5" customWidth="1"/>
    <col min="6150" max="6400" width="9.140625" style="5"/>
    <col min="6401" max="6401" width="9.85546875" style="5" customWidth="1"/>
    <col min="6402" max="6402" width="10.28515625" style="5" customWidth="1"/>
    <col min="6403" max="6403" width="40.85546875" style="5" customWidth="1"/>
    <col min="6404" max="6405" width="19.140625" style="5" customWidth="1"/>
    <col min="6406" max="6656" width="9.140625" style="5"/>
    <col min="6657" max="6657" width="9.85546875" style="5" customWidth="1"/>
    <col min="6658" max="6658" width="10.28515625" style="5" customWidth="1"/>
    <col min="6659" max="6659" width="40.85546875" style="5" customWidth="1"/>
    <col min="6660" max="6661" width="19.140625" style="5" customWidth="1"/>
    <col min="6662" max="6912" width="9.140625" style="5"/>
    <col min="6913" max="6913" width="9.85546875" style="5" customWidth="1"/>
    <col min="6914" max="6914" width="10.28515625" style="5" customWidth="1"/>
    <col min="6915" max="6915" width="40.85546875" style="5" customWidth="1"/>
    <col min="6916" max="6917" width="19.140625" style="5" customWidth="1"/>
    <col min="6918" max="7168" width="9.140625" style="5"/>
    <col min="7169" max="7169" width="9.85546875" style="5" customWidth="1"/>
    <col min="7170" max="7170" width="10.28515625" style="5" customWidth="1"/>
    <col min="7171" max="7171" width="40.85546875" style="5" customWidth="1"/>
    <col min="7172" max="7173" width="19.140625" style="5" customWidth="1"/>
    <col min="7174" max="7424" width="9.140625" style="5"/>
    <col min="7425" max="7425" width="9.85546875" style="5" customWidth="1"/>
    <col min="7426" max="7426" width="10.28515625" style="5" customWidth="1"/>
    <col min="7427" max="7427" width="40.85546875" style="5" customWidth="1"/>
    <col min="7428" max="7429" width="19.140625" style="5" customWidth="1"/>
    <col min="7430" max="7680" width="9.140625" style="5"/>
    <col min="7681" max="7681" width="9.85546875" style="5" customWidth="1"/>
    <col min="7682" max="7682" width="10.28515625" style="5" customWidth="1"/>
    <col min="7683" max="7683" width="40.85546875" style="5" customWidth="1"/>
    <col min="7684" max="7685" width="19.140625" style="5" customWidth="1"/>
    <col min="7686" max="7936" width="9.140625" style="5"/>
    <col min="7937" max="7937" width="9.85546875" style="5" customWidth="1"/>
    <col min="7938" max="7938" width="10.28515625" style="5" customWidth="1"/>
    <col min="7939" max="7939" width="40.85546875" style="5" customWidth="1"/>
    <col min="7940" max="7941" width="19.140625" style="5" customWidth="1"/>
    <col min="7942" max="8192" width="9.140625" style="5"/>
    <col min="8193" max="8193" width="9.85546875" style="5" customWidth="1"/>
    <col min="8194" max="8194" width="10.28515625" style="5" customWidth="1"/>
    <col min="8195" max="8195" width="40.85546875" style="5" customWidth="1"/>
    <col min="8196" max="8197" width="19.140625" style="5" customWidth="1"/>
    <col min="8198" max="8448" width="9.140625" style="5"/>
    <col min="8449" max="8449" width="9.85546875" style="5" customWidth="1"/>
    <col min="8450" max="8450" width="10.28515625" style="5" customWidth="1"/>
    <col min="8451" max="8451" width="40.85546875" style="5" customWidth="1"/>
    <col min="8452" max="8453" width="19.140625" style="5" customWidth="1"/>
    <col min="8454" max="8704" width="9.140625" style="5"/>
    <col min="8705" max="8705" width="9.85546875" style="5" customWidth="1"/>
    <col min="8706" max="8706" width="10.28515625" style="5" customWidth="1"/>
    <col min="8707" max="8707" width="40.85546875" style="5" customWidth="1"/>
    <col min="8708" max="8709" width="19.140625" style="5" customWidth="1"/>
    <col min="8710" max="8960" width="9.140625" style="5"/>
    <col min="8961" max="8961" width="9.85546875" style="5" customWidth="1"/>
    <col min="8962" max="8962" width="10.28515625" style="5" customWidth="1"/>
    <col min="8963" max="8963" width="40.85546875" style="5" customWidth="1"/>
    <col min="8964" max="8965" width="19.140625" style="5" customWidth="1"/>
    <col min="8966" max="9216" width="9.140625" style="5"/>
    <col min="9217" max="9217" width="9.85546875" style="5" customWidth="1"/>
    <col min="9218" max="9218" width="10.28515625" style="5" customWidth="1"/>
    <col min="9219" max="9219" width="40.85546875" style="5" customWidth="1"/>
    <col min="9220" max="9221" width="19.140625" style="5" customWidth="1"/>
    <col min="9222" max="9472" width="9.140625" style="5"/>
    <col min="9473" max="9473" width="9.85546875" style="5" customWidth="1"/>
    <col min="9474" max="9474" width="10.28515625" style="5" customWidth="1"/>
    <col min="9475" max="9475" width="40.85546875" style="5" customWidth="1"/>
    <col min="9476" max="9477" width="19.140625" style="5" customWidth="1"/>
    <col min="9478" max="9728" width="9.140625" style="5"/>
    <col min="9729" max="9729" width="9.85546875" style="5" customWidth="1"/>
    <col min="9730" max="9730" width="10.28515625" style="5" customWidth="1"/>
    <col min="9731" max="9731" width="40.85546875" style="5" customWidth="1"/>
    <col min="9732" max="9733" width="19.140625" style="5" customWidth="1"/>
    <col min="9734" max="9984" width="9.140625" style="5"/>
    <col min="9985" max="9985" width="9.85546875" style="5" customWidth="1"/>
    <col min="9986" max="9986" width="10.28515625" style="5" customWidth="1"/>
    <col min="9987" max="9987" width="40.85546875" style="5" customWidth="1"/>
    <col min="9988" max="9989" width="19.140625" style="5" customWidth="1"/>
    <col min="9990" max="10240" width="9.140625" style="5"/>
    <col min="10241" max="10241" width="9.85546875" style="5" customWidth="1"/>
    <col min="10242" max="10242" width="10.28515625" style="5" customWidth="1"/>
    <col min="10243" max="10243" width="40.85546875" style="5" customWidth="1"/>
    <col min="10244" max="10245" width="19.140625" style="5" customWidth="1"/>
    <col min="10246" max="10496" width="9.140625" style="5"/>
    <col min="10497" max="10497" width="9.85546875" style="5" customWidth="1"/>
    <col min="10498" max="10498" width="10.28515625" style="5" customWidth="1"/>
    <col min="10499" max="10499" width="40.85546875" style="5" customWidth="1"/>
    <col min="10500" max="10501" width="19.140625" style="5" customWidth="1"/>
    <col min="10502" max="10752" width="9.140625" style="5"/>
    <col min="10753" max="10753" width="9.85546875" style="5" customWidth="1"/>
    <col min="10754" max="10754" width="10.28515625" style="5" customWidth="1"/>
    <col min="10755" max="10755" width="40.85546875" style="5" customWidth="1"/>
    <col min="10756" max="10757" width="19.140625" style="5" customWidth="1"/>
    <col min="10758" max="11008" width="9.140625" style="5"/>
    <col min="11009" max="11009" width="9.85546875" style="5" customWidth="1"/>
    <col min="11010" max="11010" width="10.28515625" style="5" customWidth="1"/>
    <col min="11011" max="11011" width="40.85546875" style="5" customWidth="1"/>
    <col min="11012" max="11013" width="19.140625" style="5" customWidth="1"/>
    <col min="11014" max="11264" width="9.140625" style="5"/>
    <col min="11265" max="11265" width="9.85546875" style="5" customWidth="1"/>
    <col min="11266" max="11266" width="10.28515625" style="5" customWidth="1"/>
    <col min="11267" max="11267" width="40.85546875" style="5" customWidth="1"/>
    <col min="11268" max="11269" width="19.140625" style="5" customWidth="1"/>
    <col min="11270" max="11520" width="9.140625" style="5"/>
    <col min="11521" max="11521" width="9.85546875" style="5" customWidth="1"/>
    <col min="11522" max="11522" width="10.28515625" style="5" customWidth="1"/>
    <col min="11523" max="11523" width="40.85546875" style="5" customWidth="1"/>
    <col min="11524" max="11525" width="19.140625" style="5" customWidth="1"/>
    <col min="11526" max="11776" width="9.140625" style="5"/>
    <col min="11777" max="11777" width="9.85546875" style="5" customWidth="1"/>
    <col min="11778" max="11778" width="10.28515625" style="5" customWidth="1"/>
    <col min="11779" max="11779" width="40.85546875" style="5" customWidth="1"/>
    <col min="11780" max="11781" width="19.140625" style="5" customWidth="1"/>
    <col min="11782" max="12032" width="9.140625" style="5"/>
    <col min="12033" max="12033" width="9.85546875" style="5" customWidth="1"/>
    <col min="12034" max="12034" width="10.28515625" style="5" customWidth="1"/>
    <col min="12035" max="12035" width="40.85546875" style="5" customWidth="1"/>
    <col min="12036" max="12037" width="19.140625" style="5" customWidth="1"/>
    <col min="12038" max="12288" width="9.140625" style="5"/>
    <col min="12289" max="12289" width="9.85546875" style="5" customWidth="1"/>
    <col min="12290" max="12290" width="10.28515625" style="5" customWidth="1"/>
    <col min="12291" max="12291" width="40.85546875" style="5" customWidth="1"/>
    <col min="12292" max="12293" width="19.140625" style="5" customWidth="1"/>
    <col min="12294" max="12544" width="9.140625" style="5"/>
    <col min="12545" max="12545" width="9.85546875" style="5" customWidth="1"/>
    <col min="12546" max="12546" width="10.28515625" style="5" customWidth="1"/>
    <col min="12547" max="12547" width="40.85546875" style="5" customWidth="1"/>
    <col min="12548" max="12549" width="19.140625" style="5" customWidth="1"/>
    <col min="12550" max="12800" width="9.140625" style="5"/>
    <col min="12801" max="12801" width="9.85546875" style="5" customWidth="1"/>
    <col min="12802" max="12802" width="10.28515625" style="5" customWidth="1"/>
    <col min="12803" max="12803" width="40.85546875" style="5" customWidth="1"/>
    <col min="12804" max="12805" width="19.140625" style="5" customWidth="1"/>
    <col min="12806" max="13056" width="9.140625" style="5"/>
    <col min="13057" max="13057" width="9.85546875" style="5" customWidth="1"/>
    <col min="13058" max="13058" width="10.28515625" style="5" customWidth="1"/>
    <col min="13059" max="13059" width="40.85546875" style="5" customWidth="1"/>
    <col min="13060" max="13061" width="19.140625" style="5" customWidth="1"/>
    <col min="13062" max="13312" width="9.140625" style="5"/>
    <col min="13313" max="13313" width="9.85546875" style="5" customWidth="1"/>
    <col min="13314" max="13314" width="10.28515625" style="5" customWidth="1"/>
    <col min="13315" max="13315" width="40.85546875" style="5" customWidth="1"/>
    <col min="13316" max="13317" width="19.140625" style="5" customWidth="1"/>
    <col min="13318" max="13568" width="9.140625" style="5"/>
    <col min="13569" max="13569" width="9.85546875" style="5" customWidth="1"/>
    <col min="13570" max="13570" width="10.28515625" style="5" customWidth="1"/>
    <col min="13571" max="13571" width="40.85546875" style="5" customWidth="1"/>
    <col min="13572" max="13573" width="19.140625" style="5" customWidth="1"/>
    <col min="13574" max="13824" width="9.140625" style="5"/>
    <col min="13825" max="13825" width="9.85546875" style="5" customWidth="1"/>
    <col min="13826" max="13826" width="10.28515625" style="5" customWidth="1"/>
    <col min="13827" max="13827" width="40.85546875" style="5" customWidth="1"/>
    <col min="13828" max="13829" width="19.140625" style="5" customWidth="1"/>
    <col min="13830" max="14080" width="9.140625" style="5"/>
    <col min="14081" max="14081" width="9.85546875" style="5" customWidth="1"/>
    <col min="14082" max="14082" width="10.28515625" style="5" customWidth="1"/>
    <col min="14083" max="14083" width="40.85546875" style="5" customWidth="1"/>
    <col min="14084" max="14085" width="19.140625" style="5" customWidth="1"/>
    <col min="14086" max="14336" width="9.140625" style="5"/>
    <col min="14337" max="14337" width="9.85546875" style="5" customWidth="1"/>
    <col min="14338" max="14338" width="10.28515625" style="5" customWidth="1"/>
    <col min="14339" max="14339" width="40.85546875" style="5" customWidth="1"/>
    <col min="14340" max="14341" width="19.140625" style="5" customWidth="1"/>
    <col min="14342" max="14592" width="9.140625" style="5"/>
    <col min="14593" max="14593" width="9.85546875" style="5" customWidth="1"/>
    <col min="14594" max="14594" width="10.28515625" style="5" customWidth="1"/>
    <col min="14595" max="14595" width="40.85546875" style="5" customWidth="1"/>
    <col min="14596" max="14597" width="19.140625" style="5" customWidth="1"/>
    <col min="14598" max="14848" width="9.140625" style="5"/>
    <col min="14849" max="14849" width="9.85546875" style="5" customWidth="1"/>
    <col min="14850" max="14850" width="10.28515625" style="5" customWidth="1"/>
    <col min="14851" max="14851" width="40.85546875" style="5" customWidth="1"/>
    <col min="14852" max="14853" width="19.140625" style="5" customWidth="1"/>
    <col min="14854" max="15104" width="9.140625" style="5"/>
    <col min="15105" max="15105" width="9.85546875" style="5" customWidth="1"/>
    <col min="15106" max="15106" width="10.28515625" style="5" customWidth="1"/>
    <col min="15107" max="15107" width="40.85546875" style="5" customWidth="1"/>
    <col min="15108" max="15109" width="19.140625" style="5" customWidth="1"/>
    <col min="15110" max="15360" width="9.140625" style="5"/>
    <col min="15361" max="15361" width="9.85546875" style="5" customWidth="1"/>
    <col min="15362" max="15362" width="10.28515625" style="5" customWidth="1"/>
    <col min="15363" max="15363" width="40.85546875" style="5" customWidth="1"/>
    <col min="15364" max="15365" width="19.140625" style="5" customWidth="1"/>
    <col min="15366" max="15616" width="9.140625" style="5"/>
    <col min="15617" max="15617" width="9.85546875" style="5" customWidth="1"/>
    <col min="15618" max="15618" width="10.28515625" style="5" customWidth="1"/>
    <col min="15619" max="15619" width="40.85546875" style="5" customWidth="1"/>
    <col min="15620" max="15621" width="19.140625" style="5" customWidth="1"/>
    <col min="15622" max="15872" width="9.140625" style="5"/>
    <col min="15873" max="15873" width="9.85546875" style="5" customWidth="1"/>
    <col min="15874" max="15874" width="10.28515625" style="5" customWidth="1"/>
    <col min="15875" max="15875" width="40.85546875" style="5" customWidth="1"/>
    <col min="15876" max="15877" width="19.140625" style="5" customWidth="1"/>
    <col min="15878" max="16128" width="9.140625" style="5"/>
    <col min="16129" max="16129" width="9.85546875" style="5" customWidth="1"/>
    <col min="16130" max="16130" width="10.28515625" style="5" customWidth="1"/>
    <col min="16131" max="16131" width="40.85546875" style="5" customWidth="1"/>
    <col min="16132" max="16133" width="19.140625" style="5" customWidth="1"/>
    <col min="16134" max="16384" width="9.140625" style="5"/>
  </cols>
  <sheetData>
    <row r="1" spans="1:12" s="214" customFormat="1" ht="15.75" customHeight="1">
      <c r="A1" s="172" t="s">
        <v>212</v>
      </c>
      <c r="D1" s="1262" t="s">
        <v>1010</v>
      </c>
      <c r="E1" s="1262"/>
      <c r="G1" s="2"/>
      <c r="I1" s="2"/>
    </row>
    <row r="2" spans="1:12" s="214" customFormat="1" ht="15.75" customHeight="1">
      <c r="A2" s="127" t="s">
        <v>213</v>
      </c>
      <c r="D2" s="1266" t="s">
        <v>339</v>
      </c>
      <c r="E2" s="1266"/>
      <c r="G2" s="17"/>
      <c r="I2" s="17"/>
    </row>
    <row r="3" spans="1:12" s="214" customFormat="1">
      <c r="D3" s="1266"/>
      <c r="E3" s="1266"/>
      <c r="F3" s="17"/>
      <c r="G3" s="17"/>
      <c r="I3" s="17"/>
    </row>
    <row r="4" spans="1:12" ht="8.25" customHeight="1"/>
    <row r="5" spans="1:12" ht="23.25" customHeight="1">
      <c r="A5" s="1245" t="s">
        <v>253</v>
      </c>
      <c r="B5" s="1245"/>
      <c r="C5" s="1245"/>
      <c r="D5" s="1245"/>
      <c r="E5" s="1245"/>
    </row>
    <row r="6" spans="1:12" ht="18" customHeight="1">
      <c r="A6" s="1263" t="str">
        <f>$G$9&amp;"  năm  2016 "</f>
        <v xml:space="preserve">Quý III  năm  2016 </v>
      </c>
      <c r="B6" s="1263"/>
      <c r="C6" s="1263"/>
      <c r="D6" s="1263"/>
      <c r="E6" s="1263"/>
    </row>
    <row r="7" spans="1:12" ht="10.5" customHeight="1"/>
    <row r="8" spans="1:12" s="216" customFormat="1" ht="20.25" customHeight="1" thickBot="1">
      <c r="A8" s="1264" t="s">
        <v>1</v>
      </c>
      <c r="B8" s="1264"/>
      <c r="C8" s="1265" t="s">
        <v>0</v>
      </c>
      <c r="D8" s="1265" t="s">
        <v>254</v>
      </c>
      <c r="E8" s="1265" t="s">
        <v>255</v>
      </c>
      <c r="G8" s="173"/>
      <c r="H8" s="148"/>
      <c r="I8" s="1224" t="s">
        <v>241</v>
      </c>
      <c r="J8" s="1224"/>
    </row>
    <row r="9" spans="1:12" s="452" customFormat="1" ht="33" customHeight="1" thickBot="1">
      <c r="A9" s="395" t="s">
        <v>20</v>
      </c>
      <c r="B9" s="395" t="s">
        <v>39</v>
      </c>
      <c r="C9" s="1265"/>
      <c r="D9" s="1265"/>
      <c r="E9" s="1265"/>
      <c r="G9" s="453" t="s">
        <v>1218</v>
      </c>
      <c r="H9" s="454"/>
      <c r="I9" s="455">
        <f>IF(G9="Quý I",1,IF(G9="Quý II",4,IF(G9="Quý III",7,IF(G9="Quý IV",10,""))))</f>
        <v>7</v>
      </c>
      <c r="J9" s="456">
        <f>IF(G9="Quý I",3,IF(G9="Quý II",6,IF(G9="Quý III",9,IF(G9="Quý IV",12,""))))</f>
        <v>9</v>
      </c>
    </row>
    <row r="10" spans="1:12" s="220" customFormat="1" ht="11.25" customHeight="1">
      <c r="A10" s="217" t="s">
        <v>2</v>
      </c>
      <c r="B10" s="218" t="s">
        <v>3</v>
      </c>
      <c r="C10" s="218" t="s">
        <v>4</v>
      </c>
      <c r="D10" s="219" t="s">
        <v>256</v>
      </c>
      <c r="E10" s="219" t="s">
        <v>257</v>
      </c>
    </row>
    <row r="11" spans="1:12" s="220" customFormat="1" ht="18" customHeight="1">
      <c r="A11" s="221"/>
      <c r="B11" s="222"/>
      <c r="C11" s="223" t="s">
        <v>258</v>
      </c>
      <c r="D11" s="224">
        <f>IF($G$9="All",CDPS!$C$16,CDPS!$C$16+SUMIF(_N133,"x",TH)-SUMIF(_C133,"x",TH))</f>
        <v>60213389</v>
      </c>
      <c r="E11" s="224"/>
    </row>
    <row r="12" spans="1:12" s="220" customFormat="1" ht="18" customHeight="1">
      <c r="A12" s="225"/>
      <c r="B12" s="226"/>
      <c r="C12" s="227" t="s">
        <v>259</v>
      </c>
      <c r="D12" s="228"/>
      <c r="E12" s="228"/>
    </row>
    <row r="13" spans="1:12" ht="18" customHeight="1">
      <c r="A13" s="240">
        <f ca="1">IF(ROWS($1:1)&gt;COUNT(Dong3),"",OFFSET(TH!G$1,SMALL(Dong3,ROWS($1:1)),))</f>
        <v>192565</v>
      </c>
      <c r="B13" s="229">
        <f ca="1">IF(ROWS($1:1)&gt;COUNT(Dong3),"",OFFSET(TH!E$1,SMALL(Dong3,ROWS($1:1)),))</f>
        <v>42546</v>
      </c>
      <c r="C13" s="239" t="str">
        <f ca="1">IF(ROWS($1:1)&gt;COUNT(Dong3),"",OFFSET(TH!F$1,SMALL(Dong3,ROWS($1:1)),))</f>
        <v>VAT Tiền nước tháng 6/2016</v>
      </c>
      <c r="D13" s="241">
        <f ca="1">IF(ROWS($1:1)&gt;COUNT(Dong3),"",OFFSET(TH!M$1,SMALL(Dong3,ROWS($1:1)),))</f>
        <v>523550</v>
      </c>
      <c r="E13" s="230"/>
    </row>
    <row r="14" spans="1:12" ht="18" customHeight="1">
      <c r="A14" s="240" t="str">
        <f ca="1">IF(ROWS($1:2)&gt;COUNT(Dong3),"",OFFSET(TH!G$1,SMALL(Dong3,ROWS($1:2)),))</f>
        <v>0201451, 0201452,0201241,0201453</v>
      </c>
      <c r="B14" s="229">
        <f ca="1">IF(ROWS($1:2)&gt;COUNT(Dong3),"",OFFSET(TH!E$1,SMALL(Dong3,ROWS($1:2)),))</f>
        <v>42552</v>
      </c>
      <c r="C14" s="239" t="str">
        <f ca="1">IF(ROWS($1:2)&gt;COUNT(Dong3),"",OFFSET(TH!F$1,SMALL(Dong3,ROWS($1:2)),))</f>
        <v>VAT Cước Điện Thoại - Internet 6/2016</v>
      </c>
      <c r="D14" s="241">
        <f ca="1">IF(ROWS($1:2)&gt;COUNT(Dong3),"",OFFSET(TH!M$1,SMALL(Dong3,ROWS($1:2)),))</f>
        <v>42319</v>
      </c>
      <c r="E14" s="230"/>
    </row>
    <row r="15" spans="1:12" ht="18" customHeight="1">
      <c r="A15" s="240" t="str">
        <f ca="1">IF(ROWS($1:3)&gt;COUNT(Dong3),"",OFFSET(TH!G$1,SMALL(Dong3,ROWS($1:3)),))</f>
        <v>0000370</v>
      </c>
      <c r="B15" s="229">
        <f ca="1">IF(ROWS($1:3)&gt;COUNT(Dong3),"",OFFSET(TH!E$1,SMALL(Dong3,ROWS($1:3)),))</f>
        <v>42552</v>
      </c>
      <c r="C15" s="239" t="str">
        <f ca="1">IF(ROWS($1:3)&gt;COUNT(Dong3),"",OFFSET(TH!F$1,SMALL(Dong3,ROWS($1:3)),))</f>
        <v>VAT Khây Nhôm</v>
      </c>
      <c r="D15" s="241">
        <f ca="1">IF(ROWS($1:3)&gt;COUNT(Dong3),"",OFFSET(TH!M$1,SMALL(Dong3,ROWS($1:3)),))</f>
        <v>1700000</v>
      </c>
      <c r="E15" s="230"/>
    </row>
    <row r="16" spans="1:12" ht="18" customHeight="1">
      <c r="A16" s="240">
        <f ca="1">IF(ROWS($1:4)&gt;COUNT(Dong3),"",OFFSET(TH!G$1,SMALL(Dong3,ROWS($1:4)),))</f>
        <v>0</v>
      </c>
      <c r="B16" s="229">
        <f ca="1">IF(ROWS($1:4)&gt;COUNT(Dong3),"",OFFSET(TH!E$1,SMALL(Dong3,ROWS($1:4)),))</f>
        <v>42552</v>
      </c>
      <c r="C16" s="239" t="str">
        <f ca="1">IF(ROWS($1:4)&gt;COUNT(Dong3),"",OFFSET(TH!F$1,SMALL(Dong3,ROWS($1:4)),))</f>
        <v>VAT Phí DV</v>
      </c>
      <c r="D16" s="241">
        <f ca="1">IF(ROWS($1:4)&gt;COUNT(Dong3),"",OFFSET(TH!M$1,SMALL(Dong3,ROWS($1:4)),))</f>
        <v>10000</v>
      </c>
      <c r="E16" s="230"/>
      <c r="L16" s="5">
        <v>15500</v>
      </c>
    </row>
    <row r="17" spans="1:12" ht="18" customHeight="1">
      <c r="A17" s="240" t="str">
        <f ca="1">IF(ROWS($1:5)&gt;COUNT(Dong3),"",OFFSET(TH!G$1,SMALL(Dong3,ROWS($1:5)),))</f>
        <v>0080296</v>
      </c>
      <c r="B17" s="229">
        <f ca="1">IF(ROWS($1:5)&gt;COUNT(Dong3),"",OFFSET(TH!E$1,SMALL(Dong3,ROWS($1:5)),))</f>
        <v>42555</v>
      </c>
      <c r="C17" s="239" t="str">
        <f ca="1">IF(ROWS($1:5)&gt;COUNT(Dong3),"",OFFSET(TH!F$1,SMALL(Dong3,ROWS($1:5)),))</f>
        <v>GTGT Tiền xử lý nước thải T06/2016</v>
      </c>
      <c r="D17" s="241">
        <f ca="1">IF(ROWS($1:5)&gt;COUNT(Dong3),"",OFFSET(TH!M$1,SMALL(Dong3,ROWS($1:5)),))</f>
        <v>627927</v>
      </c>
      <c r="E17" s="230"/>
      <c r="L17" s="5">
        <v>2000</v>
      </c>
    </row>
    <row r="18" spans="1:12" ht="18" customHeight="1">
      <c r="A18" s="240" t="str">
        <f ca="1">IF(ROWS($1:6)&gt;COUNT(Dong3),"",OFFSET(TH!G$1,SMALL(Dong3,ROWS($1:6)),))</f>
        <v>0000386</v>
      </c>
      <c r="B18" s="229">
        <f ca="1">IF(ROWS($1:6)&gt;COUNT(Dong3),"",OFFSET(TH!E$1,SMALL(Dong3,ROWS($1:6)),))</f>
        <v>42561</v>
      </c>
      <c r="C18" s="239" t="str">
        <f ca="1">IF(ROWS($1:6)&gt;COUNT(Dong3),"",OFFSET(TH!F$1,SMALL(Dong3,ROWS($1:6)),))</f>
        <v>VAT Phí Bảo Vệ T6/2016</v>
      </c>
      <c r="D18" s="241">
        <f ca="1">IF(ROWS($1:6)&gt;COUNT(Dong3),"",OFFSET(TH!M$1,SMALL(Dong3,ROWS($1:6)),))</f>
        <v>727273</v>
      </c>
      <c r="E18" s="230"/>
      <c r="L18" s="5">
        <v>1000</v>
      </c>
    </row>
    <row r="19" spans="1:12" ht="18" customHeight="1">
      <c r="A19" s="240" t="str">
        <f ca="1">IF(ROWS($1:7)&gt;COUNT(Dong3),"",OFFSET(TH!G$1,SMALL(Dong3,ROWS($1:7)),))</f>
        <v>0000371</v>
      </c>
      <c r="B19" s="229">
        <f ca="1">IF(ROWS($1:7)&gt;COUNT(Dong3),"",OFFSET(TH!E$1,SMALL(Dong3,ROWS($1:7)),))</f>
        <v>42561</v>
      </c>
      <c r="C19" s="239" t="str">
        <f ca="1">IF(ROWS($1:7)&gt;COUNT(Dong3),"",OFFSET(TH!F$1,SMALL(Dong3,ROWS($1:7)),))</f>
        <v>VAT Khây Nhôm</v>
      </c>
      <c r="D19" s="241">
        <f ca="1">IF(ROWS($1:7)&gt;COUNT(Dong3),"",OFFSET(TH!M$1,SMALL(Dong3,ROWS($1:7)),))</f>
        <v>1700000</v>
      </c>
      <c r="E19" s="230"/>
      <c r="L19" s="5">
        <v>160</v>
      </c>
    </row>
    <row r="20" spans="1:12" ht="18" customHeight="1">
      <c r="A20" s="240">
        <f ca="1">IF(ROWS($1:8)&gt;COUNT(Dong3),"",OFFSET(TH!G$1,SMALL(Dong3,ROWS($1:8)),))</f>
        <v>0</v>
      </c>
      <c r="B20" s="229">
        <f ca="1">IF(ROWS($1:8)&gt;COUNT(Dong3),"",OFFSET(TH!E$1,SMALL(Dong3,ROWS($1:8)),))</f>
        <v>42562</v>
      </c>
      <c r="C20" s="239" t="str">
        <f ca="1">IF(ROWS($1:8)&gt;COUNT(Dong3),"",OFFSET(TH!F$1,SMALL(Dong3,ROWS($1:8)),))</f>
        <v xml:space="preserve">VAT Phí chuyển tiền </v>
      </c>
      <c r="D20" s="241">
        <f ca="1">IF(ROWS($1:8)&gt;COUNT(Dong3),"",OFFSET(TH!M$1,SMALL(Dong3,ROWS($1:8)),))</f>
        <v>7958</v>
      </c>
      <c r="E20" s="230"/>
      <c r="L20" s="5">
        <v>1905</v>
      </c>
    </row>
    <row r="21" spans="1:12" ht="18" customHeight="1">
      <c r="A21" s="240" t="str">
        <f ca="1">IF(ROWS($1:9)&gt;COUNT(Dong3),"",OFFSET(TH!G$1,SMALL(Dong3,ROWS($1:9)),))</f>
        <v>0081266</v>
      </c>
      <c r="B21" s="229">
        <f ca="1">IF(ROWS($1:9)&gt;COUNT(Dong3),"",OFFSET(TH!E$1,SMALL(Dong3,ROWS($1:9)),))</f>
        <v>42565</v>
      </c>
      <c r="C21" s="239" t="str">
        <f ca="1">IF(ROWS($1:9)&gt;COUNT(Dong3),"",OFFSET(TH!F$1,SMALL(Dong3,ROWS($1:9)),))</f>
        <v>VAT Phí lấy và thử nghiệm mẫu không khí và nước thải</v>
      </c>
      <c r="D21" s="241">
        <f ca="1">IF(ROWS($1:9)&gt;COUNT(Dong3),"",OFFSET(TH!M$1,SMALL(Dong3,ROWS($1:9)),))</f>
        <v>400818</v>
      </c>
      <c r="E21" s="230"/>
    </row>
    <row r="22" spans="1:12" ht="18" customHeight="1">
      <c r="A22" s="240">
        <f ca="1">IF(ROWS($1:10)&gt;COUNT(Dong3),"",OFFSET(TH!G$1,SMALL(Dong3,ROWS($1:10)),))</f>
        <v>0</v>
      </c>
      <c r="B22" s="229">
        <f ca="1">IF(ROWS($1:10)&gt;COUNT(Dong3),"",OFFSET(TH!E$1,SMALL(Dong3,ROWS($1:10)),))</f>
        <v>42566</v>
      </c>
      <c r="C22" s="239" t="str">
        <f ca="1">IF(ROWS($1:10)&gt;COUNT(Dong3),"",OFFSET(TH!F$1,SMALL(Dong3,ROWS($1:10)),))</f>
        <v xml:space="preserve">VAT Phí chuyển tiền </v>
      </c>
      <c r="D22" s="241">
        <f ca="1">IF(ROWS($1:10)&gt;COUNT(Dong3),"",OFFSET(TH!M$1,SMALL(Dong3,ROWS($1:10)),))</f>
        <v>2500</v>
      </c>
      <c r="E22" s="230"/>
    </row>
    <row r="23" spans="1:12" ht="18" customHeight="1">
      <c r="A23" s="240" t="str">
        <f ca="1">IF(ROWS($1:11)&gt;COUNT(Dong3),"",OFFSET(TH!G$1,SMALL(Dong3,ROWS($1:11)),))</f>
        <v>0007527</v>
      </c>
      <c r="B23" s="229">
        <f ca="1">IF(ROWS($1:11)&gt;COUNT(Dong3),"",OFFSET(TH!E$1,SMALL(Dong3,ROWS($1:11)),))</f>
        <v>42569</v>
      </c>
      <c r="C23" s="239" t="str">
        <f ca="1">IF(ROWS($1:11)&gt;COUNT(Dong3),"",OFFSET(TH!F$1,SMALL(Dong3,ROWS($1:11)),))</f>
        <v>VAT Phí đo đất</v>
      </c>
      <c r="D23" s="241">
        <f ca="1">IF(ROWS($1:11)&gt;COUNT(Dong3),"",OFFSET(TH!M$1,SMALL(Dong3,ROWS($1:11)),))</f>
        <v>557635</v>
      </c>
      <c r="E23" s="230"/>
    </row>
    <row r="24" spans="1:12" ht="18" customHeight="1">
      <c r="A24" s="240" t="str">
        <f ca="1">IF(ROWS($1:12)&gt;COUNT(Dong3),"",OFFSET(TH!G$1,SMALL(Dong3,ROWS($1:12)),))</f>
        <v>0082714</v>
      </c>
      <c r="B24" s="229">
        <f ca="1">IF(ROWS($1:12)&gt;COUNT(Dong3),"",OFFSET(TH!E$1,SMALL(Dong3,ROWS($1:12)),))</f>
        <v>42569</v>
      </c>
      <c r="C24" s="239" t="str">
        <f ca="1">IF(ROWS($1:12)&gt;COUNT(Dong3),"",OFFSET(TH!F$1,SMALL(Dong3,ROWS($1:12)),))</f>
        <v>VAT Phí nước thải T06/17</v>
      </c>
      <c r="D24" s="241">
        <f ca="1">IF(ROWS($1:12)&gt;COUNT(Dong3),"",OFFSET(TH!M$1,SMALL(Dong3,ROWS($1:12)),))</f>
        <v>617455</v>
      </c>
      <c r="E24" s="230"/>
    </row>
    <row r="25" spans="1:12" ht="18" customHeight="1">
      <c r="A25" s="240" t="str">
        <f ca="1">IF(ROWS($1:13)&gt;COUNT(Dong3),"",OFFSET(TH!G$1,SMALL(Dong3,ROWS($1:13)),))</f>
        <v>Q4</v>
      </c>
      <c r="B25" s="229">
        <f ca="1">IF(ROWS($1:13)&gt;COUNT(Dong3),"",OFFSET(TH!E$1,SMALL(Dong3,ROWS($1:13)),))</f>
        <v>42580</v>
      </c>
      <c r="C25" s="239" t="str">
        <f ca="1">IF(ROWS($1:13)&gt;COUNT(Dong3),"",OFFSET(TH!F$1,SMALL(Dong3,ROWS($1:13)),))</f>
        <v xml:space="preserve">VAT Phí chuyển tiền </v>
      </c>
      <c r="D25" s="241">
        <f ca="1">IF(ROWS($1:13)&gt;COUNT(Dong3),"",OFFSET(TH!M$1,SMALL(Dong3,ROWS($1:13)),))</f>
        <v>4657</v>
      </c>
      <c r="E25" s="230"/>
    </row>
    <row r="26" spans="1:12" ht="18" customHeight="1">
      <c r="A26" s="240" t="str">
        <f ca="1">IF(ROWS($1:14)&gt;COUNT(Dong3),"",OFFSET(TH!G$1,SMALL(Dong3,ROWS($1:14)),))</f>
        <v>0000641</v>
      </c>
      <c r="B26" s="229">
        <f ca="1">IF(ROWS($1:14)&gt;COUNT(Dong3),"",OFFSET(TH!E$1,SMALL(Dong3,ROWS($1:14)),))</f>
        <v>42581</v>
      </c>
      <c r="C26" s="239" t="str">
        <f ca="1">IF(ROWS($1:14)&gt;COUNT(Dong3),"",OFFSET(TH!F$1,SMALL(Dong3,ROWS($1:14)),))</f>
        <v>VAT Gas</v>
      </c>
      <c r="D26" s="241">
        <f ca="1">IF(ROWS($1:14)&gt;COUNT(Dong3),"",OFFSET(TH!M$1,SMALL(Dong3,ROWS($1:14)),))</f>
        <v>433632</v>
      </c>
      <c r="E26" s="230"/>
    </row>
    <row r="27" spans="1:12" ht="18" customHeight="1">
      <c r="A27" s="240" t="str">
        <f ca="1">IF(ROWS($1:15)&gt;COUNT(Dong3),"",OFFSET(TH!G$1,SMALL(Dong3,ROWS($1:15)),))</f>
        <v>0159472</v>
      </c>
      <c r="B27" s="229">
        <f ca="1">IF(ROWS($1:15)&gt;COUNT(Dong3),"",OFFSET(TH!E$1,SMALL(Dong3,ROWS($1:15)),))</f>
        <v>42532</v>
      </c>
      <c r="C27" s="239" t="str">
        <f ca="1">IF(ROWS($1:15)&gt;COUNT(Dong3),"",OFFSET(TH!F$1,SMALL(Dong3,ROWS($1:15)),))</f>
        <v>VAT Tiền điện kỳ 1 T6/2016</v>
      </c>
      <c r="D27" s="241">
        <f ca="1">IF(ROWS($1:15)&gt;COUNT(Dong3),"",OFFSET(TH!M$1,SMALL(Dong3,ROWS($1:15)),))</f>
        <v>2597820</v>
      </c>
      <c r="E27" s="230"/>
    </row>
    <row r="28" spans="1:12" ht="18" customHeight="1">
      <c r="A28" s="240" t="str">
        <f ca="1">IF(ROWS($1:16)&gt;COUNT(Dong3),"",OFFSET(TH!G$1,SMALL(Dong3,ROWS($1:16)),))</f>
        <v>0188505</v>
      </c>
      <c r="B28" s="229">
        <f ca="1">IF(ROWS($1:16)&gt;COUNT(Dong3),"",OFFSET(TH!E$1,SMALL(Dong3,ROWS($1:16)),))</f>
        <v>42562</v>
      </c>
      <c r="C28" s="239" t="str">
        <f ca="1">IF(ROWS($1:16)&gt;COUNT(Dong3),"",OFFSET(TH!F$1,SMALL(Dong3,ROWS($1:16)),))</f>
        <v>VAT Tiền điện kỳ 1 T7/2016</v>
      </c>
      <c r="D28" s="241">
        <f ca="1">IF(ROWS($1:16)&gt;COUNT(Dong3),"",OFFSET(TH!M$1,SMALL(Dong3,ROWS($1:16)),))</f>
        <v>2450890</v>
      </c>
      <c r="E28" s="230"/>
    </row>
    <row r="29" spans="1:12" ht="18" customHeight="1">
      <c r="A29" s="240" t="str">
        <f ca="1">IF(ROWS($1:17)&gt;COUNT(Dong3),"",OFFSET(TH!G$1,SMALL(Dong3,ROWS($1:17)),))</f>
        <v>0082706</v>
      </c>
      <c r="B29" s="229">
        <f ca="1">IF(ROWS($1:17)&gt;COUNT(Dong3),"",OFFSET(TH!E$1,SMALL(Dong3,ROWS($1:17)),))</f>
        <v>42565</v>
      </c>
      <c r="C29" s="239" t="str">
        <f ca="1">IF(ROWS($1:17)&gt;COUNT(Dong3),"",OFFSET(TH!F$1,SMALL(Dong3,ROWS($1:17)),))</f>
        <v>VAT Phí thuê quyền sử dụng đất 08/03 đến 31/12/2016</v>
      </c>
      <c r="D29" s="241">
        <f ca="1">IF(ROWS($1:17)&gt;COUNT(Dong3),"",OFFSET(TH!M$1,SMALL(Dong3,ROWS($1:17)),))</f>
        <v>2760000</v>
      </c>
      <c r="E29" s="230"/>
    </row>
    <row r="30" spans="1:12" ht="18" customHeight="1">
      <c r="A30" s="240" t="str">
        <f ca="1">IF(ROWS($1:18)&gt;COUNT(Dong3),"",OFFSET(TH!G$1,SMALL(Dong3,ROWS($1:18)),))</f>
        <v>0206945</v>
      </c>
      <c r="B30" s="229">
        <f ca="1">IF(ROWS($1:18)&gt;COUNT(Dong3),"",OFFSET(TH!E$1,SMALL(Dong3,ROWS($1:18)),))</f>
        <v>42577</v>
      </c>
      <c r="C30" s="239" t="str">
        <f ca="1">IF(ROWS($1:18)&gt;COUNT(Dong3),"",OFFSET(TH!F$1,SMALL(Dong3,ROWS($1:18)),))</f>
        <v>VAT Tiền điện kỳ 2 T7/2016</v>
      </c>
      <c r="D30" s="241">
        <f ca="1">IF(ROWS($1:18)&gt;COUNT(Dong3),"",OFFSET(TH!M$1,SMALL(Dong3,ROWS($1:18)),))</f>
        <v>2379600</v>
      </c>
      <c r="E30" s="230"/>
    </row>
    <row r="31" spans="1:12" ht="18" customHeight="1">
      <c r="A31" s="240" t="str">
        <f ca="1">IF(ROWS($1:19)&gt;COUNT(Dong3),"",OFFSET(TH!G$1,SMALL(Dong3,ROWS($1:19)),))</f>
        <v>0275409</v>
      </c>
      <c r="B31" s="229">
        <f ca="1">IF(ROWS($1:19)&gt;COUNT(Dong3),"",OFFSET(TH!E$1,SMALL(Dong3,ROWS($1:19)),))</f>
        <v>42585</v>
      </c>
      <c r="C31" s="239" t="str">
        <f ca="1">IF(ROWS($1:19)&gt;COUNT(Dong3),"",OFFSET(TH!F$1,SMALL(Dong3,ROWS($1:19)),))</f>
        <v>VAT Phí Điện Thoại - Internet</v>
      </c>
      <c r="D31" s="241">
        <f ca="1">IF(ROWS($1:19)&gt;COUNT(Dong3),"",OFFSET(TH!M$1,SMALL(Dong3,ROWS($1:19)),))</f>
        <v>38201</v>
      </c>
      <c r="E31" s="230"/>
    </row>
    <row r="32" spans="1:12" ht="18" customHeight="1">
      <c r="A32" s="240" t="str">
        <f ca="1">IF(ROWS($1:20)&gt;COUNT(Dong3),"",OFFSET(TH!G$1,SMALL(Dong3,ROWS($1:20)),))</f>
        <v>0238477</v>
      </c>
      <c r="B32" s="229">
        <f ca="1">IF(ROWS($1:20)&gt;COUNT(Dong3),"",OFFSET(TH!E$1,SMALL(Dong3,ROWS($1:20)),))</f>
        <v>42576</v>
      </c>
      <c r="C32" s="239" t="str">
        <f ca="1">IF(ROWS($1:20)&gt;COUNT(Dong3),"",OFFSET(TH!F$1,SMALL(Dong3,ROWS($1:20)),))</f>
        <v>VAT Tiền nước tháng 07/2016</v>
      </c>
      <c r="D32" s="241">
        <f ca="1">IF(ROWS($1:20)&gt;COUNT(Dong3),"",OFFSET(TH!M$1,SMALL(Dong3,ROWS($1:20)),))</f>
        <v>409220</v>
      </c>
      <c r="E32" s="230"/>
    </row>
    <row r="33" spans="1:12" ht="18" customHeight="1">
      <c r="A33" s="240" t="str">
        <f ca="1">IF(ROWS($1:21)&gt;COUNT(Dong3),"",OFFSET(TH!G$1,SMALL(Dong3,ROWS($1:21)),))</f>
        <v>Q4</v>
      </c>
      <c r="B33" s="229">
        <f ca="1">IF(ROWS($1:21)&gt;COUNT(Dong3),"",OFFSET(TH!E$1,SMALL(Dong3,ROWS($1:21)),))</f>
        <v>42586</v>
      </c>
      <c r="C33" s="239" t="str">
        <f ca="1">IF(ROWS($1:21)&gt;COUNT(Dong3),"",OFFSET(TH!F$1,SMALL(Dong3,ROWS($1:21)),))</f>
        <v xml:space="preserve">VAT Phí chuyển tiền </v>
      </c>
      <c r="D33" s="241">
        <f ca="1">IF(ROWS($1:21)&gt;COUNT(Dong3),"",OFFSET(TH!M$1,SMALL(Dong3,ROWS($1:21)),))</f>
        <v>2500</v>
      </c>
      <c r="E33" s="230"/>
    </row>
    <row r="34" spans="1:12" ht="18" customHeight="1">
      <c r="A34" s="240" t="str">
        <f ca="1">IF(ROWS($1:22)&gt;COUNT(Dong3),"",OFFSET(TH!G$1,SMALL(Dong3,ROWS($1:22)),))</f>
        <v>0267281</v>
      </c>
      <c r="B34" s="229">
        <f ca="1">IF(ROWS($1:22)&gt;COUNT(Dong3),"",OFFSET(TH!E$1,SMALL(Dong3,ROWS($1:22)),))</f>
        <v>42607</v>
      </c>
      <c r="C34" s="239" t="str">
        <f ca="1">IF(ROWS($1:22)&gt;COUNT(Dong3),"",OFFSET(TH!F$1,SMALL(Dong3,ROWS($1:22)),))</f>
        <v>VAT Tiền nước tháng 08/2016</v>
      </c>
      <c r="D34" s="241">
        <f ca="1">IF(ROWS($1:22)&gt;COUNT(Dong3),"",OFFSET(TH!M$1,SMALL(Dong3,ROWS($1:22)),))</f>
        <v>408480</v>
      </c>
      <c r="E34" s="230"/>
    </row>
    <row r="35" spans="1:12" ht="18" customHeight="1">
      <c r="A35" s="240" t="str">
        <f ca="1">IF(ROWS($1:23)&gt;COUNT(Dong3),"",OFFSET(TH!G$1,SMALL(Dong3,ROWS($1:23)),))</f>
        <v>0000412</v>
      </c>
      <c r="B35" s="229">
        <f ca="1">IF(ROWS($1:23)&gt;COUNT(Dong3),"",OFFSET(TH!E$1,SMALL(Dong3,ROWS($1:23)),))</f>
        <v>42592</v>
      </c>
      <c r="C35" s="239" t="str">
        <f ca="1">IF(ROWS($1:23)&gt;COUNT(Dong3),"",OFFSET(TH!F$1,SMALL(Dong3,ROWS($1:23)),))</f>
        <v>VAT Phí Bảo Vệ T07/2017</v>
      </c>
      <c r="D35" s="241">
        <f ca="1">IF(ROWS($1:23)&gt;COUNT(Dong3),"",OFFSET(TH!M$1,SMALL(Dong3,ROWS($1:23)),))</f>
        <v>727273</v>
      </c>
      <c r="E35" s="230"/>
    </row>
    <row r="36" spans="1:12" ht="18" customHeight="1">
      <c r="A36" s="240" t="str">
        <f ca="1">IF(ROWS($1:24)&gt;COUNT(Dong3),"",OFFSET(TH!G$1,SMALL(Dong3,ROWS($1:24)),))</f>
        <v>Q4</v>
      </c>
      <c r="B36" s="229">
        <f ca="1">IF(ROWS($1:24)&gt;COUNT(Dong3),"",OFFSET(TH!E$1,SMALL(Dong3,ROWS($1:24)),))</f>
        <v>42593</v>
      </c>
      <c r="C36" s="239" t="str">
        <f ca="1">IF(ROWS($1:24)&gt;COUNT(Dong3),"",OFFSET(TH!F$1,SMALL(Dong3,ROWS($1:24)),))</f>
        <v xml:space="preserve">VAT Phí chuyển tiền </v>
      </c>
      <c r="D36" s="241">
        <f ca="1">IF(ROWS($1:24)&gt;COUNT(Dong3),"",OFFSET(TH!M$1,SMALL(Dong3,ROWS($1:24)),))</f>
        <v>2500</v>
      </c>
      <c r="E36" s="230"/>
    </row>
    <row r="37" spans="1:12" ht="18" customHeight="1">
      <c r="A37" s="240" t="str">
        <f ca="1">IF(ROWS($1:25)&gt;COUNT(Dong3),"",OFFSET(TH!G$1,SMALL(Dong3,ROWS($1:25)),))</f>
        <v>Q4</v>
      </c>
      <c r="B37" s="229">
        <f ca="1">IF(ROWS($1:25)&gt;COUNT(Dong3),"",OFFSET(TH!E$1,SMALL(Dong3,ROWS($1:25)),))</f>
        <v>42593</v>
      </c>
      <c r="C37" s="239" t="str">
        <f ca="1">IF(ROWS($1:25)&gt;COUNT(Dong3),"",OFFSET(TH!F$1,SMALL(Dong3,ROWS($1:25)),))</f>
        <v xml:space="preserve">VAT Phí chuyển tiền </v>
      </c>
      <c r="D37" s="241">
        <f ca="1">IF(ROWS($1:25)&gt;COUNT(Dong3),"",OFFSET(TH!M$1,SMALL(Dong3,ROWS($1:25)),))</f>
        <v>2500</v>
      </c>
      <c r="E37" s="230"/>
    </row>
    <row r="38" spans="1:12" ht="18" customHeight="1">
      <c r="A38" s="240" t="str">
        <f ca="1">IF(ROWS($1:26)&gt;COUNT(Dong3),"",OFFSET(TH!G$1,SMALL(Dong3,ROWS($1:26)),))</f>
        <v>Q4</v>
      </c>
      <c r="B38" s="229">
        <f ca="1">IF(ROWS($1:26)&gt;COUNT(Dong3),"",OFFSET(TH!E$1,SMALL(Dong3,ROWS($1:26)),))</f>
        <v>42594</v>
      </c>
      <c r="C38" s="239" t="str">
        <f ca="1">IF(ROWS($1:26)&gt;COUNT(Dong3),"",OFFSET(TH!F$1,SMALL(Dong3,ROWS($1:26)),))</f>
        <v xml:space="preserve">VAT Phí chuyển tiền </v>
      </c>
      <c r="D38" s="241">
        <f ca="1">IF(ROWS($1:26)&gt;COUNT(Dong3),"",OFFSET(TH!M$1,SMALL(Dong3,ROWS($1:26)),))</f>
        <v>3123</v>
      </c>
      <c r="E38" s="230"/>
    </row>
    <row r="39" spans="1:12" ht="18" customHeight="1">
      <c r="A39" s="240" t="str">
        <f ca="1">IF(ROWS($1:27)&gt;COUNT(Dong3),"",OFFSET(TH!G$1,SMALL(Dong3,ROWS($1:27)),))</f>
        <v>Q4</v>
      </c>
      <c r="B39" s="229">
        <f ca="1">IF(ROWS($1:27)&gt;COUNT(Dong3),"",OFFSET(TH!E$1,SMALL(Dong3,ROWS($1:27)),))</f>
        <v>42594</v>
      </c>
      <c r="C39" s="239" t="str">
        <f ca="1">IF(ROWS($1:27)&gt;COUNT(Dong3),"",OFFSET(TH!F$1,SMALL(Dong3,ROWS($1:27)),))</f>
        <v xml:space="preserve">VAT Phí chuyển tiền </v>
      </c>
      <c r="D39" s="241">
        <f ca="1">IF(ROWS($1:27)&gt;COUNT(Dong3),"",OFFSET(TH!M$1,SMALL(Dong3,ROWS($1:27)),))</f>
        <v>10000</v>
      </c>
      <c r="E39" s="230"/>
    </row>
    <row r="40" spans="1:12" ht="18" customHeight="1">
      <c r="A40" s="240" t="str">
        <f ca="1">IF(ROWS($1:28)&gt;COUNT(Dong3),"",OFFSET(TH!G$1,SMALL(Dong3,ROWS($1:28)),))</f>
        <v>Q4</v>
      </c>
      <c r="B40" s="229">
        <f ca="1">IF(ROWS($1:28)&gt;COUNT(Dong3),"",OFFSET(TH!E$1,SMALL(Dong3,ROWS($1:28)),))</f>
        <v>42601</v>
      </c>
      <c r="C40" s="239" t="str">
        <f ca="1">IF(ROWS($1:28)&gt;COUNT(Dong3),"",OFFSET(TH!F$1,SMALL(Dong3,ROWS($1:28)),))</f>
        <v xml:space="preserve">VAT Phí chuyển tiền </v>
      </c>
      <c r="D40" s="241">
        <f ca="1">IF(ROWS($1:28)&gt;COUNT(Dong3),"",OFFSET(TH!M$1,SMALL(Dong3,ROWS($1:28)),))</f>
        <v>2500</v>
      </c>
      <c r="E40" s="230"/>
    </row>
    <row r="41" spans="1:12" ht="18" customHeight="1">
      <c r="A41" s="240" t="str">
        <f ca="1">IF(ROWS($1:29)&gt;COUNT(Dong3),"",OFFSET(TH!G$1,SMALL(Dong3,ROWS($1:29)),))</f>
        <v>Q4</v>
      </c>
      <c r="B41" s="229">
        <f ca="1">IF(ROWS($1:29)&gt;COUNT(Dong3),"",OFFSET(TH!E$1,SMALL(Dong3,ROWS($1:29)),))</f>
        <v>42601</v>
      </c>
      <c r="C41" s="239" t="str">
        <f ca="1">IF(ROWS($1:29)&gt;COUNT(Dong3),"",OFFSET(TH!F$1,SMALL(Dong3,ROWS($1:29)),))</f>
        <v xml:space="preserve">VAT Phí chuyển tiền </v>
      </c>
      <c r="D41" s="241">
        <f ca="1">IF(ROWS($1:29)&gt;COUNT(Dong3),"",OFFSET(TH!M$1,SMALL(Dong3,ROWS($1:29)),))</f>
        <v>2500</v>
      </c>
      <c r="E41" s="230"/>
    </row>
    <row r="42" spans="1:12" ht="18" customHeight="1">
      <c r="A42" s="240" t="str">
        <f ca="1">IF(ROWS($1:30)&gt;COUNT(Dong3),"",OFFSET(TH!G$1,SMALL(Dong3,ROWS($1:30)),))</f>
        <v>Q4</v>
      </c>
      <c r="B42" s="229">
        <f ca="1">IF(ROWS($1:30)&gt;COUNT(Dong3),"",OFFSET(TH!E$1,SMALL(Dong3,ROWS($1:30)),))</f>
        <v>42601</v>
      </c>
      <c r="C42" s="239" t="str">
        <f ca="1">IF(ROWS($1:30)&gt;COUNT(Dong3),"",OFFSET(TH!F$1,SMALL(Dong3,ROWS($1:30)),))</f>
        <v xml:space="preserve">VAT Phí chuyển tiền </v>
      </c>
      <c r="D42" s="241">
        <f ca="1">IF(ROWS($1:30)&gt;COUNT(Dong3),"",OFFSET(TH!M$1,SMALL(Dong3,ROWS($1:30)),))</f>
        <v>2500</v>
      </c>
      <c r="E42" s="230"/>
    </row>
    <row r="43" spans="1:12" ht="18" customHeight="1">
      <c r="A43" s="240" t="str">
        <f ca="1">IF(ROWS($1:31)&gt;COUNT(Dong3),"",OFFSET(TH!G$1,SMALL(Dong3,ROWS($1:31)),))</f>
        <v>0082737</v>
      </c>
      <c r="B43" s="229">
        <f ca="1">IF(ROWS($1:31)&gt;COUNT(Dong3),"",OFFSET(TH!E$1,SMALL(Dong3,ROWS($1:31)),))</f>
        <v>42612</v>
      </c>
      <c r="C43" s="239" t="str">
        <f ca="1">IF(ROWS($1:31)&gt;COUNT(Dong3),"",OFFSET(TH!F$1,SMALL(Dong3,ROWS($1:31)),))</f>
        <v>VAT Tiền xử lý nước thải T07/2017</v>
      </c>
      <c r="D43" s="241">
        <f ca="1">IF(ROWS($1:31)&gt;COUNT(Dong3),"",OFFSET(TH!M$1,SMALL(Dong3,ROWS($1:31)),))</f>
        <v>482618</v>
      </c>
      <c r="E43" s="230"/>
    </row>
    <row r="44" spans="1:12" ht="18" customHeight="1">
      <c r="A44" s="240" t="str">
        <f ca="1">IF(ROWS($1:32)&gt;COUNT(Dong3),"",OFFSET(TH!G$1,SMALL(Dong3,ROWS($1:32)),))</f>
        <v>Q4</v>
      </c>
      <c r="B44" s="229">
        <f ca="1">IF(ROWS($1:32)&gt;COUNT(Dong3),"",OFFSET(TH!E$1,SMALL(Dong3,ROWS($1:32)),))</f>
        <v>42613</v>
      </c>
      <c r="C44" s="239" t="str">
        <f ca="1">IF(ROWS($1:32)&gt;COUNT(Dong3),"",OFFSET(TH!F$1,SMALL(Dong3,ROWS($1:32)),))</f>
        <v xml:space="preserve">VAT Phí chuyển tiền </v>
      </c>
      <c r="D44" s="241">
        <f ca="1">IF(ROWS($1:32)&gt;COUNT(Dong3),"",OFFSET(TH!M$1,SMALL(Dong3,ROWS($1:32)),))</f>
        <v>2500</v>
      </c>
      <c r="E44" s="230"/>
    </row>
    <row r="45" spans="1:12" ht="18" customHeight="1">
      <c r="A45" s="240" t="str">
        <f ca="1">IF(ROWS($1:33)&gt;COUNT(Dong3),"",OFFSET(TH!G$1,SMALL(Dong3,ROWS($1:33)),))</f>
        <v>0219310</v>
      </c>
      <c r="B45" s="229">
        <f ca="1">IF(ROWS($1:33)&gt;COUNT(Dong3),"",OFFSET(TH!E$1,SMALL(Dong3,ROWS($1:33)),))</f>
        <v>42593</v>
      </c>
      <c r="C45" s="239" t="str">
        <f ca="1">IF(ROWS($1:33)&gt;COUNT(Dong3),"",OFFSET(TH!F$1,SMALL(Dong3,ROWS($1:33)),))</f>
        <v>VAT Tiền điện kỳ 1 T8/2016</v>
      </c>
      <c r="D45" s="241">
        <f ca="1">IF(ROWS($1:33)&gt;COUNT(Dong3),"",OFFSET(TH!M$1,SMALL(Dong3,ROWS($1:33)),))</f>
        <v>2775800</v>
      </c>
      <c r="E45" s="230"/>
    </row>
    <row r="46" spans="1:12" ht="18" customHeight="1">
      <c r="A46" s="240" t="str">
        <f ca="1">IF(ROWS($1:34)&gt;COUNT(Dong3),"",OFFSET(TH!G$1,SMALL(Dong3,ROWS($1:34)),))</f>
        <v>0236885</v>
      </c>
      <c r="B46" s="229">
        <f ca="1">IF(ROWS($1:34)&gt;COUNT(Dong3),"",OFFSET(TH!E$1,SMALL(Dong3,ROWS($1:34)),))</f>
        <v>42608</v>
      </c>
      <c r="C46" s="239" t="str">
        <f ca="1">IF(ROWS($1:34)&gt;COUNT(Dong3),"",OFFSET(TH!F$1,SMALL(Dong3,ROWS($1:34)),))</f>
        <v>VAT Tiền điện kỳ 2 T8/2016</v>
      </c>
      <c r="D46" s="241">
        <f ca="1">IF(ROWS($1:34)&gt;COUNT(Dong3),"",OFFSET(TH!M$1,SMALL(Dong3,ROWS($1:34)),))</f>
        <v>2074710</v>
      </c>
      <c r="E46" s="230"/>
    </row>
    <row r="47" spans="1:12" ht="18" hidden="1" customHeight="1">
      <c r="A47" s="240" t="str">
        <f ca="1">IF(ROWS($1:35)&gt;COUNT(Dong3),"",OFFSET(TH!G$1,SMALL(Dong3,ROWS($1:35)),))</f>
        <v>0001000</v>
      </c>
      <c r="B47" s="229">
        <f ca="1">IF(ROWS($1:35)&gt;COUNT(Dong3),"",OFFSET(TH!E$1,SMALL(Dong3,ROWS($1:35)),))</f>
        <v>42618</v>
      </c>
      <c r="C47" s="239" t="str">
        <f ca="1">IF(ROWS($1:35)&gt;COUNT(Dong3),"",OFFSET(TH!F$1,SMALL(Dong3,ROWS($1:35)),))</f>
        <v>VAT Gas</v>
      </c>
      <c r="D47" s="241">
        <f ca="1">IF(ROWS($1:35)&gt;COUNT(Dong3),"",OFFSET(TH!M$1,SMALL(Dong3,ROWS($1:35)),))</f>
        <v>696691</v>
      </c>
      <c r="E47" s="230"/>
    </row>
    <row r="48" spans="1:12" ht="18" hidden="1" customHeight="1">
      <c r="A48" s="240" t="str">
        <f ca="1">IF(ROWS($1:36)&gt;COUNT(Dong3),"",OFFSET(TH!G$1,SMALL(Dong3,ROWS($1:36)),))</f>
        <v>0004256</v>
      </c>
      <c r="B48" s="229">
        <f ca="1">IF(ROWS($1:36)&gt;COUNT(Dong3),"",OFFSET(TH!E$1,SMALL(Dong3,ROWS($1:36)),))</f>
        <v>42619</v>
      </c>
      <c r="C48" s="239" t="str">
        <f ca="1">IF(ROWS($1:36)&gt;COUNT(Dong3),"",OFFSET(TH!F$1,SMALL(Dong3,ROWS($1:36)),))</f>
        <v>VAT Sorbitol</v>
      </c>
      <c r="D48" s="241">
        <f ca="1">IF(ROWS($1:36)&gt;COUNT(Dong3),"",OFFSET(TH!M$1,SMALL(Dong3,ROWS($1:36)),))</f>
        <v>9941400</v>
      </c>
      <c r="E48" s="230"/>
      <c r="L48" s="1018">
        <f>CDPS!J17</f>
        <v>0</v>
      </c>
    </row>
    <row r="49" spans="1:5" ht="18" hidden="1" customHeight="1">
      <c r="A49" s="240" t="str">
        <f ca="1">IF(ROWS($1:37)&gt;COUNT(Dong3),"",OFFSET(TH!G$1,SMALL(Dong3,ROWS($1:37)),))</f>
        <v>0000186</v>
      </c>
      <c r="B49" s="229">
        <f ca="1">IF(ROWS($1:37)&gt;COUNT(Dong3),"",OFFSET(TH!E$1,SMALL(Dong3,ROWS($1:37)),))</f>
        <v>42621</v>
      </c>
      <c r="C49" s="239" t="str">
        <f ca="1">IF(ROWS($1:37)&gt;COUNT(Dong3),"",OFFSET(TH!F$1,SMALL(Dong3,ROWS($1:37)),))</f>
        <v>VAT Chlorin</v>
      </c>
      <c r="D49" s="241">
        <f ca="1">IF(ROWS($1:37)&gt;COUNT(Dong3),"",OFFSET(TH!M$1,SMALL(Dong3,ROWS($1:37)),))</f>
        <v>2136364</v>
      </c>
      <c r="E49" s="230"/>
    </row>
    <row r="50" spans="1:5" ht="18" hidden="1" customHeight="1">
      <c r="A50" s="240" t="str">
        <f ca="1">IF(ROWS($1:38)&gt;COUNT(Dong3),"",OFFSET(TH!G$1,SMALL(Dong3,ROWS($1:38)),))</f>
        <v>0000440</v>
      </c>
      <c r="B50" s="229">
        <f ca="1">IF(ROWS($1:38)&gt;COUNT(Dong3),"",OFFSET(TH!E$1,SMALL(Dong3,ROWS($1:38)),))</f>
        <v>42623</v>
      </c>
      <c r="C50" s="239" t="str">
        <f ca="1">IF(ROWS($1:38)&gt;COUNT(Dong3),"",OFFSET(TH!F$1,SMALL(Dong3,ROWS($1:38)),))</f>
        <v>VAT Phí Bảo Vệ T08/2017</v>
      </c>
      <c r="D50" s="241">
        <f ca="1">IF(ROWS($1:38)&gt;COUNT(Dong3),"",OFFSET(TH!M$1,SMALL(Dong3,ROWS($1:38)),))</f>
        <v>727273</v>
      </c>
      <c r="E50" s="230"/>
    </row>
    <row r="51" spans="1:5" ht="18" hidden="1" customHeight="1">
      <c r="A51" s="240" t="str">
        <f ca="1">IF(ROWS($1:39)&gt;COUNT(Dong3),"",OFFSET(TH!G$1,SMALL(Dong3,ROWS($1:39)),))</f>
        <v>0344658,0341709,0346126,0341708</v>
      </c>
      <c r="B51" s="229">
        <f ca="1">IF(ROWS($1:39)&gt;COUNT(Dong3),"",OFFSET(TH!E$1,SMALL(Dong3,ROWS($1:39)),))</f>
        <v>42629</v>
      </c>
      <c r="C51" s="239" t="str">
        <f ca="1">IF(ROWS($1:39)&gt;COUNT(Dong3),"",OFFSET(TH!F$1,SMALL(Dong3,ROWS($1:39)),))</f>
        <v>VAT Phí Điện Thoại - Internet T8/2016</v>
      </c>
      <c r="D51" s="241">
        <f ca="1">IF(ROWS($1:39)&gt;COUNT(Dong3),"",OFFSET(TH!M$1,SMALL(Dong3,ROWS($1:39)),))</f>
        <v>37156</v>
      </c>
      <c r="E51" s="230"/>
    </row>
    <row r="52" spans="1:5" ht="18" hidden="1" customHeight="1">
      <c r="A52" s="240" t="str">
        <f ca="1">IF(ROWS($1:40)&gt;COUNT(Dong3),"",OFFSET(TH!G$1,SMALL(Dong3,ROWS($1:40)),))</f>
        <v>0000080</v>
      </c>
      <c r="B52" s="229">
        <f ca="1">IF(ROWS($1:40)&gt;COUNT(Dong3),"",OFFSET(TH!E$1,SMALL(Dong3,ROWS($1:40)),))</f>
        <v>42629</v>
      </c>
      <c r="C52" s="239" t="str">
        <f ca="1">IF(ROWS($1:40)&gt;COUNT(Dong3),"",OFFSET(TH!F$1,SMALL(Dong3,ROWS($1:40)),))</f>
        <v>VAT Đèn muỗi 10c</v>
      </c>
      <c r="D52" s="241">
        <f ca="1">IF(ROWS($1:40)&gt;COUNT(Dong3),"",OFFSET(TH!M$1,SMALL(Dong3,ROWS($1:40)),))</f>
        <v>363636</v>
      </c>
      <c r="E52" s="230"/>
    </row>
    <row r="53" spans="1:5" ht="18" hidden="1" customHeight="1">
      <c r="A53" s="240" t="str">
        <f ca="1">IF(ROWS($1:41)&gt;COUNT(Dong3),"",OFFSET(TH!G$1,SMALL(Dong3,ROWS($1:41)),))</f>
        <v>0001321</v>
      </c>
      <c r="B53" s="229">
        <f ca="1">IF(ROWS($1:41)&gt;COUNT(Dong3),"",OFFSET(TH!E$1,SMALL(Dong3,ROWS($1:41)),))</f>
        <v>42629</v>
      </c>
      <c r="C53" s="239" t="str">
        <f ca="1">IF(ROWS($1:41)&gt;COUNT(Dong3),"",OFFSET(TH!F$1,SMALL(Dong3,ROWS($1:41)),))</f>
        <v>VAT Gas</v>
      </c>
      <c r="D53" s="241">
        <f ca="1">IF(ROWS($1:41)&gt;COUNT(Dong3),"",OFFSET(TH!M$1,SMALL(Dong3,ROWS($1:41)),))</f>
        <v>696691</v>
      </c>
      <c r="E53" s="230"/>
    </row>
    <row r="54" spans="1:5" ht="18" hidden="1" customHeight="1">
      <c r="A54" s="240" t="str">
        <f ca="1">IF(ROWS($1:42)&gt;COUNT(Dong3),"",OFFSET(TH!G$1,SMALL(Dong3,ROWS($1:42)),))</f>
        <v>Q4</v>
      </c>
      <c r="B54" s="229">
        <f ca="1">IF(ROWS($1:42)&gt;COUNT(Dong3),"",OFFSET(TH!E$1,SMALL(Dong3,ROWS($1:42)),))</f>
        <v>42639</v>
      </c>
      <c r="C54" s="239" t="str">
        <f ca="1">IF(ROWS($1:42)&gt;COUNT(Dong3),"",OFFSET(TH!F$1,SMALL(Dong3,ROWS($1:42)),))</f>
        <v>VAT Dịch vụ thông báo số dư</v>
      </c>
      <c r="D54" s="241">
        <f ca="1">IF(ROWS($1:42)&gt;COUNT(Dong3),"",OFFSET(TH!M$1,SMALL(Dong3,ROWS($1:42)),))</f>
        <v>5000</v>
      </c>
      <c r="E54" s="230"/>
    </row>
    <row r="55" spans="1:5" ht="18" hidden="1" customHeight="1">
      <c r="A55" s="240" t="str">
        <f ca="1">IF(ROWS($1:43)&gt;COUNT(Dong3),"",OFFSET(TH!G$1,SMALL(Dong3,ROWS($1:43)),))</f>
        <v>Q4</v>
      </c>
      <c r="B55" s="229">
        <f ca="1">IF(ROWS($1:43)&gt;COUNT(Dong3),"",OFFSET(TH!E$1,SMALL(Dong3,ROWS($1:43)),))</f>
        <v>42639</v>
      </c>
      <c r="C55" s="239" t="str">
        <f ca="1">IF(ROWS($1:43)&gt;COUNT(Dong3),"",OFFSET(TH!F$1,SMALL(Dong3,ROWS($1:43)),))</f>
        <v>VAT Dịch vụ thông báo số dư</v>
      </c>
      <c r="D55" s="241">
        <f ca="1">IF(ROWS($1:43)&gt;COUNT(Dong3),"",OFFSET(TH!M$1,SMALL(Dong3,ROWS($1:43)),))</f>
        <v>5000</v>
      </c>
      <c r="E55" s="230"/>
    </row>
    <row r="56" spans="1:5" ht="18" hidden="1" customHeight="1">
      <c r="A56" s="240" t="str">
        <f ca="1">IF(ROWS($1:44)&gt;COUNT(Dong3),"",OFFSET(TH!G$1,SMALL(Dong3,ROWS($1:44)),))</f>
        <v>0001336</v>
      </c>
      <c r="B56" s="229">
        <f ca="1">IF(ROWS($1:44)&gt;COUNT(Dong3),"",OFFSET(TH!E$1,SMALL(Dong3,ROWS($1:44)),))</f>
        <v>42642</v>
      </c>
      <c r="C56" s="239" t="str">
        <f ca="1">IF(ROWS($1:44)&gt;COUNT(Dong3),"",OFFSET(TH!F$1,SMALL(Dong3,ROWS($1:44)),))</f>
        <v>VAT Gas</v>
      </c>
      <c r="D56" s="241">
        <f ca="1">IF(ROWS($1:44)&gt;COUNT(Dong3),"",OFFSET(TH!M$1,SMALL(Dong3,ROWS($1:44)),))</f>
        <v>696691</v>
      </c>
      <c r="E56" s="230"/>
    </row>
    <row r="57" spans="1:5" ht="18" hidden="1" customHeight="1">
      <c r="A57" s="240" t="str">
        <f ca="1">IF(ROWS($1:45)&gt;COUNT(Dong3),"",OFFSET(TH!G$1,SMALL(Dong3,ROWS($1:45)),))</f>
        <v>Q4</v>
      </c>
      <c r="B57" s="229">
        <f ca="1">IF(ROWS($1:45)&gt;COUNT(Dong3),"",OFFSET(TH!E$1,SMALL(Dong3,ROWS($1:45)),))</f>
        <v>42643</v>
      </c>
      <c r="C57" s="239" t="str">
        <f ca="1">IF(ROWS($1:45)&gt;COUNT(Dong3),"",OFFSET(TH!F$1,SMALL(Dong3,ROWS($1:45)),))</f>
        <v xml:space="preserve">VAT Phí chuyển tiền </v>
      </c>
      <c r="D57" s="241">
        <f ca="1">IF(ROWS($1:45)&gt;COUNT(Dong3),"",OFFSET(TH!M$1,SMALL(Dong3,ROWS($1:45)),))</f>
        <v>6402</v>
      </c>
      <c r="E57" s="230"/>
    </row>
    <row r="58" spans="1:5" ht="18" hidden="1" customHeight="1">
      <c r="A58" s="240" t="str">
        <f ca="1">IF(ROWS($1:46)&gt;COUNT(Dong3),"",OFFSET(TH!G$1,SMALL(Dong3,ROWS($1:46)),))</f>
        <v>0249123</v>
      </c>
      <c r="B58" s="229">
        <f ca="1">IF(ROWS($1:46)&gt;COUNT(Dong3),"",OFFSET(TH!E$1,SMALL(Dong3,ROWS($1:46)),))</f>
        <v>42624</v>
      </c>
      <c r="C58" s="239" t="str">
        <f ca="1">IF(ROWS($1:46)&gt;COUNT(Dong3),"",OFFSET(TH!F$1,SMALL(Dong3,ROWS($1:46)),))</f>
        <v>VAT Tiền điện kỳ 1 T9/2016</v>
      </c>
      <c r="D58" s="241">
        <f ca="1">IF(ROWS($1:46)&gt;COUNT(Dong3),"",OFFSET(TH!M$1,SMALL(Dong3,ROWS($1:46)),))</f>
        <v>4214540</v>
      </c>
      <c r="E58" s="230"/>
    </row>
    <row r="59" spans="1:5" ht="18" customHeight="1">
      <c r="A59" s="240" t="str">
        <f ca="1">IF(ROWS($1:47)&gt;COUNT(Dong3),"",OFFSET(TH!G$1,SMALL(Dong3,ROWS($1:47)),))</f>
        <v>0266962</v>
      </c>
      <c r="B59" s="229">
        <f ca="1">IF(ROWS($1:47)&gt;COUNT(Dong3),"",OFFSET(TH!E$1,SMALL(Dong3,ROWS($1:47)),))</f>
        <v>42639</v>
      </c>
      <c r="C59" s="239" t="str">
        <f ca="1">IF(ROWS($1:47)&gt;COUNT(Dong3),"",OFFSET(TH!F$1,SMALL(Dong3,ROWS($1:47)),))</f>
        <v>VAT Tiền điện kỳ 2 T9/2016</v>
      </c>
      <c r="D59" s="241">
        <f ca="1">IF(ROWS($1:47)&gt;COUNT(Dong3),"",OFFSET(TH!M$1,SMALL(Dong3,ROWS($1:47)),))</f>
        <v>3789880</v>
      </c>
      <c r="E59" s="230"/>
    </row>
    <row r="60" spans="1:5" ht="18" customHeight="1">
      <c r="A60" s="240" t="str">
        <f ca="1">IF(ROWS($1:48)&gt;COUNT(Dong3),"",OFFSET(TH!G$1,SMALL(Dong3,ROWS($1:48)),))</f>
        <v/>
      </c>
      <c r="B60" s="229" t="str">
        <f ca="1">IF(ROWS($1:48)&gt;COUNT(Dong3),"",OFFSET(TH!E$1,SMALL(Dong3,ROWS($1:48)),))</f>
        <v/>
      </c>
      <c r="C60" s="239" t="str">
        <f ca="1">IF(ROWS($1:48)&gt;COUNT(Dong3),"",OFFSET(TH!F$1,SMALL(Dong3,ROWS($1:48)),))</f>
        <v/>
      </c>
      <c r="D60" s="241" t="str">
        <f ca="1">IF(ROWS($1:48)&gt;COUNT(Dong3),"",OFFSET(TH!M$1,SMALL(Dong3,ROWS($1:48)),))</f>
        <v/>
      </c>
      <c r="E60" s="230"/>
    </row>
    <row r="61" spans="1:5" ht="18" customHeight="1">
      <c r="A61" s="240"/>
      <c r="B61" s="229"/>
      <c r="C61" s="239"/>
      <c r="D61" s="241"/>
      <c r="E61" s="230"/>
    </row>
    <row r="62" spans="1:5" ht="18" customHeight="1">
      <c r="A62" s="240" t="str">
        <f ca="1">IF(ROWS($1:49)&gt;COUNT(Dong3),"",OFFSET(TH!G$1,SMALL(Dong3,ROWS($1:49)),))</f>
        <v/>
      </c>
      <c r="B62" s="229" t="str">
        <f ca="1">IF(ROWS($1:49)&gt;COUNT(Dong3),"",OFFSET(TH!E$1,SMALL(Dong3,ROWS($1:49)),))</f>
        <v/>
      </c>
      <c r="C62" s="239" t="str">
        <f ca="1">IF(ROWS($1:49)&gt;COUNT(Dong3),"",OFFSET(TH!F$1,SMALL(Dong3,ROWS($1:49)),))</f>
        <v/>
      </c>
      <c r="D62" s="241" t="str">
        <f ca="1">IF(ROWS($1:49)&gt;COUNT(Dong3),"",OFFSET(TH!M$1,SMALL(Dong3,ROWS($1:49)),))</f>
        <v/>
      </c>
      <c r="E62" s="230"/>
    </row>
    <row r="63" spans="1:5" ht="18" customHeight="1">
      <c r="A63" s="240" t="str">
        <f ca="1">IF(ROWS($1:50)&gt;COUNT(Dong3),"",OFFSET(TH!G$1,SMALL(Dong3,ROWS($1:50)),))</f>
        <v/>
      </c>
      <c r="B63" s="229" t="str">
        <f ca="1">IF(ROWS($1:50)&gt;COUNT(Dong3),"",OFFSET(TH!E$1,SMALL(Dong3,ROWS($1:50)),))</f>
        <v/>
      </c>
      <c r="C63" s="239" t="str">
        <f ca="1">IF(ROWS($1:50)&gt;COUNT(Dong3),"",OFFSET(TH!F$1,SMALL(Dong3,ROWS($1:50)),))</f>
        <v/>
      </c>
      <c r="D63" s="241" t="str">
        <f ca="1">IF(ROWS($1:50)&gt;COUNT(Dong3),"",OFFSET(TH!M$1,SMALL(Dong3,ROWS($1:50)),))</f>
        <v/>
      </c>
      <c r="E63" s="230"/>
    </row>
    <row r="64" spans="1:5" ht="18" customHeight="1">
      <c r="A64" s="240" t="str">
        <f ca="1">IF(ROWS($1:51)&gt;COUNT(Dong3),"",OFFSET(TH!G$1,SMALL(Dong3,ROWS($1:51)),))</f>
        <v/>
      </c>
      <c r="B64" s="229" t="str">
        <f ca="1">IF(ROWS($1:51)&gt;COUNT(Dong3),"",OFFSET(TH!E$1,SMALL(Dong3,ROWS($1:51)),))</f>
        <v/>
      </c>
      <c r="C64" s="239" t="str">
        <f ca="1">IF(ROWS($1:51)&gt;COUNT(Dong3),"",OFFSET(TH!F$1,SMALL(Dong3,ROWS($1:51)),))</f>
        <v/>
      </c>
      <c r="D64" s="241" t="str">
        <f ca="1">IF(ROWS($1:51)&gt;COUNT(Dong3),"",OFFSET(TH!M$1,SMALL(Dong3,ROWS($1:51)),))</f>
        <v/>
      </c>
      <c r="E64" s="230"/>
    </row>
    <row r="65" spans="1:5" ht="18" customHeight="1">
      <c r="A65" s="240" t="str">
        <f ca="1">IF(ROWS($1:52)&gt;COUNT(Dong3),"",OFFSET(TH!G$1,SMALL(Dong3,ROWS($1:52)),))</f>
        <v/>
      </c>
      <c r="B65" s="229" t="str">
        <f ca="1">IF(ROWS($1:52)&gt;COUNT(Dong3),"",OFFSET(TH!E$1,SMALL(Dong3,ROWS($1:52)),))</f>
        <v/>
      </c>
      <c r="C65" s="239" t="str">
        <f ca="1">IF(ROWS($1:52)&gt;COUNT(Dong3),"",OFFSET(TH!F$1,SMALL(Dong3,ROWS($1:52)),))</f>
        <v/>
      </c>
      <c r="D65" s="241" t="str">
        <f ca="1">IF(ROWS($1:52)&gt;COUNT(Dong3),"",OFFSET(TH!M$1,SMALL(Dong3,ROWS($1:52)),))</f>
        <v/>
      </c>
      <c r="E65" s="230"/>
    </row>
    <row r="66" spans="1:5" ht="18" customHeight="1">
      <c r="A66" s="240" t="str">
        <f ca="1">IF(ROWS($1:53)&gt;COUNT(Dong3),"",OFFSET(TH!G$1,SMALL(Dong3,ROWS($1:53)),))</f>
        <v/>
      </c>
      <c r="B66" s="229" t="str">
        <f ca="1">IF(ROWS($1:53)&gt;COUNT(Dong3),"",OFFSET(TH!E$1,SMALL(Dong3,ROWS($1:53)),))</f>
        <v/>
      </c>
      <c r="C66" s="239" t="str">
        <f ca="1">IF(ROWS($1:53)&gt;COUNT(Dong3),"",OFFSET(TH!F$1,SMALL(Dong3,ROWS($1:53)),))</f>
        <v/>
      </c>
      <c r="D66" s="241" t="str">
        <f ca="1">IF(ROWS($1:53)&gt;COUNT(Dong3),"",OFFSET(TH!M$1,SMALL(Dong3,ROWS($1:53)),))</f>
        <v/>
      </c>
      <c r="E66" s="230"/>
    </row>
    <row r="67" spans="1:5" ht="18" customHeight="1">
      <c r="A67" s="240" t="str">
        <f ca="1">IF(ROWS($1:54)&gt;COUNT(Dong3),"",OFFSET(TH!G$1,SMALL(Dong3,ROWS($1:54)),))</f>
        <v/>
      </c>
      <c r="B67" s="229"/>
      <c r="C67" s="378"/>
      <c r="D67" s="379"/>
      <c r="E67" s="380"/>
    </row>
    <row r="68" spans="1:5" s="220" customFormat="1" ht="18" customHeight="1">
      <c r="A68" s="231"/>
      <c r="B68" s="232"/>
      <c r="C68" s="233" t="s">
        <v>260</v>
      </c>
      <c r="D68" s="234">
        <f ca="1">SUM(D13:D67)</f>
        <v>47807683</v>
      </c>
      <c r="E68" s="234">
        <f>SUM(E13:E66)</f>
        <v>0</v>
      </c>
    </row>
    <row r="69" spans="1:5" s="220" customFormat="1" ht="18" customHeight="1">
      <c r="A69" s="235"/>
      <c r="B69" s="236"/>
      <c r="C69" s="233" t="s">
        <v>261</v>
      </c>
      <c r="D69" s="234">
        <f ca="1">IF(D68+D11-E68&gt;0,D11+D68-E68,0)</f>
        <v>108021072</v>
      </c>
      <c r="E69" s="234"/>
    </row>
    <row r="71" spans="1:5">
      <c r="B71" s="237" t="s">
        <v>1012</v>
      </c>
    </row>
    <row r="72" spans="1:5">
      <c r="B72" s="238" t="s">
        <v>1011</v>
      </c>
    </row>
    <row r="73" spans="1:5">
      <c r="D73" s="169" t="str">
        <f>"Trà Vinh, Ngày "&amp;IF(OR($J$9=3,$J$9=12),"31","30")&amp;" tháng "&amp;$J$9&amp;"  năm  2015 "</f>
        <v xml:space="preserve">Trà Vinh, Ngày 30 tháng 9  năm  2015 </v>
      </c>
    </row>
    <row r="74" spans="1:5" s="215" customFormat="1">
      <c r="A74" s="4"/>
      <c r="B74" s="215" t="s">
        <v>14</v>
      </c>
      <c r="D74" s="215" t="s">
        <v>15</v>
      </c>
    </row>
    <row r="75" spans="1:5" s="215" customFormat="1">
      <c r="A75" s="4"/>
      <c r="B75" s="215" t="s">
        <v>16</v>
      </c>
      <c r="D75" s="215" t="s">
        <v>16</v>
      </c>
    </row>
  </sheetData>
  <mergeCells count="9">
    <mergeCell ref="I8:J8"/>
    <mergeCell ref="D1:E1"/>
    <mergeCell ref="A5:E5"/>
    <mergeCell ref="A6:E6"/>
    <mergeCell ref="A8:B8"/>
    <mergeCell ref="C8:C9"/>
    <mergeCell ref="D8:D9"/>
    <mergeCell ref="E8:E9"/>
    <mergeCell ref="D2:E3"/>
  </mergeCells>
  <dataValidations count="1">
    <dataValidation type="list" allowBlank="1" showInputMessage="1" showErrorMessage="1" sqref="G9">
      <formula1>"All,Quý I, Quý II, Quý III, Quý IV"</formula1>
    </dataValidation>
  </dataValidations>
  <pageMargins left="0.5" right="0.2" top="0.3" bottom="0.3" header="0" footer="0"/>
  <pageSetup paperSize="9" scale="80" orientation="portrait" r:id="rId1"/>
  <headerFooter alignWithMargins="0">
    <oddFooter>&amp;RTrang &amp;P/&amp;N</oddFooter>
  </headerFooter>
</worksheet>
</file>

<file path=xl/worksheets/sheet15.xml><?xml version="1.0" encoding="utf-8"?>
<worksheet xmlns="http://schemas.openxmlformats.org/spreadsheetml/2006/main" xmlns:r="http://schemas.openxmlformats.org/officeDocument/2006/relationships">
  <dimension ref="A1:J74"/>
  <sheetViews>
    <sheetView topLeftCell="A8" workbookViewId="0">
      <selection activeCell="E24" sqref="E24"/>
    </sheetView>
  </sheetViews>
  <sheetFormatPr defaultRowHeight="15"/>
  <cols>
    <col min="1" max="1" width="11.7109375" style="1015" customWidth="1"/>
    <col min="2" max="2" width="13.85546875" style="1013" customWidth="1"/>
    <col min="3" max="3" width="48" style="5" customWidth="1"/>
    <col min="4" max="5" width="19.140625" style="5" customWidth="1"/>
    <col min="6" max="6" width="3" style="5" customWidth="1"/>
    <col min="7" max="7" width="9.140625" style="5"/>
    <col min="8" max="8" width="3.28515625" style="5" customWidth="1"/>
    <col min="9" max="10" width="4.7109375" style="5" customWidth="1"/>
    <col min="11" max="11" width="9.140625" style="5" customWidth="1"/>
    <col min="12" max="256" width="9.140625" style="5"/>
    <col min="257" max="257" width="9.85546875" style="5" customWidth="1"/>
    <col min="258" max="258" width="10.28515625" style="5" customWidth="1"/>
    <col min="259" max="259" width="40.85546875" style="5" customWidth="1"/>
    <col min="260" max="261" width="19.140625" style="5" customWidth="1"/>
    <col min="262" max="512" width="9.140625" style="5"/>
    <col min="513" max="513" width="9.85546875" style="5" customWidth="1"/>
    <col min="514" max="514" width="10.28515625" style="5" customWidth="1"/>
    <col min="515" max="515" width="40.85546875" style="5" customWidth="1"/>
    <col min="516" max="517" width="19.140625" style="5" customWidth="1"/>
    <col min="518" max="768" width="9.140625" style="5"/>
    <col min="769" max="769" width="9.85546875" style="5" customWidth="1"/>
    <col min="770" max="770" width="10.28515625" style="5" customWidth="1"/>
    <col min="771" max="771" width="40.85546875" style="5" customWidth="1"/>
    <col min="772" max="773" width="19.140625" style="5" customWidth="1"/>
    <col min="774" max="1024" width="9.140625" style="5"/>
    <col min="1025" max="1025" width="9.85546875" style="5" customWidth="1"/>
    <col min="1026" max="1026" width="10.28515625" style="5" customWidth="1"/>
    <col min="1027" max="1027" width="40.85546875" style="5" customWidth="1"/>
    <col min="1028" max="1029" width="19.140625" style="5" customWidth="1"/>
    <col min="1030" max="1280" width="9.140625" style="5"/>
    <col min="1281" max="1281" width="9.85546875" style="5" customWidth="1"/>
    <col min="1282" max="1282" width="10.28515625" style="5" customWidth="1"/>
    <col min="1283" max="1283" width="40.85546875" style="5" customWidth="1"/>
    <col min="1284" max="1285" width="19.140625" style="5" customWidth="1"/>
    <col min="1286" max="1536" width="9.140625" style="5"/>
    <col min="1537" max="1537" width="9.85546875" style="5" customWidth="1"/>
    <col min="1538" max="1538" width="10.28515625" style="5" customWidth="1"/>
    <col min="1539" max="1539" width="40.85546875" style="5" customWidth="1"/>
    <col min="1540" max="1541" width="19.140625" style="5" customWidth="1"/>
    <col min="1542" max="1792" width="9.140625" style="5"/>
    <col min="1793" max="1793" width="9.85546875" style="5" customWidth="1"/>
    <col min="1794" max="1794" width="10.28515625" style="5" customWidth="1"/>
    <col min="1795" max="1795" width="40.85546875" style="5" customWidth="1"/>
    <col min="1796" max="1797" width="19.140625" style="5" customWidth="1"/>
    <col min="1798" max="2048" width="9.140625" style="5"/>
    <col min="2049" max="2049" width="9.85546875" style="5" customWidth="1"/>
    <col min="2050" max="2050" width="10.28515625" style="5" customWidth="1"/>
    <col min="2051" max="2051" width="40.85546875" style="5" customWidth="1"/>
    <col min="2052" max="2053" width="19.140625" style="5" customWidth="1"/>
    <col min="2054" max="2304" width="9.140625" style="5"/>
    <col min="2305" max="2305" width="9.85546875" style="5" customWidth="1"/>
    <col min="2306" max="2306" width="10.28515625" style="5" customWidth="1"/>
    <col min="2307" max="2307" width="40.85546875" style="5" customWidth="1"/>
    <col min="2308" max="2309" width="19.140625" style="5" customWidth="1"/>
    <col min="2310" max="2560" width="9.140625" style="5"/>
    <col min="2561" max="2561" width="9.85546875" style="5" customWidth="1"/>
    <col min="2562" max="2562" width="10.28515625" style="5" customWidth="1"/>
    <col min="2563" max="2563" width="40.85546875" style="5" customWidth="1"/>
    <col min="2564" max="2565" width="19.140625" style="5" customWidth="1"/>
    <col min="2566" max="2816" width="9.140625" style="5"/>
    <col min="2817" max="2817" width="9.85546875" style="5" customWidth="1"/>
    <col min="2818" max="2818" width="10.28515625" style="5" customWidth="1"/>
    <col min="2819" max="2819" width="40.85546875" style="5" customWidth="1"/>
    <col min="2820" max="2821" width="19.140625" style="5" customWidth="1"/>
    <col min="2822" max="3072" width="9.140625" style="5"/>
    <col min="3073" max="3073" width="9.85546875" style="5" customWidth="1"/>
    <col min="3074" max="3074" width="10.28515625" style="5" customWidth="1"/>
    <col min="3075" max="3075" width="40.85546875" style="5" customWidth="1"/>
    <col min="3076" max="3077" width="19.140625" style="5" customWidth="1"/>
    <col min="3078" max="3328" width="9.140625" style="5"/>
    <col min="3329" max="3329" width="9.85546875" style="5" customWidth="1"/>
    <col min="3330" max="3330" width="10.28515625" style="5" customWidth="1"/>
    <col min="3331" max="3331" width="40.85546875" style="5" customWidth="1"/>
    <col min="3332" max="3333" width="19.140625" style="5" customWidth="1"/>
    <col min="3334" max="3584" width="9.140625" style="5"/>
    <col min="3585" max="3585" width="9.85546875" style="5" customWidth="1"/>
    <col min="3586" max="3586" width="10.28515625" style="5" customWidth="1"/>
    <col min="3587" max="3587" width="40.85546875" style="5" customWidth="1"/>
    <col min="3588" max="3589" width="19.140625" style="5" customWidth="1"/>
    <col min="3590" max="3840" width="9.140625" style="5"/>
    <col min="3841" max="3841" width="9.85546875" style="5" customWidth="1"/>
    <col min="3842" max="3842" width="10.28515625" style="5" customWidth="1"/>
    <col min="3843" max="3843" width="40.85546875" style="5" customWidth="1"/>
    <col min="3844" max="3845" width="19.140625" style="5" customWidth="1"/>
    <col min="3846" max="4096" width="9.140625" style="5"/>
    <col min="4097" max="4097" width="9.85546875" style="5" customWidth="1"/>
    <col min="4098" max="4098" width="10.28515625" style="5" customWidth="1"/>
    <col min="4099" max="4099" width="40.85546875" style="5" customWidth="1"/>
    <col min="4100" max="4101" width="19.140625" style="5" customWidth="1"/>
    <col min="4102" max="4352" width="9.140625" style="5"/>
    <col min="4353" max="4353" width="9.85546875" style="5" customWidth="1"/>
    <col min="4354" max="4354" width="10.28515625" style="5" customWidth="1"/>
    <col min="4355" max="4355" width="40.85546875" style="5" customWidth="1"/>
    <col min="4356" max="4357" width="19.140625" style="5" customWidth="1"/>
    <col min="4358" max="4608" width="9.140625" style="5"/>
    <col min="4609" max="4609" width="9.85546875" style="5" customWidth="1"/>
    <col min="4610" max="4610" width="10.28515625" style="5" customWidth="1"/>
    <col min="4611" max="4611" width="40.85546875" style="5" customWidth="1"/>
    <col min="4612" max="4613" width="19.140625" style="5" customWidth="1"/>
    <col min="4614" max="4864" width="9.140625" style="5"/>
    <col min="4865" max="4865" width="9.85546875" style="5" customWidth="1"/>
    <col min="4866" max="4866" width="10.28515625" style="5" customWidth="1"/>
    <col min="4867" max="4867" width="40.85546875" style="5" customWidth="1"/>
    <col min="4868" max="4869" width="19.140625" style="5" customWidth="1"/>
    <col min="4870" max="5120" width="9.140625" style="5"/>
    <col min="5121" max="5121" width="9.85546875" style="5" customWidth="1"/>
    <col min="5122" max="5122" width="10.28515625" style="5" customWidth="1"/>
    <col min="5123" max="5123" width="40.85546875" style="5" customWidth="1"/>
    <col min="5124" max="5125" width="19.140625" style="5" customWidth="1"/>
    <col min="5126" max="5376" width="9.140625" style="5"/>
    <col min="5377" max="5377" width="9.85546875" style="5" customWidth="1"/>
    <col min="5378" max="5378" width="10.28515625" style="5" customWidth="1"/>
    <col min="5379" max="5379" width="40.85546875" style="5" customWidth="1"/>
    <col min="5380" max="5381" width="19.140625" style="5" customWidth="1"/>
    <col min="5382" max="5632" width="9.140625" style="5"/>
    <col min="5633" max="5633" width="9.85546875" style="5" customWidth="1"/>
    <col min="5634" max="5634" width="10.28515625" style="5" customWidth="1"/>
    <col min="5635" max="5635" width="40.85546875" style="5" customWidth="1"/>
    <col min="5636" max="5637" width="19.140625" style="5" customWidth="1"/>
    <col min="5638" max="5888" width="9.140625" style="5"/>
    <col min="5889" max="5889" width="9.85546875" style="5" customWidth="1"/>
    <col min="5890" max="5890" width="10.28515625" style="5" customWidth="1"/>
    <col min="5891" max="5891" width="40.85546875" style="5" customWidth="1"/>
    <col min="5892" max="5893" width="19.140625" style="5" customWidth="1"/>
    <col min="5894" max="6144" width="9.140625" style="5"/>
    <col min="6145" max="6145" width="9.85546875" style="5" customWidth="1"/>
    <col min="6146" max="6146" width="10.28515625" style="5" customWidth="1"/>
    <col min="6147" max="6147" width="40.85546875" style="5" customWidth="1"/>
    <col min="6148" max="6149" width="19.140625" style="5" customWidth="1"/>
    <col min="6150" max="6400" width="9.140625" style="5"/>
    <col min="6401" max="6401" width="9.85546875" style="5" customWidth="1"/>
    <col min="6402" max="6402" width="10.28515625" style="5" customWidth="1"/>
    <col min="6403" max="6403" width="40.85546875" style="5" customWidth="1"/>
    <col min="6404" max="6405" width="19.140625" style="5" customWidth="1"/>
    <col min="6406" max="6656" width="9.140625" style="5"/>
    <col min="6657" max="6657" width="9.85546875" style="5" customWidth="1"/>
    <col min="6658" max="6658" width="10.28515625" style="5" customWidth="1"/>
    <col min="6659" max="6659" width="40.85546875" style="5" customWidth="1"/>
    <col min="6660" max="6661" width="19.140625" style="5" customWidth="1"/>
    <col min="6662" max="6912" width="9.140625" style="5"/>
    <col min="6913" max="6913" width="9.85546875" style="5" customWidth="1"/>
    <col min="6914" max="6914" width="10.28515625" style="5" customWidth="1"/>
    <col min="6915" max="6915" width="40.85546875" style="5" customWidth="1"/>
    <col min="6916" max="6917" width="19.140625" style="5" customWidth="1"/>
    <col min="6918" max="7168" width="9.140625" style="5"/>
    <col min="7169" max="7169" width="9.85546875" style="5" customWidth="1"/>
    <col min="7170" max="7170" width="10.28515625" style="5" customWidth="1"/>
    <col min="7171" max="7171" width="40.85546875" style="5" customWidth="1"/>
    <col min="7172" max="7173" width="19.140625" style="5" customWidth="1"/>
    <col min="7174" max="7424" width="9.140625" style="5"/>
    <col min="7425" max="7425" width="9.85546875" style="5" customWidth="1"/>
    <col min="7426" max="7426" width="10.28515625" style="5" customWidth="1"/>
    <col min="7427" max="7427" width="40.85546875" style="5" customWidth="1"/>
    <col min="7428" max="7429" width="19.140625" style="5" customWidth="1"/>
    <col min="7430" max="7680" width="9.140625" style="5"/>
    <col min="7681" max="7681" width="9.85546875" style="5" customWidth="1"/>
    <col min="7682" max="7682" width="10.28515625" style="5" customWidth="1"/>
    <col min="7683" max="7683" width="40.85546875" style="5" customWidth="1"/>
    <col min="7684" max="7685" width="19.140625" style="5" customWidth="1"/>
    <col min="7686" max="7936" width="9.140625" style="5"/>
    <col min="7937" max="7937" width="9.85546875" style="5" customWidth="1"/>
    <col min="7938" max="7938" width="10.28515625" style="5" customWidth="1"/>
    <col min="7939" max="7939" width="40.85546875" style="5" customWidth="1"/>
    <col min="7940" max="7941" width="19.140625" style="5" customWidth="1"/>
    <col min="7942" max="8192" width="9.140625" style="5"/>
    <col min="8193" max="8193" width="9.85546875" style="5" customWidth="1"/>
    <col min="8194" max="8194" width="10.28515625" style="5" customWidth="1"/>
    <col min="8195" max="8195" width="40.85546875" style="5" customWidth="1"/>
    <col min="8196" max="8197" width="19.140625" style="5" customWidth="1"/>
    <col min="8198" max="8448" width="9.140625" style="5"/>
    <col min="8449" max="8449" width="9.85546875" style="5" customWidth="1"/>
    <col min="8450" max="8450" width="10.28515625" style="5" customWidth="1"/>
    <col min="8451" max="8451" width="40.85546875" style="5" customWidth="1"/>
    <col min="8452" max="8453" width="19.140625" style="5" customWidth="1"/>
    <col min="8454" max="8704" width="9.140625" style="5"/>
    <col min="8705" max="8705" width="9.85546875" style="5" customWidth="1"/>
    <col min="8706" max="8706" width="10.28515625" style="5" customWidth="1"/>
    <col min="8707" max="8707" width="40.85546875" style="5" customWidth="1"/>
    <col min="8708" max="8709" width="19.140625" style="5" customWidth="1"/>
    <col min="8710" max="8960" width="9.140625" style="5"/>
    <col min="8961" max="8961" width="9.85546875" style="5" customWidth="1"/>
    <col min="8962" max="8962" width="10.28515625" style="5" customWidth="1"/>
    <col min="8963" max="8963" width="40.85546875" style="5" customWidth="1"/>
    <col min="8964" max="8965" width="19.140625" style="5" customWidth="1"/>
    <col min="8966" max="9216" width="9.140625" style="5"/>
    <col min="9217" max="9217" width="9.85546875" style="5" customWidth="1"/>
    <col min="9218" max="9218" width="10.28515625" style="5" customWidth="1"/>
    <col min="9219" max="9219" width="40.85546875" style="5" customWidth="1"/>
    <col min="9220" max="9221" width="19.140625" style="5" customWidth="1"/>
    <col min="9222" max="9472" width="9.140625" style="5"/>
    <col min="9473" max="9473" width="9.85546875" style="5" customWidth="1"/>
    <col min="9474" max="9474" width="10.28515625" style="5" customWidth="1"/>
    <col min="9475" max="9475" width="40.85546875" style="5" customWidth="1"/>
    <col min="9476" max="9477" width="19.140625" style="5" customWidth="1"/>
    <col min="9478" max="9728" width="9.140625" style="5"/>
    <col min="9729" max="9729" width="9.85546875" style="5" customWidth="1"/>
    <col min="9730" max="9730" width="10.28515625" style="5" customWidth="1"/>
    <col min="9731" max="9731" width="40.85546875" style="5" customWidth="1"/>
    <col min="9732" max="9733" width="19.140625" style="5" customWidth="1"/>
    <col min="9734" max="9984" width="9.140625" style="5"/>
    <col min="9985" max="9985" width="9.85546875" style="5" customWidth="1"/>
    <col min="9986" max="9986" width="10.28515625" style="5" customWidth="1"/>
    <col min="9987" max="9987" width="40.85546875" style="5" customWidth="1"/>
    <col min="9988" max="9989" width="19.140625" style="5" customWidth="1"/>
    <col min="9990" max="10240" width="9.140625" style="5"/>
    <col min="10241" max="10241" width="9.85546875" style="5" customWidth="1"/>
    <col min="10242" max="10242" width="10.28515625" style="5" customWidth="1"/>
    <col min="10243" max="10243" width="40.85546875" style="5" customWidth="1"/>
    <col min="10244" max="10245" width="19.140625" style="5" customWidth="1"/>
    <col min="10246" max="10496" width="9.140625" style="5"/>
    <col min="10497" max="10497" width="9.85546875" style="5" customWidth="1"/>
    <col min="10498" max="10498" width="10.28515625" style="5" customWidth="1"/>
    <col min="10499" max="10499" width="40.85546875" style="5" customWidth="1"/>
    <col min="10500" max="10501" width="19.140625" style="5" customWidth="1"/>
    <col min="10502" max="10752" width="9.140625" style="5"/>
    <col min="10753" max="10753" width="9.85546875" style="5" customWidth="1"/>
    <col min="10754" max="10754" width="10.28515625" style="5" customWidth="1"/>
    <col min="10755" max="10755" width="40.85546875" style="5" customWidth="1"/>
    <col min="10756" max="10757" width="19.140625" style="5" customWidth="1"/>
    <col min="10758" max="11008" width="9.140625" style="5"/>
    <col min="11009" max="11009" width="9.85546875" style="5" customWidth="1"/>
    <col min="11010" max="11010" width="10.28515625" style="5" customWidth="1"/>
    <col min="11011" max="11011" width="40.85546875" style="5" customWidth="1"/>
    <col min="11012" max="11013" width="19.140625" style="5" customWidth="1"/>
    <col min="11014" max="11264" width="9.140625" style="5"/>
    <col min="11265" max="11265" width="9.85546875" style="5" customWidth="1"/>
    <col min="11266" max="11266" width="10.28515625" style="5" customWidth="1"/>
    <col min="11267" max="11267" width="40.85546875" style="5" customWidth="1"/>
    <col min="11268" max="11269" width="19.140625" style="5" customWidth="1"/>
    <col min="11270" max="11520" width="9.140625" style="5"/>
    <col min="11521" max="11521" width="9.85546875" style="5" customWidth="1"/>
    <col min="11522" max="11522" width="10.28515625" style="5" customWidth="1"/>
    <col min="11523" max="11523" width="40.85546875" style="5" customWidth="1"/>
    <col min="11524" max="11525" width="19.140625" style="5" customWidth="1"/>
    <col min="11526" max="11776" width="9.140625" style="5"/>
    <col min="11777" max="11777" width="9.85546875" style="5" customWidth="1"/>
    <col min="11778" max="11778" width="10.28515625" style="5" customWidth="1"/>
    <col min="11779" max="11779" width="40.85546875" style="5" customWidth="1"/>
    <col min="11780" max="11781" width="19.140625" style="5" customWidth="1"/>
    <col min="11782" max="12032" width="9.140625" style="5"/>
    <col min="12033" max="12033" width="9.85546875" style="5" customWidth="1"/>
    <col min="12034" max="12034" width="10.28515625" style="5" customWidth="1"/>
    <col min="12035" max="12035" width="40.85546875" style="5" customWidth="1"/>
    <col min="12036" max="12037" width="19.140625" style="5" customWidth="1"/>
    <col min="12038" max="12288" width="9.140625" style="5"/>
    <col min="12289" max="12289" width="9.85546875" style="5" customWidth="1"/>
    <col min="12290" max="12290" width="10.28515625" style="5" customWidth="1"/>
    <col min="12291" max="12291" width="40.85546875" style="5" customWidth="1"/>
    <col min="12292" max="12293" width="19.140625" style="5" customWidth="1"/>
    <col min="12294" max="12544" width="9.140625" style="5"/>
    <col min="12545" max="12545" width="9.85546875" style="5" customWidth="1"/>
    <col min="12546" max="12546" width="10.28515625" style="5" customWidth="1"/>
    <col min="12547" max="12547" width="40.85546875" style="5" customWidth="1"/>
    <col min="12548" max="12549" width="19.140625" style="5" customWidth="1"/>
    <col min="12550" max="12800" width="9.140625" style="5"/>
    <col min="12801" max="12801" width="9.85546875" style="5" customWidth="1"/>
    <col min="12802" max="12802" width="10.28515625" style="5" customWidth="1"/>
    <col min="12803" max="12803" width="40.85546875" style="5" customWidth="1"/>
    <col min="12804" max="12805" width="19.140625" style="5" customWidth="1"/>
    <col min="12806" max="13056" width="9.140625" style="5"/>
    <col min="13057" max="13057" width="9.85546875" style="5" customWidth="1"/>
    <col min="13058" max="13058" width="10.28515625" style="5" customWidth="1"/>
    <col min="13059" max="13059" width="40.85546875" style="5" customWidth="1"/>
    <col min="13060" max="13061" width="19.140625" style="5" customWidth="1"/>
    <col min="13062" max="13312" width="9.140625" style="5"/>
    <col min="13313" max="13313" width="9.85546875" style="5" customWidth="1"/>
    <col min="13314" max="13314" width="10.28515625" style="5" customWidth="1"/>
    <col min="13315" max="13315" width="40.85546875" style="5" customWidth="1"/>
    <col min="13316" max="13317" width="19.140625" style="5" customWidth="1"/>
    <col min="13318" max="13568" width="9.140625" style="5"/>
    <col min="13569" max="13569" width="9.85546875" style="5" customWidth="1"/>
    <col min="13570" max="13570" width="10.28515625" style="5" customWidth="1"/>
    <col min="13571" max="13571" width="40.85546875" style="5" customWidth="1"/>
    <col min="13572" max="13573" width="19.140625" style="5" customWidth="1"/>
    <col min="13574" max="13824" width="9.140625" style="5"/>
    <col min="13825" max="13825" width="9.85546875" style="5" customWidth="1"/>
    <col min="13826" max="13826" width="10.28515625" style="5" customWidth="1"/>
    <col min="13827" max="13827" width="40.85546875" style="5" customWidth="1"/>
    <col min="13828" max="13829" width="19.140625" style="5" customWidth="1"/>
    <col min="13830" max="14080" width="9.140625" style="5"/>
    <col min="14081" max="14081" width="9.85546875" style="5" customWidth="1"/>
    <col min="14082" max="14082" width="10.28515625" style="5" customWidth="1"/>
    <col min="14083" max="14083" width="40.85546875" style="5" customWidth="1"/>
    <col min="14084" max="14085" width="19.140625" style="5" customWidth="1"/>
    <col min="14086" max="14336" width="9.140625" style="5"/>
    <col min="14337" max="14337" width="9.85546875" style="5" customWidth="1"/>
    <col min="14338" max="14338" width="10.28515625" style="5" customWidth="1"/>
    <col min="14339" max="14339" width="40.85546875" style="5" customWidth="1"/>
    <col min="14340" max="14341" width="19.140625" style="5" customWidth="1"/>
    <col min="14342" max="14592" width="9.140625" style="5"/>
    <col min="14593" max="14593" width="9.85546875" style="5" customWidth="1"/>
    <col min="14594" max="14594" width="10.28515625" style="5" customWidth="1"/>
    <col min="14595" max="14595" width="40.85546875" style="5" customWidth="1"/>
    <col min="14596" max="14597" width="19.140625" style="5" customWidth="1"/>
    <col min="14598" max="14848" width="9.140625" style="5"/>
    <col min="14849" max="14849" width="9.85546875" style="5" customWidth="1"/>
    <col min="14850" max="14850" width="10.28515625" style="5" customWidth="1"/>
    <col min="14851" max="14851" width="40.85546875" style="5" customWidth="1"/>
    <col min="14852" max="14853" width="19.140625" style="5" customWidth="1"/>
    <col min="14854" max="15104" width="9.140625" style="5"/>
    <col min="15105" max="15105" width="9.85546875" style="5" customWidth="1"/>
    <col min="15106" max="15106" width="10.28515625" style="5" customWidth="1"/>
    <col min="15107" max="15107" width="40.85546875" style="5" customWidth="1"/>
    <col min="15108" max="15109" width="19.140625" style="5" customWidth="1"/>
    <col min="15110" max="15360" width="9.140625" style="5"/>
    <col min="15361" max="15361" width="9.85546875" style="5" customWidth="1"/>
    <col min="15362" max="15362" width="10.28515625" style="5" customWidth="1"/>
    <col min="15363" max="15363" width="40.85546875" style="5" customWidth="1"/>
    <col min="15364" max="15365" width="19.140625" style="5" customWidth="1"/>
    <col min="15366" max="15616" width="9.140625" style="5"/>
    <col min="15617" max="15617" width="9.85546875" style="5" customWidth="1"/>
    <col min="15618" max="15618" width="10.28515625" style="5" customWidth="1"/>
    <col min="15619" max="15619" width="40.85546875" style="5" customWidth="1"/>
    <col min="15620" max="15621" width="19.140625" style="5" customWidth="1"/>
    <col min="15622" max="15872" width="9.140625" style="5"/>
    <col min="15873" max="15873" width="9.85546875" style="5" customWidth="1"/>
    <col min="15874" max="15874" width="10.28515625" style="5" customWidth="1"/>
    <col min="15875" max="15875" width="40.85546875" style="5" customWidth="1"/>
    <col min="15876" max="15877" width="19.140625" style="5" customWidth="1"/>
    <col min="15878" max="16128" width="9.140625" style="5"/>
    <col min="16129" max="16129" width="9.85546875" style="5" customWidth="1"/>
    <col min="16130" max="16130" width="10.28515625" style="5" customWidth="1"/>
    <col min="16131" max="16131" width="40.85546875" style="5" customWidth="1"/>
    <col min="16132" max="16133" width="19.140625" style="5" customWidth="1"/>
    <col min="16134" max="16384" width="9.140625" style="5"/>
  </cols>
  <sheetData>
    <row r="1" spans="1:10" s="214" customFormat="1">
      <c r="A1" s="172" t="s">
        <v>212</v>
      </c>
      <c r="D1" s="1262" t="s">
        <v>1010</v>
      </c>
      <c r="E1" s="1262"/>
      <c r="G1" s="2"/>
      <c r="I1" s="2"/>
    </row>
    <row r="2" spans="1:10" s="214" customFormat="1">
      <c r="A2" s="127" t="s">
        <v>213</v>
      </c>
      <c r="D2" s="1266" t="s">
        <v>339</v>
      </c>
      <c r="E2" s="1266"/>
      <c r="G2" s="17"/>
      <c r="I2" s="17"/>
    </row>
    <row r="3" spans="1:10" s="214" customFormat="1">
      <c r="D3" s="1266"/>
      <c r="E3" s="1266"/>
      <c r="F3" s="17"/>
      <c r="G3" s="17"/>
      <c r="I3" s="17"/>
    </row>
    <row r="5" spans="1:10" ht="18.75">
      <c r="A5" s="1245" t="s">
        <v>253</v>
      </c>
      <c r="B5" s="1245"/>
      <c r="C5" s="1245"/>
      <c r="D5" s="1245"/>
      <c r="E5" s="1245"/>
    </row>
    <row r="6" spans="1:10">
      <c r="A6" s="1263" t="str">
        <f>$G$9&amp;"  năm  2016 "</f>
        <v xml:space="preserve">Quý III  năm  2016 </v>
      </c>
      <c r="B6" s="1263"/>
      <c r="C6" s="1263"/>
      <c r="D6" s="1263"/>
      <c r="E6" s="1263"/>
    </row>
    <row r="8" spans="1:10" s="216" customFormat="1" ht="15.75" thickBot="1">
      <c r="A8" s="1264" t="s">
        <v>1</v>
      </c>
      <c r="B8" s="1264"/>
      <c r="C8" s="1265" t="s">
        <v>0</v>
      </c>
      <c r="D8" s="1265" t="s">
        <v>254</v>
      </c>
      <c r="E8" s="1265" t="s">
        <v>255</v>
      </c>
      <c r="G8" s="1014"/>
      <c r="H8" s="148"/>
      <c r="I8" s="1224" t="s">
        <v>241</v>
      </c>
      <c r="J8" s="1224"/>
    </row>
    <row r="9" spans="1:10" s="452" customFormat="1" ht="16.5" thickBot="1">
      <c r="A9" s="1016" t="s">
        <v>20</v>
      </c>
      <c r="B9" s="1016" t="s">
        <v>39</v>
      </c>
      <c r="C9" s="1265"/>
      <c r="D9" s="1265"/>
      <c r="E9" s="1265"/>
      <c r="G9" s="453" t="s">
        <v>1218</v>
      </c>
      <c r="H9" s="454"/>
      <c r="I9" s="455">
        <f>IF(G9="Quý I",1,IF(G9="Quý II",4,IF(G9="Quý III",7,IF(G9="Quý IV",10,""))))</f>
        <v>7</v>
      </c>
      <c r="J9" s="456">
        <f>IF(G9="Quý I",3,IF(G9="Quý II",6,IF(G9="Quý III",9,IF(G9="Quý IV",12,""))))</f>
        <v>9</v>
      </c>
    </row>
    <row r="10" spans="1:10" s="220" customFormat="1">
      <c r="A10" s="217" t="s">
        <v>2</v>
      </c>
      <c r="B10" s="218" t="s">
        <v>3</v>
      </c>
      <c r="C10" s="218" t="s">
        <v>4</v>
      </c>
      <c r="D10" s="219" t="s">
        <v>256</v>
      </c>
      <c r="E10" s="219" t="s">
        <v>257</v>
      </c>
    </row>
    <row r="11" spans="1:10" s="220" customFormat="1">
      <c r="A11" s="221"/>
      <c r="B11" s="222"/>
      <c r="C11" s="223" t="s">
        <v>258</v>
      </c>
      <c r="D11" s="224">
        <v>838516718</v>
      </c>
      <c r="E11" s="224"/>
    </row>
    <row r="12" spans="1:10" s="220" customFormat="1">
      <c r="A12" s="225"/>
      <c r="B12" s="226"/>
      <c r="C12" s="227" t="s">
        <v>259</v>
      </c>
      <c r="D12" s="228"/>
      <c r="E12" s="228"/>
    </row>
    <row r="13" spans="1:10">
      <c r="A13" s="240" t="str">
        <f ca="1">IF(ROWS($1:1)&gt;COUNT(Dong32),"",OFFSET(TH!D$1,SMALL(Dong32,ROWS($1:1)),))</f>
        <v/>
      </c>
      <c r="B13" s="229" t="str">
        <f ca="1">IF(ROWS($1:1)&gt;COUNT(Dong32),"",OFFSET(TH!E$1,SMALL(Dong32,ROWS($1:1)),))</f>
        <v/>
      </c>
      <c r="C13" s="239" t="str">
        <f ca="1">IF(ROWS($1:1)&gt;COUNT(Dong32),"",OFFSET(TH!F$1,SMALL(Dong32,ROWS($1:1)),))</f>
        <v/>
      </c>
      <c r="D13" s="241" t="str">
        <f ca="1">IF(ROWS($1:1)&gt;COUNT(Dong32),"",OFFSET(TH!M$1,SMALL(Dong32,ROWS($1:1)),))</f>
        <v/>
      </c>
      <c r="E13" s="230"/>
    </row>
    <row r="14" spans="1:10">
      <c r="A14" s="240" t="str">
        <f ca="1">IF(ROWS($1:2)&gt;COUNT(Dong32),"",OFFSET(TH!D$1,SMALL(Dong32,ROWS($1:2)),))</f>
        <v/>
      </c>
      <c r="B14" s="229" t="str">
        <f ca="1">IF(ROWS($1:2)&gt;COUNT(Dong32),"",OFFSET(TH!E$1,SMALL(Dong32,ROWS($1:2)),))</f>
        <v/>
      </c>
      <c r="C14" s="239" t="str">
        <f ca="1">IF(ROWS($1:2)&gt;COUNT(Dong32),"",OFFSET(TH!F$1,SMALL(Dong32,ROWS($1:2)),))</f>
        <v/>
      </c>
      <c r="D14" s="241" t="str">
        <f ca="1">IF(ROWS($1:2)&gt;COUNT(Dong32),"",OFFSET(TH!M$1,SMALL(Dong32,ROWS($1:2)),))</f>
        <v/>
      </c>
      <c r="E14" s="230"/>
    </row>
    <row r="15" spans="1:10">
      <c r="A15" s="240" t="str">
        <f ca="1">IF(ROWS($1:3)&gt;COUNT(Dong32),"",OFFSET(TH!D$1,SMALL(Dong32,ROWS($1:3)),))</f>
        <v/>
      </c>
      <c r="B15" s="229" t="str">
        <f ca="1">IF(ROWS($1:3)&gt;COUNT(Dong32),"",OFFSET(TH!E$1,SMALL(Dong32,ROWS($1:3)),))</f>
        <v/>
      </c>
      <c r="C15" s="239" t="str">
        <f ca="1">IF(ROWS($1:3)&gt;COUNT(Dong32),"",OFFSET(TH!F$1,SMALL(Dong32,ROWS($1:3)),))</f>
        <v/>
      </c>
      <c r="D15" s="241" t="str">
        <f ca="1">IF(ROWS($1:3)&gt;COUNT(Dong32),"",OFFSET(TH!M$1,SMALL(Dong32,ROWS($1:3)),))</f>
        <v/>
      </c>
      <c r="E15" s="230"/>
    </row>
    <row r="16" spans="1:10">
      <c r="A16" s="240" t="str">
        <f ca="1">IF(ROWS($1:4)&gt;COUNT(Dong32),"",OFFSET(TH!D$1,SMALL(Dong32,ROWS($1:4)),))</f>
        <v/>
      </c>
      <c r="B16" s="229" t="str">
        <f ca="1">IF(ROWS($1:4)&gt;COUNT(Dong32),"",OFFSET(TH!E$1,SMALL(Dong32,ROWS($1:4)),))</f>
        <v/>
      </c>
      <c r="C16" s="239" t="str">
        <f ca="1">IF(ROWS($1:4)&gt;COUNT(Dong32),"",OFFSET(TH!F$1,SMALL(Dong32,ROWS($1:4)),))</f>
        <v/>
      </c>
      <c r="D16" s="241" t="str">
        <f ca="1">IF(ROWS($1:4)&gt;COUNT(Dong32),"",OFFSET(TH!M$1,SMALL(Dong32,ROWS($1:4)),))</f>
        <v/>
      </c>
      <c r="E16" s="230"/>
    </row>
    <row r="17" spans="1:5">
      <c r="A17" s="240" t="str">
        <f ca="1">IF(ROWS($1:5)&gt;COUNT(Dong32),"",OFFSET(TH!D$1,SMALL(Dong32,ROWS($1:5)),))</f>
        <v/>
      </c>
      <c r="B17" s="229" t="str">
        <f ca="1">IF(ROWS($1:5)&gt;COUNT(Dong32),"",OFFSET(TH!E$1,SMALL(Dong32,ROWS($1:5)),))</f>
        <v/>
      </c>
      <c r="C17" s="239" t="str">
        <f ca="1">IF(ROWS($1:5)&gt;COUNT(Dong32),"",OFFSET(TH!F$1,SMALL(Dong32,ROWS($1:5)),))</f>
        <v/>
      </c>
      <c r="D17" s="241" t="str">
        <f ca="1">IF(ROWS($1:5)&gt;COUNT(Dong32),"",OFFSET(TH!M$1,SMALL(Dong32,ROWS($1:5)),))</f>
        <v/>
      </c>
      <c r="E17" s="230"/>
    </row>
    <row r="18" spans="1:5">
      <c r="A18" s="240" t="str">
        <f ca="1">IF(ROWS($1:6)&gt;COUNT(Dong32),"",OFFSET(TH!D$1,SMALL(Dong32,ROWS($1:6)),))</f>
        <v/>
      </c>
      <c r="B18" s="229" t="str">
        <f ca="1">IF(ROWS($1:6)&gt;COUNT(Dong32),"",OFFSET(TH!E$1,SMALL(Dong32,ROWS($1:6)),))</f>
        <v/>
      </c>
      <c r="C18" s="239" t="str">
        <f ca="1">IF(ROWS($1:6)&gt;COUNT(Dong32),"",OFFSET(TH!F$1,SMALL(Dong32,ROWS($1:6)),))</f>
        <v/>
      </c>
      <c r="D18" s="241" t="str">
        <f ca="1">IF(ROWS($1:6)&gt;COUNT(Dong32),"",OFFSET(TH!M$1,SMALL(Dong32,ROWS($1:6)),))</f>
        <v/>
      </c>
      <c r="E18" s="230"/>
    </row>
    <row r="19" spans="1:5">
      <c r="A19" s="240" t="str">
        <f ca="1">IF(ROWS($1:7)&gt;COUNT(Dong32),"",OFFSET(TH!D$1,SMALL(Dong32,ROWS($1:7)),))</f>
        <v/>
      </c>
      <c r="B19" s="229" t="str">
        <f ca="1">IF(ROWS($1:7)&gt;COUNT(Dong32),"",OFFSET(TH!E$1,SMALL(Dong32,ROWS($1:7)),))</f>
        <v/>
      </c>
      <c r="C19" s="239" t="str">
        <f ca="1">IF(ROWS($1:7)&gt;COUNT(Dong32),"",OFFSET(TH!F$1,SMALL(Dong32,ROWS($1:7)),))</f>
        <v/>
      </c>
      <c r="D19" s="241" t="str">
        <f ca="1">IF(ROWS($1:7)&gt;COUNT(Dong32),"",OFFSET(TH!M$1,SMALL(Dong32,ROWS($1:7)),))</f>
        <v/>
      </c>
      <c r="E19" s="230"/>
    </row>
    <row r="20" spans="1:5">
      <c r="A20" s="240" t="str">
        <f ca="1">IF(ROWS($1:8)&gt;COUNT(Dong32),"",OFFSET(TH!D$1,SMALL(Dong32,ROWS($1:8)),))</f>
        <v/>
      </c>
      <c r="B20" s="229" t="str">
        <f ca="1">IF(ROWS($1:8)&gt;COUNT(Dong32),"",OFFSET(TH!E$1,SMALL(Dong32,ROWS($1:8)),))</f>
        <v/>
      </c>
      <c r="C20" s="239" t="str">
        <f ca="1">IF(ROWS($1:8)&gt;COUNT(Dong32),"",OFFSET(TH!F$1,SMALL(Dong32,ROWS($1:8)),))</f>
        <v/>
      </c>
      <c r="D20" s="241" t="str">
        <f ca="1">IF(ROWS($1:8)&gt;COUNT(Dong32),"",OFFSET(TH!M$1,SMALL(Dong32,ROWS($1:8)),))</f>
        <v/>
      </c>
      <c r="E20" s="230"/>
    </row>
    <row r="21" spans="1:5">
      <c r="A21" s="240" t="str">
        <f ca="1">IF(ROWS($1:9)&gt;COUNT(Dong32),"",OFFSET(TH!D$1,SMALL(Dong32,ROWS($1:9)),))</f>
        <v/>
      </c>
      <c r="B21" s="229" t="str">
        <f ca="1">IF(ROWS($1:9)&gt;COUNT(Dong32),"",OFFSET(TH!E$1,SMALL(Dong32,ROWS($1:9)),))</f>
        <v/>
      </c>
      <c r="C21" s="239" t="str">
        <f ca="1">IF(ROWS($1:9)&gt;COUNT(Dong32),"",OFFSET(TH!F$1,SMALL(Dong32,ROWS($1:9)),))</f>
        <v/>
      </c>
      <c r="D21" s="241" t="str">
        <f ca="1">IF(ROWS($1:9)&gt;COUNT(Dong32),"",OFFSET(TH!M$1,SMALL(Dong32,ROWS($1:9)),))</f>
        <v/>
      </c>
      <c r="E21" s="230"/>
    </row>
    <row r="22" spans="1:5">
      <c r="A22" s="240" t="str">
        <f ca="1">IF(ROWS($1:10)&gt;COUNT(Dong32),"",OFFSET(TH!D$1,SMALL(Dong32,ROWS($1:10)),))</f>
        <v/>
      </c>
      <c r="B22" s="229" t="str">
        <f ca="1">IF(ROWS($1:10)&gt;COUNT(Dong32),"",OFFSET(TH!E$1,SMALL(Dong32,ROWS($1:10)),))</f>
        <v/>
      </c>
      <c r="C22" s="239" t="str">
        <f ca="1">IF(ROWS($1:10)&gt;COUNT(Dong32),"",OFFSET(TH!F$1,SMALL(Dong32,ROWS($1:10)),))</f>
        <v/>
      </c>
      <c r="D22" s="241" t="str">
        <f ca="1">IF(ROWS($1:10)&gt;COUNT(Dong32),"",OFFSET(TH!M$1,SMALL(Dong32,ROWS($1:10)),))</f>
        <v/>
      </c>
      <c r="E22" s="230"/>
    </row>
    <row r="23" spans="1:5">
      <c r="A23" s="240" t="str">
        <f ca="1">IF(ROWS($1:11)&gt;COUNT(Dong32),"",OFFSET(TH!D$1,SMALL(Dong32,ROWS($1:11)),))</f>
        <v/>
      </c>
      <c r="B23" s="229" t="str">
        <f ca="1">IF(ROWS($1:11)&gt;COUNT(Dong32),"",OFFSET(TH!E$1,SMALL(Dong32,ROWS($1:11)),))</f>
        <v/>
      </c>
      <c r="C23" s="239" t="str">
        <f ca="1">IF(ROWS($1:11)&gt;COUNT(Dong32),"",OFFSET(TH!F$1,SMALL(Dong32,ROWS($1:11)),))</f>
        <v/>
      </c>
      <c r="E23" s="241" t="str">
        <f ca="1">IF(ROWS($1:11)&gt;COUNT(Dong32),"",OFFSET(TH!M$1,SMALL(Dong32,ROWS($1:11)),))</f>
        <v/>
      </c>
    </row>
    <row r="24" spans="1:5">
      <c r="A24" s="240" t="str">
        <f ca="1">IF(ROWS($1:12)&gt;COUNT(Dong32),"",OFFSET(TH!D$1,SMALL(Dong32,ROWS($1:12)),))</f>
        <v/>
      </c>
      <c r="B24" s="229" t="str">
        <f ca="1">IF(ROWS($1:12)&gt;COUNT(Dong32),"",OFFSET(TH!E$1,SMALL(Dong32,ROWS($1:12)),))</f>
        <v/>
      </c>
      <c r="C24" s="239" t="str">
        <f ca="1">IF(ROWS($1:12)&gt;COUNT(Dong32),"",OFFSET(TH!F$1,SMALL(Dong32,ROWS($1:12)),))</f>
        <v/>
      </c>
      <c r="D24" s="241" t="str">
        <f ca="1">IF(ROWS($1:12)&gt;COUNT(Dong32),"",OFFSET(TH!M$1,SMALL(Dong32,ROWS($1:12)),))</f>
        <v/>
      </c>
      <c r="E24" s="230"/>
    </row>
    <row r="25" spans="1:5">
      <c r="A25" s="240" t="str">
        <f ca="1">IF(ROWS($1:13)&gt;COUNT(Dong32),"",OFFSET(TH!D$1,SMALL(Dong32,ROWS($1:13)),))</f>
        <v/>
      </c>
      <c r="B25" s="229" t="str">
        <f ca="1">IF(ROWS($1:13)&gt;COUNT(Dong32),"",OFFSET(TH!E$1,SMALL(Dong32,ROWS($1:13)),))</f>
        <v/>
      </c>
      <c r="C25" s="239" t="str">
        <f ca="1">IF(ROWS($1:13)&gt;COUNT(Dong32),"",OFFSET(TH!F$1,SMALL(Dong32,ROWS($1:13)),))</f>
        <v/>
      </c>
      <c r="D25" s="241" t="str">
        <f ca="1">IF(ROWS($1:13)&gt;COUNT(Dong32),"",OFFSET(TH!M$1,SMALL(Dong32,ROWS($1:13)),))</f>
        <v/>
      </c>
      <c r="E25" s="230"/>
    </row>
    <row r="26" spans="1:5">
      <c r="A26" s="240" t="str">
        <f ca="1">IF(ROWS($1:14)&gt;COUNT(Dong32),"",OFFSET(TH!D$1,SMALL(Dong32,ROWS($1:14)),))</f>
        <v/>
      </c>
      <c r="B26" s="229" t="str">
        <f ca="1">IF(ROWS($1:14)&gt;COUNT(Dong32),"",OFFSET(TH!E$1,SMALL(Dong32,ROWS($1:14)),))</f>
        <v/>
      </c>
      <c r="C26" s="239" t="str">
        <f ca="1">IF(ROWS($1:14)&gt;COUNT(Dong32),"",OFFSET(TH!F$1,SMALL(Dong32,ROWS($1:14)),))</f>
        <v/>
      </c>
      <c r="D26" s="241" t="str">
        <f ca="1">IF(ROWS($1:14)&gt;COUNT(Dong32),"",OFFSET(TH!M$1,SMALL(Dong32,ROWS($1:14)),))</f>
        <v/>
      </c>
      <c r="E26" s="230"/>
    </row>
    <row r="27" spans="1:5">
      <c r="A27" s="240" t="str">
        <f ca="1">IF(ROWS($1:15)&gt;COUNT(Dong32),"",OFFSET(TH!D$1,SMALL(Dong32,ROWS($1:15)),))</f>
        <v/>
      </c>
      <c r="B27" s="229" t="str">
        <f ca="1">IF(ROWS($1:15)&gt;COUNT(Dong32),"",OFFSET(TH!E$1,SMALL(Dong32,ROWS($1:15)),))</f>
        <v/>
      </c>
      <c r="C27" s="239" t="str">
        <f ca="1">IF(ROWS($1:15)&gt;COUNT(Dong32),"",OFFSET(TH!F$1,SMALL(Dong32,ROWS($1:15)),))</f>
        <v/>
      </c>
      <c r="D27" s="241" t="str">
        <f ca="1">IF(ROWS($1:15)&gt;COUNT(Dong32),"",OFFSET(TH!M$1,SMALL(Dong32,ROWS($1:15)),))</f>
        <v/>
      </c>
      <c r="E27" s="230"/>
    </row>
    <row r="28" spans="1:5">
      <c r="A28" s="240" t="str">
        <f ca="1">IF(ROWS($1:16)&gt;COUNT(Dong32),"",OFFSET(TH!D$1,SMALL(Dong32,ROWS($1:16)),))</f>
        <v/>
      </c>
      <c r="B28" s="229" t="str">
        <f ca="1">IF(ROWS($1:16)&gt;COUNT(Dong32),"",OFFSET(TH!E$1,SMALL(Dong32,ROWS($1:16)),))</f>
        <v/>
      </c>
      <c r="C28" s="239" t="str">
        <f ca="1">IF(ROWS($1:16)&gt;COUNT(Dong32),"",OFFSET(TH!F$1,SMALL(Dong32,ROWS($1:16)),))</f>
        <v/>
      </c>
      <c r="D28" s="241" t="str">
        <f ca="1">IF(ROWS($1:16)&gt;COUNT(Dong32),"",OFFSET(TH!M$1,SMALL(Dong32,ROWS($1:16)),))</f>
        <v/>
      </c>
      <c r="E28" s="230"/>
    </row>
    <row r="29" spans="1:5">
      <c r="A29" s="240" t="str">
        <f ca="1">IF(ROWS($1:17)&gt;COUNT(Dong32),"",OFFSET(TH!D$1,SMALL(Dong32,ROWS($1:17)),))</f>
        <v/>
      </c>
      <c r="B29" s="229" t="str">
        <f ca="1">IF(ROWS($1:17)&gt;COUNT(Dong32),"",OFFSET(TH!E$1,SMALL(Dong32,ROWS($1:17)),))</f>
        <v/>
      </c>
      <c r="C29" s="239" t="str">
        <f ca="1">IF(ROWS($1:17)&gt;COUNT(Dong32),"",OFFSET(TH!F$1,SMALL(Dong32,ROWS($1:17)),))</f>
        <v/>
      </c>
      <c r="D29" s="241" t="str">
        <f ca="1">IF(ROWS($1:17)&gt;COUNT(Dong32),"",OFFSET(TH!M$1,SMALL(Dong32,ROWS($1:17)),))</f>
        <v/>
      </c>
      <c r="E29" s="230"/>
    </row>
    <row r="30" spans="1:5">
      <c r="A30" s="240" t="str">
        <f ca="1">IF(ROWS($1:18)&gt;COUNT(Dong32),"",OFFSET(TH!D$1,SMALL(Dong32,ROWS($1:18)),))</f>
        <v/>
      </c>
      <c r="B30" s="229" t="str">
        <f ca="1">IF(ROWS($1:18)&gt;COUNT(Dong32),"",OFFSET(TH!E$1,SMALL(Dong32,ROWS($1:18)),))</f>
        <v/>
      </c>
      <c r="C30" s="239" t="str">
        <f ca="1">IF(ROWS($1:18)&gt;COUNT(Dong32),"",OFFSET(TH!F$1,SMALL(Dong32,ROWS($1:18)),))</f>
        <v/>
      </c>
      <c r="D30" s="241" t="str">
        <f ca="1">IF(ROWS($1:18)&gt;COUNT(Dong32),"",OFFSET(TH!M$1,SMALL(Dong32,ROWS($1:18)),))</f>
        <v/>
      </c>
      <c r="E30" s="230"/>
    </row>
    <row r="31" spans="1:5">
      <c r="A31" s="240" t="str">
        <f ca="1">IF(ROWS($1:19)&gt;COUNT(Dong32),"",OFFSET(TH!D$1,SMALL(Dong32,ROWS($1:19)),))</f>
        <v/>
      </c>
      <c r="B31" s="229" t="str">
        <f ca="1">IF(ROWS($1:19)&gt;COUNT(Dong32),"",OFFSET(TH!E$1,SMALL(Dong32,ROWS($1:19)),))</f>
        <v/>
      </c>
      <c r="C31" s="239" t="str">
        <f ca="1">IF(ROWS($1:19)&gt;COUNT(Dong32),"",OFFSET(TH!F$1,SMALL(Dong32,ROWS($1:19)),))</f>
        <v/>
      </c>
      <c r="D31" s="241" t="str">
        <f ca="1">IF(ROWS($1:19)&gt;COUNT(Dong32),"",OFFSET(TH!M$1,SMALL(Dong32,ROWS($1:19)),))</f>
        <v/>
      </c>
      <c r="E31" s="230"/>
    </row>
    <row r="32" spans="1:5" hidden="1">
      <c r="A32" s="240" t="str">
        <f ca="1">IF(ROWS($1:20)&gt;COUNT(Dong32),"",OFFSET(TH!D$1,SMALL(Dong32,ROWS($1:20)),))</f>
        <v/>
      </c>
      <c r="B32" s="229" t="str">
        <f ca="1">IF(ROWS($1:20)&gt;COUNT(Dong32),"",OFFSET(TH!E$1,SMALL(Dong32,ROWS($1:20)),))</f>
        <v/>
      </c>
      <c r="C32" s="239" t="str">
        <f ca="1">IF(ROWS($1:20)&gt;COUNT(Dong32),"",OFFSET(TH!F$1,SMALL(Dong32,ROWS($1:20)),))</f>
        <v/>
      </c>
      <c r="D32" s="241" t="str">
        <f ca="1">IF(ROWS($1:20)&gt;COUNT(Dong32),"",OFFSET(TH!M$1,SMALL(Dong32,ROWS($1:20)),))</f>
        <v/>
      </c>
      <c r="E32" s="230"/>
    </row>
    <row r="33" spans="1:5" hidden="1">
      <c r="A33" s="240" t="str">
        <f ca="1">IF(ROWS($1:21)&gt;COUNT(Dong32),"",OFFSET(TH!D$1,SMALL(Dong32,ROWS($1:21)),))</f>
        <v/>
      </c>
      <c r="B33" s="229" t="str">
        <f ca="1">IF(ROWS($1:21)&gt;COUNT(Dong32),"",OFFSET(TH!E$1,SMALL(Dong32,ROWS($1:21)),))</f>
        <v/>
      </c>
      <c r="C33" s="239" t="str">
        <f ca="1">IF(ROWS($1:21)&gt;COUNT(Dong32),"",OFFSET(TH!F$1,SMALL(Dong32,ROWS($1:21)),))</f>
        <v/>
      </c>
      <c r="D33" s="241" t="str">
        <f ca="1">IF(ROWS($1:21)&gt;COUNT(Dong32),"",OFFSET(TH!M$1,SMALL(Dong32,ROWS($1:21)),))</f>
        <v/>
      </c>
      <c r="E33" s="230"/>
    </row>
    <row r="34" spans="1:5" hidden="1">
      <c r="A34" s="240" t="str">
        <f ca="1">IF(ROWS($1:22)&gt;COUNT(Dong32),"",OFFSET(TH!D$1,SMALL(Dong32,ROWS($1:22)),))</f>
        <v/>
      </c>
      <c r="B34" s="229" t="str">
        <f ca="1">IF(ROWS($1:22)&gt;COUNT(Dong32),"",OFFSET(TH!E$1,SMALL(Dong32,ROWS($1:22)),))</f>
        <v/>
      </c>
      <c r="C34" s="239" t="str">
        <f ca="1">IF(ROWS($1:22)&gt;COUNT(Dong32),"",OFFSET(TH!F$1,SMALL(Dong32,ROWS($1:22)),))</f>
        <v/>
      </c>
      <c r="D34" s="241" t="str">
        <f ca="1">IF(ROWS($1:22)&gt;COUNT(Dong32),"",OFFSET(TH!M$1,SMALL(Dong32,ROWS($1:22)),))</f>
        <v/>
      </c>
      <c r="E34" s="230"/>
    </row>
    <row r="35" spans="1:5" hidden="1">
      <c r="A35" s="240" t="str">
        <f ca="1">IF(ROWS($1:23)&gt;COUNT(Dong32),"",OFFSET(TH!D$1,SMALL(Dong32,ROWS($1:23)),))</f>
        <v/>
      </c>
      <c r="B35" s="229" t="str">
        <f ca="1">IF(ROWS($1:23)&gt;COUNT(Dong32),"",OFFSET(TH!E$1,SMALL(Dong32,ROWS($1:23)),))</f>
        <v/>
      </c>
      <c r="C35" s="239" t="str">
        <f ca="1">IF(ROWS($1:23)&gt;COUNT(Dong32),"",OFFSET(TH!F$1,SMALL(Dong32,ROWS($1:23)),))</f>
        <v/>
      </c>
      <c r="D35" s="241" t="str">
        <f ca="1">IF(ROWS($1:23)&gt;COUNT(Dong32),"",OFFSET(TH!M$1,SMALL(Dong32,ROWS($1:23)),))</f>
        <v/>
      </c>
      <c r="E35" s="230"/>
    </row>
    <row r="36" spans="1:5" hidden="1">
      <c r="A36" s="240" t="str">
        <f ca="1">IF(ROWS($1:24)&gt;COUNT(Dong32),"",OFFSET(TH!D$1,SMALL(Dong32,ROWS($1:24)),))</f>
        <v/>
      </c>
      <c r="B36" s="229" t="str">
        <f ca="1">IF(ROWS($1:24)&gt;COUNT(Dong32),"",OFFSET(TH!E$1,SMALL(Dong32,ROWS($1:24)),))</f>
        <v/>
      </c>
      <c r="C36" s="239" t="str">
        <f ca="1">IF(ROWS($1:24)&gt;COUNT(Dong32),"",OFFSET(TH!F$1,SMALL(Dong32,ROWS($1:24)),))</f>
        <v/>
      </c>
      <c r="D36" s="241" t="str">
        <f ca="1">IF(ROWS($1:24)&gt;COUNT(Dong32),"",OFFSET(TH!M$1,SMALL(Dong32,ROWS($1:24)),))</f>
        <v/>
      </c>
      <c r="E36" s="230"/>
    </row>
    <row r="37" spans="1:5" hidden="1">
      <c r="A37" s="240" t="str">
        <f ca="1">IF(ROWS($1:25)&gt;COUNT(Dong32),"",OFFSET(TH!D$1,SMALL(Dong32,ROWS($1:25)),))</f>
        <v/>
      </c>
      <c r="B37" s="229" t="str">
        <f ca="1">IF(ROWS($1:25)&gt;COUNT(Dong32),"",OFFSET(TH!E$1,SMALL(Dong32,ROWS($1:25)),))</f>
        <v/>
      </c>
      <c r="C37" s="239" t="str">
        <f ca="1">IF(ROWS($1:25)&gt;COUNT(Dong32),"",OFFSET(TH!F$1,SMALL(Dong32,ROWS($1:25)),))</f>
        <v/>
      </c>
      <c r="D37" s="241" t="str">
        <f ca="1">IF(ROWS($1:25)&gt;COUNT(Dong32),"",OFFSET(TH!M$1,SMALL(Dong32,ROWS($1:25)),))</f>
        <v/>
      </c>
      <c r="E37" s="230"/>
    </row>
    <row r="38" spans="1:5" hidden="1">
      <c r="A38" s="240" t="str">
        <f ca="1">IF(ROWS($1:26)&gt;COUNT(Dong32),"",OFFSET(TH!D$1,SMALL(Dong32,ROWS($1:26)),))</f>
        <v/>
      </c>
      <c r="B38" s="229" t="str">
        <f ca="1">IF(ROWS($1:26)&gt;COUNT(Dong32),"",OFFSET(TH!E$1,SMALL(Dong32,ROWS($1:26)),))</f>
        <v/>
      </c>
      <c r="C38" s="239" t="str">
        <f ca="1">IF(ROWS($1:26)&gt;COUNT(Dong32),"",OFFSET(TH!F$1,SMALL(Dong32,ROWS($1:26)),))</f>
        <v/>
      </c>
      <c r="D38" s="241" t="str">
        <f ca="1">IF(ROWS($1:26)&gt;COUNT(Dong32),"",OFFSET(TH!M$1,SMALL(Dong32,ROWS($1:26)),))</f>
        <v/>
      </c>
      <c r="E38" s="230"/>
    </row>
    <row r="39" spans="1:5" hidden="1">
      <c r="A39" s="240" t="str">
        <f ca="1">IF(ROWS($1:27)&gt;COUNT(Dong32),"",OFFSET(TH!D$1,SMALL(Dong32,ROWS($1:27)),))</f>
        <v/>
      </c>
      <c r="B39" s="229" t="str">
        <f ca="1">IF(ROWS($1:27)&gt;COUNT(Dong32),"",OFFSET(TH!E$1,SMALL(Dong32,ROWS($1:27)),))</f>
        <v/>
      </c>
      <c r="C39" s="239" t="str">
        <f ca="1">IF(ROWS($1:27)&gt;COUNT(Dong32),"",OFFSET(TH!F$1,SMALL(Dong32,ROWS($1:27)),))</f>
        <v/>
      </c>
      <c r="D39" s="241" t="str">
        <f ca="1">IF(ROWS($1:27)&gt;COUNT(Dong32),"",OFFSET(TH!M$1,SMALL(Dong32,ROWS($1:27)),))</f>
        <v/>
      </c>
      <c r="E39" s="230"/>
    </row>
    <row r="40" spans="1:5" hidden="1">
      <c r="A40" s="240" t="str">
        <f ca="1">IF(ROWS($1:28)&gt;COUNT(Dong32),"",OFFSET(TH!D$1,SMALL(Dong32,ROWS($1:28)),))</f>
        <v/>
      </c>
      <c r="B40" s="229" t="str">
        <f ca="1">IF(ROWS($1:28)&gt;COUNT(Dong32),"",OFFSET(TH!E$1,SMALL(Dong32,ROWS($1:28)),))</f>
        <v/>
      </c>
      <c r="C40" s="239" t="str">
        <f ca="1">IF(ROWS($1:28)&gt;COUNT(Dong32),"",OFFSET(TH!F$1,SMALL(Dong32,ROWS($1:28)),))</f>
        <v/>
      </c>
      <c r="D40" s="241" t="str">
        <f ca="1">IF(ROWS($1:28)&gt;COUNT(Dong32),"",OFFSET(TH!M$1,SMALL(Dong32,ROWS($1:28)),))</f>
        <v/>
      </c>
      <c r="E40" s="230"/>
    </row>
    <row r="41" spans="1:5" hidden="1">
      <c r="A41" s="240" t="str">
        <f ca="1">IF(ROWS($1:29)&gt;COUNT(Dong32),"",OFFSET(TH!D$1,SMALL(Dong32,ROWS($1:29)),))</f>
        <v/>
      </c>
      <c r="B41" s="229" t="str">
        <f ca="1">IF(ROWS($1:29)&gt;COUNT(Dong32),"",OFFSET(TH!E$1,SMALL(Dong32,ROWS($1:29)),))</f>
        <v/>
      </c>
      <c r="C41" s="239" t="str">
        <f ca="1">IF(ROWS($1:29)&gt;COUNT(Dong32),"",OFFSET(TH!F$1,SMALL(Dong32,ROWS($1:29)),))</f>
        <v/>
      </c>
      <c r="D41" s="241" t="str">
        <f ca="1">IF(ROWS($1:29)&gt;COUNT(Dong32),"",OFFSET(TH!M$1,SMALL(Dong32,ROWS($1:29)),))</f>
        <v/>
      </c>
      <c r="E41" s="230"/>
    </row>
    <row r="42" spans="1:5" hidden="1">
      <c r="A42" s="240" t="str">
        <f ca="1">IF(ROWS($1:30)&gt;COUNT(Dong32),"",OFFSET(TH!D$1,SMALL(Dong32,ROWS($1:30)),))</f>
        <v/>
      </c>
      <c r="B42" s="229" t="str">
        <f ca="1">IF(ROWS($1:30)&gt;COUNT(Dong32),"",OFFSET(TH!E$1,SMALL(Dong32,ROWS($1:30)),))</f>
        <v/>
      </c>
      <c r="C42" s="239" t="str">
        <f ca="1">IF(ROWS($1:30)&gt;COUNT(Dong32),"",OFFSET(TH!F$1,SMALL(Dong32,ROWS($1:30)),))</f>
        <v/>
      </c>
      <c r="D42" s="241" t="str">
        <f ca="1">IF(ROWS($1:30)&gt;COUNT(Dong32),"",OFFSET(TH!M$1,SMALL(Dong32,ROWS($1:30)),))</f>
        <v/>
      </c>
      <c r="E42" s="230"/>
    </row>
    <row r="43" spans="1:5" hidden="1">
      <c r="A43" s="240" t="str">
        <f ca="1">IF(ROWS($1:31)&gt;COUNT(Dong32),"",OFFSET(TH!D$1,SMALL(Dong32,ROWS($1:31)),))</f>
        <v/>
      </c>
      <c r="B43" s="229" t="str">
        <f ca="1">IF(ROWS($1:31)&gt;COUNT(Dong32),"",OFFSET(TH!E$1,SMALL(Dong32,ROWS($1:31)),))</f>
        <v/>
      </c>
      <c r="C43" s="239" t="str">
        <f ca="1">IF(ROWS($1:31)&gt;COUNT(Dong32),"",OFFSET(TH!F$1,SMALL(Dong32,ROWS($1:31)),))</f>
        <v/>
      </c>
      <c r="D43" s="241" t="str">
        <f ca="1">IF(ROWS($1:31)&gt;COUNT(Dong32),"",OFFSET(TH!M$1,SMALL(Dong32,ROWS($1:31)),))</f>
        <v/>
      </c>
      <c r="E43" s="230"/>
    </row>
    <row r="44" spans="1:5" hidden="1">
      <c r="A44" s="240" t="str">
        <f ca="1">IF(ROWS($1:32)&gt;COUNT(Dong32),"",OFFSET(TH!D$1,SMALL(Dong32,ROWS($1:32)),))</f>
        <v/>
      </c>
      <c r="B44" s="229" t="str">
        <f ca="1">IF(ROWS($1:32)&gt;COUNT(Dong32),"",OFFSET(TH!E$1,SMALL(Dong32,ROWS($1:32)),))</f>
        <v/>
      </c>
      <c r="C44" s="239" t="str">
        <f ca="1">IF(ROWS($1:32)&gt;COUNT(Dong32),"",OFFSET(TH!F$1,SMALL(Dong32,ROWS($1:32)),))</f>
        <v/>
      </c>
      <c r="D44" s="241" t="str">
        <f ca="1">IF(ROWS($1:32)&gt;COUNT(Dong32),"",OFFSET(TH!M$1,SMALL(Dong32,ROWS($1:32)),))</f>
        <v/>
      </c>
      <c r="E44" s="230"/>
    </row>
    <row r="45" spans="1:5" hidden="1">
      <c r="A45" s="240" t="str">
        <f ca="1">IF(ROWS($1:33)&gt;COUNT(Dong32),"",OFFSET(TH!D$1,SMALL(Dong32,ROWS($1:33)),))</f>
        <v/>
      </c>
      <c r="B45" s="229" t="str">
        <f ca="1">IF(ROWS($1:33)&gt;COUNT(Dong32),"",OFFSET(TH!E$1,SMALL(Dong32,ROWS($1:33)),))</f>
        <v/>
      </c>
      <c r="C45" s="239" t="str">
        <f ca="1">IF(ROWS($1:33)&gt;COUNT(Dong32),"",OFFSET(TH!F$1,SMALL(Dong32,ROWS($1:33)),))</f>
        <v/>
      </c>
      <c r="D45" s="241" t="str">
        <f ca="1">IF(ROWS($1:33)&gt;COUNT(Dong32),"",OFFSET(TH!M$1,SMALL(Dong32,ROWS($1:33)),))</f>
        <v/>
      </c>
      <c r="E45" s="230"/>
    </row>
    <row r="46" spans="1:5" hidden="1">
      <c r="A46" s="240" t="str">
        <f ca="1">IF(ROWS($1:34)&gt;COUNT(Dong32),"",OFFSET(TH!D$1,SMALL(Dong32,ROWS($1:34)),))</f>
        <v/>
      </c>
      <c r="B46" s="229" t="str">
        <f ca="1">IF(ROWS($1:34)&gt;COUNT(Dong32),"",OFFSET(TH!E$1,SMALL(Dong32,ROWS($1:34)),))</f>
        <v/>
      </c>
      <c r="C46" s="239" t="str">
        <f ca="1">IF(ROWS($1:34)&gt;COUNT(Dong32),"",OFFSET(TH!F$1,SMALL(Dong32,ROWS($1:34)),))</f>
        <v/>
      </c>
      <c r="D46" s="241" t="str">
        <f ca="1">IF(ROWS($1:34)&gt;COUNT(Dong32),"",OFFSET(TH!M$1,SMALL(Dong32,ROWS($1:34)),))</f>
        <v/>
      </c>
      <c r="E46" s="230"/>
    </row>
    <row r="47" spans="1:5" hidden="1">
      <c r="A47" s="240" t="str">
        <f ca="1">IF(ROWS($1:35)&gt;COUNT(Dong32),"",OFFSET(TH!D$1,SMALL(Dong32,ROWS($1:35)),))</f>
        <v/>
      </c>
      <c r="B47" s="229" t="str">
        <f ca="1">IF(ROWS($1:35)&gt;COUNT(Dong32),"",OFFSET(TH!E$1,SMALL(Dong32,ROWS($1:35)),))</f>
        <v/>
      </c>
      <c r="C47" s="239" t="str">
        <f ca="1">IF(ROWS($1:35)&gt;COUNT(Dong32),"",OFFSET(TH!F$1,SMALL(Dong32,ROWS($1:35)),))</f>
        <v/>
      </c>
      <c r="D47" s="241" t="str">
        <f ca="1">IF(ROWS($1:35)&gt;COUNT(Dong32),"",OFFSET(TH!M$1,SMALL(Dong32,ROWS($1:35)),))</f>
        <v/>
      </c>
      <c r="E47" s="230"/>
    </row>
    <row r="48" spans="1:5" hidden="1">
      <c r="A48" s="240" t="str">
        <f ca="1">IF(ROWS($1:36)&gt;COUNT(Dong32),"",OFFSET(TH!D$1,SMALL(Dong32,ROWS($1:36)),))</f>
        <v/>
      </c>
      <c r="B48" s="229" t="str">
        <f ca="1">IF(ROWS($1:36)&gt;COUNT(Dong32),"",OFFSET(TH!E$1,SMALL(Dong32,ROWS($1:36)),))</f>
        <v/>
      </c>
      <c r="C48" s="239" t="str">
        <f ca="1">IF(ROWS($1:36)&gt;COUNT(Dong32),"",OFFSET(TH!F$1,SMALL(Dong32,ROWS($1:36)),))</f>
        <v/>
      </c>
      <c r="D48" s="241" t="str">
        <f ca="1">IF(ROWS($1:36)&gt;COUNT(Dong32),"",OFFSET(TH!M$1,SMALL(Dong32,ROWS($1:36)),))</f>
        <v/>
      </c>
      <c r="E48" s="230"/>
    </row>
    <row r="49" spans="1:5" hidden="1">
      <c r="A49" s="240" t="str">
        <f ca="1">IF(ROWS($1:37)&gt;COUNT(Dong32),"",OFFSET(TH!D$1,SMALL(Dong32,ROWS($1:37)),))</f>
        <v/>
      </c>
      <c r="B49" s="229" t="str">
        <f ca="1">IF(ROWS($1:37)&gt;COUNT(Dong32),"",OFFSET(TH!E$1,SMALL(Dong32,ROWS($1:37)),))</f>
        <v/>
      </c>
      <c r="C49" s="239" t="str">
        <f ca="1">IF(ROWS($1:37)&gt;COUNT(Dong32),"",OFFSET(TH!F$1,SMALL(Dong32,ROWS($1:37)),))</f>
        <v/>
      </c>
      <c r="D49" s="241" t="str">
        <f ca="1">IF(ROWS($1:37)&gt;COUNT(Dong32),"",OFFSET(TH!M$1,SMALL(Dong32,ROWS($1:37)),))</f>
        <v/>
      </c>
      <c r="E49" s="230"/>
    </row>
    <row r="50" spans="1:5" hidden="1">
      <c r="A50" s="240" t="str">
        <f ca="1">IF(ROWS($1:38)&gt;COUNT(Dong32),"",OFFSET(TH!D$1,SMALL(Dong32,ROWS($1:38)),))</f>
        <v/>
      </c>
      <c r="B50" s="229" t="str">
        <f ca="1">IF(ROWS($1:38)&gt;COUNT(Dong32),"",OFFSET(TH!E$1,SMALL(Dong32,ROWS($1:38)),))</f>
        <v/>
      </c>
      <c r="C50" s="239" t="str">
        <f ca="1">IF(ROWS($1:38)&gt;COUNT(Dong32),"",OFFSET(TH!F$1,SMALL(Dong32,ROWS($1:38)),))</f>
        <v/>
      </c>
      <c r="D50" s="241" t="str">
        <f ca="1">IF(ROWS($1:38)&gt;COUNT(Dong32),"",OFFSET(TH!M$1,SMALL(Dong32,ROWS($1:38)),))</f>
        <v/>
      </c>
      <c r="E50" s="230"/>
    </row>
    <row r="51" spans="1:5" hidden="1">
      <c r="A51" s="240" t="str">
        <f ca="1">IF(ROWS($1:39)&gt;COUNT(Dong32),"",OFFSET(TH!D$1,SMALL(Dong32,ROWS($1:39)),))</f>
        <v/>
      </c>
      <c r="B51" s="229" t="str">
        <f ca="1">IF(ROWS($1:39)&gt;COUNT(Dong32),"",OFFSET(TH!E$1,SMALL(Dong32,ROWS($1:39)),))</f>
        <v/>
      </c>
      <c r="C51" s="239" t="str">
        <f ca="1">IF(ROWS($1:39)&gt;COUNT(Dong32),"",OFFSET(TH!F$1,SMALL(Dong32,ROWS($1:39)),))</f>
        <v/>
      </c>
      <c r="D51" s="241" t="str">
        <f ca="1">IF(ROWS($1:39)&gt;COUNT(Dong32),"",OFFSET(TH!M$1,SMALL(Dong32,ROWS($1:39)),))</f>
        <v/>
      </c>
      <c r="E51" s="230"/>
    </row>
    <row r="52" spans="1:5" hidden="1">
      <c r="A52" s="240" t="str">
        <f ca="1">IF(ROWS($1:40)&gt;COUNT(Dong32),"",OFFSET(TH!D$1,SMALL(Dong32,ROWS($1:40)),))</f>
        <v/>
      </c>
      <c r="B52" s="229" t="str">
        <f ca="1">IF(ROWS($1:40)&gt;COUNT(Dong32),"",OFFSET(TH!E$1,SMALL(Dong32,ROWS($1:40)),))</f>
        <v/>
      </c>
      <c r="C52" s="239" t="str">
        <f ca="1">IF(ROWS($1:40)&gt;COUNT(Dong32),"",OFFSET(TH!F$1,SMALL(Dong32,ROWS($1:40)),))</f>
        <v/>
      </c>
      <c r="D52" s="241" t="str">
        <f ca="1">IF(ROWS($1:40)&gt;COUNT(Dong32),"",OFFSET(TH!M$1,SMALL(Dong32,ROWS($1:40)),))</f>
        <v/>
      </c>
      <c r="E52" s="230"/>
    </row>
    <row r="53" spans="1:5" hidden="1">
      <c r="A53" s="240" t="str">
        <f ca="1">IF(ROWS($1:41)&gt;COUNT(Dong32),"",OFFSET(TH!D$1,SMALL(Dong32,ROWS($1:41)),))</f>
        <v/>
      </c>
      <c r="B53" s="229" t="str">
        <f ca="1">IF(ROWS($1:41)&gt;COUNT(Dong32),"",OFFSET(TH!E$1,SMALL(Dong32,ROWS($1:41)),))</f>
        <v/>
      </c>
      <c r="C53" s="239" t="str">
        <f ca="1">IF(ROWS($1:41)&gt;COUNT(Dong32),"",OFFSET(TH!F$1,SMALL(Dong32,ROWS($1:41)),))</f>
        <v/>
      </c>
      <c r="D53" s="241" t="str">
        <f ca="1">IF(ROWS($1:41)&gt;COUNT(Dong32),"",OFFSET(TH!M$1,SMALL(Dong32,ROWS($1:41)),))</f>
        <v/>
      </c>
      <c r="E53" s="230"/>
    </row>
    <row r="54" spans="1:5" hidden="1">
      <c r="A54" s="240" t="str">
        <f ca="1">IF(ROWS($1:42)&gt;COUNT(Dong32),"",OFFSET(TH!D$1,SMALL(Dong32,ROWS($1:42)),))</f>
        <v/>
      </c>
      <c r="B54" s="229" t="str">
        <f ca="1">IF(ROWS($1:42)&gt;COUNT(Dong32),"",OFFSET(TH!E$1,SMALL(Dong32,ROWS($1:42)),))</f>
        <v/>
      </c>
      <c r="C54" s="239" t="str">
        <f ca="1">IF(ROWS($1:42)&gt;COUNT(Dong32),"",OFFSET(TH!F$1,SMALL(Dong32,ROWS($1:42)),))</f>
        <v/>
      </c>
      <c r="D54" s="241" t="str">
        <f ca="1">IF(ROWS($1:42)&gt;COUNT(Dong32),"",OFFSET(TH!M$1,SMALL(Dong32,ROWS($1:42)),))</f>
        <v/>
      </c>
      <c r="E54" s="230"/>
    </row>
    <row r="55" spans="1:5" hidden="1">
      <c r="A55" s="240" t="str">
        <f ca="1">IF(ROWS($1:43)&gt;COUNT(Dong32),"",OFFSET(TH!D$1,SMALL(Dong32,ROWS($1:43)),))</f>
        <v/>
      </c>
      <c r="B55" s="229" t="str">
        <f ca="1">IF(ROWS($1:43)&gt;COUNT(Dong32),"",OFFSET(TH!E$1,SMALL(Dong32,ROWS($1:43)),))</f>
        <v/>
      </c>
      <c r="C55" s="239" t="str">
        <f ca="1">IF(ROWS($1:43)&gt;COUNT(Dong32),"",OFFSET(TH!F$1,SMALL(Dong32,ROWS($1:43)),))</f>
        <v/>
      </c>
      <c r="D55" s="241" t="str">
        <f ca="1">IF(ROWS($1:43)&gt;COUNT(Dong32),"",OFFSET(TH!M$1,SMALL(Dong32,ROWS($1:43)),))</f>
        <v/>
      </c>
      <c r="E55" s="230"/>
    </row>
    <row r="56" spans="1:5" hidden="1">
      <c r="A56" s="240" t="str">
        <f ca="1">IF(ROWS($1:44)&gt;COUNT(Dong32),"",OFFSET(TH!D$1,SMALL(Dong32,ROWS($1:44)),))</f>
        <v/>
      </c>
      <c r="B56" s="229" t="str">
        <f ca="1">IF(ROWS($1:44)&gt;COUNT(Dong32),"",OFFSET(TH!E$1,SMALL(Dong32,ROWS($1:44)),))</f>
        <v/>
      </c>
      <c r="C56" s="239" t="str">
        <f ca="1">IF(ROWS($1:44)&gt;COUNT(Dong32),"",OFFSET(TH!F$1,SMALL(Dong32,ROWS($1:44)),))</f>
        <v/>
      </c>
      <c r="D56" s="241" t="str">
        <f ca="1">IF(ROWS($1:44)&gt;COUNT(Dong32),"",OFFSET(TH!M$1,SMALL(Dong32,ROWS($1:44)),))</f>
        <v/>
      </c>
      <c r="E56" s="230"/>
    </row>
    <row r="57" spans="1:5" hidden="1">
      <c r="A57" s="240" t="str">
        <f ca="1">IF(ROWS($1:45)&gt;COUNT(Dong32),"",OFFSET(TH!D$1,SMALL(Dong32,ROWS($1:45)),))</f>
        <v/>
      </c>
      <c r="B57" s="229" t="str">
        <f ca="1">IF(ROWS($1:45)&gt;COUNT(Dong32),"",OFFSET(TH!E$1,SMALL(Dong32,ROWS($1:45)),))</f>
        <v/>
      </c>
      <c r="C57" s="239" t="str">
        <f ca="1">IF(ROWS($1:45)&gt;COUNT(Dong32),"",OFFSET(TH!F$1,SMALL(Dong32,ROWS($1:45)),))</f>
        <v/>
      </c>
      <c r="D57" s="241" t="str">
        <f ca="1">IF(ROWS($1:45)&gt;COUNT(Dong32),"",OFFSET(TH!M$1,SMALL(Dong32,ROWS($1:45)),))</f>
        <v/>
      </c>
      <c r="E57" s="230"/>
    </row>
    <row r="58" spans="1:5" hidden="1">
      <c r="A58" s="240" t="str">
        <f ca="1">IF(ROWS($1:46)&gt;COUNT(Dong32),"",OFFSET(TH!D$1,SMALL(Dong32,ROWS($1:46)),))</f>
        <v/>
      </c>
      <c r="B58" s="229" t="str">
        <f ca="1">IF(ROWS($1:46)&gt;COUNT(Dong32),"",OFFSET(TH!E$1,SMALL(Dong32,ROWS($1:46)),))</f>
        <v/>
      </c>
      <c r="C58" s="239" t="str">
        <f ca="1">IF(ROWS($1:46)&gt;COUNT(Dong32),"",OFFSET(TH!F$1,SMALL(Dong32,ROWS($1:46)),))</f>
        <v/>
      </c>
      <c r="D58" s="241" t="str">
        <f ca="1">IF(ROWS($1:46)&gt;COUNT(Dong32),"",OFFSET(TH!M$1,SMALL(Dong32,ROWS($1:46)),))</f>
        <v/>
      </c>
      <c r="E58" s="230"/>
    </row>
    <row r="59" spans="1:5" hidden="1">
      <c r="A59" s="240" t="str">
        <f ca="1">IF(ROWS($1:47)&gt;COUNT(Dong32),"",OFFSET(TH!D$1,SMALL(Dong32,ROWS($1:47)),))</f>
        <v/>
      </c>
      <c r="B59" s="229" t="str">
        <f ca="1">IF(ROWS($1:47)&gt;COUNT(Dong32),"",OFFSET(TH!E$1,SMALL(Dong32,ROWS($1:47)),))</f>
        <v/>
      </c>
      <c r="C59" s="239" t="str">
        <f ca="1">IF(ROWS($1:47)&gt;COUNT(Dong32),"",OFFSET(TH!F$1,SMALL(Dong32,ROWS($1:47)),))</f>
        <v/>
      </c>
      <c r="D59" s="241" t="str">
        <f ca="1">IF(ROWS($1:47)&gt;COUNT(Dong32),"",OFFSET(TH!M$1,SMALL(Dong32,ROWS($1:47)),))</f>
        <v/>
      </c>
      <c r="E59" s="230"/>
    </row>
    <row r="60" spans="1:5" hidden="1">
      <c r="A60" s="240" t="str">
        <f ca="1">IF(ROWS($1:48)&gt;COUNT(Dong32),"",OFFSET(TH!D$1,SMALL(Dong32,ROWS($1:48)),))</f>
        <v/>
      </c>
      <c r="B60" s="229" t="str">
        <f ca="1">IF(ROWS($1:48)&gt;COUNT(Dong32),"",OFFSET(TH!E$1,SMALL(Dong32,ROWS($1:48)),))</f>
        <v/>
      </c>
      <c r="C60" s="239" t="str">
        <f ca="1">IF(ROWS($1:48)&gt;COUNT(Dong32),"",OFFSET(TH!F$1,SMALL(Dong32,ROWS($1:48)),))</f>
        <v/>
      </c>
      <c r="D60" s="241" t="str">
        <f ca="1">IF(ROWS($1:48)&gt;COUNT(Dong32),"",OFFSET(TH!M$1,SMALL(Dong32,ROWS($1:48)),))</f>
        <v/>
      </c>
      <c r="E60" s="230"/>
    </row>
    <row r="61" spans="1:5" hidden="1">
      <c r="A61" s="240" t="str">
        <f ca="1">IF(ROWS($1:49)&gt;COUNT(Dong32),"",OFFSET(TH!D$1,SMALL(Dong32,ROWS($1:49)),))</f>
        <v/>
      </c>
      <c r="B61" s="229" t="str">
        <f ca="1">IF(ROWS($1:49)&gt;COUNT(Dong32),"",OFFSET(TH!E$1,SMALL(Dong32,ROWS($1:49)),))</f>
        <v/>
      </c>
      <c r="C61" s="239" t="str">
        <f ca="1">IF(ROWS($1:49)&gt;COUNT(Dong32),"",OFFSET(TH!F$1,SMALL(Dong32,ROWS($1:49)),))</f>
        <v/>
      </c>
      <c r="D61" s="241" t="str">
        <f ca="1">IF(ROWS($1:49)&gt;COUNT(Dong32),"",OFFSET(TH!M$1,SMALL(Dong32,ROWS($1:49)),))</f>
        <v/>
      </c>
      <c r="E61" s="230"/>
    </row>
    <row r="62" spans="1:5" hidden="1">
      <c r="A62" s="240" t="str">
        <f ca="1">IF(ROWS($1:50)&gt;COUNT(Dong32),"",OFFSET(TH!D$1,SMALL(Dong32,ROWS($1:50)),))</f>
        <v/>
      </c>
      <c r="B62" s="229" t="str">
        <f ca="1">IF(ROWS($1:50)&gt;COUNT(Dong32),"",OFFSET(TH!E$1,SMALL(Dong32,ROWS($1:50)),))</f>
        <v/>
      </c>
      <c r="C62" s="239" t="str">
        <f ca="1">IF(ROWS($1:50)&gt;COUNT(Dong32),"",OFFSET(TH!F$1,SMALL(Dong32,ROWS($1:50)),))</f>
        <v/>
      </c>
      <c r="D62" s="241" t="str">
        <f ca="1">IF(ROWS($1:50)&gt;COUNT(Dong32),"",OFFSET(TH!M$1,SMALL(Dong32,ROWS($1:50)),))</f>
        <v/>
      </c>
      <c r="E62" s="230"/>
    </row>
    <row r="63" spans="1:5" hidden="1">
      <c r="A63" s="240" t="str">
        <f ca="1">IF(ROWS($1:51)&gt;COUNT(Dong32),"",OFFSET(TH!D$1,SMALL(Dong32,ROWS($1:51)),))</f>
        <v/>
      </c>
      <c r="B63" s="229" t="str">
        <f ca="1">IF(ROWS($1:51)&gt;COUNT(Dong32),"",OFFSET(TH!E$1,SMALL(Dong32,ROWS($1:51)),))</f>
        <v/>
      </c>
      <c r="C63" s="239" t="str">
        <f ca="1">IF(ROWS($1:51)&gt;COUNT(Dong32),"",OFFSET(TH!F$1,SMALL(Dong32,ROWS($1:51)),))</f>
        <v/>
      </c>
      <c r="D63" s="241" t="str">
        <f ca="1">IF(ROWS($1:51)&gt;COUNT(Dong32),"",OFFSET(TH!M$1,SMALL(Dong32,ROWS($1:51)),))</f>
        <v/>
      </c>
      <c r="E63" s="230"/>
    </row>
    <row r="64" spans="1:5">
      <c r="A64" s="240" t="str">
        <f ca="1">IF(ROWS($1:52)&gt;COUNT(Dong32),"",OFFSET(TH!D$1,SMALL(Dong32,ROWS($1:52)),))</f>
        <v/>
      </c>
      <c r="B64" s="229" t="str">
        <f ca="1">IF(ROWS($1:52)&gt;COUNT(Dong32),"",OFFSET(TH!E$1,SMALL(Dong32,ROWS($1:52)),))</f>
        <v/>
      </c>
      <c r="C64" s="239" t="str">
        <f ca="1">IF(ROWS($1:52)&gt;COUNT(Dong32),"",OFFSET(TH!F$1,SMALL(Dong32,ROWS($1:52)),))</f>
        <v/>
      </c>
      <c r="D64" s="241" t="str">
        <f ca="1">IF(ROWS($1:52)&gt;COUNT(Dong32),"",OFFSET(TH!M$1,SMALL(Dong32,ROWS($1:52)),))</f>
        <v/>
      </c>
      <c r="E64" s="230"/>
    </row>
    <row r="65" spans="1:5">
      <c r="A65" s="240" t="str">
        <f ca="1">IF(ROWS($1:53)&gt;COUNT(Dong32),"",OFFSET(TH!D$1,SMALL(Dong32,ROWS($1:53)),))</f>
        <v/>
      </c>
      <c r="B65" s="229" t="str">
        <f ca="1">IF(ROWS($1:53)&gt;COUNT(Dong32),"",OFFSET(TH!E$1,SMALL(Dong32,ROWS($1:53)),))</f>
        <v/>
      </c>
      <c r="C65" s="239" t="str">
        <f ca="1">IF(ROWS($1:53)&gt;COUNT(Dong32),"",OFFSET(TH!F$1,SMALL(Dong32,ROWS($1:53)),))</f>
        <v/>
      </c>
      <c r="D65" s="241" t="str">
        <f ca="1">IF(ROWS($1:53)&gt;COUNT(Dong32),"",OFFSET(TH!M$1,SMALL(Dong32,ROWS($1:53)),))</f>
        <v/>
      </c>
      <c r="E65" s="230"/>
    </row>
    <row r="66" spans="1:5">
      <c r="A66" s="240" t="str">
        <f ca="1">IF(ROWS($1:54)&gt;COUNT(Dong32),"",OFFSET(TH!D$1,SMALL(Dong32,ROWS($1:54)),))</f>
        <v/>
      </c>
      <c r="B66" s="229" t="str">
        <f ca="1">IF(ROWS($1:54)&gt;COUNT(Dong32),"",OFFSET(TH!E$1,SMALL(Dong32,ROWS($1:54)),))</f>
        <v/>
      </c>
      <c r="C66" s="239" t="str">
        <f ca="1">IF(ROWS($1:54)&gt;COUNT(Dong32),"",OFFSET(TH!F$1,SMALL(Dong32,ROWS($1:54)),))</f>
        <v/>
      </c>
      <c r="D66" s="241" t="str">
        <f ca="1">IF(ROWS($1:54)&gt;COUNT(Dong32),"",OFFSET(TH!M$1,SMALL(Dong32,ROWS($1:54)),))</f>
        <v/>
      </c>
      <c r="E66" s="380"/>
    </row>
    <row r="67" spans="1:5" s="220" customFormat="1">
      <c r="A67" s="231"/>
      <c r="B67" s="232"/>
      <c r="C67" s="233" t="s">
        <v>260</v>
      </c>
      <c r="D67" s="234">
        <f ca="1">SUM(D13:D66)</f>
        <v>0</v>
      </c>
      <c r="E67" s="234">
        <f ca="1">SUM(E13:E65)</f>
        <v>0</v>
      </c>
    </row>
    <row r="68" spans="1:5" s="220" customFormat="1">
      <c r="A68" s="235"/>
      <c r="B68" s="236"/>
      <c r="C68" s="233" t="s">
        <v>261</v>
      </c>
      <c r="D68" s="234">
        <f ca="1">IF(D67+D11-E67&gt;0,D11+D67-E67,0)</f>
        <v>838516718</v>
      </c>
      <c r="E68" s="234"/>
    </row>
    <row r="70" spans="1:5">
      <c r="B70" s="237" t="s">
        <v>1012</v>
      </c>
    </row>
    <row r="71" spans="1:5">
      <c r="B71" s="238" t="s">
        <v>1013</v>
      </c>
    </row>
    <row r="72" spans="1:5">
      <c r="D72" s="169" t="str">
        <f>"Trà Vinh, Ngày "&amp;IF(OR($J$9=3,$J$9=12),"31","30")&amp;" tháng "&amp;$J$9&amp;"  năm  2015 "</f>
        <v xml:space="preserve">Trà Vinh, Ngày 30 tháng 9  năm  2015 </v>
      </c>
    </row>
    <row r="73" spans="1:5" s="1013" customFormat="1">
      <c r="A73" s="1015"/>
      <c r="B73" s="1013" t="s">
        <v>14</v>
      </c>
      <c r="D73" s="1013" t="s">
        <v>15</v>
      </c>
    </row>
    <row r="74" spans="1:5" s="1013" customFormat="1">
      <c r="A74" s="1015"/>
      <c r="B74" s="1013" t="s">
        <v>16</v>
      </c>
      <c r="D74" s="1013" t="s">
        <v>16</v>
      </c>
    </row>
  </sheetData>
  <mergeCells count="9">
    <mergeCell ref="I8:J8"/>
    <mergeCell ref="D1:E1"/>
    <mergeCell ref="D2:E3"/>
    <mergeCell ref="A5:E5"/>
    <mergeCell ref="A6:E6"/>
    <mergeCell ref="A8:B8"/>
    <mergeCell ref="C8:C9"/>
    <mergeCell ref="D8:D9"/>
    <mergeCell ref="E8:E9"/>
  </mergeCells>
  <dataValidations count="1">
    <dataValidation type="list" allowBlank="1" showInputMessage="1" showErrorMessage="1" sqref="G9">
      <formula1>"All,Quý I, Quý II, Quý III, Quý IV"</formula1>
    </dataValidation>
  </dataValidations>
  <pageMargins left="0.5" right="0.25" top="0.5" bottom="0.25" header="0" footer="0"/>
  <pageSetup paperSize="9" scale="85" orientation="portrait" r:id="rId1"/>
</worksheet>
</file>

<file path=xl/worksheets/sheet16.xml><?xml version="1.0" encoding="utf-8"?>
<worksheet xmlns="http://schemas.openxmlformats.org/spreadsheetml/2006/main" xmlns:r="http://schemas.openxmlformats.org/officeDocument/2006/relationships">
  <sheetPr enableFormatConditionsCalculation="0">
    <tabColor rgb="FFFF0000"/>
  </sheetPr>
  <dimension ref="A1:H34"/>
  <sheetViews>
    <sheetView showZeros="0" workbookViewId="0">
      <pane ySplit="3" topLeftCell="A10" activePane="bottomLeft" state="frozen"/>
      <selection pane="bottomLeft" activeCell="A22" sqref="A22:XFD22"/>
    </sheetView>
  </sheetViews>
  <sheetFormatPr defaultColWidth="8" defaultRowHeight="13.5"/>
  <cols>
    <col min="1" max="1" width="5.5703125" style="242" customWidth="1"/>
    <col min="2" max="2" width="59.140625" style="242" customWidth="1"/>
    <col min="3" max="8" width="16.42578125" style="242" customWidth="1"/>
    <col min="9" max="16384" width="8" style="242"/>
  </cols>
  <sheetData>
    <row r="1" spans="1:8" ht="27" customHeight="1">
      <c r="A1" s="1241" t="s">
        <v>181</v>
      </c>
      <c r="B1" s="1241"/>
      <c r="C1" s="1241"/>
      <c r="D1" s="1241"/>
      <c r="E1" s="1241"/>
      <c r="F1" s="1241"/>
      <c r="G1" s="1241"/>
      <c r="H1" s="1241"/>
    </row>
    <row r="2" spans="1:8" s="10" customFormat="1" ht="14.25" customHeight="1">
      <c r="A2" s="1269" t="s">
        <v>45</v>
      </c>
      <c r="B2" s="1271" t="s">
        <v>46</v>
      </c>
      <c r="C2" s="1267" t="s">
        <v>47</v>
      </c>
      <c r="D2" s="1268"/>
      <c r="E2" s="1267" t="s">
        <v>48</v>
      </c>
      <c r="F2" s="1268"/>
      <c r="G2" s="1267" t="s">
        <v>59</v>
      </c>
      <c r="H2" s="1268"/>
    </row>
    <row r="3" spans="1:8" s="10" customFormat="1" ht="14.25" customHeight="1">
      <c r="A3" s="1270"/>
      <c r="B3" s="1272"/>
      <c r="C3" s="348" t="s">
        <v>60</v>
      </c>
      <c r="D3" s="348" t="s">
        <v>61</v>
      </c>
      <c r="E3" s="348" t="s">
        <v>60</v>
      </c>
      <c r="F3" s="348" t="s">
        <v>61</v>
      </c>
      <c r="G3" s="348" t="s">
        <v>60</v>
      </c>
      <c r="H3" s="348" t="s">
        <v>61</v>
      </c>
    </row>
    <row r="4" spans="1:8" s="10" customFormat="1" ht="16.5" customHeight="1">
      <c r="A4" s="6">
        <f>IF(B4&lt;&gt;"",ROW()-3,"")</f>
        <v>1</v>
      </c>
      <c r="B4" s="7" t="s">
        <v>49</v>
      </c>
      <c r="C4" s="8">
        <v>0</v>
      </c>
      <c r="D4" s="8">
        <v>0</v>
      </c>
      <c r="E4" s="8">
        <f t="array" ref="E4">SUM(IF("331"&amp;B4=KHN&amp;KH,TH))</f>
        <v>64768000</v>
      </c>
      <c r="F4" s="8">
        <f t="array" ref="F4">SUM(IF("331"&amp;B4=KHC&amp;KH,TH))</f>
        <v>64768000</v>
      </c>
      <c r="G4" s="84">
        <f t="shared" ref="G4:G10" si="0">ROUND(MAX(C4+E4-D4-F4,0),2)</f>
        <v>0</v>
      </c>
      <c r="H4" s="84">
        <f t="shared" ref="H4:H10" si="1">ROUND(MAX(D4+F4-C4-E4,0),2)</f>
        <v>0</v>
      </c>
    </row>
    <row r="5" spans="1:8" s="10" customFormat="1" ht="16.5" customHeight="1">
      <c r="A5" s="6">
        <f t="shared" ref="A5:A29" si="2">IF(B5&lt;&gt;"",ROW()-3,"")</f>
        <v>2</v>
      </c>
      <c r="B5" s="7" t="s">
        <v>51</v>
      </c>
      <c r="C5" s="8">
        <v>128400000</v>
      </c>
      <c r="D5" s="8">
        <v>0</v>
      </c>
      <c r="E5" s="8">
        <f t="array" ref="E5">SUM(IF("331"&amp;B5=KHN&amp;KH,TH))</f>
        <v>100000000</v>
      </c>
      <c r="F5" s="8">
        <f t="array" ref="F5">SUM(IF("331"&amp;B5=KHC&amp;KH,TH))</f>
        <v>428000000</v>
      </c>
      <c r="G5" s="84">
        <f t="shared" si="0"/>
        <v>0</v>
      </c>
      <c r="H5" s="84">
        <f t="shared" si="1"/>
        <v>199600000</v>
      </c>
    </row>
    <row r="6" spans="1:8" s="10" customFormat="1" ht="16.5" customHeight="1">
      <c r="A6" s="6">
        <f t="shared" si="2"/>
        <v>3</v>
      </c>
      <c r="B6" s="7" t="s">
        <v>50</v>
      </c>
      <c r="C6" s="8">
        <v>350000000</v>
      </c>
      <c r="D6" s="8">
        <v>0</v>
      </c>
      <c r="E6" s="8">
        <f t="array" ref="E6">SUM(IF("331"&amp;B6=KHN&amp;KH,TH))</f>
        <v>700000000</v>
      </c>
      <c r="F6" s="8">
        <f t="array" ref="F6">SUM(IF("331"&amp;B6=KHC&amp;KH,TH))</f>
        <v>0</v>
      </c>
      <c r="G6" s="84">
        <f t="shared" si="0"/>
        <v>1050000000</v>
      </c>
      <c r="H6" s="84">
        <f t="shared" si="1"/>
        <v>0</v>
      </c>
    </row>
    <row r="7" spans="1:8" s="10" customFormat="1" ht="16.5" customHeight="1">
      <c r="A7" s="6">
        <f t="shared" si="2"/>
        <v>4</v>
      </c>
      <c r="B7" s="7" t="s">
        <v>162</v>
      </c>
      <c r="C7" s="8">
        <v>0</v>
      </c>
      <c r="D7" s="8">
        <v>92291900</v>
      </c>
      <c r="E7" s="8">
        <f t="array" ref="E7">SUM(IF("331"&amp;B7=KHN&amp;KH,TH))</f>
        <v>162258720</v>
      </c>
      <c r="F7" s="8">
        <f t="array" ref="F7">SUM(IF("331"&amp;B7=KHC&amp;KH,TH))</f>
        <v>69966820</v>
      </c>
      <c r="G7" s="84">
        <f t="shared" si="0"/>
        <v>0</v>
      </c>
      <c r="H7" s="84">
        <f t="shared" si="1"/>
        <v>0</v>
      </c>
    </row>
    <row r="8" spans="1:8" s="10" customFormat="1" ht="16.5" customHeight="1">
      <c r="A8" s="6">
        <f t="shared" si="2"/>
        <v>5</v>
      </c>
      <c r="B8" s="7" t="s">
        <v>88</v>
      </c>
      <c r="C8" s="8">
        <v>0</v>
      </c>
      <c r="D8" s="8">
        <v>37981566</v>
      </c>
      <c r="E8" s="8">
        <f t="array" ref="E8">SUM(IF("331"&amp;B8=KHN&amp;KH,TH))</f>
        <v>37981566</v>
      </c>
      <c r="F8" s="8">
        <f t="array" ref="F8">SUM(IF("331"&amp;B8=KHC&amp;KH,TH))</f>
        <v>0</v>
      </c>
      <c r="G8" s="84">
        <f t="shared" si="0"/>
        <v>0</v>
      </c>
      <c r="H8" s="84">
        <f t="shared" si="1"/>
        <v>0</v>
      </c>
    </row>
    <row r="9" spans="1:8" s="10" customFormat="1" ht="16.5" customHeight="1">
      <c r="A9" s="6">
        <f t="shared" si="2"/>
        <v>6</v>
      </c>
      <c r="B9" s="7" t="s">
        <v>186</v>
      </c>
      <c r="C9" s="8">
        <v>0</v>
      </c>
      <c r="D9" s="8">
        <v>199632000</v>
      </c>
      <c r="E9" s="8">
        <f t="array" ref="E9">SUM(IF("331"&amp;B9=KHN&amp;KH,TH))</f>
        <v>0</v>
      </c>
      <c r="F9" s="8">
        <f t="array" ref="F9">SUM(IF("331"&amp;B9=KHC&amp;KH,TH))</f>
        <v>0</v>
      </c>
      <c r="G9" s="84">
        <f t="shared" si="0"/>
        <v>0</v>
      </c>
      <c r="H9" s="84">
        <f t="shared" si="1"/>
        <v>199632000</v>
      </c>
    </row>
    <row r="10" spans="1:8" s="10" customFormat="1" ht="16.5" customHeight="1">
      <c r="A10" s="6">
        <f t="shared" si="2"/>
        <v>7</v>
      </c>
      <c r="B10" s="73" t="s">
        <v>82</v>
      </c>
      <c r="C10" s="8">
        <v>1250000000</v>
      </c>
      <c r="D10" s="8">
        <v>0</v>
      </c>
      <c r="E10" s="8">
        <f t="array" ref="E10">SUM(IF("331"&amp;B10=KHN&amp;KH,TH))</f>
        <v>0</v>
      </c>
      <c r="F10" s="8">
        <f t="array" ref="F10">SUM(IF("331"&amp;B10=KHC&amp;KH,TH))</f>
        <v>890000000</v>
      </c>
      <c r="G10" s="84">
        <f t="shared" si="0"/>
        <v>360000000</v>
      </c>
      <c r="H10" s="84">
        <f t="shared" si="1"/>
        <v>0</v>
      </c>
    </row>
    <row r="11" spans="1:8" s="10" customFormat="1" ht="16.5" customHeight="1">
      <c r="A11" s="6">
        <f t="shared" si="2"/>
        <v>8</v>
      </c>
      <c r="B11" s="7" t="s">
        <v>52</v>
      </c>
      <c r="C11" s="8">
        <v>60000000</v>
      </c>
      <c r="D11" s="8">
        <v>0</v>
      </c>
      <c r="E11" s="8">
        <f t="array" ref="E11">SUM(IF("331"&amp;B11=KHN&amp;KH,TH))</f>
        <v>0</v>
      </c>
      <c r="F11" s="8">
        <f t="array" ref="F11">SUM(IF("331"&amp;B11=KHC&amp;KH,TH))</f>
        <v>0</v>
      </c>
      <c r="G11" s="84">
        <f t="shared" ref="G11:G22" si="3">ROUND(MAX(C11+E11-D11-F11,0),2)</f>
        <v>60000000</v>
      </c>
      <c r="H11" s="84">
        <f t="shared" ref="H11:H22" si="4">ROUND(MAX(D11+F11-C11-E11,0),2)</f>
        <v>0</v>
      </c>
    </row>
    <row r="12" spans="1:8" s="10" customFormat="1" ht="16.5" customHeight="1">
      <c r="A12" s="6">
        <f t="shared" si="2"/>
        <v>9</v>
      </c>
      <c r="B12" s="7" t="s">
        <v>62</v>
      </c>
      <c r="C12" s="8">
        <v>0</v>
      </c>
      <c r="D12" s="8">
        <v>50000000</v>
      </c>
      <c r="E12" s="8">
        <f t="array" ref="E12">SUM(IF("331"&amp;B12=KHN&amp;KH,TH))</f>
        <v>50000000</v>
      </c>
      <c r="F12" s="8">
        <f t="array" ref="F12">SUM(IF("331"&amp;B12=KHC&amp;KH,TH))</f>
        <v>0</v>
      </c>
      <c r="G12" s="84">
        <f>ROUND(MAX(C12+E12-D12-F12,0),2)</f>
        <v>0</v>
      </c>
      <c r="H12" s="84">
        <f>ROUND(MAX(D12+F12-C12-E12,0),2)</f>
        <v>0</v>
      </c>
    </row>
    <row r="13" spans="1:8" s="10" customFormat="1" ht="16.5" customHeight="1">
      <c r="A13" s="6">
        <f t="shared" si="2"/>
        <v>10</v>
      </c>
      <c r="B13" s="7" t="s">
        <v>66</v>
      </c>
      <c r="C13" s="8">
        <v>1000000000</v>
      </c>
      <c r="D13" s="8">
        <v>0</v>
      </c>
      <c r="E13" s="8">
        <f t="array" ref="E13">SUM(IF("331"&amp;B13=KHN&amp;KH,TH))</f>
        <v>0</v>
      </c>
      <c r="F13" s="8">
        <f t="array" ref="F13">SUM(IF("331"&amp;B13=KHC&amp;KH,TH))</f>
        <v>1666580879</v>
      </c>
      <c r="G13" s="84">
        <f>ROUND(MAX(C13+E13-D13-F13,0),2)</f>
        <v>0</v>
      </c>
      <c r="H13" s="84">
        <f>ROUND(MAX(D13+F13-C13-E13,0),2)</f>
        <v>666580879</v>
      </c>
    </row>
    <row r="14" spans="1:8" s="10" customFormat="1" ht="16.5" customHeight="1">
      <c r="A14" s="6">
        <f t="shared" si="2"/>
        <v>11</v>
      </c>
      <c r="B14" s="7" t="s">
        <v>67</v>
      </c>
      <c r="C14" s="8">
        <v>0</v>
      </c>
      <c r="D14" s="8">
        <v>1533507770</v>
      </c>
      <c r="E14" s="8">
        <f t="array" ref="E14">SUM(IF("331"&amp;B14=KHN&amp;KH,TH))</f>
        <v>500000000</v>
      </c>
      <c r="F14" s="8">
        <f t="array" ref="F14">SUM(IF("331"&amp;B14=KHC&amp;KH,TH))</f>
        <v>0</v>
      </c>
      <c r="G14" s="84">
        <f>ROUND(MAX(C14+E14-D14-F14,0),2)</f>
        <v>0</v>
      </c>
      <c r="H14" s="84">
        <f>ROUND(MAX(D14+F14-C14-E14,0),2)</f>
        <v>1033507770</v>
      </c>
    </row>
    <row r="15" spans="1:8" s="10" customFormat="1" ht="16.5" customHeight="1">
      <c r="A15" s="6">
        <f t="shared" si="2"/>
        <v>12</v>
      </c>
      <c r="B15" s="73" t="s">
        <v>68</v>
      </c>
      <c r="C15" s="8">
        <v>0</v>
      </c>
      <c r="D15" s="8">
        <v>314955000</v>
      </c>
      <c r="E15" s="8">
        <f t="array" ref="E15">SUM(IF("331"&amp;B15=KHN&amp;KH,TH))</f>
        <v>314955000</v>
      </c>
      <c r="F15" s="8">
        <f t="array" ref="F15">SUM(IF("331"&amp;B15=KHC&amp;KH,TH))</f>
        <v>0</v>
      </c>
      <c r="G15" s="84">
        <f>ROUND(MAX(C15+E15-D15-F15,0),2)</f>
        <v>0</v>
      </c>
      <c r="H15" s="84">
        <f>ROUND(MAX(D15+F15-C15-E15,0),2)</f>
        <v>0</v>
      </c>
    </row>
    <row r="16" spans="1:8" s="10" customFormat="1" ht="16.5" customHeight="1">
      <c r="A16" s="6">
        <f t="shared" si="2"/>
        <v>13</v>
      </c>
      <c r="B16" s="7" t="s">
        <v>69</v>
      </c>
      <c r="C16" s="8">
        <v>100000000</v>
      </c>
      <c r="D16" s="8">
        <v>0</v>
      </c>
      <c r="E16" s="8">
        <f t="array" ref="E16">SUM(IF("331"&amp;B16=KHN&amp;KH,TH))</f>
        <v>200000000</v>
      </c>
      <c r="F16" s="8">
        <f t="array" ref="F16">SUM(IF("331"&amp;B16=KHC&amp;KH,TH))</f>
        <v>394100000</v>
      </c>
      <c r="G16" s="84">
        <f>ROUND(MAX(C16+E16-D16-F16,0),2)</f>
        <v>0</v>
      </c>
      <c r="H16" s="84">
        <f>ROUND(MAX(D16+F16-C16-E16,0),2)</f>
        <v>94100000</v>
      </c>
    </row>
    <row r="17" spans="1:8" s="10" customFormat="1" ht="16.5" customHeight="1">
      <c r="A17" s="6">
        <f t="shared" si="2"/>
        <v>14</v>
      </c>
      <c r="B17" s="7" t="s">
        <v>159</v>
      </c>
      <c r="C17" s="8">
        <v>1600000000</v>
      </c>
      <c r="D17" s="8">
        <v>0</v>
      </c>
      <c r="E17" s="8">
        <f t="array" ref="E17">SUM(IF("331"&amp;B17=KHN&amp;KH,TH))</f>
        <v>0</v>
      </c>
      <c r="F17" s="8">
        <f t="array" ref="F17">SUM(IF("331"&amp;B17=KHC&amp;KH,TH))</f>
        <v>2389362910</v>
      </c>
      <c r="G17" s="84">
        <f t="shared" si="3"/>
        <v>0</v>
      </c>
      <c r="H17" s="84">
        <f t="shared" si="4"/>
        <v>789362910</v>
      </c>
    </row>
    <row r="18" spans="1:8" s="10" customFormat="1" ht="16.5" customHeight="1">
      <c r="A18" s="6">
        <f t="shared" si="2"/>
        <v>15</v>
      </c>
      <c r="B18" s="7" t="s">
        <v>164</v>
      </c>
      <c r="C18" s="8">
        <v>0</v>
      </c>
      <c r="D18" s="8">
        <v>0</v>
      </c>
      <c r="E18" s="8">
        <f t="array" ref="E18">SUM(IF("331"&amp;B18=KHN&amp;KH,TH))</f>
        <v>171000000</v>
      </c>
      <c r="F18" s="8">
        <f t="array" ref="F18">SUM(IF("331"&amp;B18=KHC&amp;KH,TH))</f>
        <v>171000000</v>
      </c>
      <c r="G18" s="84">
        <f t="shared" si="3"/>
        <v>0</v>
      </c>
      <c r="H18" s="84">
        <f t="shared" si="4"/>
        <v>0</v>
      </c>
    </row>
    <row r="19" spans="1:8" s="10" customFormat="1" ht="16.5" customHeight="1">
      <c r="A19" s="6">
        <f t="shared" si="2"/>
        <v>16</v>
      </c>
      <c r="B19" s="7" t="s">
        <v>165</v>
      </c>
      <c r="C19" s="8">
        <v>1750000000</v>
      </c>
      <c r="D19" s="8">
        <v>0</v>
      </c>
      <c r="E19" s="8">
        <f t="array" ref="E19">SUM(IF("331"&amp;B19=KHN&amp;KH,TH))</f>
        <v>410000000</v>
      </c>
      <c r="F19" s="8">
        <f t="array" ref="F19">SUM(IF("331"&amp;B19=KHC&amp;KH,TH))</f>
        <v>2255000000</v>
      </c>
      <c r="G19" s="84">
        <f t="shared" si="3"/>
        <v>0</v>
      </c>
      <c r="H19" s="84">
        <f t="shared" si="4"/>
        <v>95000000</v>
      </c>
    </row>
    <row r="20" spans="1:8" s="10" customFormat="1" ht="16.5" customHeight="1">
      <c r="A20" s="6">
        <f t="shared" si="2"/>
        <v>17</v>
      </c>
      <c r="B20" s="7" t="s">
        <v>178</v>
      </c>
      <c r="C20" s="8">
        <v>300000000</v>
      </c>
      <c r="D20" s="8">
        <v>0</v>
      </c>
      <c r="E20" s="8">
        <f t="array" ref="E20">SUM(IF("331"&amp;B20=KHN&amp;KH,TH))</f>
        <v>60000000</v>
      </c>
      <c r="F20" s="8">
        <f t="array" ref="F20">SUM(IF("331"&amp;B20=KHC&amp;KH,TH))</f>
        <v>435082000</v>
      </c>
      <c r="G20" s="84">
        <f t="shared" si="3"/>
        <v>0</v>
      </c>
      <c r="H20" s="84">
        <f t="shared" si="4"/>
        <v>75082000</v>
      </c>
    </row>
    <row r="21" spans="1:8" s="10" customFormat="1" ht="16.5" customHeight="1">
      <c r="A21" s="6">
        <f t="shared" si="2"/>
        <v>18</v>
      </c>
      <c r="B21" s="7" t="s">
        <v>221</v>
      </c>
      <c r="C21" s="8">
        <v>0</v>
      </c>
      <c r="D21" s="8">
        <v>0</v>
      </c>
      <c r="E21" s="8">
        <f t="array" ref="E21">SUM(IF("331"&amp;B21=KHN&amp;KH,TH))</f>
        <v>636960500</v>
      </c>
      <c r="F21" s="8">
        <f t="array" ref="F21">SUM(IF("331"&amp;B21=KHC&amp;KH,TH))</f>
        <v>636960500</v>
      </c>
      <c r="G21" s="84">
        <f t="shared" si="3"/>
        <v>0</v>
      </c>
      <c r="H21" s="84">
        <f t="shared" si="4"/>
        <v>0</v>
      </c>
    </row>
    <row r="22" spans="1:8" s="10" customFormat="1" ht="16.5" customHeight="1">
      <c r="A22" s="6">
        <f t="shared" si="2"/>
        <v>19</v>
      </c>
      <c r="B22" s="7" t="s">
        <v>309</v>
      </c>
      <c r="C22" s="8">
        <v>0</v>
      </c>
      <c r="D22" s="8">
        <v>0</v>
      </c>
      <c r="E22" s="8">
        <f t="array" ref="E22">SUM(IF("331"&amp;B22=KHN&amp;KH,TH))</f>
        <v>19683840</v>
      </c>
      <c r="F22" s="8">
        <f t="array" ref="F22">SUM(IF("331"&amp;B22=KHC&amp;KH,TH))</f>
        <v>47444601</v>
      </c>
      <c r="G22" s="84">
        <f t="shared" si="3"/>
        <v>0</v>
      </c>
      <c r="H22" s="84">
        <f t="shared" si="4"/>
        <v>27760761</v>
      </c>
    </row>
    <row r="23" spans="1:8" s="10" customFormat="1" ht="16.5" customHeight="1">
      <c r="A23" s="6">
        <f t="shared" si="2"/>
        <v>20</v>
      </c>
      <c r="B23" s="67" t="s">
        <v>758</v>
      </c>
      <c r="C23" s="8">
        <v>0</v>
      </c>
      <c r="D23" s="8">
        <v>0</v>
      </c>
      <c r="E23" s="8">
        <f t="array" ref="E23">SUM(IF("331"&amp;B23=KHN&amp;KH,TH))</f>
        <v>40920000</v>
      </c>
      <c r="F23" s="8">
        <f t="array" ref="F23">SUM(IF("331"&amp;B23=KHC&amp;KH,TH))</f>
        <v>40920000</v>
      </c>
      <c r="G23" s="84">
        <f t="shared" ref="G23:G25" si="5">ROUND(MAX(C23+E23-D23-F23,0),2)</f>
        <v>0</v>
      </c>
      <c r="H23" s="84">
        <f t="shared" ref="H23:H25" si="6">ROUND(MAX(D23+F23-C23-E23,0),2)</f>
        <v>0</v>
      </c>
    </row>
    <row r="24" spans="1:8" s="10" customFormat="1" ht="16.5" customHeight="1">
      <c r="A24" s="6">
        <f t="shared" si="2"/>
        <v>21</v>
      </c>
      <c r="B24" s="7" t="s">
        <v>920</v>
      </c>
      <c r="C24" s="8">
        <v>0</v>
      </c>
      <c r="D24" s="8">
        <v>0</v>
      </c>
      <c r="E24" s="8">
        <f t="array" ref="E24">SUM(IF("331"&amp;B24=KHN&amp;KH,TH))</f>
        <v>21000000</v>
      </c>
      <c r="F24" s="8">
        <f t="array" ref="F24">SUM(IF("331"&amp;B24=KHC&amp;KH,TH))</f>
        <v>44500000</v>
      </c>
      <c r="G24" s="84">
        <f t="shared" si="5"/>
        <v>0</v>
      </c>
      <c r="H24" s="84">
        <f t="shared" si="6"/>
        <v>23500000</v>
      </c>
    </row>
    <row r="25" spans="1:8" s="10" customFormat="1" ht="16.5" customHeight="1">
      <c r="A25" s="6">
        <f t="shared" si="2"/>
        <v>22</v>
      </c>
      <c r="B25" s="71" t="s">
        <v>924</v>
      </c>
      <c r="C25" s="8">
        <v>0</v>
      </c>
      <c r="D25" s="8">
        <v>0</v>
      </c>
      <c r="E25" s="8">
        <f t="array" ref="E25">SUM(IF("331"&amp;B25=KHN&amp;KH,TH))</f>
        <v>17500000</v>
      </c>
      <c r="F25" s="8">
        <f t="array" ref="F25">SUM(IF("331"&amp;B25=KHC&amp;KH,TH))</f>
        <v>17500000</v>
      </c>
      <c r="G25" s="84">
        <f t="shared" si="5"/>
        <v>0</v>
      </c>
      <c r="H25" s="84">
        <f t="shared" si="6"/>
        <v>0</v>
      </c>
    </row>
    <row r="26" spans="1:8" s="10" customFormat="1" ht="16.5" customHeight="1">
      <c r="A26" s="6">
        <f t="shared" ref="A26:A28" si="7">IF(B26&lt;&gt;"",ROW()-3,"")</f>
        <v>23</v>
      </c>
      <c r="B26" s="71" t="s">
        <v>1006</v>
      </c>
      <c r="C26" s="8">
        <v>0</v>
      </c>
      <c r="D26" s="8">
        <v>0</v>
      </c>
      <c r="E26" s="8">
        <f t="array" ref="E26">SUM(IF("331"&amp;B26=KHN&amp;KH,TH))</f>
        <v>28700000</v>
      </c>
      <c r="F26" s="8">
        <f t="array" ref="F26">SUM(IF("331"&amp;B26=KHC&amp;KH,TH))</f>
        <v>28700000</v>
      </c>
      <c r="G26" s="84">
        <f t="shared" ref="G26:G28" si="8">ROUND(MAX(C26+E26-D26-F26,0),2)</f>
        <v>0</v>
      </c>
      <c r="H26" s="84">
        <f t="shared" ref="H26:H28" si="9">ROUND(MAX(D26+F26-C26-E26,0),2)</f>
        <v>0</v>
      </c>
    </row>
    <row r="27" spans="1:8" s="10" customFormat="1" ht="16.5" customHeight="1">
      <c r="A27" s="6">
        <f t="shared" si="7"/>
        <v>24</v>
      </c>
      <c r="B27" s="339" t="s">
        <v>1007</v>
      </c>
      <c r="C27" s="8">
        <v>0</v>
      </c>
      <c r="D27" s="8">
        <v>0</v>
      </c>
      <c r="E27" s="8">
        <f t="array" ref="E27">SUM(IF("331"&amp;B27=KHN&amp;KH,TH))</f>
        <v>31034850</v>
      </c>
      <c r="F27" s="8">
        <f t="array" ref="F27">SUM(IF("331"&amp;B27=KHC&amp;KH,TH))</f>
        <v>31034850</v>
      </c>
      <c r="G27" s="84">
        <f t="shared" si="8"/>
        <v>0</v>
      </c>
      <c r="H27" s="84">
        <f t="shared" si="9"/>
        <v>0</v>
      </c>
    </row>
    <row r="28" spans="1:8" s="10" customFormat="1" ht="16.5" customHeight="1">
      <c r="A28" s="6">
        <f t="shared" si="7"/>
        <v>25</v>
      </c>
      <c r="B28" s="71" t="s">
        <v>1190</v>
      </c>
      <c r="C28" s="8">
        <v>0</v>
      </c>
      <c r="D28" s="8">
        <v>0</v>
      </c>
      <c r="E28" s="8">
        <f t="array" ref="E28">SUM(IF("331"&amp;B28=KHN&amp;KH,TH))</f>
        <v>0</v>
      </c>
      <c r="F28" s="8">
        <f t="array" ref="F28">SUM(IF("331"&amp;B28=KHC&amp;KH,TH))</f>
        <v>109355400</v>
      </c>
      <c r="G28" s="84">
        <f t="shared" si="8"/>
        <v>0</v>
      </c>
      <c r="H28" s="84">
        <f t="shared" si="9"/>
        <v>109355400</v>
      </c>
    </row>
    <row r="29" spans="1:8" s="10" customFormat="1" ht="16.5" customHeight="1">
      <c r="A29" s="6">
        <f t="shared" si="2"/>
        <v>26</v>
      </c>
      <c r="B29" s="71" t="s">
        <v>1143</v>
      </c>
      <c r="C29" s="8">
        <v>0</v>
      </c>
      <c r="D29" s="8">
        <v>0</v>
      </c>
      <c r="E29" s="8">
        <f t="array" ref="E29">SUM(IF("331"&amp;B29=KHN&amp;KH,TH))</f>
        <v>9487000</v>
      </c>
      <c r="F29" s="8">
        <f t="array" ref="F29">SUM(IF("331"&amp;B29=KHC&amp;KH,TH))</f>
        <v>9487000</v>
      </c>
      <c r="G29" s="84">
        <f t="shared" ref="G29" si="10">ROUND(MAX(C29+E29-D29-F29,0),2)</f>
        <v>0</v>
      </c>
      <c r="H29" s="84">
        <f t="shared" ref="H29" si="11">ROUND(MAX(D29+F29-C29-E29,0),2)</f>
        <v>0</v>
      </c>
    </row>
    <row r="30" spans="1:8" s="14" customFormat="1" ht="14.25" customHeight="1">
      <c r="A30" s="11"/>
      <c r="B30" s="12" t="s">
        <v>55</v>
      </c>
      <c r="C30" s="13">
        <f t="shared" ref="C30:H30" si="12">SUM(C4:C29)</f>
        <v>6538400000</v>
      </c>
      <c r="D30" s="13">
        <f t="shared" si="12"/>
        <v>2228368236</v>
      </c>
      <c r="E30" s="13">
        <f t="shared" si="12"/>
        <v>3576249476</v>
      </c>
      <c r="F30" s="13">
        <f t="shared" si="12"/>
        <v>9729762960</v>
      </c>
      <c r="G30" s="13">
        <f t="shared" si="12"/>
        <v>1470000000</v>
      </c>
      <c r="H30" s="13">
        <f t="shared" si="12"/>
        <v>3313481720</v>
      </c>
    </row>
    <row r="32" spans="1:8">
      <c r="E32" s="15">
        <f>CDPS!E34</f>
        <v>3576249476</v>
      </c>
      <c r="F32" s="15">
        <f>CDPS!F34</f>
        <v>9729762960</v>
      </c>
    </row>
    <row r="33" spans="5:8">
      <c r="H33" s="249">
        <f>H30-G30</f>
        <v>1843481720</v>
      </c>
    </row>
    <row r="34" spans="5:8">
      <c r="E34" s="249">
        <f>E30-E32</f>
        <v>0</v>
      </c>
      <c r="F34" s="249">
        <f>F30-F32</f>
        <v>0</v>
      </c>
    </row>
  </sheetData>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7.xml><?xml version="1.0" encoding="utf-8"?>
<worksheet xmlns="http://schemas.openxmlformats.org/spreadsheetml/2006/main" xmlns:r="http://schemas.openxmlformats.org/officeDocument/2006/relationships">
  <sheetPr>
    <tabColor rgb="FFFF0000"/>
  </sheetPr>
  <dimension ref="A1:K54"/>
  <sheetViews>
    <sheetView topLeftCell="A6" workbookViewId="0">
      <pane ySplit="8" topLeftCell="A14" activePane="bottomLeft" state="frozen"/>
      <selection activeCell="E32" sqref="E32"/>
      <selection pane="bottomLeft" activeCell="D23" sqref="D23"/>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17</v>
      </c>
      <c r="B1" s="16"/>
      <c r="C1" s="16"/>
      <c r="G1" s="2"/>
      <c r="H1" s="1273" t="s">
        <v>85</v>
      </c>
      <c r="I1" s="1273"/>
      <c r="J1" s="1273"/>
    </row>
    <row r="2" spans="1:10" s="3" customFormat="1" ht="14.25" customHeight="1">
      <c r="A2" s="1" t="s">
        <v>18</v>
      </c>
      <c r="B2" s="16"/>
      <c r="C2" s="16"/>
      <c r="G2" s="17"/>
      <c r="H2" s="1266" t="s">
        <v>86</v>
      </c>
      <c r="I2" s="1266"/>
      <c r="J2" s="1266"/>
    </row>
    <row r="3" spans="1:10" s="3" customFormat="1" ht="14.25" customHeight="1">
      <c r="A3" s="4"/>
      <c r="B3" s="16"/>
      <c r="C3" s="16"/>
      <c r="G3" s="17"/>
      <c r="H3" s="1266"/>
      <c r="I3" s="1266"/>
      <c r="J3" s="1266"/>
    </row>
    <row r="4" spans="1:10" s="5" customFormat="1" ht="28.5" customHeight="1">
      <c r="A4" s="1279" t="s">
        <v>33</v>
      </c>
      <c r="B4" s="1279"/>
      <c r="C4" s="1279"/>
      <c r="D4" s="1279"/>
      <c r="E4" s="1279"/>
      <c r="F4" s="1279"/>
      <c r="G4" s="1279"/>
      <c r="H4" s="1279"/>
      <c r="I4" s="1279"/>
      <c r="J4" s="1279"/>
    </row>
    <row r="5" spans="1:10" s="18" customFormat="1" ht="14.25" customHeight="1">
      <c r="E5" s="19" t="s">
        <v>34</v>
      </c>
    </row>
    <row r="6" spans="1:10" s="18" customFormat="1" ht="14.25" customHeight="1">
      <c r="E6" s="19" t="s">
        <v>35</v>
      </c>
    </row>
    <row r="7" spans="1:10" s="18" customFormat="1" ht="14.25" customHeight="1">
      <c r="D7" s="20" t="s">
        <v>84</v>
      </c>
      <c r="E7" s="1274" t="s">
        <v>67</v>
      </c>
      <c r="F7" s="1274"/>
      <c r="G7" s="1274"/>
      <c r="H7" s="1274"/>
    </row>
    <row r="8" spans="1:10" s="18" customFormat="1" ht="14.25" customHeight="1">
      <c r="E8" s="19" t="s">
        <v>36</v>
      </c>
    </row>
    <row r="9" spans="1:10" s="18" customFormat="1" ht="6.75" customHeight="1">
      <c r="B9" s="19"/>
      <c r="C9" s="1275"/>
      <c r="D9" s="1275"/>
      <c r="E9" s="1275"/>
      <c r="F9" s="1275"/>
      <c r="G9" s="1275"/>
      <c r="H9" s="1275"/>
      <c r="I9" s="1275"/>
      <c r="J9" s="1275"/>
    </row>
    <row r="10" spans="1:10" s="18" customFormat="1" ht="14.25" customHeight="1">
      <c r="A10" s="1221" t="s">
        <v>27</v>
      </c>
      <c r="B10" s="1276" t="s">
        <v>1</v>
      </c>
      <c r="C10" s="1276"/>
      <c r="D10" s="1221" t="s">
        <v>0</v>
      </c>
      <c r="E10" s="1221" t="s">
        <v>19</v>
      </c>
      <c r="F10" s="1221" t="s">
        <v>37</v>
      </c>
      <c r="G10" s="1277" t="s">
        <v>28</v>
      </c>
      <c r="H10" s="1278"/>
      <c r="I10" s="1277" t="s">
        <v>38</v>
      </c>
      <c r="J10" s="1278"/>
    </row>
    <row r="11" spans="1:10" s="18" customFormat="1" ht="24.75" customHeight="1">
      <c r="A11" s="1221"/>
      <c r="B11" s="30" t="s">
        <v>20</v>
      </c>
      <c r="C11" s="30" t="s">
        <v>39</v>
      </c>
      <c r="D11" s="1221"/>
      <c r="E11" s="1221"/>
      <c r="F11" s="1221"/>
      <c r="G11" s="30" t="s">
        <v>29</v>
      </c>
      <c r="H11" s="30" t="s">
        <v>30</v>
      </c>
      <c r="I11" s="30" t="s">
        <v>29</v>
      </c>
      <c r="J11" s="30" t="s">
        <v>30</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6">
        <f>VLOOKUP($E$7,'331'!$B$4:$H$29,2,0)</f>
        <v>0</v>
      </c>
      <c r="J13" s="76">
        <f>VLOOKUP($E$7,'331'!$B$4:$H$29,3,0)</f>
        <v>1533507770</v>
      </c>
    </row>
    <row r="14" spans="1:10" s="18" customFormat="1" ht="18" customHeight="1">
      <c r="A14" s="9">
        <f ca="1">IF(C14&lt;&gt;"",C14,"")</f>
        <v>42381</v>
      </c>
      <c r="B14" s="9" t="str">
        <f ca="1">IF(ROWS($1:1)&gt;COUNT(Dong),"",OFFSET(TH!D$1,SMALL(Dong,ROWS($1:1)),))</f>
        <v>GBN</v>
      </c>
      <c r="C14" s="9">
        <f ca="1">IF(ROWS($1:1)&gt;COUNT(Dong),"",OFFSET(TH!E$1,SMALL(Dong,ROWS($1:1)),))</f>
        <v>42381</v>
      </c>
      <c r="D14" s="403" t="str">
        <f ca="1">IF(ROWS($1:1)&gt;COUNT(Dong),"",OFFSET(TH!F$1,SMALL(Dong,ROWS($1:1)),))</f>
        <v>Thanh toán tiền công trình</v>
      </c>
      <c r="E14" s="75" t="str">
        <f ca="1">IF(ROWS($1:1)&gt;COUNT(Dong),"",IF(OFFSET(TH!O$1,SMALL(Dong,ROWS($1:1)),)="331",OFFSET(TH!P$1,SMALL(Dong,ROWS($1:1)),),OFFSET(TH!O$1,SMALL(Dong,ROWS($1:1)),)))</f>
        <v>1121</v>
      </c>
      <c r="F14" s="75"/>
      <c r="G14" s="89">
        <f ca="1">IF(ROWS($1:1)&gt;COUNT(Dong),"",IF(OFFSET(TH!O$1,SMALL(Dong,ROWS($1:1)),)="331",OFFSET(TH!M$1,SMALL(Dong,ROWS($1:1)),),0))</f>
        <v>500000000</v>
      </c>
      <c r="H14" s="89">
        <f ca="1">IF(ROWS($1:1)&gt;COUNT(Dong),"",IF(OFFSET(TH!P$1,SMALL(Dong,ROWS($1:1)),)="331",OFFSET(TH!M$1,SMALL(Dong,ROWS($1:1)),),0))</f>
        <v>0</v>
      </c>
      <c r="I14" s="25">
        <f ca="1">IF(D14&lt;&gt;"",MAX(I13+G14-H14-J13,0),0)</f>
        <v>0</v>
      </c>
      <c r="J14" s="25">
        <f ca="1">IF(D14&lt;&gt;"",MAX(J13+H14-I13-G14,0),0)</f>
        <v>1033507770</v>
      </c>
    </row>
    <row r="15" spans="1:10" s="18" customFormat="1" ht="18" customHeight="1">
      <c r="A15" s="9" t="str">
        <f t="shared" ref="A15:A30" ca="1" si="0">IF(C15&lt;&gt;"",C15,"")</f>
        <v/>
      </c>
      <c r="B15" s="9" t="str">
        <f ca="1">IF(ROWS($1:2)&gt;COUNT(Dong),"",OFFSET(TH!D$1,SMALL(Dong,ROWS($1:2)),))</f>
        <v/>
      </c>
      <c r="C15" s="9" t="str">
        <f ca="1">IF(ROWS($1:2)&gt;COUNT(Dong),"",OFFSET(TH!E$1,SMALL(Dong,ROWS($1:2)),))</f>
        <v/>
      </c>
      <c r="D15" s="403" t="str">
        <f ca="1">IF(ROWS($1:2)&gt;COUNT(Dong),"",OFFSET(TH!F$1,SMALL(Dong,ROWS($1:2)),))</f>
        <v/>
      </c>
      <c r="E15" s="75" t="str">
        <f ca="1">IF(ROWS($1:2)&gt;COUNT(Dong),"",IF(OFFSET(TH!O$1,SMALL(Dong,ROWS($1:2)),)="331",OFFSET(TH!P$1,SMALL(Dong,ROWS($1:2)),),OFFSET(TH!O$1,SMALL(Dong,ROWS($1:2)),)))</f>
        <v/>
      </c>
      <c r="F15" s="75"/>
      <c r="G15" s="89" t="str">
        <f ca="1">IF(ROWS($1:2)&gt;COUNT(Dong),"",IF(OFFSET(TH!O$1,SMALL(Dong,ROWS($1:2)),)="331",OFFSET(TH!M$1,SMALL(Dong,ROWS($1:2)),),0))</f>
        <v/>
      </c>
      <c r="H15" s="89" t="str">
        <f ca="1">IF(ROWS($1:2)&gt;COUNT(Dong),"",IF(OFFSET(TH!P$1,SMALL(Dong,ROWS($1:2)),)="331",OFFSET(TH!M$1,SMALL(Dong,ROWS($1:2)),),0))</f>
        <v/>
      </c>
      <c r="I15" s="25">
        <f t="shared" ref="I15:I30" ca="1" si="1">IF(D15&lt;&gt;"",MAX(I14+G15-H15-J14,0),0)</f>
        <v>0</v>
      </c>
      <c r="J15" s="25">
        <f t="shared" ref="J15:J30" ca="1" si="2">IF(D15&lt;&gt;"",MAX(J14+H15-I14-G15,0),0)</f>
        <v>0</v>
      </c>
    </row>
    <row r="16" spans="1:10" s="18" customFormat="1" ht="18" customHeight="1">
      <c r="A16" s="9" t="str">
        <f t="shared" ca="1" si="0"/>
        <v/>
      </c>
      <c r="B16" s="9" t="str">
        <f ca="1">IF(ROWS($1:3)&gt;COUNT(Dong),"",OFFSET(TH!D$1,SMALL(Dong,ROWS($1:3)),))</f>
        <v/>
      </c>
      <c r="C16" s="9" t="str">
        <f ca="1">IF(ROWS($1:3)&gt;COUNT(Dong),"",OFFSET(TH!E$1,SMALL(Dong,ROWS($1:3)),))</f>
        <v/>
      </c>
      <c r="D16" s="403" t="str">
        <f ca="1">IF(ROWS($1:3)&gt;COUNT(Dong),"",OFFSET(TH!F$1,SMALL(Dong,ROWS($1:3)),))</f>
        <v/>
      </c>
      <c r="E16" s="75" t="str">
        <f ca="1">IF(ROWS($1:3)&gt;COUNT(Dong),"",IF(OFFSET(TH!O$1,SMALL(Dong,ROWS($1:3)),)="331",OFFSET(TH!P$1,SMALL(Dong,ROWS($1:3)),),OFFSET(TH!O$1,SMALL(Dong,ROWS($1:3)),)))</f>
        <v/>
      </c>
      <c r="F16" s="75"/>
      <c r="G16" s="89" t="str">
        <f ca="1">IF(ROWS($1:3)&gt;COUNT(Dong),"",IF(OFFSET(TH!O$1,SMALL(Dong,ROWS($1:3)),)="331",OFFSET(TH!M$1,SMALL(Dong,ROWS($1:3)),),0))</f>
        <v/>
      </c>
      <c r="H16" s="89" t="str">
        <f ca="1">IF(ROWS($1:3)&gt;COUNT(Dong),"",IF(OFFSET(TH!P$1,SMALL(Dong,ROWS($1:3)),)="331",OFFSET(TH!M$1,SMALL(Dong,ROWS($1:3)),),0))</f>
        <v/>
      </c>
      <c r="I16" s="25">
        <f t="shared" ca="1" si="1"/>
        <v>0</v>
      </c>
      <c r="J16" s="25">
        <f t="shared" ca="1" si="2"/>
        <v>0</v>
      </c>
    </row>
    <row r="17" spans="1:10" s="18" customFormat="1" ht="18" customHeight="1">
      <c r="A17" s="9" t="str">
        <f t="shared" ca="1" si="0"/>
        <v/>
      </c>
      <c r="B17" s="9" t="str">
        <f ca="1">IF(ROWS($1:4)&gt;COUNT(Dong),"",OFFSET(TH!D$1,SMALL(Dong,ROWS($1:4)),))</f>
        <v/>
      </c>
      <c r="C17" s="9" t="str">
        <f ca="1">IF(ROWS($1:4)&gt;COUNT(Dong),"",OFFSET(TH!E$1,SMALL(Dong,ROWS($1:4)),))</f>
        <v/>
      </c>
      <c r="D17" s="403" t="str">
        <f ca="1">IF(ROWS($1:4)&gt;COUNT(Dong),"",OFFSET(TH!F$1,SMALL(Dong,ROWS($1:4)),))</f>
        <v/>
      </c>
      <c r="E17" s="75" t="str">
        <f ca="1">IF(ROWS($1:4)&gt;COUNT(Dong),"",IF(OFFSET(TH!O$1,SMALL(Dong,ROWS($1:4)),)="331",OFFSET(TH!P$1,SMALL(Dong,ROWS($1:4)),),OFFSET(TH!O$1,SMALL(Dong,ROWS($1:4)),)))</f>
        <v/>
      </c>
      <c r="F17" s="75"/>
      <c r="G17" s="89" t="str">
        <f ca="1">IF(ROWS($1:4)&gt;COUNT(Dong),"",IF(OFFSET(TH!O$1,SMALL(Dong,ROWS($1:4)),)="331",OFFSET(TH!M$1,SMALL(Dong,ROWS($1:4)),),0))</f>
        <v/>
      </c>
      <c r="H17" s="89" t="str">
        <f ca="1">IF(ROWS($1:4)&gt;COUNT(Dong),"",IF(OFFSET(TH!P$1,SMALL(Dong,ROWS($1:4)),)="331",OFFSET(TH!M$1,SMALL(Dong,ROWS($1:4)),),0))</f>
        <v/>
      </c>
      <c r="I17" s="25">
        <f t="shared" ca="1" si="1"/>
        <v>0</v>
      </c>
      <c r="J17" s="25">
        <f t="shared" ca="1" si="2"/>
        <v>0</v>
      </c>
    </row>
    <row r="18" spans="1:10" s="18" customFormat="1" ht="18" customHeight="1">
      <c r="A18" s="9" t="str">
        <f t="shared" ca="1" si="0"/>
        <v/>
      </c>
      <c r="B18" s="9" t="str">
        <f ca="1">IF(ROWS($1:5)&gt;COUNT(Dong),"",OFFSET(TH!D$1,SMALL(Dong,ROWS($1:5)),))</f>
        <v/>
      </c>
      <c r="C18" s="9" t="str">
        <f ca="1">IF(ROWS($1:5)&gt;COUNT(Dong),"",OFFSET(TH!E$1,SMALL(Dong,ROWS($1:5)),))</f>
        <v/>
      </c>
      <c r="D18" s="403" t="str">
        <f ca="1">IF(ROWS($1:5)&gt;COUNT(Dong),"",OFFSET(TH!F$1,SMALL(Dong,ROWS($1:5)),))</f>
        <v/>
      </c>
      <c r="E18" s="75" t="str">
        <f ca="1">IF(ROWS($1:5)&gt;COUNT(Dong),"",IF(OFFSET(TH!O$1,SMALL(Dong,ROWS($1:5)),)="331",OFFSET(TH!P$1,SMALL(Dong,ROWS($1:5)),),OFFSET(TH!O$1,SMALL(Dong,ROWS($1:5)),)))</f>
        <v/>
      </c>
      <c r="F18" s="75"/>
      <c r="G18" s="89" t="str">
        <f ca="1">IF(ROWS($1:5)&gt;COUNT(Dong),"",IF(OFFSET(TH!O$1,SMALL(Dong,ROWS($1:5)),)="331",OFFSET(TH!M$1,SMALL(Dong,ROWS($1:5)),),0))</f>
        <v/>
      </c>
      <c r="H18" s="89" t="str">
        <f ca="1">IF(ROWS($1:5)&gt;COUNT(Dong),"",IF(OFFSET(TH!P$1,SMALL(Dong,ROWS($1:5)),)="331",OFFSET(TH!M$1,SMALL(Dong,ROWS($1:5)),),0))</f>
        <v/>
      </c>
      <c r="I18" s="25">
        <f t="shared" ca="1" si="1"/>
        <v>0</v>
      </c>
      <c r="J18" s="25">
        <f t="shared" ca="1" si="2"/>
        <v>0</v>
      </c>
    </row>
    <row r="19" spans="1:10" s="18" customFormat="1" ht="18" customHeight="1">
      <c r="A19" s="9" t="str">
        <f t="shared" ca="1" si="0"/>
        <v/>
      </c>
      <c r="B19" s="9" t="str">
        <f ca="1">IF(ROWS($1:6)&gt;COUNT(Dong),"",OFFSET(TH!D$1,SMALL(Dong,ROWS($1:6)),))</f>
        <v/>
      </c>
      <c r="C19" s="9" t="str">
        <f ca="1">IF(ROWS($1:6)&gt;COUNT(Dong),"",OFFSET(TH!E$1,SMALL(Dong,ROWS($1:6)),))</f>
        <v/>
      </c>
      <c r="D19" s="403" t="str">
        <f ca="1">IF(ROWS($1:6)&gt;COUNT(Dong),"",OFFSET(TH!F$1,SMALL(Dong,ROWS($1:6)),))</f>
        <v/>
      </c>
      <c r="E19" s="75" t="str">
        <f ca="1">IF(ROWS($1:6)&gt;COUNT(Dong),"",IF(OFFSET(TH!O$1,SMALL(Dong,ROWS($1:6)),)="331",OFFSET(TH!P$1,SMALL(Dong,ROWS($1:6)),),OFFSET(TH!O$1,SMALL(Dong,ROWS($1:6)),)))</f>
        <v/>
      </c>
      <c r="F19" s="75"/>
      <c r="G19" s="89" t="str">
        <f ca="1">IF(ROWS($1:6)&gt;COUNT(Dong),"",IF(OFFSET(TH!O$1,SMALL(Dong,ROWS($1:6)),)="331",OFFSET(TH!M$1,SMALL(Dong,ROWS($1:6)),),0))</f>
        <v/>
      </c>
      <c r="H19" s="89" t="str">
        <f ca="1">IF(ROWS($1:6)&gt;COUNT(Dong),"",IF(OFFSET(TH!P$1,SMALL(Dong,ROWS($1:6)),)="331",OFFSET(TH!M$1,SMALL(Dong,ROWS($1:6)),),0))</f>
        <v/>
      </c>
      <c r="I19" s="25">
        <f t="shared" ca="1" si="1"/>
        <v>0</v>
      </c>
      <c r="J19" s="25">
        <f t="shared" ca="1" si="2"/>
        <v>0</v>
      </c>
    </row>
    <row r="20" spans="1:10" s="18" customFormat="1" ht="18" customHeight="1">
      <c r="A20" s="9" t="str">
        <f t="shared" ca="1" si="0"/>
        <v/>
      </c>
      <c r="B20" s="9" t="str">
        <f ca="1">IF(ROWS($1:7)&gt;COUNT(Dong),"",OFFSET(TH!D$1,SMALL(Dong,ROWS($1:7)),))</f>
        <v/>
      </c>
      <c r="C20" s="9" t="str">
        <f ca="1">IF(ROWS($1:7)&gt;COUNT(Dong),"",OFFSET(TH!E$1,SMALL(Dong,ROWS($1:7)),))</f>
        <v/>
      </c>
      <c r="D20" s="403" t="str">
        <f ca="1">IF(ROWS($1:7)&gt;COUNT(Dong),"",OFFSET(TH!F$1,SMALL(Dong,ROWS($1:7)),))</f>
        <v/>
      </c>
      <c r="E20" s="75" t="str">
        <f ca="1">IF(ROWS($1:7)&gt;COUNT(Dong),"",IF(OFFSET(TH!O$1,SMALL(Dong,ROWS($1:7)),)="331",OFFSET(TH!P$1,SMALL(Dong,ROWS($1:7)),),OFFSET(TH!O$1,SMALL(Dong,ROWS($1:7)),)))</f>
        <v/>
      </c>
      <c r="F20" s="75"/>
      <c r="G20" s="89" t="str">
        <f ca="1">IF(ROWS($1:7)&gt;COUNT(Dong),"",IF(OFFSET(TH!O$1,SMALL(Dong,ROWS($1:7)),)="331",OFFSET(TH!M$1,SMALL(Dong,ROWS($1:7)),),0))</f>
        <v/>
      </c>
      <c r="H20" s="89" t="str">
        <f ca="1">IF(ROWS($1:7)&gt;COUNT(Dong),"",IF(OFFSET(TH!P$1,SMALL(Dong,ROWS($1:7)),)="331",OFFSET(TH!M$1,SMALL(Dong,ROWS($1:7)),),0))</f>
        <v/>
      </c>
      <c r="I20" s="25">
        <f t="shared" ca="1" si="1"/>
        <v>0</v>
      </c>
      <c r="J20" s="25">
        <f t="shared" ca="1" si="2"/>
        <v>0</v>
      </c>
    </row>
    <row r="21" spans="1:10" s="18" customFormat="1" ht="18" customHeight="1">
      <c r="A21" s="9" t="str">
        <f t="shared" ca="1" si="0"/>
        <v/>
      </c>
      <c r="B21" s="9" t="str">
        <f ca="1">IF(ROWS($1:8)&gt;COUNT(Dong),"",OFFSET(TH!D$1,SMALL(Dong,ROWS($1:8)),))</f>
        <v/>
      </c>
      <c r="C21" s="9" t="str">
        <f ca="1">IF(ROWS($1:8)&gt;COUNT(Dong),"",OFFSET(TH!E$1,SMALL(Dong,ROWS($1:8)),))</f>
        <v/>
      </c>
      <c r="D21" s="403" t="str">
        <f ca="1">IF(ROWS($1:8)&gt;COUNT(Dong),"",OFFSET(TH!F$1,SMALL(Dong,ROWS($1:8)),))</f>
        <v/>
      </c>
      <c r="E21" s="75" t="str">
        <f ca="1">IF(ROWS($1:8)&gt;COUNT(Dong),"",IF(OFFSET(TH!O$1,SMALL(Dong,ROWS($1:8)),)="331",OFFSET(TH!P$1,SMALL(Dong,ROWS($1:8)),),OFFSET(TH!O$1,SMALL(Dong,ROWS($1:8)),)))</f>
        <v/>
      </c>
      <c r="F21" s="75"/>
      <c r="G21" s="89" t="str">
        <f ca="1">IF(ROWS($1:8)&gt;COUNT(Dong),"",IF(OFFSET(TH!O$1,SMALL(Dong,ROWS($1:8)),)="331",OFFSET(TH!M$1,SMALL(Dong,ROWS($1:8)),),0))</f>
        <v/>
      </c>
      <c r="H21" s="89" t="str">
        <f ca="1">IF(ROWS($1:8)&gt;COUNT(Dong),"",IF(OFFSET(TH!P$1,SMALL(Dong,ROWS($1:8)),)="331",OFFSET(TH!M$1,SMALL(Dong,ROWS($1:8)),),0))</f>
        <v/>
      </c>
      <c r="I21" s="25">
        <f t="shared" ca="1" si="1"/>
        <v>0</v>
      </c>
      <c r="J21" s="25">
        <f t="shared" ca="1" si="2"/>
        <v>0</v>
      </c>
    </row>
    <row r="22" spans="1:10" s="18" customFormat="1" ht="18" customHeight="1">
      <c r="A22" s="9" t="str">
        <f t="shared" ca="1" si="0"/>
        <v/>
      </c>
      <c r="B22" s="9" t="str">
        <f ca="1">IF(ROWS($1:9)&gt;COUNT(Dong),"",OFFSET(TH!D$1,SMALL(Dong,ROWS($1:9)),))</f>
        <v/>
      </c>
      <c r="C22" s="9" t="str">
        <f ca="1">IF(ROWS($1:9)&gt;COUNT(Dong),"",OFFSET(TH!E$1,SMALL(Dong,ROWS($1:9)),))</f>
        <v/>
      </c>
      <c r="D22" s="403" t="str">
        <f ca="1">IF(ROWS($1:9)&gt;COUNT(Dong),"",OFFSET(TH!F$1,SMALL(Dong,ROWS($1:9)),))</f>
        <v/>
      </c>
      <c r="E22" s="75" t="str">
        <f ca="1">IF(ROWS($1:9)&gt;COUNT(Dong),"",IF(OFFSET(TH!O$1,SMALL(Dong,ROWS($1:9)),)="331",OFFSET(TH!P$1,SMALL(Dong,ROWS($1:9)),),OFFSET(TH!O$1,SMALL(Dong,ROWS($1:9)),)))</f>
        <v/>
      </c>
      <c r="F22" s="75"/>
      <c r="G22" s="89" t="str">
        <f ca="1">IF(ROWS($1:9)&gt;COUNT(Dong),"",IF(OFFSET(TH!O$1,SMALL(Dong,ROWS($1:9)),)="331",OFFSET(TH!M$1,SMALL(Dong,ROWS($1:9)),),0))</f>
        <v/>
      </c>
      <c r="H22" s="89" t="str">
        <f ca="1">IF(ROWS($1:9)&gt;COUNT(Dong),"",IF(OFFSET(TH!P$1,SMALL(Dong,ROWS($1:9)),)="331",OFFSET(TH!M$1,SMALL(Dong,ROWS($1:9)),),0))</f>
        <v/>
      </c>
      <c r="I22" s="25">
        <f t="shared" ca="1" si="1"/>
        <v>0</v>
      </c>
      <c r="J22" s="25">
        <f t="shared" ca="1" si="2"/>
        <v>0</v>
      </c>
    </row>
    <row r="23" spans="1:10" s="18" customFormat="1" ht="18" customHeight="1">
      <c r="A23" s="9" t="str">
        <f t="shared" ca="1" si="0"/>
        <v/>
      </c>
      <c r="B23" s="9" t="str">
        <f ca="1">IF(ROWS($1:10)&gt;COUNT(Dong),"",OFFSET(TH!D$1,SMALL(Dong,ROWS($1:10)),))</f>
        <v/>
      </c>
      <c r="C23" s="9" t="str">
        <f ca="1">IF(ROWS($1:10)&gt;COUNT(Dong),"",OFFSET(TH!E$1,SMALL(Dong,ROWS($1:10)),))</f>
        <v/>
      </c>
      <c r="D23" s="403" t="str">
        <f ca="1">IF(ROWS($1:10)&gt;COUNT(Dong),"",OFFSET(TH!F$1,SMALL(Dong,ROWS($1:10)),))</f>
        <v/>
      </c>
      <c r="E23" s="75" t="str">
        <f ca="1">IF(ROWS($1:10)&gt;COUNT(Dong),"",IF(OFFSET(TH!O$1,SMALL(Dong,ROWS($1:10)),)="331",OFFSET(TH!P$1,SMALL(Dong,ROWS($1:10)),),OFFSET(TH!O$1,SMALL(Dong,ROWS($1:10)),)))</f>
        <v/>
      </c>
      <c r="F23" s="75"/>
      <c r="G23" s="89" t="str">
        <f ca="1">IF(ROWS($1:10)&gt;COUNT(Dong),"",IF(OFFSET(TH!O$1,SMALL(Dong,ROWS($1:10)),)="331",OFFSET(TH!M$1,SMALL(Dong,ROWS($1:10)),),0))</f>
        <v/>
      </c>
      <c r="H23" s="89" t="str">
        <f ca="1">IF(ROWS($1:10)&gt;COUNT(Dong),"",IF(OFFSET(TH!P$1,SMALL(Dong,ROWS($1:10)),)="331",OFFSET(TH!M$1,SMALL(Dong,ROWS($1:10)),),0))</f>
        <v/>
      </c>
      <c r="I23" s="25">
        <f t="shared" ca="1" si="1"/>
        <v>0</v>
      </c>
      <c r="J23" s="25">
        <f t="shared" ca="1" si="2"/>
        <v>0</v>
      </c>
    </row>
    <row r="24" spans="1:10" s="18" customFormat="1" ht="18" customHeight="1">
      <c r="A24" s="9" t="str">
        <f t="shared" ca="1" si="0"/>
        <v/>
      </c>
      <c r="B24" s="9" t="str">
        <f ca="1">IF(ROWS($1:11)&gt;COUNT(Dong),"",OFFSET(TH!D$1,SMALL(Dong,ROWS($1:11)),))</f>
        <v/>
      </c>
      <c r="C24" s="9" t="str">
        <f ca="1">IF(ROWS($1:11)&gt;COUNT(Dong),"",OFFSET(TH!E$1,SMALL(Dong,ROWS($1:11)),))</f>
        <v/>
      </c>
      <c r="D24" s="403" t="str">
        <f ca="1">IF(ROWS($1:11)&gt;COUNT(Dong),"",OFFSET(TH!F$1,SMALL(Dong,ROWS($1:11)),))</f>
        <v/>
      </c>
      <c r="E24" s="75" t="str">
        <f ca="1">IF(ROWS($1:11)&gt;COUNT(Dong),"",IF(OFFSET(TH!O$1,SMALL(Dong,ROWS($1:11)),)="331",OFFSET(TH!P$1,SMALL(Dong,ROWS($1:11)),),OFFSET(TH!O$1,SMALL(Dong,ROWS($1:11)),)))</f>
        <v/>
      </c>
      <c r="F24" s="75"/>
      <c r="G24" s="89" t="str">
        <f ca="1">IF(ROWS($1:11)&gt;COUNT(Dong),"",IF(OFFSET(TH!O$1,SMALL(Dong,ROWS($1:11)),)="331",OFFSET(TH!M$1,SMALL(Dong,ROWS($1:11)),),0))</f>
        <v/>
      </c>
      <c r="H24" s="89" t="str">
        <f ca="1">IF(ROWS($1:11)&gt;COUNT(Dong),"",IF(OFFSET(TH!P$1,SMALL(Dong,ROWS($1:11)),)="331",OFFSET(TH!M$1,SMALL(Dong,ROWS($1:11)),),0))</f>
        <v/>
      </c>
      <c r="I24" s="25">
        <f t="shared" ca="1" si="1"/>
        <v>0</v>
      </c>
      <c r="J24" s="25">
        <f t="shared" ca="1" si="2"/>
        <v>0</v>
      </c>
    </row>
    <row r="25" spans="1:10" s="18" customFormat="1" ht="18" customHeight="1">
      <c r="A25" s="9" t="str">
        <f t="shared" ca="1" si="0"/>
        <v/>
      </c>
      <c r="B25" s="9" t="str">
        <f ca="1">IF(ROWS($1:12)&gt;COUNT(Dong),"",OFFSET(TH!D$1,SMALL(Dong,ROWS($1:12)),))</f>
        <v/>
      </c>
      <c r="C25" s="9" t="str">
        <f ca="1">IF(ROWS($1:12)&gt;COUNT(Dong),"",OFFSET(TH!E$1,SMALL(Dong,ROWS($1:12)),))</f>
        <v/>
      </c>
      <c r="D25" s="403" t="str">
        <f ca="1">IF(ROWS($1:12)&gt;COUNT(Dong),"",OFFSET(TH!F$1,SMALL(Dong,ROWS($1:12)),))</f>
        <v/>
      </c>
      <c r="E25" s="75" t="str">
        <f ca="1">IF(ROWS($1:12)&gt;COUNT(Dong),"",IF(OFFSET(TH!O$1,SMALL(Dong,ROWS($1:12)),)="331",OFFSET(TH!P$1,SMALL(Dong,ROWS($1:12)),),OFFSET(TH!O$1,SMALL(Dong,ROWS($1:12)),)))</f>
        <v/>
      </c>
      <c r="F25" s="75"/>
      <c r="G25" s="89" t="str">
        <f ca="1">IF(ROWS($1:12)&gt;COUNT(Dong),"",IF(OFFSET(TH!O$1,SMALL(Dong,ROWS($1:12)),)="331",OFFSET(TH!M$1,SMALL(Dong,ROWS($1:12)),),0))</f>
        <v/>
      </c>
      <c r="H25" s="89" t="str">
        <f ca="1">IF(ROWS($1:12)&gt;COUNT(Dong),"",IF(OFFSET(TH!P$1,SMALL(Dong,ROWS($1:12)),)="331",OFFSET(TH!M$1,SMALL(Dong,ROWS($1:12)),),0))</f>
        <v/>
      </c>
      <c r="I25" s="25">
        <f ca="1">IF(D25&lt;&gt;"",MAX(I24+G25-H25-J24,0),0)</f>
        <v>0</v>
      </c>
      <c r="J25" s="25">
        <f ca="1">IF(D25&lt;&gt;"",MAX(J24+H25-I24-G25,0),0)</f>
        <v>0</v>
      </c>
    </row>
    <row r="26" spans="1:10" s="18" customFormat="1" ht="18" customHeight="1">
      <c r="A26" s="9" t="str">
        <f t="shared" ca="1" si="0"/>
        <v/>
      </c>
      <c r="B26" s="9" t="str">
        <f ca="1">IF(ROWS($1:13)&gt;COUNT(Dong),"",OFFSET(TH!D$1,SMALL(Dong,ROWS($1:13)),))</f>
        <v/>
      </c>
      <c r="C26" s="9" t="str">
        <f ca="1">IF(ROWS($1:13)&gt;COUNT(Dong),"",OFFSET(TH!E$1,SMALL(Dong,ROWS($1:13)),))</f>
        <v/>
      </c>
      <c r="D26" s="74" t="str">
        <f ca="1">IF(ROWS($1:13)&gt;COUNT(Dong),"",OFFSET(TH!F$1,SMALL(Dong,ROWS($1:13)),))</f>
        <v/>
      </c>
      <c r="E26" s="75" t="str">
        <f ca="1">IF(ROWS($1:13)&gt;COUNT(Dong),"",IF(OFFSET(TH!O$1,SMALL(Dong,ROWS($1:13)),)="331",OFFSET(TH!P$1,SMALL(Dong,ROWS($1:13)),),OFFSET(TH!O$1,SMALL(Dong,ROWS($1:13)),)))</f>
        <v/>
      </c>
      <c r="F26" s="75"/>
      <c r="G26" s="89" t="str">
        <f ca="1">IF(ROWS($1:13)&gt;COUNT(Dong),"",IF(OFFSET(TH!O$1,SMALL(Dong,ROWS($1:13)),)="331",OFFSET(TH!M$1,SMALL(Dong,ROWS($1:13)),),0))</f>
        <v/>
      </c>
      <c r="H26" s="89" t="str">
        <f ca="1">IF(ROWS($1:13)&gt;COUNT(Dong),"",IF(OFFSET(TH!P$1,SMALL(Dong,ROWS($1:13)),)="331",OFFSET(TH!M$1,SMALL(Dong,ROWS($1:13)),),0))</f>
        <v/>
      </c>
      <c r="I26" s="25">
        <f t="shared" ca="1" si="1"/>
        <v>0</v>
      </c>
      <c r="J26" s="25">
        <f t="shared" ca="1" si="2"/>
        <v>0</v>
      </c>
    </row>
    <row r="27" spans="1:10" s="18" customFormat="1" ht="18" customHeight="1">
      <c r="A27" s="9" t="str">
        <f t="shared" ca="1" si="0"/>
        <v/>
      </c>
      <c r="B27" s="9" t="str">
        <f ca="1">IF(ROWS($1:14)&gt;COUNT(Dong),"",OFFSET(TH!D$1,SMALL(Dong,ROWS($1:14)),))</f>
        <v/>
      </c>
      <c r="C27" s="9" t="str">
        <f ca="1">IF(ROWS($1:14)&gt;COUNT(Dong),"",OFFSET(TH!E$1,SMALL(Dong,ROWS($1:14)),))</f>
        <v/>
      </c>
      <c r="D27" s="74" t="str">
        <f ca="1">IF(ROWS($1:14)&gt;COUNT(Dong),"",OFFSET(TH!F$1,SMALL(Dong,ROWS($1:14)),))</f>
        <v/>
      </c>
      <c r="E27" s="75" t="str">
        <f ca="1">IF(ROWS($1:14)&gt;COUNT(Dong),"",IF(OFFSET(TH!O$1,SMALL(Dong,ROWS($1:14)),)="331",OFFSET(TH!P$1,SMALL(Dong,ROWS($1:14)),),OFFSET(TH!O$1,SMALL(Dong,ROWS($1:14)),)))</f>
        <v/>
      </c>
      <c r="F27" s="75"/>
      <c r="G27" s="89" t="str">
        <f ca="1">IF(ROWS($1:14)&gt;COUNT(Dong),"",IF(OFFSET(TH!O$1,SMALL(Dong,ROWS($1:14)),)="331",OFFSET(TH!M$1,SMALL(Dong,ROWS($1:14)),),0))</f>
        <v/>
      </c>
      <c r="H27" s="89" t="str">
        <f ca="1">IF(ROWS($1:14)&gt;COUNT(Dong),"",IF(OFFSET(TH!P$1,SMALL(Dong,ROWS($1:14)),)="331",OFFSET(TH!M$1,SMALL(Dong,ROWS($1:14)),),0))</f>
        <v/>
      </c>
      <c r="I27" s="25">
        <f t="shared" ca="1" si="1"/>
        <v>0</v>
      </c>
      <c r="J27" s="25">
        <f t="shared" ca="1" si="2"/>
        <v>0</v>
      </c>
    </row>
    <row r="28" spans="1:10" s="18" customFormat="1" ht="18" customHeight="1">
      <c r="A28" s="9" t="str">
        <f t="shared" ca="1" si="0"/>
        <v/>
      </c>
      <c r="B28" s="9" t="str">
        <f ca="1">IF(ROWS($1:15)&gt;COUNT(Dong),"",OFFSET(TH!D$1,SMALL(Dong,ROWS($1:15)),))</f>
        <v/>
      </c>
      <c r="C28" s="9" t="str">
        <f ca="1">IF(ROWS($1:15)&gt;COUNT(Dong),"",OFFSET(TH!E$1,SMALL(Dong,ROWS($1:15)),))</f>
        <v/>
      </c>
      <c r="D28" s="74" t="str">
        <f ca="1">IF(ROWS($1:15)&gt;COUNT(Dong),"",OFFSET(TH!F$1,SMALL(Dong,ROWS($1:15)),))</f>
        <v/>
      </c>
      <c r="E28" s="75" t="str">
        <f ca="1">IF(ROWS($1:15)&gt;COUNT(Dong),"",IF(OFFSET(TH!O$1,SMALL(Dong,ROWS($1:15)),)="331",OFFSET(TH!P$1,SMALL(Dong,ROWS($1:15)),),OFFSET(TH!O$1,SMALL(Dong,ROWS($1:15)),)))</f>
        <v/>
      </c>
      <c r="F28" s="75"/>
      <c r="G28" s="89" t="str">
        <f ca="1">IF(ROWS($1:15)&gt;COUNT(Dong),"",IF(OFFSET(TH!O$1,SMALL(Dong,ROWS($1:15)),)="331",OFFSET(TH!M$1,SMALL(Dong,ROWS($1:15)),),0))</f>
        <v/>
      </c>
      <c r="H28" s="89" t="str">
        <f ca="1">IF(ROWS($1:15)&gt;COUNT(Dong),"",IF(OFFSET(TH!P$1,SMALL(Dong,ROWS($1:15)),)="331",OFFSET(TH!M$1,SMALL(Dong,ROWS($1:15)),),0))</f>
        <v/>
      </c>
      <c r="I28" s="25">
        <f t="shared" ca="1" si="1"/>
        <v>0</v>
      </c>
      <c r="J28" s="25">
        <f t="shared" ca="1" si="2"/>
        <v>0</v>
      </c>
    </row>
    <row r="29" spans="1:10" s="18" customFormat="1" ht="18" customHeight="1">
      <c r="A29" s="9" t="str">
        <f t="shared" ca="1" si="0"/>
        <v/>
      </c>
      <c r="B29" s="9" t="str">
        <f ca="1">IF(ROWS($1:16)&gt;COUNT(Dong),"",OFFSET(TH!D$1,SMALL(Dong,ROWS($1:16)),))</f>
        <v/>
      </c>
      <c r="C29" s="9" t="str">
        <f ca="1">IF(ROWS($1:16)&gt;COUNT(Dong),"",OFFSET(TH!E$1,SMALL(Dong,ROWS($1:16)),))</f>
        <v/>
      </c>
      <c r="D29" s="74" t="str">
        <f ca="1">IF(ROWS($1:16)&gt;COUNT(Dong),"",OFFSET(TH!F$1,SMALL(Dong,ROWS($1:16)),))</f>
        <v/>
      </c>
      <c r="E29" s="75" t="str">
        <f ca="1">IF(ROWS($1:16)&gt;COUNT(Dong),"",IF(OFFSET(TH!O$1,SMALL(Dong,ROWS($1:16)),)="331",OFFSET(TH!P$1,SMALL(Dong,ROWS($1:16)),),OFFSET(TH!O$1,SMALL(Dong,ROWS($1:16)),)))</f>
        <v/>
      </c>
      <c r="F29" s="75"/>
      <c r="G29" s="89" t="str">
        <f ca="1">IF(ROWS($1:16)&gt;COUNT(Dong),"",IF(OFFSET(TH!O$1,SMALL(Dong,ROWS($1:16)),)="331",OFFSET(TH!M$1,SMALL(Dong,ROWS($1:16)),),0))</f>
        <v/>
      </c>
      <c r="H29" s="89" t="str">
        <f ca="1">IF(ROWS($1:16)&gt;COUNT(Dong),"",IF(OFFSET(TH!P$1,SMALL(Dong,ROWS($1:16)),)="331",OFFSET(TH!M$1,SMALL(Dong,ROWS($1:16)),),0))</f>
        <v/>
      </c>
      <c r="I29" s="25">
        <f t="shared" ca="1" si="1"/>
        <v>0</v>
      </c>
      <c r="J29" s="25">
        <f t="shared" ca="1" si="2"/>
        <v>0</v>
      </c>
    </row>
    <row r="30" spans="1:10" s="18" customFormat="1" ht="18" customHeight="1">
      <c r="A30" s="9" t="str">
        <f t="shared" ca="1" si="0"/>
        <v/>
      </c>
      <c r="B30" s="9" t="str">
        <f ca="1">IF(ROWS($1:17)&gt;COUNT(Dong),"",OFFSET(TH!D$1,SMALL(Dong,ROWS($1:17)),))</f>
        <v/>
      </c>
      <c r="C30" s="9" t="str">
        <f ca="1">IF(ROWS($1:17)&gt;COUNT(Dong),"",OFFSET(TH!E$1,SMALL(Dong,ROWS($1:17)),))</f>
        <v/>
      </c>
      <c r="D30" s="74" t="str">
        <f ca="1">IF(ROWS($1:17)&gt;COUNT(Dong),"",OFFSET(TH!F$1,SMALL(Dong,ROWS($1:17)),))</f>
        <v/>
      </c>
      <c r="E30" s="75" t="str">
        <f ca="1">IF(ROWS($1:17)&gt;COUNT(Dong),"",IF(OFFSET(TH!O$1,SMALL(Dong,ROWS($1:17)),)="331",OFFSET(TH!P$1,SMALL(Dong,ROWS($1:17)),),OFFSET(TH!O$1,SMALL(Dong,ROWS($1:17)),)))</f>
        <v/>
      </c>
      <c r="F30" s="75"/>
      <c r="G30" s="89" t="str">
        <f ca="1">IF(ROWS($1:17)&gt;COUNT(Dong),"",IF(OFFSET(TH!O$1,SMALL(Dong,ROWS($1:17)),)="331",OFFSET(TH!M$1,SMALL(Dong,ROWS($1:17)),),0))</f>
        <v/>
      </c>
      <c r="H30" s="89" t="str">
        <f ca="1">IF(ROWS($1:17)&gt;COUNT(Dong),"",IF(OFFSET(TH!P$1,SMALL(Dong,ROWS($1:17)),)="331",OFFSET(TH!M$1,SMALL(Dong,ROWS($1:17)),),0))</f>
        <v/>
      </c>
      <c r="I30" s="25">
        <f t="shared" ca="1" si="1"/>
        <v>0</v>
      </c>
      <c r="J30" s="25">
        <f t="shared" ca="1" si="2"/>
        <v>0</v>
      </c>
    </row>
    <row r="31" spans="1:10" s="18" customFormat="1" ht="18" customHeight="1">
      <c r="A31" s="9" t="str">
        <f t="shared" ref="A31:A38" ca="1" si="3">IF(C31&lt;&gt;"",C31,"")</f>
        <v/>
      </c>
      <c r="B31" s="9" t="str">
        <f ca="1">IF(ROWS($1:18)&gt;COUNT(Dong),"",OFFSET(TH!D$1,SMALL(Dong,ROWS($1:18)),))</f>
        <v/>
      </c>
      <c r="C31" s="9" t="str">
        <f ca="1">IF(ROWS($1:18)&gt;COUNT(Dong),"",OFFSET(TH!E$1,SMALL(Dong,ROWS($1:18)),))</f>
        <v/>
      </c>
      <c r="D31" s="74" t="str">
        <f ca="1">IF(ROWS($1:18)&gt;COUNT(Dong),"",OFFSET(TH!F$1,SMALL(Dong,ROWS($1:18)),))</f>
        <v/>
      </c>
      <c r="E31" s="75" t="str">
        <f ca="1">IF(ROWS($1:18)&gt;COUNT(Dong),"",IF(OFFSET(TH!O$1,SMALL(Dong,ROWS($1:18)),)="331",OFFSET(TH!P$1,SMALL(Dong,ROWS($1:18)),),OFFSET(TH!O$1,SMALL(Dong,ROWS($1:18)),)))</f>
        <v/>
      </c>
      <c r="F31" s="75"/>
      <c r="G31" s="89" t="str">
        <f ca="1">IF(ROWS($1:18)&gt;COUNT(Dong),"",IF(OFFSET(TH!O$1,SMALL(Dong,ROWS($1:18)),)="331",OFFSET(TH!M$1,SMALL(Dong,ROWS($1:18)),),0))</f>
        <v/>
      </c>
      <c r="H31" s="89" t="str">
        <f ca="1">IF(ROWS($1:18)&gt;COUNT(Dong),"",IF(OFFSET(TH!P$1,SMALL(Dong,ROWS($1:18)),)="331",OFFSET(TH!M$1,SMALL(Dong,ROWS($1:18)),),0))</f>
        <v/>
      </c>
      <c r="I31" s="25">
        <f t="shared" ref="I31:I38" ca="1" si="4">IF(D31&lt;&gt;"",MAX(I30+G31-H31-J30,0),0)</f>
        <v>0</v>
      </c>
      <c r="J31" s="25">
        <f t="shared" ref="J31:J38" ca="1" si="5">IF(D31&lt;&gt;"",MAX(J30+H31-I30-G31,0),0)</f>
        <v>0</v>
      </c>
    </row>
    <row r="32" spans="1:10" s="18" customFormat="1" ht="18" customHeight="1">
      <c r="A32" s="9" t="str">
        <f t="shared" ca="1" si="3"/>
        <v/>
      </c>
      <c r="B32" s="9" t="str">
        <f ca="1">IF(ROWS($1:19)&gt;COUNT(Dong),"",OFFSET(TH!D$1,SMALL(Dong,ROWS($1:19)),))</f>
        <v/>
      </c>
      <c r="C32" s="9" t="str">
        <f ca="1">IF(ROWS($1:19)&gt;COUNT(Dong),"",OFFSET(TH!E$1,SMALL(Dong,ROWS($1:19)),))</f>
        <v/>
      </c>
      <c r="D32" s="74" t="str">
        <f ca="1">IF(ROWS($1:19)&gt;COUNT(Dong),"",OFFSET(TH!F$1,SMALL(Dong,ROWS($1:19)),))</f>
        <v/>
      </c>
      <c r="E32" s="75" t="str">
        <f ca="1">IF(ROWS($1:19)&gt;COUNT(Dong),"",IF(OFFSET(TH!O$1,SMALL(Dong,ROWS($1:19)),)="331",OFFSET(TH!P$1,SMALL(Dong,ROWS($1:19)),),OFFSET(TH!O$1,SMALL(Dong,ROWS($1:19)),)))</f>
        <v/>
      </c>
      <c r="F32" s="75"/>
      <c r="G32" s="89" t="str">
        <f ca="1">IF(ROWS($1:19)&gt;COUNT(Dong),"",IF(OFFSET(TH!O$1,SMALL(Dong,ROWS($1:19)),)="331",OFFSET(TH!M$1,SMALL(Dong,ROWS($1:19)),),0))</f>
        <v/>
      </c>
      <c r="H32" s="89" t="str">
        <f ca="1">IF(ROWS($1:19)&gt;COUNT(Dong),"",IF(OFFSET(TH!P$1,SMALL(Dong,ROWS($1:19)),)="331",OFFSET(TH!M$1,SMALL(Dong,ROWS($1:19)),),0))</f>
        <v/>
      </c>
      <c r="I32" s="25">
        <f t="shared" ca="1" si="4"/>
        <v>0</v>
      </c>
      <c r="J32" s="25">
        <f t="shared" ca="1" si="5"/>
        <v>0</v>
      </c>
    </row>
    <row r="33" spans="1:11" s="18" customFormat="1" ht="18" customHeight="1">
      <c r="A33" s="9" t="str">
        <f t="shared" ca="1" si="3"/>
        <v/>
      </c>
      <c r="B33" s="9" t="str">
        <f ca="1">IF(ROWS($1:20)&gt;COUNT(Dong),"",OFFSET(TH!D$1,SMALL(Dong,ROWS($1:20)),))</f>
        <v/>
      </c>
      <c r="C33" s="9" t="str">
        <f ca="1">IF(ROWS($1:20)&gt;COUNT(Dong),"",OFFSET(TH!E$1,SMALL(Dong,ROWS($1:20)),))</f>
        <v/>
      </c>
      <c r="D33" s="74" t="str">
        <f ca="1">IF(ROWS($1:20)&gt;COUNT(Dong),"",OFFSET(TH!F$1,SMALL(Dong,ROWS($1:20)),))</f>
        <v/>
      </c>
      <c r="E33" s="75" t="str">
        <f ca="1">IF(ROWS($1:20)&gt;COUNT(Dong),"",IF(OFFSET(TH!O$1,SMALL(Dong,ROWS($1:20)),)="331",OFFSET(TH!P$1,SMALL(Dong,ROWS($1:20)),),OFFSET(TH!O$1,SMALL(Dong,ROWS($1:20)),)))</f>
        <v/>
      </c>
      <c r="F33" s="75"/>
      <c r="G33" s="89" t="str">
        <f ca="1">IF(ROWS($1:20)&gt;COUNT(Dong),"",IF(OFFSET(TH!O$1,SMALL(Dong,ROWS($1:20)),)="331",OFFSET(TH!M$1,SMALL(Dong,ROWS($1:20)),),0))</f>
        <v/>
      </c>
      <c r="H33" s="89" t="str">
        <f ca="1">IF(ROWS($1:20)&gt;COUNT(Dong),"",IF(OFFSET(TH!P$1,SMALL(Dong,ROWS($1:20)),)="331",OFFSET(TH!M$1,SMALL(Dong,ROWS($1:20)),),0))</f>
        <v/>
      </c>
      <c r="I33" s="25">
        <f t="shared" ca="1" si="4"/>
        <v>0</v>
      </c>
      <c r="J33" s="25">
        <f t="shared" ca="1" si="5"/>
        <v>0</v>
      </c>
    </row>
    <row r="34" spans="1:11" s="18" customFormat="1" ht="18" customHeight="1">
      <c r="A34" s="9" t="str">
        <f t="shared" ca="1" si="3"/>
        <v/>
      </c>
      <c r="B34" s="9" t="str">
        <f ca="1">IF(ROWS($1:21)&gt;COUNT(Dong),"",OFFSET(TH!D$1,SMALL(Dong,ROWS($1:21)),))</f>
        <v/>
      </c>
      <c r="C34" s="9" t="str">
        <f ca="1">IF(ROWS($1:21)&gt;COUNT(Dong),"",OFFSET(TH!E$1,SMALL(Dong,ROWS($1:21)),))</f>
        <v/>
      </c>
      <c r="D34" s="74" t="str">
        <f ca="1">IF(ROWS($1:21)&gt;COUNT(Dong),"",OFFSET(TH!F$1,SMALL(Dong,ROWS($1:21)),))</f>
        <v/>
      </c>
      <c r="E34" s="75" t="str">
        <f ca="1">IF(ROWS($1:21)&gt;COUNT(Dong),"",IF(OFFSET(TH!O$1,SMALL(Dong,ROWS($1:21)),)="331",OFFSET(TH!P$1,SMALL(Dong,ROWS($1:21)),),OFFSET(TH!O$1,SMALL(Dong,ROWS($1:21)),)))</f>
        <v/>
      </c>
      <c r="F34" s="75"/>
      <c r="G34" s="89" t="str">
        <f ca="1">IF(ROWS($1:21)&gt;COUNT(Dong),"",IF(OFFSET(TH!O$1,SMALL(Dong,ROWS($1:21)),)="331",OFFSET(TH!M$1,SMALL(Dong,ROWS($1:21)),),0))</f>
        <v/>
      </c>
      <c r="H34" s="89" t="str">
        <f ca="1">IF(ROWS($1:21)&gt;COUNT(Dong),"",IF(OFFSET(TH!P$1,SMALL(Dong,ROWS($1:21)),)="331",OFFSET(TH!M$1,SMALL(Dong,ROWS($1:21)),),0))</f>
        <v/>
      </c>
      <c r="I34" s="25">
        <f t="shared" ca="1" si="4"/>
        <v>0</v>
      </c>
      <c r="J34" s="25">
        <f t="shared" ca="1" si="5"/>
        <v>0</v>
      </c>
    </row>
    <row r="35" spans="1:11" s="18" customFormat="1" ht="18" customHeight="1">
      <c r="A35" s="9" t="str">
        <f t="shared" ca="1" si="3"/>
        <v/>
      </c>
      <c r="B35" s="9" t="str">
        <f ca="1">IF(ROWS($1:22)&gt;COUNT(Dong),"",OFFSET(TH!D$1,SMALL(Dong,ROWS($1:22)),))</f>
        <v/>
      </c>
      <c r="C35" s="9" t="str">
        <f ca="1">IF(ROWS($1:22)&gt;COUNT(Dong),"",OFFSET(TH!E$1,SMALL(Dong,ROWS($1:22)),))</f>
        <v/>
      </c>
      <c r="D35" s="74" t="str">
        <f ca="1">IF(ROWS($1:22)&gt;COUNT(Dong),"",OFFSET(TH!F$1,SMALL(Dong,ROWS($1:22)),))</f>
        <v/>
      </c>
      <c r="E35" s="75" t="str">
        <f ca="1">IF(ROWS($1:22)&gt;COUNT(Dong),"",IF(OFFSET(TH!O$1,SMALL(Dong,ROWS($1:22)),)="331",OFFSET(TH!P$1,SMALL(Dong,ROWS($1:22)),),OFFSET(TH!O$1,SMALL(Dong,ROWS($1:22)),)))</f>
        <v/>
      </c>
      <c r="F35" s="75"/>
      <c r="G35" s="89" t="str">
        <f ca="1">IF(ROWS($1:22)&gt;COUNT(Dong),"",IF(OFFSET(TH!O$1,SMALL(Dong,ROWS($1:22)),)="331",OFFSET(TH!M$1,SMALL(Dong,ROWS($1:22)),),0))</f>
        <v/>
      </c>
      <c r="H35" s="89" t="str">
        <f ca="1">IF(ROWS($1:22)&gt;COUNT(Dong),"",IF(OFFSET(TH!P$1,SMALL(Dong,ROWS($1:22)),)="331",OFFSET(TH!M$1,SMALL(Dong,ROWS($1:22)),),0))</f>
        <v/>
      </c>
      <c r="I35" s="25">
        <f t="shared" ca="1" si="4"/>
        <v>0</v>
      </c>
      <c r="J35" s="25">
        <f t="shared" ca="1" si="5"/>
        <v>0</v>
      </c>
    </row>
    <row r="36" spans="1:11" s="18" customFormat="1" ht="18" customHeight="1">
      <c r="A36" s="9" t="str">
        <f t="shared" ca="1" si="3"/>
        <v/>
      </c>
      <c r="B36" s="9" t="str">
        <f ca="1">IF(ROWS($1:23)&gt;COUNT(Dong),"",OFFSET(TH!D$1,SMALL(Dong,ROWS($1:23)),))</f>
        <v/>
      </c>
      <c r="C36" s="9" t="str">
        <f ca="1">IF(ROWS($1:23)&gt;COUNT(Dong),"",OFFSET(TH!E$1,SMALL(Dong,ROWS($1:23)),))</f>
        <v/>
      </c>
      <c r="D36" s="74" t="str">
        <f ca="1">IF(ROWS($1:23)&gt;COUNT(Dong),"",OFFSET(TH!F$1,SMALL(Dong,ROWS($1:23)),))</f>
        <v/>
      </c>
      <c r="E36" s="75" t="str">
        <f ca="1">IF(ROWS($1:23)&gt;COUNT(Dong),"",IF(OFFSET(TH!O$1,SMALL(Dong,ROWS($1:23)),)="331",OFFSET(TH!P$1,SMALL(Dong,ROWS($1:23)),),OFFSET(TH!O$1,SMALL(Dong,ROWS($1:23)),)))</f>
        <v/>
      </c>
      <c r="F36" s="75"/>
      <c r="G36" s="89" t="str">
        <f ca="1">IF(ROWS($1:23)&gt;COUNT(Dong),"",IF(OFFSET(TH!O$1,SMALL(Dong,ROWS($1:23)),)="331",OFFSET(TH!M$1,SMALL(Dong,ROWS($1:23)),),0))</f>
        <v/>
      </c>
      <c r="H36" s="89" t="str">
        <f ca="1">IF(ROWS($1:23)&gt;COUNT(Dong),"",IF(OFFSET(TH!P$1,SMALL(Dong,ROWS($1:23)),)="331",OFFSET(TH!M$1,SMALL(Dong,ROWS($1:23)),),0))</f>
        <v/>
      </c>
      <c r="I36" s="25">
        <f t="shared" ca="1" si="4"/>
        <v>0</v>
      </c>
      <c r="J36" s="25">
        <f t="shared" ca="1" si="5"/>
        <v>0</v>
      </c>
    </row>
    <row r="37" spans="1:11" s="18" customFormat="1" ht="18" customHeight="1">
      <c r="A37" s="9" t="str">
        <f t="shared" ca="1" si="3"/>
        <v/>
      </c>
      <c r="B37" s="9" t="str">
        <f ca="1">IF(ROWS($1:24)&gt;COUNT(Dong),"",OFFSET(TH!D$1,SMALL(Dong,ROWS($1:24)),))</f>
        <v/>
      </c>
      <c r="C37" s="9" t="str">
        <f ca="1">IF(ROWS($1:24)&gt;COUNT(Dong),"",OFFSET(TH!E$1,SMALL(Dong,ROWS($1:24)),))</f>
        <v/>
      </c>
      <c r="D37" s="74" t="str">
        <f ca="1">IF(ROWS($1:24)&gt;COUNT(Dong),"",OFFSET(TH!F$1,SMALL(Dong,ROWS($1:24)),))</f>
        <v/>
      </c>
      <c r="E37" s="75" t="str">
        <f ca="1">IF(ROWS($1:24)&gt;COUNT(Dong),"",IF(OFFSET(TH!O$1,SMALL(Dong,ROWS($1:24)),)="331",OFFSET(TH!P$1,SMALL(Dong,ROWS($1:24)),),OFFSET(TH!O$1,SMALL(Dong,ROWS($1:24)),)))</f>
        <v/>
      </c>
      <c r="F37" s="75"/>
      <c r="G37" s="89" t="str">
        <f ca="1">IF(ROWS($1:24)&gt;COUNT(Dong),"",IF(OFFSET(TH!O$1,SMALL(Dong,ROWS($1:24)),)="331",OFFSET(TH!M$1,SMALL(Dong,ROWS($1:24)),),0))</f>
        <v/>
      </c>
      <c r="H37" s="89" t="str">
        <f ca="1">IF(ROWS($1:24)&gt;COUNT(Dong),"",IF(OFFSET(TH!P$1,SMALL(Dong,ROWS($1:24)),)="331",OFFSET(TH!M$1,SMALL(Dong,ROWS($1:24)),),0))</f>
        <v/>
      </c>
      <c r="I37" s="25">
        <f t="shared" ca="1" si="4"/>
        <v>0</v>
      </c>
      <c r="J37" s="25">
        <f t="shared" ca="1" si="5"/>
        <v>0</v>
      </c>
    </row>
    <row r="38" spans="1:11" s="18" customFormat="1" ht="18" customHeight="1">
      <c r="A38" s="9" t="str">
        <f t="shared" ca="1" si="3"/>
        <v/>
      </c>
      <c r="B38" s="9" t="str">
        <f ca="1">IF(ROWS($1:25)&gt;COUNT(Dong),"",OFFSET(TH!D$1,SMALL(Dong,ROWS($1:25)),))</f>
        <v/>
      </c>
      <c r="C38" s="9" t="str">
        <f ca="1">IF(ROWS($1:25)&gt;COUNT(Dong),"",OFFSET(TH!E$1,SMALL(Dong,ROWS($1:25)),))</f>
        <v/>
      </c>
      <c r="D38" s="74" t="str">
        <f ca="1">IF(ROWS($1:25)&gt;COUNT(Dong),"",OFFSET(TH!F$1,SMALL(Dong,ROWS($1:25)),))</f>
        <v/>
      </c>
      <c r="E38" s="75" t="str">
        <f ca="1">IF(ROWS($1:25)&gt;COUNT(Dong),"",IF(OFFSET(TH!O$1,SMALL(Dong,ROWS($1:25)),)="331",OFFSET(TH!P$1,SMALL(Dong,ROWS($1:25)),),OFFSET(TH!O$1,SMALL(Dong,ROWS($1:25)),)))</f>
        <v/>
      </c>
      <c r="F38" s="75"/>
      <c r="G38" s="89" t="str">
        <f ca="1">IF(ROWS($1:25)&gt;COUNT(Dong),"",IF(OFFSET(TH!O$1,SMALL(Dong,ROWS($1:25)),)="331",OFFSET(TH!M$1,SMALL(Dong,ROWS($1:25)),),0))</f>
        <v/>
      </c>
      <c r="H38" s="89" t="str">
        <f ca="1">IF(ROWS($1:25)&gt;COUNT(Dong),"",IF(OFFSET(TH!P$1,SMALL(Dong,ROWS($1:25)),)="331",OFFSET(TH!M$1,SMALL(Dong,ROWS($1:25)),),0))</f>
        <v/>
      </c>
      <c r="I38" s="25">
        <f t="shared" ca="1" si="4"/>
        <v>0</v>
      </c>
      <c r="J38" s="25">
        <f t="shared" ca="1" si="5"/>
        <v>0</v>
      </c>
    </row>
    <row r="39" spans="1:11" s="18" customFormat="1" ht="18" customHeight="1">
      <c r="A39" s="397"/>
      <c r="B39" s="397"/>
      <c r="C39" s="397"/>
      <c r="D39" s="398"/>
      <c r="E39" s="399"/>
      <c r="F39" s="399"/>
      <c r="G39" s="400"/>
      <c r="H39" s="400"/>
      <c r="I39" s="401"/>
      <c r="J39" s="401"/>
    </row>
    <row r="40" spans="1:11" s="18" customFormat="1" ht="18" customHeight="1">
      <c r="A40" s="24"/>
      <c r="B40" s="21"/>
      <c r="C40" s="26"/>
      <c r="D40" s="23" t="s">
        <v>43</v>
      </c>
      <c r="E40" s="21" t="s">
        <v>26</v>
      </c>
      <c r="F40" s="21" t="s">
        <v>26</v>
      </c>
      <c r="G40" s="27">
        <f ca="1">SUM(G14:G30)</f>
        <v>500000000</v>
      </c>
      <c r="H40" s="27">
        <f ca="1">SUM(H14:H30)</f>
        <v>0</v>
      </c>
      <c r="I40" s="27" t="s">
        <v>26</v>
      </c>
      <c r="J40" s="27" t="s">
        <v>26</v>
      </c>
    </row>
    <row r="41" spans="1:11" s="18" customFormat="1" ht="18" customHeight="1">
      <c r="A41" s="24"/>
      <c r="B41" s="21"/>
      <c r="C41" s="21"/>
      <c r="D41" s="23" t="s">
        <v>13</v>
      </c>
      <c r="E41" s="21" t="s">
        <v>26</v>
      </c>
      <c r="F41" s="21" t="s">
        <v>26</v>
      </c>
      <c r="G41" s="27" t="s">
        <v>26</v>
      </c>
      <c r="H41" s="27" t="s">
        <v>26</v>
      </c>
      <c r="I41" s="27">
        <f ca="1">MAX(I13+G40-H40-J13,0)</f>
        <v>0</v>
      </c>
      <c r="J41" s="27">
        <f ca="1">MAX(J13+H40-G40-I13,0)</f>
        <v>1033507770</v>
      </c>
    </row>
    <row r="42" spans="1:11" s="18" customFormat="1" ht="6" customHeight="1">
      <c r="B42" s="19"/>
      <c r="C42" s="19"/>
      <c r="E42" s="19"/>
    </row>
    <row r="43" spans="1:11" s="18" customFormat="1" ht="14.25" customHeight="1">
      <c r="A43" s="28" t="s">
        <v>333</v>
      </c>
      <c r="B43" s="19"/>
      <c r="C43" s="19"/>
      <c r="E43" s="19"/>
      <c r="K43" s="28" t="s">
        <v>333</v>
      </c>
    </row>
    <row r="44" spans="1:11" s="18" customFormat="1" ht="14.25" customHeight="1">
      <c r="A44" s="28" t="s">
        <v>275</v>
      </c>
      <c r="B44" s="19"/>
      <c r="C44" s="19"/>
      <c r="E44" s="19"/>
      <c r="K44" s="28" t="s">
        <v>44</v>
      </c>
    </row>
    <row r="45" spans="1:11" s="18" customFormat="1" ht="14.25" customHeight="1">
      <c r="B45" s="19"/>
      <c r="C45" s="19"/>
      <c r="E45" s="1209" t="s">
        <v>262</v>
      </c>
      <c r="F45" s="1209"/>
      <c r="G45" s="1209"/>
      <c r="H45" s="1209"/>
      <c r="I45" s="1209"/>
      <c r="J45" s="1209"/>
    </row>
    <row r="46" spans="1:11" s="18" customFormat="1" ht="14.25" customHeight="1">
      <c r="C46" s="386" t="s">
        <v>14</v>
      </c>
      <c r="E46" s="1209" t="s">
        <v>15</v>
      </c>
      <c r="F46" s="1209"/>
      <c r="G46" s="1209"/>
      <c r="H46" s="1209"/>
      <c r="I46" s="1209"/>
      <c r="J46" s="1209"/>
    </row>
    <row r="47" spans="1:11" s="18" customFormat="1" ht="14.25" customHeight="1">
      <c r="C47" s="386" t="s">
        <v>16</v>
      </c>
      <c r="E47" s="1209" t="s">
        <v>16</v>
      </c>
      <c r="F47" s="1209"/>
      <c r="G47" s="1209"/>
      <c r="H47" s="1209"/>
      <c r="I47" s="1209"/>
      <c r="J47" s="1209"/>
    </row>
    <row r="48" spans="1:11" s="29" customFormat="1"/>
    <row r="54" spans="3:3" ht="15">
      <c r="C54" s="402" t="s">
        <v>329</v>
      </c>
    </row>
  </sheetData>
  <autoFilter ref="A12:J25"/>
  <mergeCells count="15">
    <mergeCell ref="E46:J46"/>
    <mergeCell ref="E47:J47"/>
    <mergeCell ref="A10:A11"/>
    <mergeCell ref="H1:J1"/>
    <mergeCell ref="H2:J3"/>
    <mergeCell ref="E7:H7"/>
    <mergeCell ref="E45:J4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8.xml><?xml version="1.0" encoding="utf-8"?>
<worksheet xmlns="http://schemas.openxmlformats.org/spreadsheetml/2006/main" xmlns:r="http://schemas.openxmlformats.org/officeDocument/2006/relationships">
  <sheetPr>
    <tabColor theme="3"/>
  </sheetPr>
  <dimension ref="A1:P27"/>
  <sheetViews>
    <sheetView showZeros="0" workbookViewId="0">
      <pane ySplit="4" topLeftCell="A5" activePane="bottomLeft" state="frozen"/>
      <selection activeCell="G34" sqref="G34"/>
      <selection pane="bottomLeft" activeCell="D16" sqref="D16"/>
    </sheetView>
  </sheetViews>
  <sheetFormatPr defaultColWidth="8" defaultRowHeight="13.5"/>
  <cols>
    <col min="1" max="1" width="4.28515625" style="242" customWidth="1"/>
    <col min="2" max="2" width="21.85546875" style="242" customWidth="1"/>
    <col min="3" max="4" width="8.7109375" style="242" customWidth="1"/>
    <col min="5" max="5" width="8.140625" style="242" customWidth="1"/>
    <col min="6" max="6" width="11" style="242" customWidth="1"/>
    <col min="7" max="7" width="8.140625" style="242" customWidth="1"/>
    <col min="8" max="8" width="13.7109375" style="242" customWidth="1"/>
    <col min="9" max="9" width="7.85546875" style="242" customWidth="1"/>
    <col min="10" max="10" width="12.42578125" style="242" customWidth="1"/>
    <col min="11" max="11" width="8.140625" style="242" customWidth="1"/>
    <col min="12" max="12" width="13.7109375" style="242" customWidth="1"/>
    <col min="13" max="13" width="8.140625" style="242" customWidth="1"/>
    <col min="14" max="14" width="10.140625" style="242" customWidth="1"/>
    <col min="15" max="15" width="8.140625" style="242" customWidth="1"/>
    <col min="16" max="16" width="14" style="242" customWidth="1"/>
    <col min="17" max="16384" width="8" style="242"/>
  </cols>
  <sheetData>
    <row r="1" spans="1:16" ht="21.75" customHeight="1">
      <c r="A1" s="1241" t="s">
        <v>263</v>
      </c>
      <c r="B1" s="1241"/>
      <c r="C1" s="1241"/>
      <c r="D1" s="1241"/>
      <c r="E1" s="1241"/>
      <c r="F1" s="1241"/>
      <c r="G1" s="1241"/>
      <c r="H1" s="1241"/>
      <c r="I1" s="1241"/>
      <c r="J1" s="1241"/>
      <c r="K1" s="1241"/>
      <c r="L1" s="1241"/>
      <c r="M1" s="1241"/>
      <c r="N1" s="1241"/>
      <c r="O1" s="1241"/>
      <c r="P1" s="1241"/>
    </row>
    <row r="2" spans="1:16" s="10" customFormat="1" ht="15.75" customHeight="1">
      <c r="A2" s="1269" t="s">
        <v>45</v>
      </c>
      <c r="B2" s="1271" t="s">
        <v>264</v>
      </c>
      <c r="C2" s="1271" t="s">
        <v>265</v>
      </c>
      <c r="D2" s="1271" t="s">
        <v>267</v>
      </c>
      <c r="E2" s="1243" t="s">
        <v>47</v>
      </c>
      <c r="F2" s="1243"/>
      <c r="G2" s="1243"/>
      <c r="H2" s="1243"/>
      <c r="I2" s="1243" t="s">
        <v>48</v>
      </c>
      <c r="J2" s="1243"/>
      <c r="K2" s="1243"/>
      <c r="L2" s="1243"/>
      <c r="M2" s="1267" t="s">
        <v>59</v>
      </c>
      <c r="N2" s="1280"/>
      <c r="O2" s="1280"/>
      <c r="P2" s="1268"/>
    </row>
    <row r="3" spans="1:16" s="10" customFormat="1" ht="15.75" customHeight="1">
      <c r="A3" s="1270"/>
      <c r="B3" s="1272"/>
      <c r="C3" s="1272"/>
      <c r="D3" s="1272"/>
      <c r="E3" s="1243" t="s">
        <v>60</v>
      </c>
      <c r="F3" s="1243"/>
      <c r="G3" s="1243" t="s">
        <v>61</v>
      </c>
      <c r="H3" s="1243"/>
      <c r="I3" s="1243" t="s">
        <v>60</v>
      </c>
      <c r="J3" s="1243"/>
      <c r="K3" s="1243" t="s">
        <v>61</v>
      </c>
      <c r="L3" s="1243"/>
      <c r="M3" s="1243" t="s">
        <v>60</v>
      </c>
      <c r="N3" s="1243"/>
      <c r="O3" s="1243" t="s">
        <v>61</v>
      </c>
      <c r="P3" s="1243"/>
    </row>
    <row r="4" spans="1:16" s="10" customFormat="1" ht="15.75" customHeight="1">
      <c r="A4" s="1270"/>
      <c r="B4" s="1272"/>
      <c r="C4" s="1272"/>
      <c r="D4" s="1272"/>
      <c r="E4" s="356" t="s">
        <v>327</v>
      </c>
      <c r="F4" s="356" t="s">
        <v>328</v>
      </c>
      <c r="G4" s="356" t="s">
        <v>327</v>
      </c>
      <c r="H4" s="356" t="s">
        <v>328</v>
      </c>
      <c r="I4" s="356" t="s">
        <v>327</v>
      </c>
      <c r="J4" s="356" t="s">
        <v>328</v>
      </c>
      <c r="K4" s="356" t="s">
        <v>327</v>
      </c>
      <c r="L4" s="356" t="s">
        <v>328</v>
      </c>
      <c r="M4" s="356" t="s">
        <v>327</v>
      </c>
      <c r="N4" s="356" t="s">
        <v>328</v>
      </c>
      <c r="O4" s="356" t="s">
        <v>327</v>
      </c>
      <c r="P4" s="356" t="s">
        <v>328</v>
      </c>
    </row>
    <row r="5" spans="1:16" s="10" customFormat="1" ht="18" customHeight="1">
      <c r="A5" s="6">
        <f>IF(B5&lt;&gt;"",ROW()-4,"")</f>
        <v>1</v>
      </c>
      <c r="B5" s="7" t="s">
        <v>166</v>
      </c>
      <c r="C5" s="243">
        <v>41870</v>
      </c>
      <c r="D5" s="243">
        <v>46253</v>
      </c>
      <c r="E5" s="357">
        <v>0</v>
      </c>
      <c r="F5" s="25">
        <v>0</v>
      </c>
      <c r="G5" s="25">
        <v>0</v>
      </c>
      <c r="H5" s="25">
        <v>1000000000</v>
      </c>
      <c r="I5" s="25">
        <f t="array" ref="I5">SUM(IF("341"&amp;B5=LEFT(KHN,3)&amp;KH,_TH))</f>
        <v>0</v>
      </c>
      <c r="J5" s="8">
        <f t="array" ref="J5">SUM(IF("341"&amp;B5=LEFT(KHN,3)&amp;KH,TH))</f>
        <v>8340000</v>
      </c>
      <c r="K5" s="8">
        <f t="array" ref="K5">SUM(IF("341"&amp;B5=LEFT(KHC,3)&amp;KH,_TH))</f>
        <v>0</v>
      </c>
      <c r="L5" s="8">
        <f t="array" ref="L5">SUM(IF("341"&amp;B5=LEFT(KHC,3)&amp;KH,TH))</f>
        <v>0</v>
      </c>
      <c r="M5" s="246">
        <f>ROUND(MAX(E5+I5-G5-K5,0),2)</f>
        <v>0</v>
      </c>
      <c r="N5" s="246">
        <f t="shared" ref="N5:N18" si="0">ROUND(MAX(F5+J5-H5-L5,0),2)</f>
        <v>0</v>
      </c>
      <c r="O5" s="246">
        <f t="shared" ref="O5:P19" si="1">ROUND(MAX(G5+K5-E5-I5,0),2)</f>
        <v>0</v>
      </c>
      <c r="P5" s="246">
        <f t="shared" si="1"/>
        <v>991660000</v>
      </c>
    </row>
    <row r="6" spans="1:16" s="10" customFormat="1" ht="18" customHeight="1">
      <c r="A6" s="6">
        <f t="shared" ref="A6:A22" si="2">IF(B6&lt;&gt;"",ROW()-4,"")</f>
        <v>2</v>
      </c>
      <c r="B6" s="7" t="s">
        <v>167</v>
      </c>
      <c r="C6" s="243">
        <v>41905</v>
      </c>
      <c r="D6" s="243">
        <v>46253</v>
      </c>
      <c r="E6" s="243">
        <v>0</v>
      </c>
      <c r="F6" s="8">
        <v>0</v>
      </c>
      <c r="G6" s="8">
        <v>0</v>
      </c>
      <c r="H6" s="8">
        <v>2000000000</v>
      </c>
      <c r="I6" s="25">
        <f t="array" ref="I6">SUM(IF("341"&amp;B6=LEFT(KHN,3)&amp;KH,_TH))</f>
        <v>0</v>
      </c>
      <c r="J6" s="8">
        <f t="array" ref="J6">SUM(IF("341"&amp;B6=LEFT(KHN,3)&amp;KH,TH))</f>
        <v>16670000</v>
      </c>
      <c r="K6" s="8">
        <f t="array" ref="K6">SUM(IF("341"&amp;B6=LEFT(KHC,3)&amp;KH,_TH))</f>
        <v>0</v>
      </c>
      <c r="L6" s="8">
        <f t="array" ref="L6">SUM(IF("341"&amp;B6=LEFT(KHC,3)&amp;KH,TH))</f>
        <v>0</v>
      </c>
      <c r="M6" s="246">
        <f t="shared" ref="M6:M19" si="3">ROUND(MAX(E6+I6-G6-K6,0),2)</f>
        <v>0</v>
      </c>
      <c r="N6" s="246">
        <f t="shared" si="0"/>
        <v>0</v>
      </c>
      <c r="O6" s="246">
        <f t="shared" si="1"/>
        <v>0</v>
      </c>
      <c r="P6" s="246">
        <f t="shared" si="1"/>
        <v>1983330000</v>
      </c>
    </row>
    <row r="7" spans="1:16" s="10" customFormat="1" ht="18" customHeight="1">
      <c r="A7" s="6">
        <f t="shared" si="2"/>
        <v>3</v>
      </c>
      <c r="B7" s="7" t="s">
        <v>169</v>
      </c>
      <c r="C7" s="243">
        <v>41934</v>
      </c>
      <c r="D7" s="243">
        <v>46253</v>
      </c>
      <c r="E7" s="243">
        <v>0</v>
      </c>
      <c r="F7" s="8">
        <v>0</v>
      </c>
      <c r="G7" s="8">
        <v>0</v>
      </c>
      <c r="H7" s="8">
        <v>1600000000</v>
      </c>
      <c r="I7" s="25">
        <f t="array" ref="I7">SUM(IF("341"&amp;B7=LEFT(KHN,3)&amp;KH,_TH))</f>
        <v>0</v>
      </c>
      <c r="J7" s="8">
        <f t="array" ref="J7">SUM(IF("341"&amp;B7=LEFT(KHN,3)&amp;KH,TH))</f>
        <v>13340000</v>
      </c>
      <c r="K7" s="8">
        <f t="array" ref="K7">SUM(IF("341"&amp;B7=LEFT(KHC,3)&amp;KH,_TH))</f>
        <v>0</v>
      </c>
      <c r="L7" s="8">
        <f t="array" ref="L7">SUM(IF("341"&amp;B7=LEFT(KHC,3)&amp;KH,TH))</f>
        <v>0</v>
      </c>
      <c r="M7" s="246">
        <f t="shared" si="3"/>
        <v>0</v>
      </c>
      <c r="N7" s="246">
        <f t="shared" si="0"/>
        <v>0</v>
      </c>
      <c r="O7" s="246">
        <f t="shared" si="1"/>
        <v>0</v>
      </c>
      <c r="P7" s="246">
        <f t="shared" si="1"/>
        <v>1586660000</v>
      </c>
    </row>
    <row r="8" spans="1:16" s="10" customFormat="1" ht="18" customHeight="1">
      <c r="A8" s="6">
        <f t="shared" si="2"/>
        <v>4</v>
      </c>
      <c r="B8" s="7" t="s">
        <v>168</v>
      </c>
      <c r="C8" s="243">
        <v>41963</v>
      </c>
      <c r="D8" s="243">
        <v>46253</v>
      </c>
      <c r="E8" s="243">
        <v>0</v>
      </c>
      <c r="F8" s="8">
        <v>0</v>
      </c>
      <c r="G8" s="8">
        <v>0</v>
      </c>
      <c r="H8" s="8">
        <v>1500000000</v>
      </c>
      <c r="I8" s="25">
        <f t="array" ref="I8">SUM(IF("341"&amp;B8=LEFT(KHN,3)&amp;KH,_TH))</f>
        <v>0</v>
      </c>
      <c r="J8" s="8">
        <f t="array" ref="J8">SUM(IF("341"&amp;B8=LEFT(KHN,3)&amp;KH,TH))</f>
        <v>12500000</v>
      </c>
      <c r="K8" s="8">
        <f t="array" ref="K8">SUM(IF("341"&amp;B8=LEFT(KHC,3)&amp;KH,_TH))</f>
        <v>0</v>
      </c>
      <c r="L8" s="8">
        <f t="array" ref="L8">SUM(IF("341"&amp;B8=LEFT(KHC,3)&amp;KH,TH))</f>
        <v>0</v>
      </c>
      <c r="M8" s="246">
        <f t="shared" si="3"/>
        <v>0</v>
      </c>
      <c r="N8" s="246">
        <f t="shared" si="0"/>
        <v>0</v>
      </c>
      <c r="O8" s="246">
        <f t="shared" si="1"/>
        <v>0</v>
      </c>
      <c r="P8" s="246">
        <f t="shared" si="1"/>
        <v>1487500000</v>
      </c>
    </row>
    <row r="9" spans="1:16" s="10" customFormat="1" ht="18" customHeight="1">
      <c r="A9" s="6">
        <f t="shared" si="2"/>
        <v>5</v>
      </c>
      <c r="B9" s="7" t="s">
        <v>170</v>
      </c>
      <c r="C9" s="243">
        <v>41984</v>
      </c>
      <c r="D9" s="243">
        <v>46253</v>
      </c>
      <c r="E9" s="243">
        <v>0</v>
      </c>
      <c r="F9" s="8">
        <v>0</v>
      </c>
      <c r="G9" s="8">
        <v>0</v>
      </c>
      <c r="H9" s="8">
        <v>1000000000</v>
      </c>
      <c r="I9" s="25">
        <f t="array" ref="I9">SUM(IF("341"&amp;B9=LEFT(KHN,3)&amp;KH,_TH))</f>
        <v>0</v>
      </c>
      <c r="J9" s="8">
        <f t="array" ref="J9">SUM(IF("341"&amp;B9=LEFT(KHN,3)&amp;KH,TH))</f>
        <v>8330000</v>
      </c>
      <c r="K9" s="8">
        <f t="array" ref="K9">SUM(IF("341"&amp;B9=LEFT(KHC,3)&amp;KH,_TH))</f>
        <v>0</v>
      </c>
      <c r="L9" s="8">
        <f t="array" ref="L9">SUM(IF("341"&amp;B9=LEFT(KHC,3)&amp;KH,TH))</f>
        <v>0</v>
      </c>
      <c r="M9" s="246">
        <f t="shared" si="3"/>
        <v>0</v>
      </c>
      <c r="N9" s="246">
        <f t="shared" si="0"/>
        <v>0</v>
      </c>
      <c r="O9" s="246">
        <f t="shared" si="1"/>
        <v>0</v>
      </c>
      <c r="P9" s="246">
        <f t="shared" si="1"/>
        <v>991670000</v>
      </c>
    </row>
    <row r="10" spans="1:16" s="10" customFormat="1" ht="18" customHeight="1">
      <c r="A10" s="6">
        <f t="shared" si="2"/>
        <v>6</v>
      </c>
      <c r="B10" s="7" t="s">
        <v>171</v>
      </c>
      <c r="C10" s="243">
        <v>42033</v>
      </c>
      <c r="D10" s="243">
        <v>46253</v>
      </c>
      <c r="E10" s="243">
        <v>0</v>
      </c>
      <c r="F10" s="8">
        <v>0</v>
      </c>
      <c r="G10" s="8">
        <v>0</v>
      </c>
      <c r="H10" s="8">
        <v>1500000000</v>
      </c>
      <c r="I10" s="25">
        <f t="array" ref="I10">SUM(IF("341"&amp;B10=LEFT(KHN,3)&amp;KH,_TH))</f>
        <v>0</v>
      </c>
      <c r="J10" s="8">
        <f t="array" ref="J10">SUM(IF("341"&amp;B10=LEFT(KHN,3)&amp;KH,TH))</f>
        <v>12500000</v>
      </c>
      <c r="K10" s="8">
        <f t="array" ref="K10">SUM(IF("341"&amp;B10=LEFT(KHC,3)&amp;KH,_TH))</f>
        <v>0</v>
      </c>
      <c r="L10" s="8">
        <f t="array" ref="L10">SUM(IF("341"&amp;B10=LEFT(KHC,3)&amp;KH,TH))</f>
        <v>0</v>
      </c>
      <c r="M10" s="246">
        <f t="shared" si="3"/>
        <v>0</v>
      </c>
      <c r="N10" s="246">
        <f t="shared" si="0"/>
        <v>0</v>
      </c>
      <c r="O10" s="246">
        <f t="shared" si="1"/>
        <v>0</v>
      </c>
      <c r="P10" s="246">
        <f t="shared" si="1"/>
        <v>1487500000</v>
      </c>
    </row>
    <row r="11" spans="1:16" s="10" customFormat="1" ht="18" customHeight="1">
      <c r="A11" s="6">
        <f t="shared" si="2"/>
        <v>7</v>
      </c>
      <c r="B11" s="7" t="s">
        <v>172</v>
      </c>
      <c r="C11" s="243">
        <v>42088</v>
      </c>
      <c r="D11" s="243">
        <v>46253</v>
      </c>
      <c r="E11" s="243">
        <v>0</v>
      </c>
      <c r="F11" s="8">
        <v>0</v>
      </c>
      <c r="G11" s="8">
        <v>0</v>
      </c>
      <c r="H11" s="8">
        <v>2000000000</v>
      </c>
      <c r="I11" s="25">
        <f t="array" ref="I11">SUM(IF("341"&amp;B11=LEFT(KHN,3)&amp;KH,_TH))</f>
        <v>0</v>
      </c>
      <c r="J11" s="8">
        <f t="array" ref="J11">SUM(IF("341"&amp;B11=LEFT(KHN,3)&amp;KH,TH))</f>
        <v>16670000</v>
      </c>
      <c r="K11" s="8">
        <f t="array" ref="K11">SUM(IF("341"&amp;B11=LEFT(KHC,3)&amp;KH,_TH))</f>
        <v>0</v>
      </c>
      <c r="L11" s="8">
        <f t="array" ref="L11">SUM(IF("341"&amp;B11=LEFT(KHC,3)&amp;KH,TH))</f>
        <v>0</v>
      </c>
      <c r="M11" s="246">
        <f t="shared" si="3"/>
        <v>0</v>
      </c>
      <c r="N11" s="246">
        <f t="shared" si="0"/>
        <v>0</v>
      </c>
      <c r="O11" s="246">
        <f t="shared" si="1"/>
        <v>0</v>
      </c>
      <c r="P11" s="246">
        <f t="shared" si="1"/>
        <v>1983330000</v>
      </c>
    </row>
    <row r="12" spans="1:16" s="10" customFormat="1" ht="18" customHeight="1">
      <c r="A12" s="6">
        <f t="shared" si="2"/>
        <v>8</v>
      </c>
      <c r="B12" s="7" t="s">
        <v>173</v>
      </c>
      <c r="C12" s="243">
        <v>42114</v>
      </c>
      <c r="D12" s="243">
        <v>46253</v>
      </c>
      <c r="E12" s="243">
        <v>0</v>
      </c>
      <c r="F12" s="8">
        <v>0</v>
      </c>
      <c r="G12" s="8">
        <v>0</v>
      </c>
      <c r="H12" s="8">
        <v>1400000000</v>
      </c>
      <c r="I12" s="25">
        <f t="array" ref="I12">SUM(IF("341"&amp;B12=LEFT(KHN,3)&amp;KH,_TH))</f>
        <v>0</v>
      </c>
      <c r="J12" s="8">
        <f t="array" ref="J12">SUM(IF("341"&amp;B12=LEFT(KHN,3)&amp;KH,TH))</f>
        <v>11670000</v>
      </c>
      <c r="K12" s="8">
        <f t="array" ref="K12">SUM(IF("341"&amp;B12=LEFT(KHC,3)&amp;KH,_TH))</f>
        <v>0</v>
      </c>
      <c r="L12" s="8">
        <f t="array" ref="L12">SUM(IF("341"&amp;B12=LEFT(KHC,3)&amp;KH,TH))</f>
        <v>0</v>
      </c>
      <c r="M12" s="246">
        <f t="shared" si="3"/>
        <v>0</v>
      </c>
      <c r="N12" s="246">
        <f t="shared" si="0"/>
        <v>0</v>
      </c>
      <c r="O12" s="246">
        <f t="shared" si="1"/>
        <v>0</v>
      </c>
      <c r="P12" s="246">
        <f t="shared" si="1"/>
        <v>1388330000</v>
      </c>
    </row>
    <row r="13" spans="1:16" s="10" customFormat="1" ht="18" customHeight="1">
      <c r="A13" s="6">
        <f t="shared" si="2"/>
        <v>9</v>
      </c>
      <c r="B13" s="7" t="s">
        <v>174</v>
      </c>
      <c r="C13" s="243">
        <v>42138</v>
      </c>
      <c r="D13" s="243">
        <v>46253</v>
      </c>
      <c r="E13" s="243">
        <v>0</v>
      </c>
      <c r="F13" s="8">
        <v>0</v>
      </c>
      <c r="G13" s="8">
        <v>0</v>
      </c>
      <c r="H13" s="8">
        <v>1500000000</v>
      </c>
      <c r="I13" s="25">
        <f t="array" ref="I13">SUM(IF("341"&amp;B13=LEFT(KHN,3)&amp;KH,_TH))</f>
        <v>0</v>
      </c>
      <c r="J13" s="8">
        <f t="array" ref="J13">SUM(IF("341"&amp;B13=LEFT(KHN,3)&amp;KH,TH))</f>
        <v>12500000</v>
      </c>
      <c r="K13" s="8">
        <f t="array" ref="K13">SUM(IF("341"&amp;B13=LEFT(KHC,3)&amp;KH,_TH))</f>
        <v>0</v>
      </c>
      <c r="L13" s="8">
        <f t="array" ref="L13">SUM(IF("341"&amp;B13=LEFT(KHC,3)&amp;KH,TH))</f>
        <v>0</v>
      </c>
      <c r="M13" s="246">
        <f t="shared" si="3"/>
        <v>0</v>
      </c>
      <c r="N13" s="246">
        <f t="shared" si="0"/>
        <v>0</v>
      </c>
      <c r="O13" s="246">
        <f t="shared" si="1"/>
        <v>0</v>
      </c>
      <c r="P13" s="246">
        <f t="shared" si="1"/>
        <v>1487500000</v>
      </c>
    </row>
    <row r="14" spans="1:16" s="10" customFormat="1" ht="18" customHeight="1">
      <c r="A14" s="6">
        <f t="shared" si="2"/>
        <v>10</v>
      </c>
      <c r="B14" s="7" t="s">
        <v>175</v>
      </c>
      <c r="C14" s="243">
        <v>42164</v>
      </c>
      <c r="D14" s="243">
        <v>46253</v>
      </c>
      <c r="E14" s="243">
        <v>0</v>
      </c>
      <c r="F14" s="8">
        <v>0</v>
      </c>
      <c r="G14" s="8">
        <v>0</v>
      </c>
      <c r="H14" s="8">
        <v>1500000000</v>
      </c>
      <c r="I14" s="25">
        <f t="array" ref="I14">SUM(IF("341"&amp;B14=LEFT(KHN,3)&amp;KH,_TH))</f>
        <v>0</v>
      </c>
      <c r="J14" s="8">
        <f t="array" ref="J14">SUM(IF("341"&amp;B14=LEFT(KHN,3)&amp;KH,TH))</f>
        <v>12500000</v>
      </c>
      <c r="K14" s="8">
        <f t="array" ref="K14">SUM(IF("341"&amp;B14=LEFT(KHC,3)&amp;KH,_TH))</f>
        <v>0</v>
      </c>
      <c r="L14" s="8">
        <f t="array" ref="L14">SUM(IF("341"&amp;B14=LEFT(KHC,3)&amp;KH,TH))</f>
        <v>0</v>
      </c>
      <c r="M14" s="246">
        <f t="shared" si="3"/>
        <v>0</v>
      </c>
      <c r="N14" s="246">
        <f t="shared" si="0"/>
        <v>0</v>
      </c>
      <c r="O14" s="246">
        <f t="shared" si="1"/>
        <v>0</v>
      </c>
      <c r="P14" s="246">
        <f t="shared" si="1"/>
        <v>1487500000</v>
      </c>
    </row>
    <row r="15" spans="1:16" s="10" customFormat="1" ht="18" customHeight="1">
      <c r="A15" s="6">
        <f t="shared" si="2"/>
        <v>11</v>
      </c>
      <c r="B15" s="7" t="s">
        <v>176</v>
      </c>
      <c r="C15" s="243">
        <v>42187</v>
      </c>
      <c r="D15" s="243">
        <v>46253</v>
      </c>
      <c r="E15" s="243">
        <v>0</v>
      </c>
      <c r="F15" s="8">
        <v>0</v>
      </c>
      <c r="G15" s="8">
        <v>0</v>
      </c>
      <c r="H15" s="8">
        <v>1500000000</v>
      </c>
      <c r="I15" s="25">
        <f t="array" ref="I15">SUM(IF("341"&amp;B15=LEFT(KHN,3)&amp;KH,_TH))</f>
        <v>0</v>
      </c>
      <c r="J15" s="8">
        <f t="array" ref="J15">SUM(IF("341"&amp;B15=LEFT(KHN,3)&amp;KH,TH))</f>
        <v>12500000</v>
      </c>
      <c r="K15" s="8">
        <f t="array" ref="K15">SUM(IF("341"&amp;B15=LEFT(KHC,3)&amp;KH,_TH))</f>
        <v>0</v>
      </c>
      <c r="L15" s="8">
        <f t="array" ref="L15">SUM(IF("341"&amp;B15=LEFT(KHC,3)&amp;KH,TH))</f>
        <v>0</v>
      </c>
      <c r="M15" s="246">
        <f t="shared" si="3"/>
        <v>0</v>
      </c>
      <c r="N15" s="246">
        <f t="shared" si="0"/>
        <v>0</v>
      </c>
      <c r="O15" s="246">
        <f t="shared" si="1"/>
        <v>0</v>
      </c>
      <c r="P15" s="246">
        <f t="shared" si="1"/>
        <v>1487500000</v>
      </c>
    </row>
    <row r="16" spans="1:16" s="10" customFormat="1" ht="18" customHeight="1">
      <c r="A16" s="6">
        <f t="shared" si="2"/>
        <v>12</v>
      </c>
      <c r="B16" s="7" t="s">
        <v>179</v>
      </c>
      <c r="C16" s="243">
        <v>42195</v>
      </c>
      <c r="D16" s="243">
        <v>46253</v>
      </c>
      <c r="E16" s="243">
        <v>0</v>
      </c>
      <c r="F16" s="8">
        <v>0</v>
      </c>
      <c r="G16" s="8">
        <v>0</v>
      </c>
      <c r="H16" s="8">
        <v>1500000000</v>
      </c>
      <c r="I16" s="25">
        <f t="array" ref="I16">SUM(IF("341"&amp;B16=LEFT(KHN,3)&amp;KH,_TH))</f>
        <v>0</v>
      </c>
      <c r="J16" s="8">
        <f t="array" ref="J16">SUM(IF("341"&amp;B16=LEFT(KHN,3)&amp;KH,TH))</f>
        <v>12500000</v>
      </c>
      <c r="K16" s="8">
        <f t="array" ref="K16">SUM(IF("341"&amp;B16=LEFT(KHC,3)&amp;KH,_TH))</f>
        <v>0</v>
      </c>
      <c r="L16" s="8">
        <f t="array" ref="L16">SUM(IF("341"&amp;B16=LEFT(KHC,3)&amp;KH,TH))</f>
        <v>0</v>
      </c>
      <c r="M16" s="246">
        <f t="shared" si="3"/>
        <v>0</v>
      </c>
      <c r="N16" s="246">
        <f t="shared" si="0"/>
        <v>0</v>
      </c>
      <c r="O16" s="246">
        <f t="shared" si="1"/>
        <v>0</v>
      </c>
      <c r="P16" s="246">
        <f t="shared" si="1"/>
        <v>1487500000</v>
      </c>
    </row>
    <row r="17" spans="1:16" s="10" customFormat="1" ht="18" customHeight="1">
      <c r="A17" s="6">
        <f t="shared" si="2"/>
        <v>13</v>
      </c>
      <c r="B17" s="7" t="s">
        <v>180</v>
      </c>
      <c r="C17" s="243">
        <v>42215</v>
      </c>
      <c r="D17" s="243">
        <v>46253</v>
      </c>
      <c r="E17" s="243">
        <v>0</v>
      </c>
      <c r="F17" s="8">
        <v>0</v>
      </c>
      <c r="G17" s="8">
        <v>0</v>
      </c>
      <c r="H17" s="8">
        <v>1000000000</v>
      </c>
      <c r="I17" s="25">
        <f t="array" ref="I17">SUM(IF("341"&amp;B17=LEFT(KHN,3)&amp;KH,_TH))</f>
        <v>0</v>
      </c>
      <c r="J17" s="8">
        <f t="array" ref="J17">SUM(IF("341"&amp;B17=LEFT(KHN,3)&amp;KH,TH))</f>
        <v>8340000</v>
      </c>
      <c r="K17" s="8">
        <f t="array" ref="K17">SUM(IF("341"&amp;B17=LEFT(KHC,3)&amp;KH,_TH))</f>
        <v>0</v>
      </c>
      <c r="L17" s="8">
        <f t="array" ref="L17">SUM(IF("341"&amp;B17=LEFT(KHC,3)&amp;KH,TH))</f>
        <v>0</v>
      </c>
      <c r="M17" s="246">
        <f t="shared" si="3"/>
        <v>0</v>
      </c>
      <c r="N17" s="246">
        <f t="shared" si="0"/>
        <v>0</v>
      </c>
      <c r="O17" s="246">
        <f t="shared" si="1"/>
        <v>0</v>
      </c>
      <c r="P17" s="246">
        <f t="shared" si="1"/>
        <v>991660000</v>
      </c>
    </row>
    <row r="18" spans="1:16" s="10" customFormat="1" ht="18" customHeight="1">
      <c r="A18" s="6">
        <f t="shared" si="2"/>
        <v>14</v>
      </c>
      <c r="B18" s="7" t="s">
        <v>184</v>
      </c>
      <c r="C18" s="243">
        <v>42229</v>
      </c>
      <c r="D18" s="243">
        <v>46253</v>
      </c>
      <c r="E18" s="243">
        <v>0</v>
      </c>
      <c r="F18" s="8">
        <v>0</v>
      </c>
      <c r="G18" s="8">
        <v>0</v>
      </c>
      <c r="H18" s="8">
        <v>1000000000</v>
      </c>
      <c r="I18" s="25">
        <f t="array" ref="I18">SUM(IF("341"&amp;B18=LEFT(KHN,3)&amp;KH,_TH))</f>
        <v>0</v>
      </c>
      <c r="J18" s="8">
        <f t="array" ref="J18">SUM(IF("341"&amp;B18=LEFT(KHN,3)&amp;KH,TH))</f>
        <v>8340000</v>
      </c>
      <c r="K18" s="8">
        <f t="array" ref="K18">SUM(IF("341"&amp;B18=LEFT(KHC,3)&amp;KH,_TH))</f>
        <v>0</v>
      </c>
      <c r="L18" s="8">
        <f t="array" ref="L18">SUM(IF("341"&amp;B18=LEFT(KHC,3)&amp;KH,TH))</f>
        <v>0</v>
      </c>
      <c r="M18" s="246">
        <f t="shared" si="3"/>
        <v>0</v>
      </c>
      <c r="N18" s="246">
        <f t="shared" si="0"/>
        <v>0</v>
      </c>
      <c r="O18" s="246">
        <f t="shared" si="1"/>
        <v>0</v>
      </c>
      <c r="P18" s="246">
        <f t="shared" si="1"/>
        <v>991660000</v>
      </c>
    </row>
    <row r="19" spans="1:16" s="10" customFormat="1" ht="18" customHeight="1">
      <c r="A19" s="6">
        <f t="shared" si="2"/>
        <v>15</v>
      </c>
      <c r="B19" s="7" t="s">
        <v>325</v>
      </c>
      <c r="C19" s="243">
        <v>42362</v>
      </c>
      <c r="D19" s="243">
        <v>42545</v>
      </c>
      <c r="E19" s="243">
        <v>0</v>
      </c>
      <c r="F19" s="8">
        <v>0</v>
      </c>
      <c r="G19" s="8">
        <v>88000</v>
      </c>
      <c r="H19" s="8">
        <v>1982640000</v>
      </c>
      <c r="I19" s="25">
        <f t="array" ref="I19">SUM(IF("341"&amp;B19=LEFT(KHN,3)&amp;KH,_TH))</f>
        <v>88000</v>
      </c>
      <c r="J19" s="8">
        <f t="array" ref="J19">SUM(IF("341"&amp;B19=LEFT(KHN,3)&amp;KH,TH))</f>
        <v>1982640000</v>
      </c>
      <c r="K19" s="8">
        <f t="array" ref="K19">SUM(IF("341"&amp;B19=LEFT(KHC,3)&amp;KH,_TH))</f>
        <v>0</v>
      </c>
      <c r="L19" s="8">
        <f t="array" ref="L19">SUM(IF("341"&amp;B19=LEFT(KHC,3)&amp;KH,TH))</f>
        <v>0</v>
      </c>
      <c r="M19" s="246">
        <f t="shared" si="3"/>
        <v>0</v>
      </c>
      <c r="N19" s="246">
        <f>ROUND(MAX(F19+J19-H19-L19,0),2)</f>
        <v>0</v>
      </c>
      <c r="O19" s="246">
        <f t="shared" si="1"/>
        <v>0</v>
      </c>
      <c r="P19" s="246">
        <f>ROUND(MAX(H19+L19-F19-J19,0),2)</f>
        <v>0</v>
      </c>
    </row>
    <row r="20" spans="1:16" s="10" customFormat="1" ht="18" customHeight="1">
      <c r="A20" s="6">
        <f t="shared" si="2"/>
        <v>16</v>
      </c>
      <c r="B20" s="7" t="s">
        <v>965</v>
      </c>
      <c r="C20" s="243">
        <v>42543</v>
      </c>
      <c r="D20" s="243">
        <v>42726</v>
      </c>
      <c r="E20" s="243"/>
      <c r="F20" s="8">
        <v>0</v>
      </c>
      <c r="G20" s="8">
        <v>0</v>
      </c>
      <c r="H20" s="8">
        <v>0</v>
      </c>
      <c r="I20" s="25">
        <f t="array" ref="I20">SUM(IF("341"&amp;B20=LEFT(KHN,3)&amp;KH,_TH))</f>
        <v>0</v>
      </c>
      <c r="J20" s="8">
        <f t="array" ref="J20">SUM(IF("341"&amp;B20=LEFT(KHN,3)&amp;KH,TH))</f>
        <v>0</v>
      </c>
      <c r="K20" s="8">
        <f t="array" ref="K20">SUM(IF("341"&amp;B20=LEFT(KHC,3)&amp;KH,_TH))</f>
        <v>88000</v>
      </c>
      <c r="L20" s="8">
        <f t="array" ref="L20">SUM(IF("341"&amp;B20=LEFT(KHC,3)&amp;KH,TH))</f>
        <v>1961520000</v>
      </c>
      <c r="M20" s="246">
        <f>ROUND(MAX(E20+I20-G20-K20,0),2)</f>
        <v>0</v>
      </c>
      <c r="N20" s="246">
        <f>ROUND(MAX(F20+J20-H20-L20,0),2)</f>
        <v>0</v>
      </c>
      <c r="O20" s="246">
        <f>ROUND(MAX(G20+K20-E20-I20,0),2)</f>
        <v>88000</v>
      </c>
      <c r="P20" s="246">
        <f>ROUND(MAX(H20+L20-F20-J20,0),2)</f>
        <v>1961520000</v>
      </c>
    </row>
    <row r="21" spans="1:16" s="10" customFormat="1" ht="18" customHeight="1">
      <c r="A21" s="6" t="str">
        <f t="shared" si="2"/>
        <v/>
      </c>
      <c r="B21" s="7"/>
      <c r="C21" s="243"/>
      <c r="D21" s="243"/>
      <c r="E21" s="243"/>
      <c r="F21" s="8">
        <v>0</v>
      </c>
      <c r="G21" s="8">
        <v>0</v>
      </c>
      <c r="H21" s="8">
        <v>0</v>
      </c>
      <c r="I21" s="25">
        <f t="array" ref="I21">SUM(IF("341"&amp;B21=LEFT(KHN,3)&amp;KH,_TH))</f>
        <v>0</v>
      </c>
      <c r="J21" s="8">
        <f t="array" ref="J21">SUM(IF("341"&amp;B21=LEFT(KHN,3)&amp;KH,TH))</f>
        <v>0</v>
      </c>
      <c r="K21" s="8">
        <f t="array" ref="K21">SUM(IF("341"&amp;B21=LEFT(KHC,3)&amp;KH,_TH))</f>
        <v>0</v>
      </c>
      <c r="L21" s="8">
        <f t="array" ref="L21">SUM(IF("341"&amp;B21=LEFT(KHC,3)&amp;KH,TH))</f>
        <v>0</v>
      </c>
      <c r="M21" s="246">
        <f>ROUND(MAX(E21+I21-G21-K21,0),2)</f>
        <v>0</v>
      </c>
      <c r="N21" s="246">
        <f>ROUND(MAX(F21+J21-H21-L21,0),2)</f>
        <v>0</v>
      </c>
      <c r="O21" s="246">
        <f>ROUND(MAX(G21+K21-E21-I21,0),2)</f>
        <v>0</v>
      </c>
      <c r="P21" s="246">
        <f>ROUND(MAX(H21+L21-F21-J21,0),2)</f>
        <v>0</v>
      </c>
    </row>
    <row r="22" spans="1:16" s="10" customFormat="1" ht="18" customHeight="1">
      <c r="A22" s="6" t="str">
        <f t="shared" si="2"/>
        <v/>
      </c>
      <c r="B22" s="247"/>
      <c r="C22" s="248"/>
      <c r="D22" s="248"/>
      <c r="E22" s="248"/>
      <c r="F22" s="244"/>
      <c r="G22" s="244"/>
      <c r="H22" s="244"/>
      <c r="I22" s="244"/>
      <c r="J22" s="244"/>
      <c r="K22" s="244"/>
      <c r="L22" s="244"/>
      <c r="M22" s="358"/>
      <c r="N22" s="245"/>
      <c r="O22" s="245"/>
      <c r="P22" s="245"/>
    </row>
    <row r="23" spans="1:16" s="14" customFormat="1" ht="18" customHeight="1">
      <c r="A23" s="11"/>
      <c r="B23" s="12" t="s">
        <v>55</v>
      </c>
      <c r="C23" s="12"/>
      <c r="D23" s="12"/>
      <c r="E23" s="12"/>
      <c r="F23" s="13">
        <f t="shared" ref="F23:P23" si="4">SUM(F5:F22)</f>
        <v>0</v>
      </c>
      <c r="G23" s="13"/>
      <c r="H23" s="13">
        <f>SUM(H5:H22)</f>
        <v>21982640000</v>
      </c>
      <c r="I23" s="13"/>
      <c r="J23" s="13">
        <f t="shared" si="4"/>
        <v>2149340000</v>
      </c>
      <c r="K23" s="13"/>
      <c r="L23" s="13">
        <f t="shared" si="4"/>
        <v>1961520000</v>
      </c>
      <c r="M23" s="13">
        <f t="shared" si="4"/>
        <v>0</v>
      </c>
      <c r="N23" s="13">
        <f t="shared" si="4"/>
        <v>0</v>
      </c>
      <c r="O23" s="13">
        <f t="shared" si="4"/>
        <v>88000</v>
      </c>
      <c r="P23" s="13">
        <f t="shared" si="4"/>
        <v>21794820000</v>
      </c>
    </row>
    <row r="24" spans="1:16">
      <c r="P24" s="15">
        <f>CDPS!H48</f>
        <v>21794820000</v>
      </c>
    </row>
    <row r="25" spans="1:16">
      <c r="P25" s="249">
        <f>P23-P24</f>
        <v>0</v>
      </c>
    </row>
    <row r="27" spans="1:16">
      <c r="B27" s="242">
        <v>1</v>
      </c>
      <c r="C27" s="242">
        <v>2</v>
      </c>
      <c r="D27" s="242">
        <v>3</v>
      </c>
      <c r="E27" s="242">
        <v>4</v>
      </c>
      <c r="F27" s="242">
        <v>5</v>
      </c>
      <c r="G27" s="242">
        <v>6</v>
      </c>
      <c r="H27" s="242">
        <v>7</v>
      </c>
      <c r="I27" s="242">
        <v>8</v>
      </c>
      <c r="J27" s="242">
        <v>9</v>
      </c>
      <c r="K27" s="242">
        <v>10</v>
      </c>
      <c r="L27" s="242">
        <v>11</v>
      </c>
      <c r="M27" s="242">
        <v>12</v>
      </c>
      <c r="N27" s="242">
        <v>13</v>
      </c>
      <c r="O27" s="242">
        <v>14</v>
      </c>
      <c r="P27" s="242">
        <v>15</v>
      </c>
    </row>
  </sheetData>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9.xml><?xml version="1.0" encoding="utf-8"?>
<worksheet xmlns="http://schemas.openxmlformats.org/spreadsheetml/2006/main" xmlns:r="http://schemas.openxmlformats.org/officeDocument/2006/relationships">
  <sheetPr>
    <tabColor theme="3"/>
  </sheetPr>
  <dimension ref="A1:N43"/>
  <sheetViews>
    <sheetView topLeftCell="A8" workbookViewId="0">
      <pane ySplit="9" topLeftCell="A17" activePane="bottomLeft" state="frozen"/>
      <selection activeCell="D27" sqref="D27"/>
      <selection pane="bottomLeft" activeCell="H9" sqref="H9:I9"/>
    </sheetView>
  </sheetViews>
  <sheetFormatPr defaultRowHeight="12.75"/>
  <cols>
    <col min="1" max="1" width="8.42578125" style="256" customWidth="1"/>
    <col min="2" max="2" width="7" style="256" customWidth="1"/>
    <col min="3" max="3" width="8.140625" style="256" customWidth="1"/>
    <col min="4" max="4" width="35.42578125" style="256" customWidth="1"/>
    <col min="5" max="5" width="6.5703125" style="256" customWidth="1"/>
    <col min="6" max="6" width="9.140625" style="256"/>
    <col min="7" max="7" width="9.7109375" style="256" customWidth="1"/>
    <col min="8" max="8" width="12" style="256" customWidth="1"/>
    <col min="9" max="9" width="9.7109375" style="256" customWidth="1"/>
    <col min="10" max="10" width="12.42578125" style="256" customWidth="1"/>
    <col min="11" max="11" width="9.28515625" style="256" customWidth="1"/>
    <col min="12" max="12" width="11" style="256" customWidth="1"/>
    <col min="13" max="13" width="10.85546875" style="256" customWidth="1"/>
    <col min="14" max="14" width="14" style="256" customWidth="1"/>
    <col min="15" max="16384" width="9.140625" style="256"/>
  </cols>
  <sheetData>
    <row r="1" spans="1:14" s="251" customFormat="1" ht="16.5" customHeight="1">
      <c r="A1" s="257" t="s">
        <v>17</v>
      </c>
      <c r="B1" s="250"/>
      <c r="C1" s="250"/>
      <c r="H1" s="250"/>
      <c r="I1" s="250"/>
      <c r="J1" s="1273" t="s">
        <v>338</v>
      </c>
      <c r="K1" s="1273"/>
      <c r="L1" s="1273"/>
      <c r="M1" s="1273"/>
      <c r="N1" s="1273"/>
    </row>
    <row r="2" spans="1:14" s="251" customFormat="1" ht="16.5" customHeight="1">
      <c r="A2" s="258" t="s">
        <v>266</v>
      </c>
      <c r="B2" s="387"/>
      <c r="C2" s="387"/>
      <c r="H2" s="252"/>
      <c r="I2" s="252"/>
      <c r="J2" s="1266" t="s">
        <v>339</v>
      </c>
      <c r="K2" s="1266"/>
      <c r="L2" s="1266"/>
      <c r="M2" s="1266"/>
      <c r="N2" s="1266"/>
    </row>
    <row r="3" spans="1:14" s="251" customFormat="1" ht="16.5" customHeight="1">
      <c r="A3" s="387"/>
      <c r="B3" s="387"/>
      <c r="C3" s="387"/>
      <c r="H3" s="252"/>
      <c r="I3" s="252"/>
      <c r="J3" s="1266"/>
      <c r="K3" s="1266"/>
      <c r="L3" s="1266"/>
      <c r="M3" s="1266"/>
      <c r="N3" s="1266"/>
    </row>
    <row r="4" spans="1:14" s="251" customFormat="1" ht="16.5" customHeight="1">
      <c r="A4" s="387"/>
      <c r="B4" s="387"/>
      <c r="C4" s="387"/>
      <c r="H4" s="252"/>
      <c r="I4" s="252"/>
      <c r="J4" s="388"/>
      <c r="K4" s="388"/>
      <c r="L4" s="388"/>
      <c r="M4" s="388"/>
      <c r="N4" s="388"/>
    </row>
    <row r="5" spans="1:14" s="18" customFormat="1" ht="23.25" customHeight="1">
      <c r="A5" s="1245" t="s">
        <v>340</v>
      </c>
      <c r="B5" s="1245"/>
      <c r="C5" s="1245"/>
      <c r="D5" s="1245"/>
      <c r="E5" s="1245"/>
      <c r="F5" s="1245"/>
      <c r="G5" s="1245"/>
      <c r="H5" s="1245"/>
      <c r="I5" s="1245"/>
      <c r="J5" s="1245"/>
      <c r="K5" s="1245"/>
      <c r="L5" s="1245"/>
      <c r="M5" s="1245"/>
      <c r="N5" s="1245"/>
    </row>
    <row r="6" spans="1:14" s="18" customFormat="1">
      <c r="A6" s="1209" t="s">
        <v>341</v>
      </c>
      <c r="B6" s="1209"/>
      <c r="C6" s="1209"/>
      <c r="D6" s="1209"/>
      <c r="E6" s="1209"/>
      <c r="F6" s="1209"/>
      <c r="G6" s="1209"/>
      <c r="H6" s="1209"/>
      <c r="I6" s="1209"/>
      <c r="J6" s="1209"/>
      <c r="K6" s="1209"/>
      <c r="L6" s="1209"/>
      <c r="M6" s="1209"/>
      <c r="N6" s="1209"/>
    </row>
    <row r="7" spans="1:14" s="18" customFormat="1">
      <c r="A7" s="1209" t="s">
        <v>342</v>
      </c>
      <c r="B7" s="1209"/>
      <c r="C7" s="1209"/>
      <c r="D7" s="1209"/>
      <c r="E7" s="1209"/>
      <c r="F7" s="1209"/>
      <c r="G7" s="1209"/>
      <c r="H7" s="1209"/>
      <c r="I7" s="1209"/>
      <c r="J7" s="1209"/>
      <c r="K7" s="1209"/>
      <c r="L7" s="1209"/>
      <c r="M7" s="1209"/>
      <c r="N7" s="1209"/>
    </row>
    <row r="8" spans="1:14" s="18" customFormat="1" ht="15" customHeight="1">
      <c r="A8" s="1209" t="str">
        <f>IF(MID($H$9,4,4)="1015","Đối tượng cho vay: NH Eximbank CN Q11","Đối tượng cho vay: NH Eximbank CN Q4")</f>
        <v>Đối tượng cho vay: NH Eximbank CN Q4</v>
      </c>
      <c r="B8" s="1209"/>
      <c r="C8" s="1209"/>
      <c r="D8" s="1209"/>
      <c r="E8" s="1209"/>
      <c r="F8" s="1209"/>
      <c r="G8" s="1209"/>
      <c r="H8" s="1209"/>
      <c r="I8" s="1209"/>
      <c r="J8" s="1209"/>
      <c r="K8" s="1209"/>
      <c r="L8" s="1209"/>
      <c r="M8" s="1209"/>
      <c r="N8" s="1209"/>
    </row>
    <row r="9" spans="1:14" s="18" customFormat="1">
      <c r="A9" s="386"/>
      <c r="B9" s="386"/>
      <c r="C9" s="386"/>
      <c r="D9" s="386"/>
      <c r="E9" s="386"/>
      <c r="F9" s="386"/>
      <c r="G9" s="20" t="s">
        <v>343</v>
      </c>
      <c r="H9" s="1283" t="s">
        <v>325</v>
      </c>
      <c r="I9" s="1283"/>
      <c r="J9" s="389" t="str">
        <f>"ngày "&amp; TEXT(VLOOKUP($H$9,'341'!$B$5:$P$22,2,0),"dd/MM/yy")</f>
        <v>ngày 24/12/15</v>
      </c>
      <c r="K9" s="386"/>
      <c r="L9" s="386"/>
      <c r="M9" s="386"/>
      <c r="N9" s="386"/>
    </row>
    <row r="10" spans="1:14" s="18" customFormat="1">
      <c r="A10" s="1209" t="s">
        <v>344</v>
      </c>
      <c r="B10" s="1209"/>
      <c r="C10" s="1209"/>
      <c r="D10" s="1209"/>
      <c r="E10" s="1209"/>
      <c r="F10" s="1209"/>
      <c r="G10" s="1209"/>
      <c r="H10" s="1209"/>
      <c r="I10" s="1209"/>
      <c r="J10" s="1209"/>
      <c r="K10" s="1209"/>
      <c r="L10" s="1209"/>
      <c r="M10" s="1209"/>
      <c r="N10" s="1209"/>
    </row>
    <row r="11" spans="1:14" s="18" customFormat="1">
      <c r="C11" s="1275"/>
      <c r="D11" s="1275"/>
      <c r="E11" s="1275"/>
      <c r="F11" s="1275"/>
      <c r="G11" s="1275"/>
      <c r="H11" s="1275"/>
      <c r="I11" s="1275"/>
      <c r="J11" s="1275"/>
      <c r="K11" s="1275"/>
      <c r="L11" s="1275"/>
      <c r="M11" s="1275"/>
      <c r="N11" s="1275"/>
    </row>
    <row r="12" spans="1:14" s="18" customFormat="1" ht="15.75" customHeight="1">
      <c r="A12" s="1284" t="s">
        <v>27</v>
      </c>
      <c r="B12" s="1277" t="s">
        <v>1</v>
      </c>
      <c r="C12" s="1278"/>
      <c r="D12" s="1284" t="s">
        <v>0</v>
      </c>
      <c r="E12" s="1284" t="s">
        <v>19</v>
      </c>
      <c r="F12" s="1284" t="s">
        <v>345</v>
      </c>
      <c r="G12" s="1277" t="s">
        <v>28</v>
      </c>
      <c r="H12" s="1289"/>
      <c r="I12" s="1289"/>
      <c r="J12" s="1282"/>
      <c r="K12" s="1277" t="s">
        <v>38</v>
      </c>
      <c r="L12" s="1289"/>
      <c r="M12" s="1289"/>
      <c r="N12" s="1282"/>
    </row>
    <row r="13" spans="1:14" s="18" customFormat="1" ht="15.75" customHeight="1">
      <c r="A13" s="1285"/>
      <c r="B13" s="1290" t="s">
        <v>20</v>
      </c>
      <c r="C13" s="1290" t="s">
        <v>39</v>
      </c>
      <c r="D13" s="1285"/>
      <c r="E13" s="1285"/>
      <c r="F13" s="1287"/>
      <c r="G13" s="1281" t="s">
        <v>29</v>
      </c>
      <c r="H13" s="1282"/>
      <c r="I13" s="1281" t="s">
        <v>30</v>
      </c>
      <c r="J13" s="1282"/>
      <c r="K13" s="1281" t="s">
        <v>29</v>
      </c>
      <c r="L13" s="1282"/>
      <c r="M13" s="1281" t="s">
        <v>30</v>
      </c>
      <c r="N13" s="1282"/>
    </row>
    <row r="14" spans="1:14" s="18" customFormat="1" ht="32.25" customHeight="1">
      <c r="A14" s="1286"/>
      <c r="B14" s="1291"/>
      <c r="C14" s="1291"/>
      <c r="D14" s="1286"/>
      <c r="E14" s="1286"/>
      <c r="F14" s="1288"/>
      <c r="G14" s="30" t="s">
        <v>346</v>
      </c>
      <c r="H14" s="30" t="s">
        <v>347</v>
      </c>
      <c r="I14" s="30" t="s">
        <v>346</v>
      </c>
      <c r="J14" s="30" t="s">
        <v>347</v>
      </c>
      <c r="K14" s="30" t="s">
        <v>346</v>
      </c>
      <c r="L14" s="30" t="s">
        <v>347</v>
      </c>
      <c r="M14" s="30" t="s">
        <v>346</v>
      </c>
      <c r="N14" s="30" t="s">
        <v>347</v>
      </c>
    </row>
    <row r="15" spans="1:14" s="386" customFormat="1">
      <c r="A15" s="390" t="s">
        <v>2</v>
      </c>
      <c r="B15" s="391" t="s">
        <v>3</v>
      </c>
      <c r="C15" s="390" t="s">
        <v>4</v>
      </c>
      <c r="D15" s="390" t="s">
        <v>5</v>
      </c>
      <c r="E15" s="390" t="s">
        <v>6</v>
      </c>
      <c r="F15" s="390">
        <v>1</v>
      </c>
      <c r="G15" s="390">
        <v>2</v>
      </c>
      <c r="H15" s="390">
        <v>3</v>
      </c>
      <c r="I15" s="390">
        <v>4</v>
      </c>
      <c r="J15" s="390">
        <v>5</v>
      </c>
      <c r="K15" s="390">
        <v>6</v>
      </c>
      <c r="L15" s="390">
        <v>7</v>
      </c>
      <c r="M15" s="390">
        <v>8</v>
      </c>
      <c r="N15" s="390">
        <v>9</v>
      </c>
    </row>
    <row r="16" spans="1:14" s="18" customFormat="1" ht="19.5" customHeight="1">
      <c r="A16" s="416"/>
      <c r="B16" s="416"/>
      <c r="C16" s="416"/>
      <c r="D16" s="417" t="s">
        <v>7</v>
      </c>
      <c r="E16" s="418"/>
      <c r="F16" s="418"/>
      <c r="G16" s="416"/>
      <c r="H16" s="416"/>
      <c r="I16" s="416"/>
      <c r="J16" s="416"/>
      <c r="K16" s="419">
        <f>VLOOKUP($H$9,'341'!$B$5:$P$22,4,0)</f>
        <v>0</v>
      </c>
      <c r="L16" s="420">
        <f>VLOOKUP($H$9,'341'!$B$5:$P$22,5,0)</f>
        <v>0</v>
      </c>
      <c r="M16" s="419">
        <f>VLOOKUP($H$9,'341'!$B$5:$P$22,6,0)</f>
        <v>88000</v>
      </c>
      <c r="N16" s="420">
        <f>VLOOKUP($H$9,'341'!$B$5:$P$22,7,0)</f>
        <v>1982640000</v>
      </c>
    </row>
    <row r="17" spans="1:14" s="18" customFormat="1" ht="19.5" customHeight="1">
      <c r="A17" s="353">
        <f ca="1">IF(ROWS($1:1)&gt;COUNT(Dong4),"",OFFSET(TH!C$1,SMALL(Dong4,ROWS($1:1)),))</f>
        <v>42538</v>
      </c>
      <c r="B17" s="253" t="str">
        <f ca="1">IF(ROWS($1:1)&gt;COUNT(Dong4),"",OFFSET(TH!D$1,SMALL(Dong4,ROWS($1:1)),))</f>
        <v>GBN</v>
      </c>
      <c r="C17" s="253">
        <f ca="1">IF(ROWS($1:1)&gt;COUNT(Dong4),"",OFFSET(TH!E$1,SMALL(Dong4,ROWS($1:1)),))</f>
        <v>42538</v>
      </c>
      <c r="D17" s="421" t="str">
        <f ca="1">IF(ROWS($1:1)&gt;COUNT(Dong4),"",OFFSET(TH!F$1,SMALL(Dong4,ROWS($1:1)),))</f>
        <v>Thu vốn vay</v>
      </c>
      <c r="E17" s="253" t="str">
        <f ca="1">IF(ROWS($1:1)&gt;COUNT(Dong4),"",IF(LEFT(OFFSET(TH!P$1,SMALL(Dong4,ROWS($1:1)),),3)="341",OFFSET(TH!O$1,SMALL(Dong4,ROWS($1:1)),),OFFSET(TH!P$1,SMALL(Dong4,ROWS($1:1)),)))</f>
        <v>1122</v>
      </c>
      <c r="F17" s="422"/>
      <c r="G17" s="423">
        <f ca="1">IF(ROWS($1:1)&gt;COUNT(Dong4),"",IF(LEFT(OFFSET(TH!O$1,SMALL(Dong4,ROWS($1:1)),),3)="341",OFFSET(TH!K$1,SMALL(Dong4,ROWS($1:1)),),0))</f>
        <v>88000</v>
      </c>
      <c r="H17" s="422">
        <f ca="1">IF(ROWS($1:1)&gt;COUNT(Dong4),"",IF(LEFT(OFFSET(TH!O$1,SMALL(Dong4,ROWS($1:1)),),3)="341",OFFSET(TH!M$1,SMALL(Dong4,ROWS($1:1)),),0))</f>
        <v>1962840000</v>
      </c>
      <c r="I17" s="423">
        <f ca="1">IF(ROWS($1:1)&gt;COUNT(Dong4),"",IF(LEFT(OFFSET(TH!P$1,SMALL(Dong4,ROWS($1:1)),),3)="341",OFFSET(TH!K$1,SMALL(Dong4,ROWS($1:1)),),0))</f>
        <v>0</v>
      </c>
      <c r="J17" s="422">
        <f ca="1">IF(ROWS($1:1)&gt;COUNT(Dong4),"",IF(LEFT(OFFSET(TH!P$1,SMALL(Dong4,ROWS($1:1)),),3)="341",OFFSET(TH!M$1,SMALL(Dong4,ROWS($1:1)),),0))</f>
        <v>0</v>
      </c>
      <c r="K17" s="244">
        <f ca="1">IF(C17&lt;&gt;"",ROUND(MAX(K16+G17-I17-M16,0),2),0)</f>
        <v>0</v>
      </c>
      <c r="L17" s="8">
        <f ca="1">IF(C17&lt;&gt;"",MAX(L16-N16+H17-J17,0),0)</f>
        <v>0</v>
      </c>
      <c r="M17" s="244">
        <f ca="1">IF(C17&lt;&gt;"",ROUND(MAX(M16+I17-G17-K16,0),2),0)</f>
        <v>0</v>
      </c>
      <c r="N17" s="8">
        <f ca="1">IF(C17&lt;&gt;"",MAX(N16-L16+J17-H17,0),0)</f>
        <v>19800000</v>
      </c>
    </row>
    <row r="18" spans="1:14" s="424" customFormat="1" ht="19.5" customHeight="1">
      <c r="A18" s="353">
        <f ca="1">IF(ROWS($1:2)&gt;COUNT(Dong4),"",OFFSET(TH!C$1,SMALL(Dong4,ROWS($1:2)),))</f>
        <v>42551</v>
      </c>
      <c r="B18" s="253" t="str">
        <f ca="1">IF(ROWS($1:2)&gt;COUNT(Dong4),"",OFFSET(TH!D$1,SMALL(Dong4,ROWS($1:2)),))</f>
        <v>PKT 6</v>
      </c>
      <c r="C18" s="253">
        <f ca="1">IF(ROWS($1:2)&gt;COUNT(Dong4),"",OFFSET(TH!E$1,SMALL(Dong4,ROWS($1:2)),))</f>
        <v>42538</v>
      </c>
      <c r="D18" s="421" t="str">
        <f ca="1">IF(ROWS($1:2)&gt;COUNT(Dong4),"",OFFSET(TH!F$1,SMALL(Dong4,ROWS($1:2)),))</f>
        <v>Chênh lệch tỷ giá vay</v>
      </c>
      <c r="E18" s="253" t="str">
        <f ca="1">IF(ROWS($1:2)&gt;COUNT(Dong4),"",IF(LEFT(OFFSET(TH!P$1,SMALL(Dong4,ROWS($1:2)),),3)="341",OFFSET(TH!O$1,SMALL(Dong4,ROWS($1:2)),),OFFSET(TH!P$1,SMALL(Dong4,ROWS($1:2)),)))</f>
        <v>515</v>
      </c>
      <c r="F18" s="422"/>
      <c r="G18" s="423">
        <f ca="1">IF(ROWS($1:2)&gt;COUNT(Dong4),"",IF(LEFT(OFFSET(TH!O$1,SMALL(Dong4,ROWS($1:2)),),3)="341",OFFSET(TH!K$1,SMALL(Dong4,ROWS($1:2)),),0))</f>
        <v>0</v>
      </c>
      <c r="H18" s="422">
        <f ca="1">IF(ROWS($1:2)&gt;COUNT(Dong4),"",IF(LEFT(OFFSET(TH!O$1,SMALL(Dong4,ROWS($1:2)),),3)="341",OFFSET(TH!M$1,SMALL(Dong4,ROWS($1:2)),),0))</f>
        <v>19800000</v>
      </c>
      <c r="I18" s="423">
        <f ca="1">IF(ROWS($1:2)&gt;COUNT(Dong4),"",IF(LEFT(OFFSET(TH!P$1,SMALL(Dong4,ROWS($1:2)),),3)="341",OFFSET(TH!K$1,SMALL(Dong4,ROWS($1:2)),),0))</f>
        <v>0</v>
      </c>
      <c r="J18" s="422">
        <f ca="1">IF(ROWS($1:2)&gt;COUNT(Dong4),"",IF(LEFT(OFFSET(TH!P$1,SMALL(Dong4,ROWS($1:2)),),3)="341",OFFSET(TH!M$1,SMALL(Dong4,ROWS($1:2)),),0))</f>
        <v>0</v>
      </c>
      <c r="K18" s="244">
        <f ca="1">IF(C18&lt;&gt;"",ROUND(MAX(K17+G18-I18-M17,0),2),0)</f>
        <v>0</v>
      </c>
      <c r="L18" s="8">
        <f ca="1">IF(C18&lt;&gt;"",MAX(L17-N17+H18-J18,0),0)</f>
        <v>0</v>
      </c>
      <c r="M18" s="244">
        <f ca="1">IF(C18&lt;&gt;"",ROUND(MAX(M17+I18-G18-K17,0),2),0)</f>
        <v>0</v>
      </c>
      <c r="N18" s="8">
        <f ca="1">IF(C18&lt;&gt;"",MAX(N17-L17+J18-H18,0),0)</f>
        <v>0</v>
      </c>
    </row>
    <row r="19" spans="1:14" s="424" customFormat="1" ht="19.5" customHeight="1">
      <c r="A19" s="353" t="str">
        <f ca="1">IF(ROWS($1:3)&gt;COUNT(Dong4),"",OFFSET(TH!C$1,SMALL(Dong4,ROWS($1:3)),))</f>
        <v/>
      </c>
      <c r="B19" s="253" t="str">
        <f ca="1">IF(ROWS($1:3)&gt;COUNT(Dong4),"",OFFSET(TH!D$1,SMALL(Dong4,ROWS($1:3)),))</f>
        <v/>
      </c>
      <c r="C19" s="253" t="str">
        <f ca="1">IF(ROWS($1:3)&gt;COUNT(Dong4),"",OFFSET(TH!E$1,SMALL(Dong4,ROWS($1:3)),))</f>
        <v/>
      </c>
      <c r="D19" s="421" t="str">
        <f ca="1">IF(ROWS($1:3)&gt;COUNT(Dong4),"",OFFSET(TH!F$1,SMALL(Dong4,ROWS($1:3)),))</f>
        <v/>
      </c>
      <c r="E19" s="253" t="str">
        <f ca="1">IF(ROWS($1:3)&gt;COUNT(Dong4),"",IF(LEFT(OFFSET(TH!P$1,SMALL(Dong4,ROWS($1:3)),),3)="341",OFFSET(TH!O$1,SMALL(Dong4,ROWS($1:3)),),OFFSET(TH!P$1,SMALL(Dong4,ROWS($1:3)),)))</f>
        <v/>
      </c>
      <c r="F19" s="422"/>
      <c r="G19" s="423" t="str">
        <f ca="1">IF(ROWS($1:3)&gt;COUNT(Dong4),"",IF(LEFT(OFFSET(TH!O$1,SMALL(Dong4,ROWS($1:3)),),3)="341",OFFSET(TH!K$1,SMALL(Dong4,ROWS($1:3)),),0))</f>
        <v/>
      </c>
      <c r="H19" s="422" t="str">
        <f ca="1">IF(ROWS($1:3)&gt;COUNT(Dong4),"",IF(LEFT(OFFSET(TH!O$1,SMALL(Dong4,ROWS($1:3)),),3)="341",OFFSET(TH!M$1,SMALL(Dong4,ROWS($1:3)),),0))</f>
        <v/>
      </c>
      <c r="I19" s="423" t="str">
        <f ca="1">IF(ROWS($1:3)&gt;COUNT(Dong4),"",IF(LEFT(OFFSET(TH!P$1,SMALL(Dong4,ROWS($1:3)),),3)="341",OFFSET(TH!K$1,SMALL(Dong4,ROWS($1:3)),),0))</f>
        <v/>
      </c>
      <c r="J19" s="422" t="str">
        <f ca="1">IF(ROWS($1:3)&gt;COUNT(Dong4),"",IF(LEFT(OFFSET(TH!P$1,SMALL(Dong4,ROWS($1:3)),),3)="341",OFFSET(TH!M$1,SMALL(Dong4,ROWS($1:3)),),0))</f>
        <v/>
      </c>
      <c r="K19" s="244">
        <f ca="1">IF(C19&lt;&gt;"",ROUND(MAX(K18+G19-I19-M18,0),2),0)</f>
        <v>0</v>
      </c>
      <c r="L19" s="8">
        <f ca="1">IF(C19&lt;&gt;"",MAX(L18-N18+H19-J19,0),0)</f>
        <v>0</v>
      </c>
      <c r="M19" s="244">
        <f ca="1">IF(C19&lt;&gt;"",ROUND(MAX(M18+I19-G19-K18,0),2),0)</f>
        <v>0</v>
      </c>
      <c r="N19" s="8">
        <f ca="1">IF(C19&lt;&gt;"",MAX(N18-L18+J19-H19,0),0)</f>
        <v>0</v>
      </c>
    </row>
    <row r="20" spans="1:14" s="424" customFormat="1" ht="19.5" customHeight="1">
      <c r="A20" s="425"/>
      <c r="B20" s="425"/>
      <c r="C20" s="425"/>
      <c r="D20" s="426"/>
      <c r="E20" s="427"/>
      <c r="F20" s="428"/>
      <c r="G20" s="429"/>
      <c r="H20" s="429"/>
      <c r="I20" s="429"/>
      <c r="J20" s="430"/>
      <c r="K20" s="244"/>
      <c r="L20" s="8"/>
      <c r="M20" s="244"/>
      <c r="N20" s="8"/>
    </row>
    <row r="21" spans="1:14" s="18" customFormat="1" ht="19.5" customHeight="1">
      <c r="A21" s="253"/>
      <c r="B21" s="253"/>
      <c r="C21" s="253"/>
      <c r="D21" s="431" t="s">
        <v>43</v>
      </c>
      <c r="E21" s="354" t="s">
        <v>26</v>
      </c>
      <c r="F21" s="354" t="s">
        <v>26</v>
      </c>
      <c r="G21" s="432">
        <f ca="1">SUM(G17:G18)</f>
        <v>88000</v>
      </c>
      <c r="H21" s="433">
        <f ca="1">SUM(H17:H18)</f>
        <v>1982640000</v>
      </c>
      <c r="I21" s="432">
        <f ca="1">SUM(I17:I18)</f>
        <v>0</v>
      </c>
      <c r="J21" s="433">
        <f ca="1">SUM(J17:J18)</f>
        <v>0</v>
      </c>
      <c r="K21" s="433" t="s">
        <v>26</v>
      </c>
      <c r="L21" s="433" t="s">
        <v>26</v>
      </c>
      <c r="M21" s="433" t="s">
        <v>26</v>
      </c>
      <c r="N21" s="433" t="s">
        <v>26</v>
      </c>
    </row>
    <row r="22" spans="1:14" s="18" customFormat="1" ht="19.5" customHeight="1">
      <c r="A22" s="434"/>
      <c r="B22" s="434"/>
      <c r="C22" s="434"/>
      <c r="D22" s="435" t="s">
        <v>13</v>
      </c>
      <c r="E22" s="436" t="s">
        <v>26</v>
      </c>
      <c r="F22" s="436" t="s">
        <v>26</v>
      </c>
      <c r="G22" s="436" t="s">
        <v>26</v>
      </c>
      <c r="H22" s="436" t="s">
        <v>26</v>
      </c>
      <c r="I22" s="436" t="s">
        <v>26</v>
      </c>
      <c r="J22" s="436" t="s">
        <v>26</v>
      </c>
      <c r="K22" s="437">
        <f ca="1">MAX(K16+G21-M16-I21,0)</f>
        <v>0</v>
      </c>
      <c r="L22" s="438">
        <f ca="1">MAX(L16+H21-N16-J21,0)</f>
        <v>0</v>
      </c>
      <c r="M22" s="437">
        <f ca="1">MAX(M16+I21-K16-G21,0)</f>
        <v>0</v>
      </c>
      <c r="N22" s="438">
        <f ca="1">MAX(N16+J21-L16-H21,0)</f>
        <v>0</v>
      </c>
    </row>
    <row r="23" spans="1:14" s="18" customFormat="1">
      <c r="E23" s="386"/>
      <c r="F23" s="386"/>
    </row>
    <row r="24" spans="1:14" s="18" customFormat="1">
      <c r="A24" s="254" t="s">
        <v>348</v>
      </c>
      <c r="E24" s="386"/>
      <c r="F24" s="386"/>
    </row>
    <row r="25" spans="1:14" s="18" customFormat="1">
      <c r="A25" s="254" t="str">
        <f>"- Ngày mở sổ: "&amp; TEXT(VLOOKUP($H$9,'341'!$B$5:$P$22,2,0),"dd/MM/yy")</f>
        <v>- Ngày mở sổ: 24/12/15</v>
      </c>
      <c r="E25" s="386"/>
      <c r="F25" s="386"/>
    </row>
    <row r="26" spans="1:14" s="18" customFormat="1">
      <c r="E26" s="386"/>
      <c r="F26" s="386"/>
      <c r="L26" s="386" t="s">
        <v>349</v>
      </c>
    </row>
    <row r="27" spans="1:14" s="18" customFormat="1">
      <c r="C27" s="386" t="s">
        <v>14</v>
      </c>
      <c r="E27" s="386"/>
      <c r="F27" s="386"/>
      <c r="L27" s="386" t="s">
        <v>15</v>
      </c>
    </row>
    <row r="28" spans="1:14" s="18" customFormat="1">
      <c r="C28" s="386" t="s">
        <v>16</v>
      </c>
      <c r="E28" s="386"/>
      <c r="F28" s="386"/>
      <c r="L28" s="386" t="s">
        <v>16</v>
      </c>
    </row>
    <row r="29" spans="1:14" s="18" customFormat="1">
      <c r="E29" s="386"/>
      <c r="F29" s="386"/>
    </row>
    <row r="30" spans="1:14" s="18" customFormat="1">
      <c r="E30" s="386"/>
      <c r="F30" s="386"/>
    </row>
    <row r="31" spans="1:14" s="255" customFormat="1"/>
    <row r="32" spans="1:14" s="255" customFormat="1"/>
    <row r="33" spans="2:4" s="255" customFormat="1"/>
    <row r="34" spans="2:4" s="255" customFormat="1"/>
    <row r="35" spans="2:4" s="255" customFormat="1" ht="15">
      <c r="B35" s="439"/>
      <c r="C35" s="440" t="s">
        <v>350</v>
      </c>
      <c r="D35" s="439"/>
    </row>
    <row r="36" spans="2:4" s="255" customFormat="1"/>
    <row r="37" spans="2:4" s="255" customFormat="1"/>
    <row r="38" spans="2:4" s="255" customFormat="1"/>
    <row r="39" spans="2:4" s="255" customFormat="1"/>
    <row r="40" spans="2:4" s="255" customFormat="1"/>
    <row r="41" spans="2:4" s="255" customFormat="1"/>
    <row r="42" spans="2:4" s="255" customFormat="1"/>
    <row r="43" spans="2:4" s="255" customFormat="1"/>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20.xml><?xml version="1.0" encoding="utf-8"?>
<worksheet xmlns="http://schemas.openxmlformats.org/spreadsheetml/2006/main" xmlns:r="http://schemas.openxmlformats.org/officeDocument/2006/relationships">
  <sheetPr>
    <tabColor indexed="53"/>
  </sheetPr>
  <dimension ref="A2:N29"/>
  <sheetViews>
    <sheetView zoomScale="90" workbookViewId="0">
      <selection activeCell="N31" sqref="N31"/>
    </sheetView>
  </sheetViews>
  <sheetFormatPr defaultRowHeight="15"/>
  <cols>
    <col min="1" max="1" width="7.7109375" style="498" customWidth="1"/>
    <col min="2" max="2" width="7" style="498" customWidth="1"/>
    <col min="3" max="3" width="9.140625" style="498"/>
    <col min="4" max="4" width="25" style="498" customWidth="1"/>
    <col min="5" max="5" width="6.5703125" style="498" customWidth="1"/>
    <col min="6" max="10" width="10" style="498" customWidth="1"/>
    <col min="11" max="11" width="8.7109375" style="498" customWidth="1"/>
    <col min="12" max="12" width="15" style="498" customWidth="1"/>
    <col min="13" max="13" width="10" style="498" customWidth="1"/>
    <col min="14" max="14" width="9.42578125" style="498" customWidth="1"/>
    <col min="15" max="16384" width="9.140625" style="498"/>
  </cols>
  <sheetData>
    <row r="2" spans="1:14">
      <c r="A2" s="497" t="s">
        <v>268</v>
      </c>
      <c r="C2" s="499"/>
      <c r="F2" s="500"/>
      <c r="G2" s="500"/>
      <c r="H2" s="500"/>
      <c r="I2" s="500"/>
      <c r="J2" s="500"/>
      <c r="K2" s="500" t="s">
        <v>490</v>
      </c>
      <c r="L2" s="500"/>
      <c r="M2" s="500"/>
      <c r="N2" s="500"/>
    </row>
    <row r="3" spans="1:14">
      <c r="A3" s="497" t="s">
        <v>270</v>
      </c>
      <c r="C3" s="499"/>
      <c r="F3" s="501"/>
      <c r="G3" s="501"/>
      <c r="H3" s="501"/>
      <c r="I3" s="501"/>
      <c r="J3" s="501"/>
      <c r="K3" s="501" t="s">
        <v>336</v>
      </c>
      <c r="L3" s="501"/>
      <c r="M3" s="501"/>
      <c r="N3" s="501"/>
    </row>
    <row r="4" spans="1:14">
      <c r="F4" s="501"/>
      <c r="G4" s="501"/>
      <c r="H4" s="501"/>
      <c r="I4" s="501"/>
      <c r="J4" s="501"/>
      <c r="K4" s="501" t="s">
        <v>337</v>
      </c>
      <c r="L4" s="501"/>
      <c r="M4" s="501"/>
      <c r="N4" s="501"/>
    </row>
    <row r="5" spans="1:14" s="502" customFormat="1" ht="23.25" customHeight="1">
      <c r="A5" s="1300" t="s">
        <v>491</v>
      </c>
      <c r="B5" s="1300"/>
      <c r="C5" s="1300"/>
      <c r="D5" s="1300"/>
      <c r="E5" s="1300"/>
      <c r="F5" s="1300"/>
      <c r="G5" s="1300"/>
      <c r="H5" s="1300"/>
      <c r="I5" s="1300"/>
      <c r="J5" s="1300"/>
      <c r="K5" s="1300"/>
      <c r="L5" s="1300"/>
      <c r="M5" s="1300"/>
      <c r="N5" s="1300"/>
    </row>
    <row r="6" spans="1:14">
      <c r="A6" s="1301" t="s">
        <v>356</v>
      </c>
      <c r="B6" s="1301" t="s">
        <v>492</v>
      </c>
      <c r="C6" s="1301"/>
      <c r="D6" s="1301"/>
      <c r="E6" s="1301"/>
      <c r="F6" s="1301"/>
      <c r="G6" s="1301"/>
      <c r="H6" s="1301"/>
      <c r="I6" s="1301"/>
      <c r="J6" s="1301"/>
      <c r="K6" s="1301"/>
      <c r="L6" s="1301"/>
      <c r="M6" s="1301"/>
      <c r="N6" s="1301"/>
    </row>
    <row r="7" spans="1:14">
      <c r="C7" s="1302"/>
      <c r="D7" s="1302"/>
      <c r="E7" s="1302"/>
      <c r="F7" s="1302"/>
      <c r="G7" s="1302"/>
      <c r="H7" s="1302"/>
      <c r="I7" s="1302"/>
      <c r="J7" s="1302"/>
      <c r="K7" s="1302"/>
      <c r="L7" s="1302"/>
      <c r="M7" s="1302"/>
      <c r="N7" s="1302"/>
    </row>
    <row r="8" spans="1:14" ht="15.75" customHeight="1">
      <c r="A8" s="1294" t="s">
        <v>27</v>
      </c>
      <c r="B8" s="1303" t="s">
        <v>1</v>
      </c>
      <c r="C8" s="1304"/>
      <c r="D8" s="1294" t="s">
        <v>0</v>
      </c>
      <c r="E8" s="1294" t="s">
        <v>19</v>
      </c>
      <c r="F8" s="1293" t="s">
        <v>28</v>
      </c>
      <c r="G8" s="1293"/>
      <c r="H8" s="1293"/>
      <c r="I8" s="1293"/>
      <c r="J8" s="1293"/>
      <c r="K8" s="1293"/>
      <c r="L8" s="1293" t="s">
        <v>38</v>
      </c>
      <c r="M8" s="1293"/>
      <c r="N8" s="1293"/>
    </row>
    <row r="9" spans="1:14" ht="15.75" customHeight="1">
      <c r="A9" s="1294"/>
      <c r="B9" s="1305"/>
      <c r="C9" s="1306"/>
      <c r="D9" s="1294"/>
      <c r="E9" s="1294"/>
      <c r="F9" s="1293" t="s">
        <v>493</v>
      </c>
      <c r="G9" s="1293"/>
      <c r="H9" s="1293"/>
      <c r="I9" s="1293" t="s">
        <v>494</v>
      </c>
      <c r="J9" s="1293"/>
      <c r="K9" s="1293"/>
      <c r="L9" s="1294" t="s">
        <v>495</v>
      </c>
      <c r="M9" s="1294" t="s">
        <v>496</v>
      </c>
      <c r="N9" s="1294" t="s">
        <v>497</v>
      </c>
    </row>
    <row r="10" spans="1:14" ht="15.75" customHeight="1">
      <c r="A10" s="1294"/>
      <c r="B10" s="1296" t="s">
        <v>20</v>
      </c>
      <c r="C10" s="1296" t="s">
        <v>39</v>
      </c>
      <c r="D10" s="1294"/>
      <c r="E10" s="1294"/>
      <c r="F10" s="1298" t="s">
        <v>495</v>
      </c>
      <c r="G10" s="1298" t="s">
        <v>496</v>
      </c>
      <c r="H10" s="1298" t="s">
        <v>497</v>
      </c>
      <c r="I10" s="1298" t="s">
        <v>495</v>
      </c>
      <c r="J10" s="1298" t="s">
        <v>496</v>
      </c>
      <c r="K10" s="1298" t="s">
        <v>497</v>
      </c>
      <c r="L10" s="1295"/>
      <c r="M10" s="1295"/>
      <c r="N10" s="1295"/>
    </row>
    <row r="11" spans="1:14">
      <c r="A11" s="1294"/>
      <c r="B11" s="1297"/>
      <c r="C11" s="1297"/>
      <c r="D11" s="1294"/>
      <c r="E11" s="1294"/>
      <c r="F11" s="1299"/>
      <c r="G11" s="1299"/>
      <c r="H11" s="1299"/>
      <c r="I11" s="1299"/>
      <c r="J11" s="1299"/>
      <c r="K11" s="1299"/>
      <c r="L11" s="1295"/>
      <c r="M11" s="1295"/>
      <c r="N11" s="1295"/>
    </row>
    <row r="12" spans="1:14" s="501" customFormat="1">
      <c r="A12" s="503" t="s">
        <v>2</v>
      </c>
      <c r="B12" s="504" t="s">
        <v>3</v>
      </c>
      <c r="C12" s="503" t="s">
        <v>4</v>
      </c>
      <c r="D12" s="503" t="s">
        <v>5</v>
      </c>
      <c r="E12" s="503" t="s">
        <v>6</v>
      </c>
      <c r="F12" s="503">
        <v>1</v>
      </c>
      <c r="G12" s="503"/>
      <c r="H12" s="503"/>
      <c r="I12" s="503"/>
      <c r="J12" s="503"/>
      <c r="K12" s="503"/>
      <c r="L12" s="503"/>
      <c r="M12" s="503"/>
      <c r="N12" s="503"/>
    </row>
    <row r="13" spans="1:14">
      <c r="A13" s="505"/>
      <c r="B13" s="505"/>
      <c r="C13" s="505"/>
      <c r="D13" s="506" t="s">
        <v>7</v>
      </c>
      <c r="E13" s="505"/>
      <c r="F13" s="505"/>
      <c r="G13" s="505"/>
      <c r="H13" s="505"/>
      <c r="I13" s="505"/>
      <c r="J13" s="505"/>
      <c r="K13" s="505"/>
      <c r="L13" s="507">
        <f>CDPS!$D$50</f>
        <v>4000000000</v>
      </c>
      <c r="M13" s="505"/>
      <c r="N13" s="505"/>
    </row>
    <row r="14" spans="1:14">
      <c r="A14" s="508"/>
      <c r="B14" s="508"/>
      <c r="C14" s="508"/>
      <c r="D14" s="509" t="s">
        <v>498</v>
      </c>
      <c r="E14" s="508"/>
      <c r="F14" s="508"/>
      <c r="G14" s="508"/>
      <c r="H14" s="508"/>
      <c r="I14" s="508"/>
      <c r="J14" s="508"/>
      <c r="K14" s="508"/>
      <c r="L14" s="508"/>
      <c r="M14" s="508"/>
      <c r="N14" s="508"/>
    </row>
    <row r="15" spans="1:14">
      <c r="A15" s="508"/>
      <c r="B15" s="508"/>
      <c r="C15" s="508"/>
      <c r="D15" s="508"/>
      <c r="E15" s="508"/>
      <c r="F15" s="508"/>
      <c r="G15" s="508"/>
      <c r="H15" s="508"/>
      <c r="I15" s="508"/>
      <c r="J15" s="508"/>
      <c r="K15" s="508"/>
      <c r="L15" s="508"/>
      <c r="M15" s="508"/>
      <c r="N15" s="508"/>
    </row>
    <row r="16" spans="1:14">
      <c r="A16" s="508"/>
      <c r="B16" s="508"/>
      <c r="C16" s="508"/>
      <c r="D16" s="508"/>
      <c r="E16" s="508"/>
      <c r="F16" s="508"/>
      <c r="G16" s="508"/>
      <c r="H16" s="508"/>
      <c r="I16" s="508"/>
      <c r="J16" s="508"/>
      <c r="K16" s="508"/>
      <c r="L16" s="508"/>
      <c r="M16" s="508"/>
      <c r="N16" s="508"/>
    </row>
    <row r="17" spans="1:14">
      <c r="A17" s="508"/>
      <c r="B17" s="508"/>
      <c r="C17" s="508"/>
      <c r="D17" s="508"/>
      <c r="E17" s="508"/>
      <c r="F17" s="508"/>
      <c r="G17" s="508"/>
      <c r="H17" s="508"/>
      <c r="I17" s="508"/>
      <c r="J17" s="508"/>
      <c r="K17" s="508"/>
      <c r="L17" s="508"/>
      <c r="M17" s="508"/>
      <c r="N17" s="508"/>
    </row>
    <row r="18" spans="1:14">
      <c r="A18" s="508"/>
      <c r="B18" s="508"/>
      <c r="C18" s="508"/>
      <c r="D18" s="508"/>
      <c r="E18" s="508"/>
      <c r="F18" s="508"/>
      <c r="G18" s="508"/>
      <c r="H18" s="508"/>
      <c r="I18" s="508"/>
      <c r="J18" s="508"/>
      <c r="K18" s="508"/>
      <c r="L18" s="508"/>
      <c r="M18" s="508"/>
      <c r="N18" s="508"/>
    </row>
    <row r="19" spans="1:14">
      <c r="A19" s="508"/>
      <c r="B19" s="508"/>
      <c r="C19" s="508"/>
      <c r="D19" s="508"/>
      <c r="E19" s="508"/>
      <c r="F19" s="508"/>
      <c r="G19" s="508"/>
      <c r="H19" s="508"/>
      <c r="I19" s="508"/>
      <c r="J19" s="508"/>
      <c r="K19" s="508"/>
      <c r="L19" s="508"/>
      <c r="M19" s="508"/>
      <c r="N19" s="508"/>
    </row>
    <row r="20" spans="1:14">
      <c r="A20" s="508"/>
      <c r="B20" s="508"/>
      <c r="C20" s="508"/>
      <c r="D20" s="508"/>
      <c r="E20" s="508"/>
      <c r="F20" s="508"/>
      <c r="G20" s="508"/>
      <c r="H20" s="508"/>
      <c r="I20" s="508"/>
      <c r="J20" s="508"/>
      <c r="K20" s="508"/>
      <c r="L20" s="508"/>
      <c r="M20" s="508"/>
      <c r="N20" s="508"/>
    </row>
    <row r="21" spans="1:14">
      <c r="A21" s="508"/>
      <c r="B21" s="508"/>
      <c r="C21" s="508"/>
      <c r="D21" s="510"/>
      <c r="E21" s="510"/>
      <c r="F21" s="510"/>
      <c r="G21" s="510"/>
      <c r="H21" s="510"/>
      <c r="I21" s="510"/>
      <c r="J21" s="510"/>
      <c r="K21" s="510"/>
      <c r="L21" s="510"/>
      <c r="M21" s="510"/>
      <c r="N21" s="510"/>
    </row>
    <row r="22" spans="1:14">
      <c r="A22" s="508"/>
      <c r="B22" s="508"/>
      <c r="C22" s="508"/>
      <c r="D22" s="511" t="s">
        <v>237</v>
      </c>
      <c r="E22" s="512" t="s">
        <v>26</v>
      </c>
      <c r="F22" s="512"/>
      <c r="G22" s="512"/>
      <c r="H22" s="512"/>
      <c r="I22" s="512"/>
      <c r="J22" s="512"/>
      <c r="K22" s="512"/>
      <c r="L22" s="512"/>
      <c r="M22" s="512"/>
      <c r="N22" s="512"/>
    </row>
    <row r="23" spans="1:14">
      <c r="A23" s="513"/>
      <c r="B23" s="513"/>
      <c r="C23" s="513"/>
      <c r="D23" s="514" t="s">
        <v>13</v>
      </c>
      <c r="E23" s="513" t="s">
        <v>26</v>
      </c>
      <c r="F23" s="513"/>
      <c r="G23" s="513"/>
      <c r="H23" s="513"/>
      <c r="I23" s="513"/>
      <c r="J23" s="513"/>
      <c r="K23" s="513"/>
      <c r="L23" s="515">
        <f>L13+L22</f>
        <v>4000000000</v>
      </c>
      <c r="M23" s="513"/>
      <c r="N23" s="513"/>
    </row>
    <row r="25" spans="1:14">
      <c r="C25" s="516" t="s">
        <v>499</v>
      </c>
    </row>
    <row r="26" spans="1:14">
      <c r="C26" s="516" t="s">
        <v>500</v>
      </c>
    </row>
    <row r="27" spans="1:14">
      <c r="B27" s="517"/>
      <c r="C27" s="517"/>
      <c r="D27" s="517"/>
      <c r="E27" s="1292" t="s">
        <v>501</v>
      </c>
      <c r="F27" s="1292"/>
      <c r="G27" s="1292"/>
      <c r="H27" s="1292"/>
      <c r="I27" s="1292"/>
      <c r="J27" s="1292"/>
      <c r="K27" s="1292"/>
      <c r="L27" s="1292"/>
      <c r="M27" s="1292"/>
      <c r="N27" s="1292"/>
    </row>
    <row r="28" spans="1:14">
      <c r="A28" s="1292" t="s">
        <v>14</v>
      </c>
      <c r="B28" s="1292"/>
      <c r="C28" s="1292"/>
      <c r="D28" s="1292"/>
      <c r="E28" s="1292" t="s">
        <v>15</v>
      </c>
      <c r="F28" s="1292"/>
      <c r="G28" s="1292"/>
      <c r="H28" s="1292"/>
      <c r="I28" s="1292"/>
      <c r="J28" s="1292"/>
      <c r="K28" s="1292"/>
      <c r="L28" s="1292"/>
      <c r="M28" s="1292"/>
      <c r="N28" s="1292"/>
    </row>
    <row r="29" spans="1:14">
      <c r="A29" s="1292" t="s">
        <v>16</v>
      </c>
      <c r="B29" s="1292"/>
      <c r="C29" s="1292"/>
      <c r="D29" s="1292"/>
      <c r="E29" s="1292" t="s">
        <v>16</v>
      </c>
      <c r="F29" s="1292"/>
      <c r="G29" s="1292"/>
      <c r="H29" s="1292"/>
      <c r="I29" s="1292"/>
      <c r="J29" s="1292"/>
      <c r="K29" s="1292"/>
      <c r="L29" s="1292"/>
      <c r="M29" s="1292"/>
      <c r="N29" s="1292"/>
    </row>
  </sheetData>
  <mergeCells count="27">
    <mergeCell ref="E28:N28"/>
    <mergeCell ref="A5:N5"/>
    <mergeCell ref="A6:N6"/>
    <mergeCell ref="C7:N7"/>
    <mergeCell ref="A8:A11"/>
    <mergeCell ref="B8:C9"/>
    <mergeCell ref="D8:D11"/>
    <mergeCell ref="E8:E11"/>
    <mergeCell ref="F8:K8"/>
    <mergeCell ref="L8:N8"/>
    <mergeCell ref="F9:H9"/>
    <mergeCell ref="A29:D29"/>
    <mergeCell ref="E29:N29"/>
    <mergeCell ref="I9:K9"/>
    <mergeCell ref="L9:L11"/>
    <mergeCell ref="M9:M11"/>
    <mergeCell ref="N9:N11"/>
    <mergeCell ref="B10:B11"/>
    <mergeCell ref="C10:C11"/>
    <mergeCell ref="F10:F11"/>
    <mergeCell ref="G10:G11"/>
    <mergeCell ref="H10:H11"/>
    <mergeCell ref="I10:I11"/>
    <mergeCell ref="J10:J11"/>
    <mergeCell ref="K10:K11"/>
    <mergeCell ref="E27:N27"/>
    <mergeCell ref="A28:D28"/>
  </mergeCells>
  <pageMargins left="0.54" right="0.16" top="0.67" bottom="0.16" header="0.5" footer="0.3"/>
  <pageSetup scale="90" orientation="landscape" r:id="rId1"/>
  <headerFooter alignWithMargins="0"/>
</worksheet>
</file>

<file path=xl/worksheets/sheet21.xml><?xml version="1.0" encoding="utf-8"?>
<worksheet xmlns="http://schemas.openxmlformats.org/spreadsheetml/2006/main" xmlns:r="http://schemas.openxmlformats.org/officeDocument/2006/relationships">
  <sheetPr>
    <tabColor indexed="28"/>
  </sheetPr>
  <dimension ref="A1:T107"/>
  <sheetViews>
    <sheetView topLeftCell="A8" workbookViewId="0">
      <pane xSplit="3" ySplit="4" topLeftCell="D12" activePane="bottomRight" state="frozen"/>
      <selection activeCell="C33" sqref="C33"/>
      <selection pane="topRight" activeCell="C33" sqref="C33"/>
      <selection pane="bottomLeft" activeCell="C33" sqref="C33"/>
      <selection pane="bottomRight" activeCell="H22" sqref="H22"/>
    </sheetView>
  </sheetViews>
  <sheetFormatPr defaultRowHeight="12.75"/>
  <cols>
    <col min="1" max="1" width="3.7109375" style="531" hidden="1" customWidth="1"/>
    <col min="2" max="2" width="3.42578125" style="531" customWidth="1"/>
    <col min="3" max="3" width="28.28515625" style="531" customWidth="1"/>
    <col min="4" max="4" width="7.7109375" style="536" customWidth="1"/>
    <col min="5" max="5" width="9.42578125" style="587" customWidth="1"/>
    <col min="6" max="6" width="12.5703125" style="587" customWidth="1"/>
    <col min="7" max="7" width="9.85546875" style="540" customWidth="1"/>
    <col min="8" max="8" width="15.42578125" style="540" customWidth="1"/>
    <col min="9" max="9" width="11.7109375" style="540" customWidth="1"/>
    <col min="10" max="10" width="13.85546875" style="540" customWidth="1"/>
    <col min="11" max="11" width="12" style="540" customWidth="1"/>
    <col min="12" max="12" width="12.85546875" style="540" customWidth="1"/>
    <col min="13" max="13" width="3.28515625" style="532" customWidth="1"/>
    <col min="14" max="14" width="24.140625" style="531" customWidth="1"/>
    <col min="15" max="15" width="10.5703125" style="531" customWidth="1"/>
    <col min="16" max="16" width="10.42578125" style="531" customWidth="1"/>
    <col min="17" max="17" width="22.28515625" style="531" customWidth="1"/>
    <col min="18" max="18" width="12" style="531" customWidth="1"/>
    <col min="19" max="19" width="4.85546875" style="531" customWidth="1"/>
    <col min="20" max="16384" width="9.140625" style="531"/>
  </cols>
  <sheetData>
    <row r="1" spans="1:19" s="486" customFormat="1" ht="14.25" customHeight="1">
      <c r="B1" s="518" t="s">
        <v>502</v>
      </c>
      <c r="C1" s="519"/>
      <c r="D1" s="519"/>
      <c r="E1" s="519"/>
      <c r="F1" s="520"/>
      <c r="G1" s="520"/>
      <c r="H1" s="1273" t="s">
        <v>503</v>
      </c>
      <c r="I1" s="1273"/>
      <c r="J1" s="1273"/>
      <c r="K1" s="1273"/>
      <c r="L1" s="1273"/>
      <c r="M1" s="521"/>
      <c r="N1" s="251"/>
      <c r="O1" s="484"/>
    </row>
    <row r="2" spans="1:19" s="486" customFormat="1" ht="14.25" customHeight="1">
      <c r="B2" s="522" t="s">
        <v>504</v>
      </c>
      <c r="C2" s="523"/>
      <c r="D2" s="523"/>
      <c r="E2" s="523"/>
      <c r="F2" s="523"/>
      <c r="G2" s="523"/>
      <c r="H2" s="1266" t="s">
        <v>505</v>
      </c>
      <c r="I2" s="1266"/>
      <c r="J2" s="1266"/>
      <c r="K2" s="1266"/>
      <c r="L2" s="1266"/>
      <c r="M2" s="524"/>
      <c r="N2" s="252"/>
      <c r="O2" s="485"/>
    </row>
    <row r="3" spans="1:19" s="486" customFormat="1" ht="14.25" customHeight="1">
      <c r="B3" s="523"/>
      <c r="C3" s="523"/>
      <c r="D3" s="523"/>
      <c r="E3" s="523"/>
      <c r="F3" s="523"/>
      <c r="G3" s="523"/>
      <c r="H3" s="1308" t="s">
        <v>506</v>
      </c>
      <c r="I3" s="1308"/>
      <c r="J3" s="1308"/>
      <c r="K3" s="1308"/>
      <c r="L3" s="1308"/>
      <c r="M3" s="525"/>
      <c r="N3" s="526"/>
      <c r="O3" s="485"/>
    </row>
    <row r="4" spans="1:19" s="527" customFormat="1" ht="27.75" customHeight="1">
      <c r="B4" s="1309" t="s">
        <v>507</v>
      </c>
      <c r="C4" s="1309"/>
      <c r="D4" s="1309"/>
      <c r="E4" s="1309"/>
      <c r="F4" s="1309"/>
      <c r="G4" s="1309"/>
      <c r="H4" s="1309"/>
      <c r="I4" s="1309"/>
      <c r="J4" s="1309"/>
      <c r="K4" s="1309"/>
      <c r="L4" s="1309"/>
      <c r="M4" s="528"/>
    </row>
    <row r="5" spans="1:19" s="527" customFormat="1" ht="15" customHeight="1">
      <c r="B5" s="1307" t="s">
        <v>508</v>
      </c>
      <c r="C5" s="1307"/>
      <c r="D5" s="1307"/>
      <c r="E5" s="1307"/>
      <c r="F5" s="1307"/>
      <c r="G5" s="1307"/>
      <c r="H5" s="1307"/>
      <c r="I5" s="1307"/>
      <c r="J5" s="1307"/>
      <c r="K5" s="1307"/>
      <c r="L5" s="1307"/>
      <c r="M5" s="528"/>
    </row>
    <row r="6" spans="1:19" s="527" customFormat="1" ht="12.75" hidden="1" customHeight="1">
      <c r="B6" s="1307" t="s">
        <v>509</v>
      </c>
      <c r="C6" s="1307"/>
      <c r="D6" s="1307"/>
      <c r="E6" s="1307"/>
      <c r="F6" s="1307"/>
      <c r="G6" s="1307"/>
      <c r="H6" s="1307"/>
      <c r="I6" s="1307"/>
      <c r="J6" s="1307"/>
      <c r="K6" s="1307"/>
      <c r="L6" s="1307"/>
      <c r="M6" s="528"/>
    </row>
    <row r="7" spans="1:19" s="529" customFormat="1" ht="24" hidden="1" customHeight="1">
      <c r="C7" s="1319" t="s">
        <v>510</v>
      </c>
      <c r="D7" s="1319"/>
      <c r="E7" s="1319"/>
      <c r="F7" s="1319"/>
      <c r="G7" s="1319"/>
      <c r="H7" s="1319"/>
      <c r="I7" s="1319"/>
      <c r="J7" s="1319"/>
      <c r="K7" s="1319"/>
      <c r="L7" s="1319"/>
      <c r="M7" s="530"/>
    </row>
    <row r="8" spans="1:19" ht="20.25" customHeight="1">
      <c r="B8" s="1310" t="s">
        <v>45</v>
      </c>
      <c r="C8" s="1311" t="s">
        <v>511</v>
      </c>
      <c r="D8" s="1312" t="s">
        <v>512</v>
      </c>
      <c r="E8" s="1314" t="s">
        <v>248</v>
      </c>
      <c r="F8" s="1314"/>
      <c r="G8" s="1314"/>
      <c r="H8" s="1314"/>
      <c r="I8" s="1314"/>
      <c r="J8" s="1314"/>
      <c r="K8" s="1314"/>
      <c r="L8" s="1314"/>
      <c r="N8" s="1315" t="s">
        <v>513</v>
      </c>
      <c r="O8" s="1315" t="s">
        <v>514</v>
      </c>
      <c r="P8" s="1315" t="s">
        <v>515</v>
      </c>
      <c r="Q8" s="1315" t="s">
        <v>516</v>
      </c>
      <c r="R8" s="1315" t="s">
        <v>517</v>
      </c>
      <c r="S8" s="1315" t="s">
        <v>518</v>
      </c>
    </row>
    <row r="9" spans="1:19" ht="20.25" customHeight="1">
      <c r="B9" s="1310"/>
      <c r="C9" s="1311"/>
      <c r="D9" s="1313"/>
      <c r="E9" s="1314" t="s">
        <v>519</v>
      </c>
      <c r="F9" s="1314"/>
      <c r="G9" s="1318" t="s">
        <v>520</v>
      </c>
      <c r="H9" s="1318"/>
      <c r="I9" s="1318" t="s">
        <v>521</v>
      </c>
      <c r="J9" s="1318"/>
      <c r="K9" s="1318" t="s">
        <v>522</v>
      </c>
      <c r="L9" s="1318"/>
      <c r="N9" s="1316"/>
      <c r="O9" s="1316"/>
      <c r="P9" s="1316"/>
      <c r="Q9" s="1316"/>
      <c r="R9" s="1316"/>
      <c r="S9" s="1316"/>
    </row>
    <row r="10" spans="1:19" ht="20.25" hidden="1" customHeight="1">
      <c r="B10" s="1310"/>
      <c r="C10" s="1311"/>
      <c r="D10" s="533"/>
      <c r="E10" s="534" t="s">
        <v>523</v>
      </c>
      <c r="F10" s="534" t="s">
        <v>524</v>
      </c>
      <c r="G10" s="534" t="s">
        <v>523</v>
      </c>
      <c r="H10" s="534" t="s">
        <v>524</v>
      </c>
      <c r="I10" s="534" t="s">
        <v>523</v>
      </c>
      <c r="J10" s="534" t="s">
        <v>524</v>
      </c>
      <c r="K10" s="534" t="s">
        <v>523</v>
      </c>
      <c r="L10" s="534" t="s">
        <v>524</v>
      </c>
      <c r="N10" s="1317"/>
      <c r="O10" s="1317"/>
      <c r="P10" s="1317"/>
      <c r="Q10" s="1317"/>
      <c r="R10" s="535"/>
      <c r="S10" s="1317"/>
    </row>
    <row r="11" spans="1:19" s="536" customFormat="1">
      <c r="B11" s="537" t="s">
        <v>2</v>
      </c>
      <c r="C11" s="533" t="s">
        <v>3</v>
      </c>
      <c r="D11" s="533"/>
      <c r="E11" s="534">
        <v>1</v>
      </c>
      <c r="F11" s="534">
        <v>1</v>
      </c>
      <c r="G11" s="534">
        <v>2</v>
      </c>
      <c r="H11" s="534">
        <v>2</v>
      </c>
      <c r="I11" s="534">
        <v>3</v>
      </c>
      <c r="J11" s="534">
        <v>3</v>
      </c>
      <c r="K11" s="534">
        <v>4</v>
      </c>
      <c r="L11" s="534">
        <v>4</v>
      </c>
      <c r="M11" s="538"/>
      <c r="N11" s="539"/>
      <c r="O11" s="539"/>
      <c r="P11" s="539"/>
      <c r="Q11" s="539"/>
      <c r="R11" s="539"/>
      <c r="S11" s="539"/>
    </row>
    <row r="12" spans="1:19" ht="18" customHeight="1">
      <c r="A12" s="540" t="str">
        <f>IF(B12&lt;&gt;"","VL","")</f>
        <v>VL</v>
      </c>
      <c r="B12" s="541">
        <f>IF(C12&lt;&gt;"",ROW()-(ROW()-1),"")</f>
        <v>1</v>
      </c>
      <c r="C12" s="542" t="s">
        <v>760</v>
      </c>
      <c r="D12" s="543" t="s">
        <v>525</v>
      </c>
      <c r="E12" s="25"/>
      <c r="F12" s="25"/>
      <c r="G12" s="25">
        <f t="array" ref="G12">SUM(IF("1522"&amp;C12=KHN&amp;MH,SL))</f>
        <v>500</v>
      </c>
      <c r="H12" s="25">
        <f t="array" ref="H12">SUM(IF("1522"&amp;C12=KHN&amp;MH,TH))</f>
        <v>16500000</v>
      </c>
      <c r="I12" s="25">
        <f t="array" ref="I12">SUM(IF("1522"&amp;C12=KHC&amp;MH,SL))</f>
        <v>0</v>
      </c>
      <c r="J12" s="25">
        <f t="array" ref="J12">SUM(IF("1522"&amp;C12=KHC&amp;MH,TH))</f>
        <v>0</v>
      </c>
      <c r="K12" s="25">
        <f t="shared" ref="K12:L27" si="0">E12+G12-I12</f>
        <v>500</v>
      </c>
      <c r="L12" s="25">
        <f t="shared" si="0"/>
        <v>16500000</v>
      </c>
      <c r="M12" s="544"/>
      <c r="N12" s="545" t="s">
        <v>526</v>
      </c>
      <c r="O12" s="542" t="s">
        <v>527</v>
      </c>
      <c r="P12" s="546">
        <v>330593933</v>
      </c>
      <c r="Q12" s="546" t="s">
        <v>528</v>
      </c>
      <c r="R12" s="546"/>
      <c r="S12" s="546" t="s">
        <v>529</v>
      </c>
    </row>
    <row r="13" spans="1:19" ht="18" customHeight="1">
      <c r="A13" s="540" t="str">
        <f t="shared" ref="A13:A34" si="1">IF(B13&lt;&gt;"","VL","")</f>
        <v>VL</v>
      </c>
      <c r="B13" s="541">
        <f>IF(C13&lt;&gt;"",B12+1,"")</f>
        <v>2</v>
      </c>
      <c r="C13" s="547" t="s">
        <v>761</v>
      </c>
      <c r="D13" s="548" t="s">
        <v>525</v>
      </c>
      <c r="E13" s="8"/>
      <c r="F13" s="8"/>
      <c r="G13" s="25">
        <f t="array" ref="G13">SUM(IF("1522"&amp;C13=KHN&amp;MH,SL))</f>
        <v>500</v>
      </c>
      <c r="H13" s="25">
        <f t="array" ref="H13">SUM(IF("1522"&amp;C13=KHN&amp;MH,TH))</f>
        <v>16500000</v>
      </c>
      <c r="I13" s="25">
        <f t="array" ref="I13">SUM(IF("1522"&amp;C13=KHC&amp;MH,SL))</f>
        <v>0</v>
      </c>
      <c r="J13" s="25">
        <f t="array" ref="J13">SUM(IF("1522"&amp;C13=KHC&amp;MH,TH))</f>
        <v>0</v>
      </c>
      <c r="K13" s="8">
        <f t="shared" si="0"/>
        <v>500</v>
      </c>
      <c r="L13" s="8">
        <f t="shared" si="0"/>
        <v>16500000</v>
      </c>
      <c r="M13" s="544"/>
      <c r="N13" s="547" t="s">
        <v>530</v>
      </c>
      <c r="O13" s="546" t="s">
        <v>527</v>
      </c>
      <c r="P13" s="546">
        <v>320775664</v>
      </c>
      <c r="Q13" s="546" t="s">
        <v>531</v>
      </c>
      <c r="R13" s="546"/>
      <c r="S13" s="546" t="s">
        <v>529</v>
      </c>
    </row>
    <row r="14" spans="1:19" ht="18" customHeight="1">
      <c r="A14" s="540" t="str">
        <f t="shared" si="1"/>
        <v>VL</v>
      </c>
      <c r="B14" s="541">
        <f t="shared" ref="B14:B33" si="2">IF(C14&lt;&gt;"",B13+1,"")</f>
        <v>3</v>
      </c>
      <c r="C14" s="547" t="s">
        <v>886</v>
      </c>
      <c r="D14" s="548"/>
      <c r="E14" s="8"/>
      <c r="F14" s="8"/>
      <c r="G14" s="25">
        <f t="array" ref="G14">SUM(IF("1522"&amp;C14=KHN&amp;MH,SL))</f>
        <v>3000</v>
      </c>
      <c r="H14" s="25">
        <f t="array" ref="H14">SUM(IF("1522"&amp;C14=KHN&amp;MH,TH))</f>
        <v>2400000</v>
      </c>
      <c r="I14" s="25">
        <f t="array" ref="I14">SUM(IF("1522"&amp;C14=KHC&amp;MH,SL))</f>
        <v>0</v>
      </c>
      <c r="J14" s="25">
        <f t="array" ref="J14">SUM(IF("1522"&amp;C14=KHC&amp;MH,TH))</f>
        <v>0</v>
      </c>
      <c r="K14" s="8">
        <f t="shared" si="0"/>
        <v>3000</v>
      </c>
      <c r="L14" s="8">
        <f t="shared" si="0"/>
        <v>2400000</v>
      </c>
      <c r="M14" s="544"/>
      <c r="N14" s="547" t="s">
        <v>532</v>
      </c>
      <c r="O14" s="549" t="s">
        <v>527</v>
      </c>
      <c r="P14" s="546">
        <v>320892558</v>
      </c>
      <c r="Q14" s="546" t="s">
        <v>533</v>
      </c>
      <c r="R14" s="546"/>
      <c r="S14" s="546" t="s">
        <v>529</v>
      </c>
    </row>
    <row r="15" spans="1:19" ht="18" customHeight="1">
      <c r="A15" s="540" t="str">
        <f t="shared" si="1"/>
        <v>VL</v>
      </c>
      <c r="B15" s="541">
        <f t="shared" si="2"/>
        <v>4</v>
      </c>
      <c r="C15" s="547" t="s">
        <v>887</v>
      </c>
      <c r="D15" s="548"/>
      <c r="E15" s="8"/>
      <c r="F15" s="8"/>
      <c r="G15" s="25">
        <f t="array" ref="G15">SUM(IF("1522"&amp;C15=KHN&amp;MH,SL))</f>
        <v>2000</v>
      </c>
      <c r="H15" s="25">
        <f t="array" ref="H15">SUM(IF("1522"&amp;C15=KHN&amp;MH,TH))</f>
        <v>1800000</v>
      </c>
      <c r="I15" s="25">
        <f t="array" ref="I15">SUM(IF("1522"&amp;C15=KHC&amp;MH,SL))</f>
        <v>0</v>
      </c>
      <c r="J15" s="25">
        <f t="array" ref="J15">SUM(IF("1522"&amp;C15=KHC&amp;MH,TH))</f>
        <v>0</v>
      </c>
      <c r="K15" s="8">
        <f t="shared" si="0"/>
        <v>2000</v>
      </c>
      <c r="L15" s="8">
        <f t="shared" si="0"/>
        <v>1800000</v>
      </c>
      <c r="M15" s="544"/>
      <c r="N15" s="547" t="s">
        <v>534</v>
      </c>
      <c r="O15" s="549" t="s">
        <v>527</v>
      </c>
      <c r="P15" s="546">
        <v>320892578</v>
      </c>
      <c r="Q15" s="546" t="s">
        <v>535</v>
      </c>
      <c r="R15" s="546"/>
      <c r="S15" s="546" t="s">
        <v>529</v>
      </c>
    </row>
    <row r="16" spans="1:19" ht="18" customHeight="1">
      <c r="A16" s="540" t="str">
        <f t="shared" si="1"/>
        <v>VL</v>
      </c>
      <c r="B16" s="541">
        <f t="shared" si="2"/>
        <v>5</v>
      </c>
      <c r="C16" s="338" t="s">
        <v>308</v>
      </c>
      <c r="D16" s="548"/>
      <c r="E16" s="8"/>
      <c r="F16" s="8"/>
      <c r="G16" s="25">
        <f t="array" ref="G16">SUM(IF("1522"&amp;C16=KHN&amp;MH,SL))</f>
        <v>1392</v>
      </c>
      <c r="H16" s="25">
        <f t="array" ref="H16">SUM(IF("1522"&amp;C16=KHN&amp;MH,TH))</f>
        <v>25237056</v>
      </c>
      <c r="I16" s="25">
        <f t="array" ref="I16">SUM(IF("1522"&amp;C16=KHC&amp;MH,SL))</f>
        <v>0</v>
      </c>
      <c r="J16" s="25">
        <f t="array" ref="J16">SUM(IF("1522"&amp;C16=KHC&amp;MH,TH))</f>
        <v>0</v>
      </c>
      <c r="K16" s="8">
        <f t="shared" si="0"/>
        <v>1392</v>
      </c>
      <c r="L16" s="8">
        <f t="shared" si="0"/>
        <v>25237056</v>
      </c>
      <c r="M16" s="544"/>
      <c r="N16" s="547" t="s">
        <v>536</v>
      </c>
      <c r="O16" s="549" t="s">
        <v>527</v>
      </c>
      <c r="P16" s="546">
        <v>321179471</v>
      </c>
      <c r="Q16" s="546" t="s">
        <v>537</v>
      </c>
      <c r="R16" s="546"/>
      <c r="S16" s="546" t="s">
        <v>529</v>
      </c>
    </row>
    <row r="17" spans="1:20" ht="18" customHeight="1">
      <c r="A17" s="540" t="str">
        <f t="shared" si="1"/>
        <v/>
      </c>
      <c r="B17" s="541" t="str">
        <f t="shared" si="2"/>
        <v/>
      </c>
      <c r="C17" s="550"/>
      <c r="D17" s="551"/>
      <c r="E17" s="477"/>
      <c r="F17" s="477"/>
      <c r="G17" s="25">
        <f t="array" ref="G17">SUM(IF("1522"&amp;C17=KHN&amp;MH,SL))</f>
        <v>0</v>
      </c>
      <c r="H17" s="25">
        <f t="array" ref="H17">SUM(IF("1522"&amp;C17=KHN&amp;MH,TH))</f>
        <v>0</v>
      </c>
      <c r="I17" s="25">
        <f t="array" ref="I17">SUM(IF("1522"&amp;C17=KHC&amp;MH,SL))</f>
        <v>0</v>
      </c>
      <c r="J17" s="25">
        <f t="array" ref="J17">SUM(IF("1522"&amp;C17=KHC&amp;MH,TH))</f>
        <v>0</v>
      </c>
      <c r="K17" s="8">
        <f t="shared" si="0"/>
        <v>0</v>
      </c>
      <c r="L17" s="8">
        <f t="shared" si="0"/>
        <v>0</v>
      </c>
      <c r="M17" s="544"/>
      <c r="N17" s="547" t="s">
        <v>538</v>
      </c>
      <c r="O17" s="549" t="s">
        <v>527</v>
      </c>
      <c r="P17" s="546">
        <v>324478047</v>
      </c>
      <c r="Q17" s="546" t="s">
        <v>539</v>
      </c>
      <c r="R17" s="546"/>
      <c r="S17" s="546" t="s">
        <v>529</v>
      </c>
    </row>
    <row r="18" spans="1:20" ht="18" customHeight="1">
      <c r="A18" s="540" t="str">
        <f t="shared" si="1"/>
        <v/>
      </c>
      <c r="B18" s="541" t="str">
        <f t="shared" si="2"/>
        <v/>
      </c>
      <c r="C18" s="550"/>
      <c r="D18" s="552"/>
      <c r="E18" s="477"/>
      <c r="F18" s="477"/>
      <c r="G18" s="25">
        <f t="array" ref="G18">SUM(IF("1522"&amp;C18=KHN&amp;MH,SL))</f>
        <v>0</v>
      </c>
      <c r="H18" s="25">
        <f t="array" ref="H18">SUM(IF("1522"&amp;C18=KHN&amp;MH,TH))</f>
        <v>0</v>
      </c>
      <c r="I18" s="25">
        <f t="array" ref="I18">SUM(IF("1522"&amp;C18=KHC&amp;MH,SL))</f>
        <v>0</v>
      </c>
      <c r="J18" s="25">
        <f t="array" ref="J18">SUM(IF("1522"&amp;C18=KHC&amp;MH,TH))</f>
        <v>0</v>
      </c>
      <c r="K18" s="8">
        <f t="shared" si="0"/>
        <v>0</v>
      </c>
      <c r="L18" s="8">
        <f t="shared" si="0"/>
        <v>0</v>
      </c>
      <c r="M18" s="544"/>
      <c r="N18" s="547" t="s">
        <v>540</v>
      </c>
      <c r="O18" s="549" t="s">
        <v>527</v>
      </c>
      <c r="P18" s="546">
        <v>321413712</v>
      </c>
      <c r="Q18" s="546" t="s">
        <v>541</v>
      </c>
      <c r="R18" s="546"/>
      <c r="S18" s="546" t="s">
        <v>529</v>
      </c>
    </row>
    <row r="19" spans="1:20" ht="18" customHeight="1">
      <c r="A19" s="540" t="str">
        <f t="shared" si="1"/>
        <v/>
      </c>
      <c r="B19" s="541" t="str">
        <f t="shared" si="2"/>
        <v/>
      </c>
      <c r="C19" s="550"/>
      <c r="D19" s="552"/>
      <c r="E19" s="477"/>
      <c r="F19" s="477"/>
      <c r="G19" s="25">
        <f t="array" ref="G19">SUM(IF("1522"&amp;C19=KHN&amp;MH,SL))</f>
        <v>0</v>
      </c>
      <c r="H19" s="25">
        <f t="array" ref="H19">SUM(IF("1522"&amp;C19=KHN&amp;MH,TH))</f>
        <v>0</v>
      </c>
      <c r="I19" s="25">
        <f t="array" ref="I19">SUM(IF("1522"&amp;C19=KHC&amp;MH,SL))</f>
        <v>0</v>
      </c>
      <c r="J19" s="25">
        <f t="array" ref="J19">SUM(IF("1522"&amp;C19=KHC&amp;MH,TH))</f>
        <v>0</v>
      </c>
      <c r="K19" s="477">
        <f t="shared" si="0"/>
        <v>0</v>
      </c>
      <c r="L19" s="477">
        <f t="shared" si="0"/>
        <v>0</v>
      </c>
      <c r="M19" s="544"/>
      <c r="N19" s="547" t="s">
        <v>542</v>
      </c>
      <c r="O19" s="542" t="s">
        <v>527</v>
      </c>
      <c r="P19" s="546">
        <v>320744085</v>
      </c>
      <c r="Q19" s="546" t="s">
        <v>531</v>
      </c>
      <c r="R19" s="546"/>
      <c r="S19" s="546" t="s">
        <v>529</v>
      </c>
    </row>
    <row r="20" spans="1:20" ht="18" customHeight="1">
      <c r="A20" s="540" t="str">
        <f t="shared" si="1"/>
        <v/>
      </c>
      <c r="B20" s="541" t="str">
        <f t="shared" si="2"/>
        <v/>
      </c>
      <c r="C20" s="553"/>
      <c r="D20" s="554"/>
      <c r="E20" s="555"/>
      <c r="F20" s="555"/>
      <c r="G20" s="25">
        <f t="array" ref="G20">SUM(IF("1522"&amp;C20=KHN&amp;MH,SL))</f>
        <v>0</v>
      </c>
      <c r="H20" s="25">
        <f t="array" ref="H20">SUM(IF("1522"&amp;C20=KHN&amp;MH,TH))</f>
        <v>0</v>
      </c>
      <c r="I20" s="25">
        <f t="array" ref="I20">SUM(IF("1522"&amp;C20=KHC&amp;MH,SL))</f>
        <v>0</v>
      </c>
      <c r="J20" s="25">
        <f t="array" ref="J20">SUM(IF("1522"&amp;C20=KHC&amp;MH,TH))</f>
        <v>0</v>
      </c>
      <c r="K20" s="556">
        <f t="shared" si="0"/>
        <v>0</v>
      </c>
      <c r="L20" s="556">
        <f t="shared" si="0"/>
        <v>0</v>
      </c>
      <c r="M20" s="544"/>
      <c r="N20" s="547" t="s">
        <v>543</v>
      </c>
      <c r="O20" s="542" t="s">
        <v>527</v>
      </c>
      <c r="P20" s="546">
        <v>320807672</v>
      </c>
      <c r="Q20" s="546" t="s">
        <v>544</v>
      </c>
      <c r="R20" s="546"/>
      <c r="S20" s="546" t="s">
        <v>529</v>
      </c>
    </row>
    <row r="21" spans="1:20" ht="18" customHeight="1">
      <c r="A21" s="540" t="str">
        <f t="shared" si="1"/>
        <v/>
      </c>
      <c r="B21" s="541" t="str">
        <f t="shared" si="2"/>
        <v/>
      </c>
      <c r="C21" s="557"/>
      <c r="D21" s="554"/>
      <c r="E21" s="555"/>
      <c r="F21" s="555"/>
      <c r="G21" s="25">
        <f t="array" ref="G21">SUM(IF("1522"&amp;C21=KHN&amp;MH,SL))</f>
        <v>0</v>
      </c>
      <c r="H21" s="25">
        <f t="array" ref="H21">SUM(IF("1522"&amp;C21=KHN&amp;MH,TH))</f>
        <v>0</v>
      </c>
      <c r="I21" s="25">
        <f t="array" ref="I21">SUM(IF("1522"&amp;C21=KHC&amp;MH,SL))</f>
        <v>0</v>
      </c>
      <c r="J21" s="25">
        <f t="array" ref="J21">SUM(IF("1522"&amp;C21=KHC&amp;MH,TH))</f>
        <v>0</v>
      </c>
      <c r="K21" s="556">
        <f t="shared" si="0"/>
        <v>0</v>
      </c>
      <c r="L21" s="556">
        <f t="shared" si="0"/>
        <v>0</v>
      </c>
      <c r="M21" s="544"/>
      <c r="N21" s="547" t="s">
        <v>545</v>
      </c>
      <c r="O21" s="542" t="s">
        <v>527</v>
      </c>
      <c r="P21" s="546">
        <v>320044169</v>
      </c>
      <c r="Q21" s="546" t="s">
        <v>546</v>
      </c>
      <c r="R21" s="546"/>
      <c r="S21" s="546" t="s">
        <v>529</v>
      </c>
    </row>
    <row r="22" spans="1:20" ht="18" customHeight="1">
      <c r="A22" s="540" t="str">
        <f t="shared" si="1"/>
        <v/>
      </c>
      <c r="B22" s="541" t="str">
        <f t="shared" si="2"/>
        <v/>
      </c>
      <c r="C22" s="557"/>
      <c r="D22" s="554"/>
      <c r="E22" s="555"/>
      <c r="F22" s="555"/>
      <c r="G22" s="25">
        <f t="array" ref="G22">SUM(IF("1522"&amp;C22=KHN&amp;MH,SL))</f>
        <v>0</v>
      </c>
      <c r="H22" s="25">
        <f t="array" ref="H22">SUM(IF("1522"&amp;C22=KHN&amp;MH,TH))</f>
        <v>0</v>
      </c>
      <c r="I22" s="25">
        <f t="array" ref="I22">SUM(IF("1522"&amp;C22=KHC&amp;MH,SL))</f>
        <v>0</v>
      </c>
      <c r="J22" s="25">
        <f t="array" ref="J22">SUM(IF("1522"&amp;C22=KHC&amp;MH,TH))</f>
        <v>0</v>
      </c>
      <c r="K22" s="556">
        <f t="shared" si="0"/>
        <v>0</v>
      </c>
      <c r="L22" s="556">
        <f t="shared" si="0"/>
        <v>0</v>
      </c>
      <c r="M22" s="544"/>
      <c r="N22" s="558" t="s">
        <v>547</v>
      </c>
      <c r="O22" s="542" t="s">
        <v>527</v>
      </c>
      <c r="P22" s="546">
        <v>320881573</v>
      </c>
      <c r="Q22" s="546" t="s">
        <v>544</v>
      </c>
      <c r="R22" s="546"/>
      <c r="S22" s="546" t="s">
        <v>529</v>
      </c>
    </row>
    <row r="23" spans="1:20" ht="18" customHeight="1">
      <c r="A23" s="540" t="str">
        <f t="shared" si="1"/>
        <v/>
      </c>
      <c r="B23" s="541" t="str">
        <f t="shared" si="2"/>
        <v/>
      </c>
      <c r="C23" s="557"/>
      <c r="D23" s="554"/>
      <c r="E23" s="555"/>
      <c r="F23" s="555"/>
      <c r="G23" s="25">
        <f t="array" ref="G23">SUM(IF("1522"&amp;C23=KHN&amp;MH,SL))</f>
        <v>0</v>
      </c>
      <c r="H23" s="25">
        <f t="array" ref="H23">SUM(IF("1522"&amp;C23=KHN&amp;MH,TH))</f>
        <v>0</v>
      </c>
      <c r="I23" s="25">
        <f t="array" ref="I23">SUM(IF("1522"&amp;C23=KHC&amp;MH,SL))</f>
        <v>0</v>
      </c>
      <c r="J23" s="25">
        <f t="array" ref="J23">SUM(IF("1522"&amp;C23=KHC&amp;MH,TH))</f>
        <v>0</v>
      </c>
      <c r="K23" s="556">
        <f t="shared" si="0"/>
        <v>0</v>
      </c>
      <c r="L23" s="556">
        <f t="shared" si="0"/>
        <v>0</v>
      </c>
      <c r="M23" s="544"/>
      <c r="N23" s="547" t="s">
        <v>548</v>
      </c>
      <c r="O23" s="542" t="s">
        <v>527</v>
      </c>
      <c r="P23" s="546">
        <v>320876558</v>
      </c>
      <c r="Q23" s="546" t="s">
        <v>549</v>
      </c>
      <c r="R23" s="546"/>
      <c r="S23" s="546" t="s">
        <v>529</v>
      </c>
    </row>
    <row r="24" spans="1:20" ht="18" customHeight="1">
      <c r="A24" s="540" t="str">
        <f t="shared" si="1"/>
        <v/>
      </c>
      <c r="B24" s="541" t="str">
        <f t="shared" si="2"/>
        <v/>
      </c>
      <c r="C24" s="557"/>
      <c r="D24" s="554"/>
      <c r="E24" s="555"/>
      <c r="F24" s="555"/>
      <c r="G24" s="25">
        <f t="array" ref="G24">SUM(IF("1522"&amp;C24=KHN&amp;MH,SL))</f>
        <v>0</v>
      </c>
      <c r="H24" s="25">
        <f t="array" ref="H24">SUM(IF("1522"&amp;C24=KHN&amp;MH,TH))</f>
        <v>0</v>
      </c>
      <c r="I24" s="25">
        <f t="array" ref="I24">SUM(IF("1522"&amp;C24=KHC&amp;MH,SL))</f>
        <v>0</v>
      </c>
      <c r="J24" s="25">
        <f t="array" ref="J24">SUM(IF("1522"&amp;C24=KHC&amp;MH,TH))</f>
        <v>0</v>
      </c>
      <c r="K24" s="555">
        <f t="shared" si="0"/>
        <v>0</v>
      </c>
      <c r="L24" s="555">
        <f t="shared" si="0"/>
        <v>0</v>
      </c>
      <c r="M24" s="544"/>
      <c r="N24" s="547" t="s">
        <v>550</v>
      </c>
      <c r="O24" s="549" t="s">
        <v>551</v>
      </c>
      <c r="P24" s="546">
        <v>250746332</v>
      </c>
      <c r="Q24" s="546" t="s">
        <v>552</v>
      </c>
      <c r="R24" s="546"/>
      <c r="S24" s="546" t="s">
        <v>529</v>
      </c>
    </row>
    <row r="25" spans="1:20" ht="18" customHeight="1">
      <c r="A25" s="540" t="str">
        <f t="shared" si="1"/>
        <v/>
      </c>
      <c r="B25" s="541" t="str">
        <f t="shared" si="2"/>
        <v/>
      </c>
      <c r="C25" s="559"/>
      <c r="D25" s="560"/>
      <c r="E25" s="561"/>
      <c r="F25" s="561"/>
      <c r="G25" s="25">
        <f t="array" ref="G25">SUM(IF("1522"&amp;C25=KHN&amp;MH,SL))</f>
        <v>0</v>
      </c>
      <c r="H25" s="25">
        <f t="array" ref="H25">SUM(IF("1522"&amp;C25=KHN&amp;MH,TH))</f>
        <v>0</v>
      </c>
      <c r="I25" s="25">
        <f t="array" ref="I25">SUM(IF("1522"&amp;C25=KHC&amp;MH,SL))</f>
        <v>0</v>
      </c>
      <c r="J25" s="25">
        <f t="array" ref="J25">SUM(IF("1522"&amp;C25=KHC&amp;MH,TH))</f>
        <v>0</v>
      </c>
      <c r="K25" s="562">
        <f t="shared" si="0"/>
        <v>0</v>
      </c>
      <c r="L25" s="562">
        <f t="shared" si="0"/>
        <v>0</v>
      </c>
      <c r="M25" s="544"/>
      <c r="N25" s="547" t="s">
        <v>553</v>
      </c>
      <c r="O25" s="549" t="s">
        <v>551</v>
      </c>
      <c r="P25" s="546">
        <v>260682094</v>
      </c>
      <c r="Q25" s="546" t="s">
        <v>552</v>
      </c>
      <c r="R25" s="546"/>
      <c r="S25" s="546" t="s">
        <v>529</v>
      </c>
    </row>
    <row r="26" spans="1:20" ht="18" customHeight="1">
      <c r="A26" s="540" t="str">
        <f t="shared" si="1"/>
        <v/>
      </c>
      <c r="B26" s="541" t="str">
        <f t="shared" si="2"/>
        <v/>
      </c>
      <c r="C26" s="559"/>
      <c r="D26" s="560"/>
      <c r="E26" s="561"/>
      <c r="F26" s="561"/>
      <c r="G26" s="25">
        <f t="array" ref="G26">SUM(IF("1522"&amp;C26=KHN&amp;MH,SL))</f>
        <v>0</v>
      </c>
      <c r="H26" s="25">
        <f t="array" ref="H26">SUM(IF("1522"&amp;C26=KHN&amp;MH,TH))</f>
        <v>0</v>
      </c>
      <c r="I26" s="25">
        <f t="array" ref="I26">SUM(IF("1522"&amp;C26=KHC&amp;MH,SL))</f>
        <v>0</v>
      </c>
      <c r="J26" s="25">
        <f t="array" ref="J26">SUM(IF("1522"&amp;C26=KHC&amp;MH,TH))</f>
        <v>0</v>
      </c>
      <c r="K26" s="562">
        <f t="shared" si="0"/>
        <v>0</v>
      </c>
      <c r="L26" s="562">
        <f t="shared" si="0"/>
        <v>0</v>
      </c>
      <c r="M26" s="544"/>
      <c r="N26" s="547" t="s">
        <v>554</v>
      </c>
      <c r="O26" s="549" t="s">
        <v>551</v>
      </c>
      <c r="P26" s="546">
        <v>260690910</v>
      </c>
      <c r="Q26" s="546" t="s">
        <v>555</v>
      </c>
      <c r="R26" s="546"/>
      <c r="S26" s="546" t="s">
        <v>529</v>
      </c>
    </row>
    <row r="27" spans="1:20" ht="18" customHeight="1">
      <c r="A27" s="540" t="str">
        <f t="shared" si="1"/>
        <v/>
      </c>
      <c r="B27" s="541" t="str">
        <f t="shared" si="2"/>
        <v/>
      </c>
      <c r="C27" s="559"/>
      <c r="D27" s="560"/>
      <c r="E27" s="561"/>
      <c r="F27" s="561"/>
      <c r="G27" s="25">
        <f t="array" ref="G27">SUM(IF("1522"&amp;C27=KHN&amp;MH,SL))</f>
        <v>0</v>
      </c>
      <c r="H27" s="25">
        <f t="array" ref="H27">SUM(IF("1522"&amp;C27=KHN&amp;MH,TH))</f>
        <v>0</v>
      </c>
      <c r="I27" s="25">
        <f t="array" ref="I27">SUM(IF("1522"&amp;C27=KHC&amp;MH,SL))</f>
        <v>0</v>
      </c>
      <c r="J27" s="25">
        <f t="array" ref="J27">SUM(IF("1522"&amp;C27=KHC&amp;MH,TH))</f>
        <v>0</v>
      </c>
      <c r="K27" s="562">
        <f t="shared" si="0"/>
        <v>0</v>
      </c>
      <c r="L27" s="562">
        <f t="shared" si="0"/>
        <v>0</v>
      </c>
      <c r="M27" s="544"/>
      <c r="N27" s="547" t="s">
        <v>556</v>
      </c>
      <c r="O27" s="549" t="s">
        <v>551</v>
      </c>
      <c r="P27" s="546">
        <v>260178873</v>
      </c>
      <c r="Q27" s="546" t="s">
        <v>557</v>
      </c>
      <c r="R27" s="546"/>
      <c r="S27" s="546" t="s">
        <v>529</v>
      </c>
    </row>
    <row r="28" spans="1:20" ht="18" customHeight="1">
      <c r="A28" s="540" t="str">
        <f t="shared" si="1"/>
        <v/>
      </c>
      <c r="B28" s="541" t="str">
        <f t="shared" si="2"/>
        <v/>
      </c>
      <c r="C28" s="559"/>
      <c r="D28" s="560"/>
      <c r="E28" s="561"/>
      <c r="F28" s="561"/>
      <c r="G28" s="25">
        <f t="array" ref="G28">SUM(IF("1522"&amp;C28=KHN&amp;MH,SL))</f>
        <v>0</v>
      </c>
      <c r="H28" s="25">
        <f t="array" ref="H28">SUM(IF("1522"&amp;C28=KHN&amp;MH,TH))</f>
        <v>0</v>
      </c>
      <c r="I28" s="25">
        <f t="array" ref="I28">SUM(IF("1522"&amp;C28=KHC&amp;MH,SL))</f>
        <v>0</v>
      </c>
      <c r="J28" s="25">
        <f t="array" ref="J28">SUM(IF("1522"&amp;C28=KHC&amp;MH,TH))</f>
        <v>0</v>
      </c>
      <c r="K28" s="562">
        <f t="shared" ref="K28:L33" si="3">E28+G28-I28</f>
        <v>0</v>
      </c>
      <c r="L28" s="562">
        <f t="shared" si="3"/>
        <v>0</v>
      </c>
      <c r="M28" s="544"/>
      <c r="N28" s="547" t="s">
        <v>558</v>
      </c>
      <c r="O28" s="549" t="s">
        <v>551</v>
      </c>
      <c r="P28" s="546">
        <v>260850613</v>
      </c>
      <c r="Q28" s="546" t="s">
        <v>557</v>
      </c>
      <c r="R28" s="546"/>
      <c r="S28" s="546" t="s">
        <v>529</v>
      </c>
      <c r="T28" s="563"/>
    </row>
    <row r="29" spans="1:20" s="563" customFormat="1" ht="18" customHeight="1">
      <c r="A29" s="540" t="str">
        <f t="shared" si="1"/>
        <v/>
      </c>
      <c r="B29" s="541" t="str">
        <f t="shared" si="2"/>
        <v/>
      </c>
      <c r="C29" s="559"/>
      <c r="D29" s="560"/>
      <c r="E29" s="561"/>
      <c r="F29" s="561"/>
      <c r="G29" s="25">
        <f t="array" ref="G29">SUM(IF("1522"&amp;C29=KHN&amp;MH,SL))</f>
        <v>0</v>
      </c>
      <c r="H29" s="25">
        <f t="array" ref="H29">SUM(IF("1522"&amp;C29=KHN&amp;MH,TH))</f>
        <v>0</v>
      </c>
      <c r="I29" s="25">
        <f t="array" ref="I29">SUM(IF("1522"&amp;C29=KHC&amp;MH,SL))</f>
        <v>0</v>
      </c>
      <c r="J29" s="25">
        <f t="array" ref="J29">SUM(IF("1522"&amp;C29=KHC&amp;MH,TH))</f>
        <v>0</v>
      </c>
      <c r="K29" s="561">
        <f t="shared" si="3"/>
        <v>0</v>
      </c>
      <c r="L29" s="561">
        <f t="shared" si="3"/>
        <v>0</v>
      </c>
      <c r="M29" s="544"/>
      <c r="N29" s="547" t="s">
        <v>559</v>
      </c>
      <c r="O29" s="549" t="s">
        <v>551</v>
      </c>
      <c r="P29" s="546">
        <v>280853616</v>
      </c>
      <c r="Q29" s="546" t="s">
        <v>557</v>
      </c>
      <c r="R29" s="546"/>
      <c r="S29" s="546" t="s">
        <v>529</v>
      </c>
    </row>
    <row r="30" spans="1:20" s="563" customFormat="1" ht="18" customHeight="1">
      <c r="A30" s="540" t="str">
        <f t="shared" si="1"/>
        <v/>
      </c>
      <c r="B30" s="541" t="str">
        <f t="shared" si="2"/>
        <v/>
      </c>
      <c r="C30" s="559"/>
      <c r="D30" s="560"/>
      <c r="E30" s="561"/>
      <c r="F30" s="561"/>
      <c r="G30" s="25">
        <f t="array" ref="G30">SUM(IF("1522"&amp;C30=KHN&amp;MH,SL))</f>
        <v>0</v>
      </c>
      <c r="H30" s="25">
        <f t="array" ref="H30">SUM(IF("1522"&amp;C30=KHN&amp;MH,TH))</f>
        <v>0</v>
      </c>
      <c r="I30" s="25">
        <f t="array" ref="I30">SUM(IF("1522"&amp;C30=KHC&amp;MH,SL))</f>
        <v>0</v>
      </c>
      <c r="J30" s="25">
        <f t="array" ref="J30">SUM(IF("1522"&amp;C30=KHC&amp;MH,TH))</f>
        <v>0</v>
      </c>
      <c r="K30" s="561">
        <f t="shared" si="3"/>
        <v>0</v>
      </c>
      <c r="L30" s="561">
        <f t="shared" si="3"/>
        <v>0</v>
      </c>
      <c r="M30" s="544"/>
      <c r="N30" s="547" t="s">
        <v>560</v>
      </c>
      <c r="O30" s="549" t="s">
        <v>551</v>
      </c>
      <c r="P30" s="546">
        <v>261005222</v>
      </c>
      <c r="Q30" s="546" t="s">
        <v>561</v>
      </c>
      <c r="R30" s="546"/>
      <c r="S30" s="546" t="s">
        <v>529</v>
      </c>
    </row>
    <row r="31" spans="1:20" s="563" customFormat="1" ht="18" customHeight="1">
      <c r="A31" s="540" t="str">
        <f t="shared" si="1"/>
        <v/>
      </c>
      <c r="B31" s="541" t="str">
        <f t="shared" si="2"/>
        <v/>
      </c>
      <c r="C31" s="559"/>
      <c r="D31" s="560"/>
      <c r="E31" s="561"/>
      <c r="F31" s="561"/>
      <c r="G31" s="25">
        <f t="array" ref="G31">SUM(IF("1522"&amp;C31=KHN&amp;MH,SL))</f>
        <v>0</v>
      </c>
      <c r="H31" s="25">
        <f t="array" ref="H31">SUM(IF("1522"&amp;C31=KHN&amp;MH,TH))</f>
        <v>0</v>
      </c>
      <c r="I31" s="25">
        <f t="array" ref="I31">SUM(IF("1522"&amp;C31=KHC&amp;MH,SL))</f>
        <v>0</v>
      </c>
      <c r="J31" s="25">
        <f t="array" ref="J31">SUM(IF("1522"&amp;C31=KHC&amp;MH,TH))</f>
        <v>0</v>
      </c>
      <c r="K31" s="561">
        <f t="shared" si="3"/>
        <v>0</v>
      </c>
      <c r="L31" s="561">
        <f t="shared" si="3"/>
        <v>0</v>
      </c>
      <c r="M31" s="544"/>
      <c r="N31" s="547" t="s">
        <v>562</v>
      </c>
      <c r="O31" s="549" t="s">
        <v>563</v>
      </c>
      <c r="P31" s="546">
        <v>370047763</v>
      </c>
      <c r="Q31" s="546" t="s">
        <v>564</v>
      </c>
      <c r="R31" s="546"/>
      <c r="S31" s="546" t="s">
        <v>529</v>
      </c>
      <c r="T31" s="531"/>
    </row>
    <row r="32" spans="1:20" ht="18.75" customHeight="1">
      <c r="A32" s="540" t="str">
        <f t="shared" si="1"/>
        <v/>
      </c>
      <c r="B32" s="541" t="str">
        <f t="shared" si="2"/>
        <v/>
      </c>
      <c r="C32" s="559"/>
      <c r="D32" s="560"/>
      <c r="E32" s="561"/>
      <c r="F32" s="561"/>
      <c r="G32" s="25">
        <f t="array" ref="G32">SUM(IF("1522"&amp;C32=KHN&amp;MH,SL))</f>
        <v>0</v>
      </c>
      <c r="H32" s="25">
        <f t="array" ref="H32">SUM(IF("1522"&amp;C32=KHN&amp;MH,TH))</f>
        <v>0</v>
      </c>
      <c r="I32" s="25">
        <f t="array" ref="I32">SUM(IF("1522"&amp;C32=KHC&amp;MH,SL))</f>
        <v>0</v>
      </c>
      <c r="J32" s="25">
        <f t="array" ref="J32">SUM(IF("1522"&amp;C32=KHC&amp;MH,TH))</f>
        <v>0</v>
      </c>
      <c r="K32" s="561">
        <f t="shared" si="3"/>
        <v>0</v>
      </c>
      <c r="L32" s="561">
        <f t="shared" si="3"/>
        <v>0</v>
      </c>
      <c r="M32" s="544"/>
      <c r="N32" s="547" t="s">
        <v>565</v>
      </c>
      <c r="O32" s="549" t="s">
        <v>563</v>
      </c>
      <c r="P32" s="546">
        <v>370054438</v>
      </c>
      <c r="Q32" s="546" t="s">
        <v>564</v>
      </c>
      <c r="R32" s="546"/>
      <c r="S32" s="546" t="s">
        <v>529</v>
      </c>
    </row>
    <row r="33" spans="1:19" ht="18.75" customHeight="1">
      <c r="A33" s="540" t="str">
        <f t="shared" si="1"/>
        <v/>
      </c>
      <c r="B33" s="541" t="str">
        <f t="shared" si="2"/>
        <v/>
      </c>
      <c r="C33" s="559"/>
      <c r="D33" s="560"/>
      <c r="E33" s="561"/>
      <c r="F33" s="561"/>
      <c r="G33" s="25">
        <f t="array" ref="G33">SUM(IF("1522"&amp;C33=KHN&amp;MH,SL))</f>
        <v>0</v>
      </c>
      <c r="H33" s="25">
        <f t="array" ref="H33">SUM(IF("1522"&amp;C33=KHN&amp;MH,TH))</f>
        <v>0</v>
      </c>
      <c r="I33" s="25">
        <f t="array" ref="I33">SUM(IF("1522"&amp;C33=KHC&amp;MH,SL))</f>
        <v>0</v>
      </c>
      <c r="J33" s="25">
        <f t="array" ref="J33">SUM(IF("1522"&amp;C33=KHC&amp;MH,TH))</f>
        <v>0</v>
      </c>
      <c r="K33" s="561">
        <f t="shared" si="3"/>
        <v>0</v>
      </c>
      <c r="L33" s="561">
        <f t="shared" si="3"/>
        <v>0</v>
      </c>
      <c r="M33" s="544"/>
      <c r="N33" s="547" t="s">
        <v>566</v>
      </c>
      <c r="O33" s="549" t="s">
        <v>563</v>
      </c>
      <c r="P33" s="546">
        <v>370615318</v>
      </c>
      <c r="Q33" s="546" t="s">
        <v>567</v>
      </c>
      <c r="R33" s="546"/>
      <c r="S33" s="546" t="s">
        <v>529</v>
      </c>
    </row>
    <row r="34" spans="1:19" ht="18.75" customHeight="1">
      <c r="A34" s="540" t="str">
        <f t="shared" si="1"/>
        <v/>
      </c>
      <c r="B34" s="541" t="str">
        <f>IF(C34&lt;&gt;"",#REF!+1,"")</f>
        <v/>
      </c>
      <c r="C34" s="558"/>
      <c r="D34" s="564"/>
      <c r="E34" s="565"/>
      <c r="F34" s="565"/>
      <c r="G34" s="25"/>
      <c r="H34" s="565"/>
      <c r="I34" s="565"/>
      <c r="J34" s="565"/>
      <c r="K34" s="565"/>
      <c r="L34" s="565"/>
      <c r="M34" s="544"/>
      <c r="N34" s="547" t="s">
        <v>568</v>
      </c>
      <c r="O34" s="549" t="s">
        <v>563</v>
      </c>
      <c r="P34" s="546">
        <v>370825748</v>
      </c>
      <c r="Q34" s="546" t="s">
        <v>567</v>
      </c>
      <c r="R34" s="546"/>
      <c r="S34" s="546" t="s">
        <v>529</v>
      </c>
    </row>
    <row r="35" spans="1:19" ht="18.75" customHeight="1">
      <c r="A35" s="540"/>
      <c r="B35" s="537"/>
      <c r="C35" s="566" t="s">
        <v>585</v>
      </c>
      <c r="D35" s="13"/>
      <c r="E35" s="13">
        <f t="shared" ref="E35:L35" si="4">SUM(E12:E34)</f>
        <v>0</v>
      </c>
      <c r="F35" s="13">
        <f t="shared" si="4"/>
        <v>0</v>
      </c>
      <c r="G35" s="13">
        <f t="shared" si="4"/>
        <v>7392</v>
      </c>
      <c r="H35" s="13">
        <f t="shared" si="4"/>
        <v>62437056</v>
      </c>
      <c r="I35" s="13">
        <f t="shared" si="4"/>
        <v>0</v>
      </c>
      <c r="J35" s="13">
        <f t="shared" si="4"/>
        <v>0</v>
      </c>
      <c r="K35" s="13">
        <f t="shared" si="4"/>
        <v>7392</v>
      </c>
      <c r="L35" s="13">
        <f t="shared" si="4"/>
        <v>62437056</v>
      </c>
      <c r="M35" s="544"/>
      <c r="N35" s="547" t="s">
        <v>569</v>
      </c>
      <c r="O35" s="549" t="s">
        <v>563</v>
      </c>
      <c r="P35" s="546">
        <v>370698949</v>
      </c>
      <c r="Q35" s="546" t="s">
        <v>570</v>
      </c>
      <c r="R35" s="546" t="s">
        <v>571</v>
      </c>
      <c r="S35" s="546" t="s">
        <v>529</v>
      </c>
    </row>
    <row r="36" spans="1:19" ht="18.75" customHeight="1">
      <c r="A36" s="540" t="str">
        <f>IF(B36&lt;&gt;"","VL","")</f>
        <v/>
      </c>
      <c r="B36" s="567"/>
      <c r="C36" s="568"/>
      <c r="D36" s="569"/>
      <c r="E36" s="569"/>
      <c r="F36" s="569"/>
      <c r="G36" s="569"/>
      <c r="H36" s="569"/>
      <c r="I36" s="569"/>
      <c r="J36" s="569"/>
      <c r="K36" s="569"/>
      <c r="L36" s="569"/>
      <c r="M36" s="544"/>
      <c r="N36" s="547" t="s">
        <v>572</v>
      </c>
      <c r="O36" s="549" t="s">
        <v>563</v>
      </c>
      <c r="P36" s="546">
        <v>370803567</v>
      </c>
      <c r="Q36" s="546" t="s">
        <v>573</v>
      </c>
      <c r="R36" s="546"/>
      <c r="S36" s="546" t="s">
        <v>529</v>
      </c>
    </row>
    <row r="37" spans="1:19" ht="18.75" customHeight="1">
      <c r="A37" s="540" t="str">
        <f t="shared" ref="A37:A44" si="5">IF(B37&lt;&gt;"","NL","")</f>
        <v/>
      </c>
      <c r="B37" s="570" t="str">
        <f>IF(C37&lt;&gt;"",ROW()-(ROW()-1),"")</f>
        <v/>
      </c>
      <c r="C37" s="547"/>
      <c r="D37" s="543"/>
      <c r="E37" s="25"/>
      <c r="F37" s="25"/>
      <c r="G37" s="25">
        <f t="array" ref="G37">SUM(IF("1521"&amp;C37=KHN&amp;MH,SL))</f>
        <v>0</v>
      </c>
      <c r="H37" s="25">
        <f t="array" ref="H37">SUM(IF("1521"&amp;C37=KHN&amp;MH,TH))</f>
        <v>0</v>
      </c>
      <c r="I37" s="25">
        <f t="array" ref="I37">SUM(IF("1521"&amp;C37=KHC&amp;MH,SL))</f>
        <v>0</v>
      </c>
      <c r="J37" s="25">
        <f t="array" ref="J37">SUM(IF("1521"&amp;C37=KHC&amp;MH,TH))</f>
        <v>0</v>
      </c>
      <c r="K37" s="25">
        <f t="shared" ref="K37:L41" si="6">E37+G37-I37</f>
        <v>0</v>
      </c>
      <c r="L37" s="25">
        <f t="shared" si="6"/>
        <v>0</v>
      </c>
      <c r="M37" s="544"/>
      <c r="N37" s="547" t="s">
        <v>574</v>
      </c>
      <c r="O37" s="549" t="s">
        <v>563</v>
      </c>
      <c r="P37" s="546">
        <v>370004125</v>
      </c>
      <c r="Q37" s="546" t="s">
        <v>564</v>
      </c>
      <c r="R37" s="546"/>
      <c r="S37" s="546" t="s">
        <v>529</v>
      </c>
    </row>
    <row r="38" spans="1:19" ht="18.75" customHeight="1">
      <c r="A38" s="540" t="str">
        <f t="shared" si="5"/>
        <v/>
      </c>
      <c r="B38" s="541" t="str">
        <f>IF(C38&lt;&gt;"",B37+1,"")</f>
        <v/>
      </c>
      <c r="C38" s="547"/>
      <c r="D38" s="543"/>
      <c r="E38" s="8"/>
      <c r="F38" s="8"/>
      <c r="G38" s="25">
        <f t="array" ref="G38">SUM(IF("1521"&amp;C38=KHN&amp;MH,SL))</f>
        <v>0</v>
      </c>
      <c r="H38" s="25">
        <f t="array" ref="H38">SUM(IF("1521"&amp;C38=KHN&amp;MH,TH))</f>
        <v>0</v>
      </c>
      <c r="I38" s="25">
        <f t="array" ref="I38">SUM(IF("1521"&amp;C38=KHC&amp;MH,SL))</f>
        <v>0</v>
      </c>
      <c r="J38" s="25">
        <f t="array" ref="J38">SUM(IF("1521"&amp;C38=KHC&amp;MH,TH))</f>
        <v>0</v>
      </c>
      <c r="K38" s="8">
        <f t="shared" si="6"/>
        <v>0</v>
      </c>
      <c r="L38" s="8">
        <f t="shared" si="6"/>
        <v>0</v>
      </c>
      <c r="M38" s="544"/>
      <c r="N38" s="547" t="s">
        <v>575</v>
      </c>
      <c r="O38" s="549" t="s">
        <v>563</v>
      </c>
      <c r="P38" s="546">
        <v>370033286</v>
      </c>
      <c r="Q38" s="546" t="s">
        <v>564</v>
      </c>
      <c r="R38" s="546"/>
      <c r="S38" s="546" t="s">
        <v>529</v>
      </c>
    </row>
    <row r="39" spans="1:19" ht="18.75" customHeight="1">
      <c r="A39" s="540" t="str">
        <f t="shared" si="5"/>
        <v/>
      </c>
      <c r="B39" s="541" t="str">
        <f>IF(C39&lt;&gt;"",B38+1,"")</f>
        <v/>
      </c>
      <c r="C39" s="547"/>
      <c r="D39" s="543"/>
      <c r="E39" s="8"/>
      <c r="F39" s="8"/>
      <c r="G39" s="25">
        <f t="array" ref="G39">SUM(IF("1521"&amp;C39=KHN&amp;MH,SL))</f>
        <v>0</v>
      </c>
      <c r="H39" s="25">
        <f t="array" ref="H39">SUM(IF("1521"&amp;C39=KHN&amp;MH,TH))</f>
        <v>0</v>
      </c>
      <c r="I39" s="25">
        <f t="array" ref="I39">SUM(IF("1521"&amp;C39=KHC&amp;MH,SL))</f>
        <v>0</v>
      </c>
      <c r="J39" s="25">
        <f t="array" ref="J39">SUM(IF("1521"&amp;C39=KHC&amp;MH,TH))</f>
        <v>0</v>
      </c>
      <c r="K39" s="8">
        <f t="shared" si="6"/>
        <v>0</v>
      </c>
      <c r="L39" s="8">
        <f t="shared" si="6"/>
        <v>0</v>
      </c>
      <c r="M39" s="544"/>
      <c r="N39" s="547" t="s">
        <v>576</v>
      </c>
      <c r="O39" s="549" t="s">
        <v>577</v>
      </c>
      <c r="P39" s="546">
        <v>310703274</v>
      </c>
      <c r="Q39" s="546" t="s">
        <v>578</v>
      </c>
      <c r="R39" s="546"/>
      <c r="S39" s="546" t="s">
        <v>524</v>
      </c>
    </row>
    <row r="40" spans="1:19" ht="18.75" customHeight="1">
      <c r="A40" s="540" t="str">
        <f t="shared" si="5"/>
        <v/>
      </c>
      <c r="B40" s="541" t="str">
        <f>IF(C40&lt;&gt;"",B39+1,"")</f>
        <v/>
      </c>
      <c r="C40" s="547"/>
      <c r="D40" s="543"/>
      <c r="E40" s="8"/>
      <c r="F40" s="8"/>
      <c r="G40" s="25">
        <f t="array" ref="G40">SUM(IF("1521"&amp;C40=KHN&amp;MH,SL))</f>
        <v>0</v>
      </c>
      <c r="H40" s="25">
        <f t="array" ref="H40">SUM(IF("1521"&amp;C40=KHN&amp;MH,TH))</f>
        <v>0</v>
      </c>
      <c r="I40" s="25">
        <f t="array" ref="I40">SUM(IF("1521"&amp;C40=KHC&amp;MH,SL))</f>
        <v>0</v>
      </c>
      <c r="J40" s="25">
        <f t="array" ref="J40">SUM(IF("1521"&amp;C40=KHC&amp;MH,TH))</f>
        <v>0</v>
      </c>
      <c r="K40" s="8">
        <f t="shared" si="6"/>
        <v>0</v>
      </c>
      <c r="L40" s="8">
        <f t="shared" si="6"/>
        <v>0</v>
      </c>
      <c r="M40" s="544"/>
      <c r="N40" s="547" t="s">
        <v>579</v>
      </c>
      <c r="O40" s="549" t="s">
        <v>577</v>
      </c>
      <c r="P40" s="546">
        <v>311704830</v>
      </c>
      <c r="Q40" s="546" t="s">
        <v>580</v>
      </c>
      <c r="R40" s="546"/>
      <c r="S40" s="546" t="s">
        <v>524</v>
      </c>
    </row>
    <row r="41" spans="1:19" ht="18.75" customHeight="1">
      <c r="A41" s="540" t="str">
        <f t="shared" si="5"/>
        <v/>
      </c>
      <c r="B41" s="541" t="str">
        <f>IF(C41&lt;&gt;"",B40+1,"")</f>
        <v/>
      </c>
      <c r="C41" s="547"/>
      <c r="D41" s="543"/>
      <c r="E41" s="8"/>
      <c r="F41" s="8"/>
      <c r="G41" s="25">
        <f t="array" ref="G41">SUM(IF("1521"&amp;C41=KHN&amp;MH,SL))</f>
        <v>0</v>
      </c>
      <c r="H41" s="25">
        <f t="array" ref="H41">SUM(IF("1521"&amp;C41=KHN&amp;MH,TH))</f>
        <v>0</v>
      </c>
      <c r="I41" s="25">
        <f t="array" ref="I41">SUM(IF("1521"&amp;C41=KHC&amp;MH,SL))</f>
        <v>0</v>
      </c>
      <c r="J41" s="25">
        <f t="array" ref="J41">SUM(IF("1521"&amp;C41=KHC&amp;MH,TH))</f>
        <v>0</v>
      </c>
      <c r="K41" s="8">
        <f t="shared" si="6"/>
        <v>0</v>
      </c>
      <c r="L41" s="8">
        <f t="shared" si="6"/>
        <v>0</v>
      </c>
      <c r="M41" s="544"/>
      <c r="N41" s="547" t="s">
        <v>581</v>
      </c>
      <c r="O41" s="549" t="s">
        <v>577</v>
      </c>
      <c r="P41" s="546">
        <v>311318331</v>
      </c>
      <c r="Q41" s="546" t="s">
        <v>582</v>
      </c>
      <c r="R41" s="546"/>
      <c r="S41" s="546" t="s">
        <v>524</v>
      </c>
    </row>
    <row r="42" spans="1:19" ht="18" customHeight="1">
      <c r="A42" s="540" t="str">
        <f t="shared" si="5"/>
        <v/>
      </c>
      <c r="B42" s="541" t="str">
        <f>IF(C42&lt;&gt;"",B41+1,"")</f>
        <v/>
      </c>
      <c r="C42" s="571"/>
      <c r="D42" s="572"/>
      <c r="E42" s="573"/>
      <c r="F42" s="573"/>
      <c r="G42" s="573"/>
      <c r="H42" s="573"/>
      <c r="I42" s="573"/>
      <c r="J42" s="573"/>
      <c r="K42" s="8"/>
      <c r="L42" s="8"/>
      <c r="M42" s="544"/>
      <c r="N42" s="547" t="s">
        <v>583</v>
      </c>
      <c r="O42" s="549" t="s">
        <v>577</v>
      </c>
      <c r="P42" s="546">
        <v>310882191</v>
      </c>
      <c r="Q42" s="546" t="s">
        <v>584</v>
      </c>
      <c r="R42" s="546"/>
      <c r="S42" s="546" t="s">
        <v>524</v>
      </c>
    </row>
    <row r="43" spans="1:19" ht="18" customHeight="1">
      <c r="A43" s="540" t="str">
        <f t="shared" si="5"/>
        <v/>
      </c>
      <c r="B43" s="537"/>
      <c r="C43" s="566" t="s">
        <v>599</v>
      </c>
      <c r="D43" s="537"/>
      <c r="E43" s="13">
        <f>SUM(E37:E41)</f>
        <v>0</v>
      </c>
      <c r="F43" s="13">
        <f>SUM(F37:F41)</f>
        <v>0</v>
      </c>
      <c r="G43" s="13">
        <f t="shared" ref="G43:L43" si="7">SUM(G37:G40)</f>
        <v>0</v>
      </c>
      <c r="H43" s="13">
        <f t="shared" si="7"/>
        <v>0</v>
      </c>
      <c r="I43" s="13">
        <f t="shared" si="7"/>
        <v>0</v>
      </c>
      <c r="J43" s="13">
        <f t="shared" si="7"/>
        <v>0</v>
      </c>
      <c r="K43" s="13">
        <f t="shared" si="7"/>
        <v>0</v>
      </c>
      <c r="L43" s="13">
        <f t="shared" si="7"/>
        <v>0</v>
      </c>
      <c r="M43" s="544"/>
      <c r="N43" s="547" t="s">
        <v>586</v>
      </c>
      <c r="O43" s="549" t="s">
        <v>577</v>
      </c>
      <c r="P43" s="546">
        <v>310882158</v>
      </c>
      <c r="Q43" s="546" t="s">
        <v>587</v>
      </c>
      <c r="R43" s="546"/>
      <c r="S43" s="546" t="s">
        <v>524</v>
      </c>
    </row>
    <row r="44" spans="1:19" ht="19.5" customHeight="1">
      <c r="A44" s="540" t="str">
        <f t="shared" si="5"/>
        <v/>
      </c>
      <c r="B44" s="574"/>
      <c r="C44" s="575"/>
      <c r="D44" s="574"/>
      <c r="E44" s="576"/>
      <c r="F44" s="576"/>
      <c r="G44" s="576"/>
      <c r="H44" s="576"/>
      <c r="I44" s="576"/>
      <c r="J44" s="576"/>
      <c r="K44" s="576"/>
      <c r="L44" s="576"/>
      <c r="M44" s="544"/>
      <c r="N44" s="547" t="s">
        <v>588</v>
      </c>
      <c r="O44" s="549" t="s">
        <v>577</v>
      </c>
      <c r="P44" s="546">
        <v>310033074</v>
      </c>
      <c r="Q44" s="546" t="s">
        <v>578</v>
      </c>
      <c r="R44" s="546"/>
      <c r="S44" s="546" t="s">
        <v>524</v>
      </c>
    </row>
    <row r="45" spans="1:19" ht="19.5" customHeight="1">
      <c r="A45" s="540" t="str">
        <f>IF(B45&lt;&gt;"","TP","")</f>
        <v/>
      </c>
      <c r="B45" s="577" t="str">
        <f>IF(C45&lt;&gt;"",ROW()-(ROW()-1),"")</f>
        <v/>
      </c>
      <c r="C45" s="542"/>
      <c r="D45" s="578"/>
      <c r="E45" s="25"/>
      <c r="F45" s="25"/>
      <c r="G45" s="25">
        <f t="array" ref="G45">SUM(IF("155"&amp;C45=KHN&amp;MH,SL))</f>
        <v>0</v>
      </c>
      <c r="H45" s="25">
        <f t="array" ref="H45">SUM(IF("155"&amp;C45=KHN&amp;MH,TH))</f>
        <v>0</v>
      </c>
      <c r="I45" s="25">
        <f t="array" ref="I45">SUM(IF("155"&amp;C45=KHC&amp;MH,SL))</f>
        <v>0</v>
      </c>
      <c r="J45" s="25">
        <f t="array" ref="J45">SUM(IF("155"&amp;C45=KHC&amp;MH,TH))</f>
        <v>0</v>
      </c>
      <c r="K45" s="25">
        <f t="shared" ref="K45:L52" si="8">E45+G45-I45</f>
        <v>0</v>
      </c>
      <c r="L45" s="25">
        <f t="shared" si="8"/>
        <v>0</v>
      </c>
      <c r="M45" s="544"/>
      <c r="N45" s="547" t="s">
        <v>589</v>
      </c>
      <c r="O45" s="549" t="s">
        <v>577</v>
      </c>
      <c r="P45" s="546">
        <v>310526150</v>
      </c>
      <c r="Q45" s="546" t="s">
        <v>578</v>
      </c>
      <c r="R45" s="546"/>
      <c r="S45" s="546" t="s">
        <v>524</v>
      </c>
    </row>
    <row r="46" spans="1:19" ht="19.5" customHeight="1">
      <c r="A46" s="540" t="str">
        <f t="shared" ref="A46:A54" si="9">IF(B46&lt;&gt;"","TP","")</f>
        <v/>
      </c>
      <c r="B46" s="579" t="str">
        <f>IF(C46&lt;&gt;"",B45+1,"")</f>
        <v/>
      </c>
      <c r="C46" s="547"/>
      <c r="D46" s="578"/>
      <c r="E46" s="8"/>
      <c r="F46" s="8"/>
      <c r="G46" s="25">
        <f t="array" ref="G46">SUM(IF("155"&amp;C46=KHN&amp;MH,SL))</f>
        <v>0</v>
      </c>
      <c r="H46" s="25">
        <f t="array" ref="H46">SUM(IF("155"&amp;C46=KHN&amp;MH,TH))</f>
        <v>0</v>
      </c>
      <c r="I46" s="25">
        <f t="array" ref="I46">SUM(IF("155"&amp;C46=KHC&amp;MH,SL))</f>
        <v>0</v>
      </c>
      <c r="J46" s="25">
        <f t="array" ref="J46">SUM(IF("155"&amp;C46=KHC&amp;MH,TH))</f>
        <v>0</v>
      </c>
      <c r="K46" s="8">
        <f t="shared" si="8"/>
        <v>0</v>
      </c>
      <c r="L46" s="8">
        <f t="shared" si="8"/>
        <v>0</v>
      </c>
      <c r="M46" s="544"/>
      <c r="N46" s="547" t="s">
        <v>590</v>
      </c>
      <c r="O46" s="549" t="s">
        <v>577</v>
      </c>
      <c r="P46" s="546">
        <v>311514350</v>
      </c>
      <c r="Q46" s="546" t="s">
        <v>580</v>
      </c>
      <c r="R46" s="546"/>
      <c r="S46" s="546" t="s">
        <v>524</v>
      </c>
    </row>
    <row r="47" spans="1:19" ht="19.5" customHeight="1">
      <c r="A47" s="540" t="str">
        <f t="shared" si="9"/>
        <v/>
      </c>
      <c r="B47" s="579" t="str">
        <f t="shared" ref="B47:B52" si="10">IF(C47&lt;&gt;"",B46+1,"")</f>
        <v/>
      </c>
      <c r="C47" s="547"/>
      <c r="D47" s="578"/>
      <c r="E47" s="8"/>
      <c r="F47" s="8"/>
      <c r="G47" s="25">
        <f t="array" ref="G47">SUM(IF("155"&amp;C47=KHN&amp;MH,SL))</f>
        <v>0</v>
      </c>
      <c r="H47" s="25">
        <f t="array" ref="H47">SUM(IF("155"&amp;C47=KHN&amp;MH,TH))</f>
        <v>0</v>
      </c>
      <c r="I47" s="25">
        <f t="array" ref="I47">SUM(IF("155"&amp;C47=KHC&amp;MH,SL))</f>
        <v>0</v>
      </c>
      <c r="J47" s="25">
        <f t="array" ref="J47">SUM(IF("155"&amp;C47=KHC&amp;MH,TH))</f>
        <v>0</v>
      </c>
      <c r="K47" s="8">
        <f t="shared" si="8"/>
        <v>0</v>
      </c>
      <c r="L47" s="8">
        <f t="shared" si="8"/>
        <v>0</v>
      </c>
      <c r="M47" s="544"/>
      <c r="N47" s="547" t="s">
        <v>591</v>
      </c>
      <c r="O47" s="549" t="s">
        <v>592</v>
      </c>
      <c r="P47" s="546">
        <v>270106056</v>
      </c>
      <c r="Q47" s="546" t="s">
        <v>592</v>
      </c>
      <c r="R47" s="546" t="s">
        <v>593</v>
      </c>
      <c r="S47" s="546" t="s">
        <v>524</v>
      </c>
    </row>
    <row r="48" spans="1:19" ht="19.5" customHeight="1">
      <c r="A48" s="540" t="str">
        <f t="shared" si="9"/>
        <v/>
      </c>
      <c r="B48" s="579" t="str">
        <f t="shared" si="10"/>
        <v/>
      </c>
      <c r="C48" s="547"/>
      <c r="D48" s="578"/>
      <c r="E48" s="8"/>
      <c r="F48" s="8"/>
      <c r="G48" s="25">
        <f t="array" ref="G48">SUM(IF("155"&amp;C48=KHN&amp;MH,SL))</f>
        <v>0</v>
      </c>
      <c r="H48" s="25">
        <f t="array" ref="H48">SUM(IF("155"&amp;C48=KHN&amp;MH,TH))</f>
        <v>0</v>
      </c>
      <c r="I48" s="25">
        <f t="array" ref="I48">SUM(IF("155"&amp;C48=KHC&amp;MH,SL))</f>
        <v>0</v>
      </c>
      <c r="J48" s="25">
        <f t="array" ref="J48">SUM(IF("155"&amp;C48=KHC&amp;MH,TH))</f>
        <v>0</v>
      </c>
      <c r="K48" s="8">
        <f t="shared" si="8"/>
        <v>0</v>
      </c>
      <c r="L48" s="8">
        <f t="shared" si="8"/>
        <v>0</v>
      </c>
      <c r="M48" s="544"/>
      <c r="N48" s="547" t="s">
        <v>594</v>
      </c>
      <c r="O48" s="549" t="s">
        <v>592</v>
      </c>
      <c r="P48" s="546">
        <v>270176684</v>
      </c>
      <c r="Q48" s="546" t="s">
        <v>592</v>
      </c>
      <c r="R48" s="546" t="s">
        <v>595</v>
      </c>
      <c r="S48" s="546" t="s">
        <v>524</v>
      </c>
    </row>
    <row r="49" spans="1:20" ht="19.5" customHeight="1">
      <c r="A49" s="540" t="str">
        <f t="shared" si="9"/>
        <v/>
      </c>
      <c r="B49" s="579" t="str">
        <f t="shared" si="10"/>
        <v/>
      </c>
      <c r="C49" s="547"/>
      <c r="D49" s="578"/>
      <c r="E49" s="8"/>
      <c r="F49" s="8"/>
      <c r="G49" s="25">
        <f t="array" ref="G49">SUM(IF("155"&amp;C49=KHN&amp;MH,SL))</f>
        <v>0</v>
      </c>
      <c r="H49" s="25">
        <f t="array" ref="H49">SUM(IF("155"&amp;C49=KHN&amp;MH,TH))</f>
        <v>0</v>
      </c>
      <c r="I49" s="25">
        <f t="array" ref="I49">SUM(IF("155"&amp;C49=KHC&amp;MH,SL))</f>
        <v>0</v>
      </c>
      <c r="J49" s="25">
        <f t="array" ref="J49">SUM(IF("155"&amp;C49=KHC&amp;MH,TH))</f>
        <v>0</v>
      </c>
      <c r="K49" s="8">
        <f t="shared" si="8"/>
        <v>0</v>
      </c>
      <c r="L49" s="8">
        <f t="shared" si="8"/>
        <v>0</v>
      </c>
      <c r="M49" s="544"/>
      <c r="N49" s="547" t="s">
        <v>596</v>
      </c>
      <c r="O49" s="549" t="s">
        <v>592</v>
      </c>
      <c r="P49" s="546">
        <v>270176960</v>
      </c>
      <c r="Q49" s="546" t="s">
        <v>592</v>
      </c>
      <c r="R49" s="546" t="s">
        <v>597</v>
      </c>
      <c r="S49" s="546" t="s">
        <v>524</v>
      </c>
    </row>
    <row r="50" spans="1:20" ht="18" customHeight="1">
      <c r="A50" s="540" t="str">
        <f t="shared" si="9"/>
        <v/>
      </c>
      <c r="B50" s="579" t="str">
        <f t="shared" si="10"/>
        <v/>
      </c>
      <c r="C50" s="547"/>
      <c r="D50" s="578"/>
      <c r="E50" s="8"/>
      <c r="F50" s="8"/>
      <c r="G50" s="25">
        <f t="array" ref="G50">SUM(IF("155"&amp;C50=KHN&amp;MH,SL))</f>
        <v>0</v>
      </c>
      <c r="H50" s="25">
        <f t="array" ref="H50">SUM(IF("155"&amp;C50=KHN&amp;MH,TH))</f>
        <v>0</v>
      </c>
      <c r="I50" s="25">
        <f t="array" ref="I50">SUM(IF("155"&amp;C50=KHC&amp;MH,SL))</f>
        <v>0</v>
      </c>
      <c r="J50" s="25">
        <f t="array" ref="J50">SUM(IF("155"&amp;C50=KHC&amp;MH,TH))</f>
        <v>0</v>
      </c>
      <c r="K50" s="8">
        <f>E50+G50-I50</f>
        <v>0</v>
      </c>
      <c r="L50" s="8">
        <f>F50+H50-J50</f>
        <v>0</v>
      </c>
      <c r="M50" s="544"/>
      <c r="N50" s="547" t="s">
        <v>598</v>
      </c>
      <c r="O50" s="549" t="s">
        <v>592</v>
      </c>
      <c r="P50" s="546">
        <v>271181056</v>
      </c>
      <c r="Q50" s="546" t="s">
        <v>592</v>
      </c>
      <c r="R50" s="546"/>
      <c r="S50" s="546" t="s">
        <v>524</v>
      </c>
    </row>
    <row r="51" spans="1:20" ht="18" customHeight="1">
      <c r="A51" s="540" t="str">
        <f t="shared" si="9"/>
        <v/>
      </c>
      <c r="B51" s="579" t="str">
        <f t="shared" si="10"/>
        <v/>
      </c>
      <c r="C51" s="547"/>
      <c r="D51" s="578"/>
      <c r="E51" s="8"/>
      <c r="F51" s="8"/>
      <c r="G51" s="25">
        <f t="array" ref="G51">SUM(IF("155"&amp;C51=KHN&amp;MH,SL))</f>
        <v>0</v>
      </c>
      <c r="H51" s="25">
        <f t="array" ref="H51">SUM(IF("155"&amp;C51=KHN&amp;MH,TH))</f>
        <v>0</v>
      </c>
      <c r="I51" s="25">
        <f t="array" ref="I51">SUM(IF("155"&amp;C51=KHC&amp;MH,SL))</f>
        <v>0</v>
      </c>
      <c r="J51" s="25">
        <f t="array" ref="J51">SUM(IF("155"&amp;C51=KHC&amp;MH,TH))</f>
        <v>0</v>
      </c>
      <c r="K51" s="8">
        <f>E51+G51-I51</f>
        <v>0</v>
      </c>
      <c r="L51" s="8">
        <f>F51+H51-J51</f>
        <v>0</v>
      </c>
      <c r="M51" s="544"/>
      <c r="N51" s="547" t="s">
        <v>600</v>
      </c>
      <c r="O51" s="549" t="s">
        <v>592</v>
      </c>
      <c r="P51" s="546">
        <v>270986506</v>
      </c>
      <c r="Q51" s="546" t="s">
        <v>592</v>
      </c>
      <c r="R51" s="546"/>
      <c r="S51" s="546" t="s">
        <v>524</v>
      </c>
    </row>
    <row r="52" spans="1:20" ht="18.75" customHeight="1">
      <c r="A52" s="540" t="str">
        <f t="shared" si="9"/>
        <v/>
      </c>
      <c r="B52" s="579" t="str">
        <f t="shared" si="10"/>
        <v/>
      </c>
      <c r="C52" s="547"/>
      <c r="D52" s="578"/>
      <c r="E52" s="8"/>
      <c r="F52" s="8"/>
      <c r="G52" s="25">
        <f t="array" ref="G52">SUM(IF("155"&amp;C52=KHN&amp;MH,SL))</f>
        <v>0</v>
      </c>
      <c r="H52" s="25">
        <f t="array" ref="H52">SUM(IF("155"&amp;C52=KHN&amp;MH,TH))</f>
        <v>0</v>
      </c>
      <c r="I52" s="25">
        <f t="array" ref="I52">SUM(IF("155"&amp;C52=KHC&amp;MH,SL))</f>
        <v>0</v>
      </c>
      <c r="J52" s="25">
        <f t="array" ref="J52">SUM(IF("155"&amp;C52=KHC&amp;MH,TH))</f>
        <v>0</v>
      </c>
      <c r="K52" s="8">
        <f t="shared" si="8"/>
        <v>0</v>
      </c>
      <c r="L52" s="8">
        <f t="shared" si="8"/>
        <v>0</v>
      </c>
      <c r="M52" s="544"/>
      <c r="N52" s="547" t="s">
        <v>601</v>
      </c>
      <c r="O52" s="549" t="s">
        <v>592</v>
      </c>
      <c r="P52" s="546">
        <v>273042454</v>
      </c>
      <c r="Q52" s="546" t="s">
        <v>602</v>
      </c>
      <c r="R52" s="546" t="s">
        <v>603</v>
      </c>
      <c r="S52" s="546" t="s">
        <v>524</v>
      </c>
    </row>
    <row r="53" spans="1:20" ht="18.75" customHeight="1">
      <c r="A53" s="540" t="str">
        <f t="shared" si="9"/>
        <v/>
      </c>
      <c r="B53" s="579" t="str">
        <f>IF(C53&lt;&gt;"",#REF!+1,"")</f>
        <v/>
      </c>
      <c r="C53" s="583"/>
      <c r="D53" s="572"/>
      <c r="E53" s="8"/>
      <c r="F53" s="8"/>
      <c r="G53" s="573"/>
      <c r="H53" s="573"/>
      <c r="I53" s="573"/>
      <c r="J53" s="573"/>
      <c r="K53" s="573"/>
      <c r="L53" s="573"/>
      <c r="M53" s="544"/>
      <c r="N53" s="547" t="s">
        <v>605</v>
      </c>
      <c r="O53" s="549" t="s">
        <v>592</v>
      </c>
      <c r="P53" s="546">
        <v>273249576</v>
      </c>
      <c r="Q53" s="546" t="s">
        <v>592</v>
      </c>
      <c r="R53" s="546"/>
      <c r="S53" s="546" t="s">
        <v>524</v>
      </c>
    </row>
    <row r="54" spans="1:20" ht="18.75" customHeight="1">
      <c r="A54" s="540" t="str">
        <f t="shared" si="9"/>
        <v/>
      </c>
      <c r="B54" s="537"/>
      <c r="C54" s="566" t="s">
        <v>618</v>
      </c>
      <c r="D54" s="537"/>
      <c r="E54" s="13">
        <f t="shared" ref="E54:L54" si="11">SUM(E45:E53)</f>
        <v>0</v>
      </c>
      <c r="F54" s="13">
        <f t="shared" si="11"/>
        <v>0</v>
      </c>
      <c r="G54" s="13">
        <f t="shared" si="11"/>
        <v>0</v>
      </c>
      <c r="H54" s="13">
        <f t="shared" si="11"/>
        <v>0</v>
      </c>
      <c r="I54" s="13">
        <f t="shared" si="11"/>
        <v>0</v>
      </c>
      <c r="J54" s="13">
        <f t="shared" si="11"/>
        <v>0</v>
      </c>
      <c r="K54" s="13">
        <f t="shared" si="11"/>
        <v>0</v>
      </c>
      <c r="L54" s="13">
        <f t="shared" si="11"/>
        <v>0</v>
      </c>
      <c r="M54" s="544"/>
      <c r="N54" s="547" t="s">
        <v>607</v>
      </c>
      <c r="O54" s="549" t="s">
        <v>592</v>
      </c>
      <c r="P54" s="546">
        <v>271642418</v>
      </c>
      <c r="Q54" s="546" t="s">
        <v>592</v>
      </c>
      <c r="R54" s="546"/>
      <c r="S54" s="546" t="s">
        <v>524</v>
      </c>
    </row>
    <row r="55" spans="1:20" ht="18.75" customHeight="1">
      <c r="A55" s="540" t="str">
        <f>IF(B55&lt;&gt;"","TP","")</f>
        <v/>
      </c>
      <c r="B55" s="584"/>
      <c r="C55" s="584"/>
      <c r="D55" s="585"/>
      <c r="E55" s="586"/>
      <c r="F55" s="586"/>
      <c r="G55" s="586"/>
      <c r="H55" s="586"/>
      <c r="I55" s="586"/>
      <c r="J55" s="586"/>
      <c r="K55" s="586"/>
      <c r="L55" s="586"/>
      <c r="M55" s="544"/>
      <c r="N55" s="558" t="s">
        <v>609</v>
      </c>
      <c r="O55" s="549" t="s">
        <v>592</v>
      </c>
      <c r="P55" s="546">
        <v>273017840</v>
      </c>
      <c r="Q55" s="546" t="s">
        <v>610</v>
      </c>
      <c r="R55" s="546"/>
      <c r="S55" s="546" t="s">
        <v>524</v>
      </c>
    </row>
    <row r="56" spans="1:20" ht="19.5" customHeight="1">
      <c r="M56" s="544"/>
      <c r="N56" s="547" t="s">
        <v>612</v>
      </c>
      <c r="O56" s="547"/>
      <c r="P56" s="547"/>
      <c r="Q56" s="547"/>
      <c r="R56" s="547"/>
      <c r="S56" s="547"/>
    </row>
    <row r="57" spans="1:20" ht="18.75" customHeight="1">
      <c r="M57" s="580"/>
      <c r="N57" s="580"/>
      <c r="O57" s="580"/>
      <c r="P57" s="580"/>
      <c r="Q57" s="580"/>
      <c r="R57" s="580"/>
      <c r="S57" s="580"/>
      <c r="T57" s="580"/>
    </row>
    <row r="58" spans="1:20" ht="18.75" customHeight="1">
      <c r="C58" s="1320"/>
      <c r="D58" s="1320"/>
      <c r="E58" s="1320"/>
      <c r="F58" s="588"/>
      <c r="G58" s="588"/>
      <c r="H58" s="588"/>
      <c r="I58" s="588"/>
      <c r="J58" s="1320" t="s">
        <v>622</v>
      </c>
      <c r="K58" s="1320"/>
      <c r="L58" s="1320"/>
      <c r="M58" s="531"/>
      <c r="P58" s="580"/>
      <c r="Q58" s="580"/>
      <c r="R58" s="580"/>
      <c r="S58" s="580"/>
      <c r="T58" s="580"/>
    </row>
    <row r="59" spans="1:20" ht="19.5" customHeight="1">
      <c r="C59" s="589" t="s">
        <v>14</v>
      </c>
      <c r="D59" s="589"/>
      <c r="E59" s="589"/>
      <c r="F59" s="1320" t="s">
        <v>15</v>
      </c>
      <c r="G59" s="1320"/>
      <c r="H59" s="1320"/>
      <c r="I59" s="588"/>
      <c r="J59" s="1320" t="s">
        <v>205</v>
      </c>
      <c r="K59" s="1320"/>
      <c r="L59" s="1320"/>
      <c r="M59" s="531"/>
      <c r="P59" s="580"/>
      <c r="Q59" s="580"/>
      <c r="R59" s="580"/>
      <c r="S59" s="580"/>
    </row>
    <row r="60" spans="1:20" ht="19.5" customHeight="1">
      <c r="C60" s="589" t="s">
        <v>16</v>
      </c>
      <c r="D60" s="589" t="s">
        <v>625</v>
      </c>
      <c r="E60" s="589"/>
      <c r="F60" s="1320" t="s">
        <v>16</v>
      </c>
      <c r="G60" s="1320"/>
      <c r="H60" s="1320"/>
      <c r="I60" s="531"/>
      <c r="J60" s="1320" t="s">
        <v>240</v>
      </c>
      <c r="K60" s="1320"/>
      <c r="L60" s="1320"/>
      <c r="M60" s="531"/>
      <c r="Q60" s="581"/>
      <c r="R60" s="581"/>
      <c r="S60" s="581"/>
    </row>
    <row r="61" spans="1:20" ht="19.5" customHeight="1">
      <c r="M61" s="531"/>
      <c r="Q61" s="542" t="s">
        <v>604</v>
      </c>
      <c r="R61" s="542"/>
      <c r="S61" s="578">
        <v>4.5</v>
      </c>
    </row>
    <row r="62" spans="1:20" ht="19.5" customHeight="1">
      <c r="M62" s="531"/>
      <c r="Q62" s="547" t="s">
        <v>606</v>
      </c>
      <c r="R62" s="542"/>
      <c r="S62" s="578">
        <v>5</v>
      </c>
    </row>
    <row r="63" spans="1:20" ht="20.25" customHeight="1">
      <c r="M63" s="531"/>
      <c r="Q63" s="547" t="s">
        <v>608</v>
      </c>
      <c r="R63" s="542"/>
      <c r="S63" s="578">
        <v>5</v>
      </c>
    </row>
    <row r="64" spans="1:20" ht="20.25" customHeight="1">
      <c r="M64" s="531"/>
      <c r="Q64" s="547" t="s">
        <v>611</v>
      </c>
      <c r="R64" s="542"/>
      <c r="S64" s="578">
        <v>5</v>
      </c>
    </row>
    <row r="65" spans="13:19" ht="20.25" customHeight="1">
      <c r="M65" s="531"/>
      <c r="Q65" s="547" t="s">
        <v>613</v>
      </c>
      <c r="R65" s="547"/>
      <c r="S65" s="582"/>
    </row>
    <row r="66" spans="13:19" ht="20.25" customHeight="1">
      <c r="M66" s="531"/>
      <c r="Q66" s="547" t="s">
        <v>617</v>
      </c>
      <c r="R66" s="547"/>
      <c r="S66" s="582">
        <v>8</v>
      </c>
    </row>
    <row r="67" spans="13:19" ht="20.25" customHeight="1">
      <c r="M67" s="531"/>
      <c r="Q67" s="547" t="s">
        <v>619</v>
      </c>
      <c r="R67" s="547"/>
      <c r="S67" s="582">
        <v>9</v>
      </c>
    </row>
    <row r="68" spans="13:19" ht="20.25" customHeight="1">
      <c r="M68" s="531"/>
      <c r="Q68" s="547" t="s">
        <v>620</v>
      </c>
      <c r="R68" s="547"/>
      <c r="S68" s="582">
        <v>8</v>
      </c>
    </row>
    <row r="69" spans="13:19" ht="20.25" customHeight="1">
      <c r="M69" s="531"/>
      <c r="Q69" s="547" t="s">
        <v>616</v>
      </c>
      <c r="R69" s="547"/>
      <c r="S69" s="582">
        <v>8</v>
      </c>
    </row>
    <row r="70" spans="13:19" ht="19.5" customHeight="1">
      <c r="M70" s="531"/>
      <c r="Q70" s="547" t="s">
        <v>621</v>
      </c>
      <c r="R70" s="547"/>
      <c r="S70" s="582">
        <v>5</v>
      </c>
    </row>
    <row r="71" spans="13:19" ht="19.5" customHeight="1">
      <c r="M71" s="531"/>
      <c r="Q71" s="547" t="s">
        <v>623</v>
      </c>
      <c r="R71" s="547"/>
      <c r="S71" s="582">
        <v>5</v>
      </c>
    </row>
    <row r="72" spans="13:19" ht="19.5" customHeight="1">
      <c r="M72" s="531"/>
      <c r="Q72" s="547" t="s">
        <v>624</v>
      </c>
      <c r="R72" s="547"/>
      <c r="S72" s="582">
        <v>5</v>
      </c>
    </row>
    <row r="73" spans="13:19" ht="19.5" customHeight="1">
      <c r="M73" s="531"/>
      <c r="Q73" s="547" t="s">
        <v>626</v>
      </c>
      <c r="R73" s="547"/>
      <c r="S73" s="582">
        <v>4.5</v>
      </c>
    </row>
    <row r="74" spans="13:19" ht="19.5" customHeight="1">
      <c r="M74" s="531"/>
      <c r="Q74" s="547" t="s">
        <v>627</v>
      </c>
      <c r="R74" s="547"/>
      <c r="S74" s="582">
        <v>4.5</v>
      </c>
    </row>
    <row r="75" spans="13:19" ht="19.5" customHeight="1">
      <c r="M75" s="531"/>
      <c r="Q75" s="547" t="s">
        <v>614</v>
      </c>
      <c r="R75" s="547"/>
      <c r="S75" s="582">
        <v>11</v>
      </c>
    </row>
    <row r="76" spans="13:19" ht="19.5" customHeight="1">
      <c r="M76" s="531"/>
      <c r="Q76" s="547" t="s">
        <v>615</v>
      </c>
      <c r="R76" s="547"/>
      <c r="S76" s="582">
        <v>11</v>
      </c>
    </row>
    <row r="77" spans="13:19" ht="19.5" customHeight="1">
      <c r="M77" s="531"/>
      <c r="Q77" s="547" t="s">
        <v>628</v>
      </c>
      <c r="R77" s="547"/>
      <c r="S77" s="582">
        <v>4.4000000000000004</v>
      </c>
    </row>
    <row r="78" spans="13:19" ht="19.5" customHeight="1">
      <c r="M78" s="531"/>
      <c r="Q78" s="547" t="s">
        <v>629</v>
      </c>
      <c r="R78" s="547"/>
      <c r="S78" s="582">
        <v>4.5</v>
      </c>
    </row>
    <row r="79" spans="13:19" ht="19.5" customHeight="1">
      <c r="M79" s="531"/>
    </row>
    <row r="80" spans="13:19" ht="19.5" customHeight="1">
      <c r="M80" s="531"/>
    </row>
    <row r="81" spans="13:14" ht="19.5" customHeight="1">
      <c r="M81" s="531"/>
    </row>
    <row r="82" spans="13:14" ht="19.5" customHeight="1">
      <c r="M82" s="531"/>
    </row>
    <row r="83" spans="13:14" ht="19.5" customHeight="1">
      <c r="M83" s="531"/>
    </row>
    <row r="84" spans="13:14" ht="19.5" customHeight="1">
      <c r="M84" s="531"/>
    </row>
    <row r="85" spans="13:14" ht="19.5" customHeight="1">
      <c r="M85" s="531"/>
    </row>
    <row r="86" spans="13:14" ht="19.5" customHeight="1">
      <c r="M86" s="531"/>
    </row>
    <row r="87" spans="13:14" ht="19.5" customHeight="1">
      <c r="M87" s="531"/>
    </row>
    <row r="88" spans="13:14" ht="19.5" customHeight="1">
      <c r="N88" s="580"/>
    </row>
    <row r="89" spans="13:14">
      <c r="N89" s="580"/>
    </row>
    <row r="90" spans="13:14">
      <c r="N90" s="580"/>
    </row>
    <row r="91" spans="13:14">
      <c r="N91" s="580"/>
    </row>
    <row r="93" spans="13:14">
      <c r="N93" s="580"/>
    </row>
    <row r="94" spans="13:14">
      <c r="N94" s="580"/>
    </row>
    <row r="95" spans="13:14">
      <c r="N95" s="580"/>
    </row>
    <row r="96" spans="13:14">
      <c r="N96" s="580"/>
    </row>
    <row r="97" spans="14:14">
      <c r="N97" s="580"/>
    </row>
    <row r="98" spans="14:14">
      <c r="N98" s="580"/>
    </row>
    <row r="99" spans="14:14">
      <c r="N99" s="580"/>
    </row>
    <row r="100" spans="14:14">
      <c r="N100" s="580"/>
    </row>
    <row r="101" spans="14:14">
      <c r="N101" s="580"/>
    </row>
    <row r="102" spans="14:14">
      <c r="N102" s="580"/>
    </row>
    <row r="103" spans="14:14">
      <c r="N103" s="580"/>
    </row>
    <row r="104" spans="14:14">
      <c r="N104" s="580"/>
    </row>
    <row r="105" spans="14:14">
      <c r="N105" s="580"/>
    </row>
    <row r="106" spans="14:14">
      <c r="N106" s="580"/>
    </row>
    <row r="107" spans="14:14">
      <c r="N107" s="580"/>
    </row>
  </sheetData>
  <autoFilter ref="B11:O11"/>
  <mergeCells count="27">
    <mergeCell ref="F60:H60"/>
    <mergeCell ref="J60:L60"/>
    <mergeCell ref="S8:S10"/>
    <mergeCell ref="C58:E58"/>
    <mergeCell ref="J58:L58"/>
    <mergeCell ref="F59:H59"/>
    <mergeCell ref="J59:L59"/>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22.xml><?xml version="1.0" encoding="utf-8"?>
<worksheet xmlns="http://schemas.openxmlformats.org/spreadsheetml/2006/main" xmlns:r="http://schemas.openxmlformats.org/officeDocument/2006/relationships">
  <sheetPr>
    <tabColor indexed="33"/>
  </sheetPr>
  <dimension ref="A1:Q36"/>
  <sheetViews>
    <sheetView workbookViewId="0">
      <pane ySplit="36" topLeftCell="A37" activePane="bottomLeft" state="frozen"/>
      <selection activeCell="C33" sqref="C33"/>
      <selection pane="bottomLeft" activeCell="G19" sqref="G19"/>
    </sheetView>
  </sheetViews>
  <sheetFormatPr defaultRowHeight="12"/>
  <cols>
    <col min="1" max="1" width="4.7109375" style="590" customWidth="1"/>
    <col min="2" max="2" width="28.7109375" style="590" customWidth="1"/>
    <col min="3" max="3" width="5.7109375" style="590" customWidth="1"/>
    <col min="4" max="4" width="7.42578125" style="590" customWidth="1"/>
    <col min="5" max="5" width="12.7109375" style="590" customWidth="1"/>
    <col min="6" max="6" width="9.85546875" style="590" customWidth="1"/>
    <col min="7" max="7" width="11" style="590" customWidth="1"/>
    <col min="8" max="8" width="14" style="590" customWidth="1"/>
    <col min="9" max="9" width="4.28515625" style="590" customWidth="1"/>
    <col min="10" max="10" width="6.7109375" style="590" customWidth="1"/>
    <col min="11" max="11" width="3.140625" style="590" customWidth="1"/>
    <col min="12" max="12" width="5.7109375" style="590" customWidth="1"/>
    <col min="13" max="13" width="2.7109375" style="590" customWidth="1"/>
    <col min="14" max="14" width="5.140625" style="590" customWidth="1"/>
    <col min="15" max="15" width="3.7109375" style="590" customWidth="1"/>
    <col min="16" max="16" width="4" style="590" customWidth="1"/>
    <col min="17" max="16384" width="9.140625" style="590"/>
  </cols>
  <sheetData>
    <row r="1" spans="1:17" s="1017" customFormat="1"/>
    <row r="2" spans="1:17" ht="12.75" customHeight="1">
      <c r="A2" s="90" t="s">
        <v>212</v>
      </c>
      <c r="G2" s="105" t="str">
        <f>+IF(LEFT($D$7,1)="N","Mẫu số 01 - VT","Mẫu số 02 - VT")</f>
        <v>Mẫu số 02 - VT</v>
      </c>
      <c r="P2" s="934"/>
    </row>
    <row r="3" spans="1:17" ht="12.75" customHeight="1">
      <c r="A3" s="101" t="s">
        <v>213</v>
      </c>
      <c r="G3" s="102" t="s">
        <v>505</v>
      </c>
      <c r="N3" s="105" t="s">
        <v>200</v>
      </c>
      <c r="O3" s="591"/>
      <c r="P3" s="1108">
        <f>IF(J5="Quý I",1,IF(J5="Quý II",4,IF(J5="Quý III",7,IF(J5="Quý IV",10,""))))</f>
        <v>4</v>
      </c>
      <c r="Q3" s="1108">
        <f>IF(J5="Quý I",3,IF(J5="Quý II",6,IF(J5="Quý III",9,IF(J5="Quý IV",12,""))))</f>
        <v>6</v>
      </c>
    </row>
    <row r="4" spans="1:17" ht="11.25" customHeight="1" thickBot="1">
      <c r="G4" s="102" t="s">
        <v>337</v>
      </c>
      <c r="J4" s="592"/>
      <c r="M4" s="593"/>
      <c r="N4" s="105" t="s">
        <v>201</v>
      </c>
      <c r="O4" s="591"/>
    </row>
    <row r="5" spans="1:17" ht="18" customHeight="1" thickBot="1">
      <c r="D5" s="594" t="str">
        <f>+IF(LEFT($L$5,1)="N","PHIẾU NHẬP KHO","PHIẾU XUẤT KHO")</f>
        <v>PHIẾU NHẬP KHO</v>
      </c>
      <c r="J5" s="1002" t="s">
        <v>963</v>
      </c>
      <c r="K5" s="595"/>
      <c r="L5" s="1004" t="s">
        <v>783</v>
      </c>
      <c r="M5" s="1003"/>
      <c r="N5" s="1005">
        <v>1</v>
      </c>
      <c r="O5" s="591"/>
    </row>
    <row r="6" spans="1:17" s="596" customFormat="1" ht="12" customHeight="1">
      <c r="D6" s="597" t="str">
        <f ca="1">"Ngày  " &amp;DAY(IF(ROWS($1:1)&gt;COUNT(Dong10),"",OFFSET(TH!C$1,SMALL(Dong10,ROWS($1:1)),)))&amp;"  tháng  " &amp; MONTH(IF(ROWS($1:1)&gt;COUNT(Dong10),"",OFFSET(TH!C$1,SMALL(Dong10,ROWS($1:1)),)))&amp;"  năm  "&amp;YEAR(IF(ROWS($1:1)&gt;COUNT(Dong10),"",OFFSET(TH!C$1,SMALL(Dong10,ROWS($1:1)),)))</f>
        <v>Ngày  12  tháng  4  năm  2016</v>
      </c>
      <c r="E6" s="598"/>
      <c r="M6" s="599"/>
      <c r="O6" s="600"/>
    </row>
    <row r="7" spans="1:17" s="596" customFormat="1" ht="12" customHeight="1">
      <c r="C7" s="601" t="str">
        <f xml:space="preserve"> "Số:"</f>
        <v>Số:</v>
      </c>
      <c r="D7" s="602" t="str">
        <f xml:space="preserve"> RIGHT($L$5,2)&amp;"/"&amp;LEFT($L$5,1)&amp;IF($N$5&gt;=10,$N$5,"0"&amp;$N$5)</f>
        <v>VL/N01</v>
      </c>
      <c r="G7" s="596" t="str">
        <f ca="1">"Nợ:  "&amp;IF(ROWS($1:1)&gt;COUNT(Dong10),"",OFFSET(TH!O$1,SMALL(Dong10,ROWS($1:1)),))</f>
        <v>Nợ:  1522</v>
      </c>
      <c r="M7" s="599"/>
      <c r="O7" s="600"/>
    </row>
    <row r="8" spans="1:17" s="596" customFormat="1" ht="12" customHeight="1">
      <c r="D8" s="102"/>
      <c r="G8" s="596" t="str">
        <f ca="1">"Có:  "&amp;IF(ROWS($1:1)&gt;COUNT(Dong10),"",OFFSET(TH!P$1,SMALL(Dong10,ROWS($1:1)),))</f>
        <v>Có:  331</v>
      </c>
      <c r="M8" s="599"/>
      <c r="O8" s="603"/>
    </row>
    <row r="9" spans="1:17" s="596" customFormat="1" ht="12" customHeight="1">
      <c r="A9" s="596" t="str">
        <f ca="1">+IF(MID($D$7,4,1)="N","Họ và tên người giao :   ","Họ và tên người nhận hàng :   ")&amp;IF(ROWS($1:1)&gt;COUNT(Dong10),"",OFFSET(TH!H$1,SMALL(Dong10,ROWS($1:1)),)) &amp;IF(MID($D$7,4,1)="N","","                                         Địa chỉ (bộ phận) :     Sản Xuất ")</f>
        <v>Họ và tên người giao :   CN Công Ty TNHH Tân Hy Xí Nghiệp In &amp; Bao Bì Duy Nhật</v>
      </c>
      <c r="M9" s="599"/>
    </row>
    <row r="10" spans="1:17" s="596" customFormat="1" ht="12" customHeight="1">
      <c r="A10" s="596" t="str">
        <f>+IF(MID($D$7,4,1)="N","Theo……………………………………....…………..số………….…………….……ngày……...tháng…......năm……....","Lý do xuất :                                 Xuất dùng ")</f>
        <v>Theo……………………………………....…………..số………….…………….……ngày……...tháng…......năm……....</v>
      </c>
    </row>
    <row r="11" spans="1:17" s="596" customFormat="1" ht="12" customHeight="1">
      <c r="A11" s="596" t="str">
        <f>+IF(MID($D$7,4,1)="N","của………………………………………………………………………………………………………………………………....","Xuất tại kho (ngăn lô) :            Công ty TNHH Hải Sản An Lạc                      Địa điểm :  Đức Hòa, Long An.")</f>
        <v>của………………………………………………………………………………………………………………………………....</v>
      </c>
    </row>
    <row r="12" spans="1:17" s="596" customFormat="1" ht="12" customHeight="1">
      <c r="A12" s="596" t="str">
        <f>+IF(LEFT("x",1)="N","Nhập tại kho:       Công ty TNHH Hải Sản An Lạc                      Địa điểm:  Đức Hòa, Long An."," ")</f>
        <v xml:space="preserve"> </v>
      </c>
    </row>
    <row r="13" spans="1:17" s="596" customFormat="1" ht="2.25" customHeight="1"/>
    <row r="14" spans="1:17" s="596" customFormat="1" ht="11.25" customHeight="1">
      <c r="A14" s="1321" t="s">
        <v>45</v>
      </c>
      <c r="B14" s="1321" t="s">
        <v>631</v>
      </c>
      <c r="C14" s="1321" t="s">
        <v>632</v>
      </c>
      <c r="D14" s="1321" t="s">
        <v>512</v>
      </c>
      <c r="E14" s="1323" t="s">
        <v>633</v>
      </c>
      <c r="F14" s="1323"/>
      <c r="G14" s="1321" t="s">
        <v>634</v>
      </c>
      <c r="H14" s="1321" t="s">
        <v>635</v>
      </c>
    </row>
    <row r="15" spans="1:17" s="596" customFormat="1" ht="19.5" customHeight="1">
      <c r="A15" s="1322"/>
      <c r="B15" s="1322"/>
      <c r="C15" s="1322"/>
      <c r="D15" s="1322"/>
      <c r="E15" s="604" t="s">
        <v>636</v>
      </c>
      <c r="F15" s="604" t="str">
        <f>IF(LEFT($D$7,1)="N","Thực nhập","Thực xuất")</f>
        <v>Thực xuất</v>
      </c>
      <c r="G15" s="1322"/>
      <c r="H15" s="1322"/>
    </row>
    <row r="16" spans="1:17" s="606" customFormat="1" ht="8.25" customHeight="1">
      <c r="A16" s="605" t="s">
        <v>2</v>
      </c>
      <c r="B16" s="605" t="s">
        <v>3</v>
      </c>
      <c r="C16" s="605" t="s">
        <v>4</v>
      </c>
      <c r="D16" s="605" t="s">
        <v>5</v>
      </c>
      <c r="E16" s="605">
        <v>1</v>
      </c>
      <c r="F16" s="605">
        <v>2</v>
      </c>
      <c r="G16" s="605">
        <v>3</v>
      </c>
      <c r="H16" s="605">
        <v>4</v>
      </c>
    </row>
    <row r="17" spans="1:8" s="596" customFormat="1" ht="12" customHeight="1">
      <c r="A17" s="607">
        <f ca="1">IF(B17="","",ROW()-16)</f>
        <v>1</v>
      </c>
      <c r="B17" s="608" t="str">
        <f ca="1">IF(ROWS($1:1)&gt;COUNT(Dong10),"",OFFSET(TH!F$1,SMALL(Dong10,ROWS($1:1)),))</f>
        <v>Túi PA Trắng (18x28)</v>
      </c>
      <c r="C17" s="609"/>
      <c r="D17" s="610">
        <f ca="1">IF(ISNA(VLOOKUP(B17,NXT!$C$12:$D$53,2,0)),"",VLOOKUP(B17,NXT!$C$12:$D$53,2,0))</f>
        <v>0</v>
      </c>
      <c r="E17" s="611"/>
      <c r="F17" s="612">
        <f ca="1">IF(ROWS($1:1)&gt;COUNT(Dong10),"",OFFSET(TH!I$1,SMALL(Dong10,ROWS($1:1)),))</f>
        <v>3000</v>
      </c>
      <c r="G17" s="613">
        <f ca="1">IF(ROWS($1:1)&gt;COUNT(Dong10),"",OFFSET(TH!J$1,SMALL(Dong10,ROWS($1:1)),))</f>
        <v>800</v>
      </c>
      <c r="H17" s="611">
        <f t="shared" ref="H17:H23" ca="1" si="0">IF(F17&lt;&gt;"",ROUND(F17*G17,0),"")</f>
        <v>2400000</v>
      </c>
    </row>
    <row r="18" spans="1:8" s="596" customFormat="1" ht="12" customHeight="1">
      <c r="A18" s="607">
        <f t="shared" ref="A18:A23" ca="1" si="1">IF(B18="","",ROW()-16)</f>
        <v>2</v>
      </c>
      <c r="B18" s="608" t="str">
        <f ca="1">IF(ROWS($1:2)&gt;COUNT(Dong10),"",OFFSET(TH!F$1,SMALL(Dong10,ROWS($1:2)),))</f>
        <v>Túi PA Trắng (18x32)</v>
      </c>
      <c r="C18" s="609"/>
      <c r="D18" s="610">
        <f ca="1">IF(ISNA(VLOOKUP(B18,NXT!$C$12:$D$53,2,0)),"",VLOOKUP(B18,NXT!$C$12:$D$53,2,0))</f>
        <v>0</v>
      </c>
      <c r="E18" s="611"/>
      <c r="F18" s="612">
        <f ca="1">IF(ROWS($1:2)&gt;COUNT(Dong10),"",OFFSET(TH!I$1,SMALL(Dong10,ROWS($1:2)),))</f>
        <v>2000</v>
      </c>
      <c r="G18" s="613">
        <f ca="1">IF(ROWS($1:2)&gt;COUNT(Dong10),"",OFFSET(TH!J$1,SMALL(Dong10,ROWS($1:2)),))</f>
        <v>900</v>
      </c>
      <c r="H18" s="611">
        <f t="shared" ca="1" si="0"/>
        <v>1800000</v>
      </c>
    </row>
    <row r="19" spans="1:8" s="596" customFormat="1" ht="12" customHeight="1">
      <c r="A19" s="607">
        <f t="shared" ca="1" si="1"/>
        <v>3</v>
      </c>
      <c r="B19" s="608" t="str">
        <f ca="1">IF(ROWS($1:3)&gt;COUNT(Dong10),"",OFFSET(TH!F$1,SMALL(Dong10,ROWS($1:3)),))</f>
        <v>VAT túi PA</v>
      </c>
      <c r="C19" s="609"/>
      <c r="D19" s="610" t="str">
        <f ca="1">IF(ISNA(VLOOKUP(B19,NXT!$C$12:$D$53,2,0)),"",VLOOKUP(B19,NXT!$C$12:$D$53,2,0))</f>
        <v/>
      </c>
      <c r="E19" s="611"/>
      <c r="F19" s="612">
        <f ca="1">IF(ROWS($1:3)&gt;COUNT(Dong10),"",OFFSET(TH!I$1,SMALL(Dong10,ROWS($1:3)),))</f>
        <v>0</v>
      </c>
      <c r="G19" s="613">
        <f ca="1">IF(ROWS($1:3)&gt;COUNT(Dong10),"",OFFSET(TH!J$1,SMALL(Dong10,ROWS($1:3)),))</f>
        <v>0</v>
      </c>
      <c r="H19" s="611">
        <f t="shared" ca="1" si="0"/>
        <v>0</v>
      </c>
    </row>
    <row r="20" spans="1:8" s="596" customFormat="1" ht="12" customHeight="1">
      <c r="A20" s="607" t="str">
        <f t="shared" ca="1" si="1"/>
        <v/>
      </c>
      <c r="B20" s="608" t="str">
        <f ca="1">IF(ROWS($1:4)&gt;COUNT(Dong10),"",OFFSET(TH!F$1,SMALL(Dong10,ROWS($1:4)),))</f>
        <v/>
      </c>
      <c r="C20" s="609"/>
      <c r="D20" s="610" t="str">
        <f ca="1">IF(ISNA(VLOOKUP(B20,NXT!$C$12:$D$53,2,0)),"",VLOOKUP(B20,NXT!$C$12:$D$53,2,0))</f>
        <v/>
      </c>
      <c r="E20" s="611"/>
      <c r="F20" s="612" t="str">
        <f ca="1">IF(ROWS($1:4)&gt;COUNT(Dong10),"",OFFSET(TH!I$1,SMALL(Dong10,ROWS($1:4)),))</f>
        <v/>
      </c>
      <c r="G20" s="613" t="str">
        <f ca="1">IF(ROWS($1:4)&gt;COUNT(Dong10),"",OFFSET(TH!J$1,SMALL(Dong10,ROWS($1:4)),))</f>
        <v/>
      </c>
      <c r="H20" s="611" t="str">
        <f t="shared" ca="1" si="0"/>
        <v/>
      </c>
    </row>
    <row r="21" spans="1:8" s="596" customFormat="1" ht="12" customHeight="1">
      <c r="A21" s="607" t="str">
        <f t="shared" ca="1" si="1"/>
        <v/>
      </c>
      <c r="B21" s="608" t="str">
        <f ca="1">IF(ROWS($1:5)&gt;COUNT(Dong10),"",OFFSET(TH!F$1,SMALL(Dong10,ROWS($1:5)),))</f>
        <v/>
      </c>
      <c r="C21" s="609"/>
      <c r="D21" s="610" t="str">
        <f ca="1">IF(ISNA(VLOOKUP(B21,NXT!$C$12:$D$53,2,0)),"",VLOOKUP(B21,NXT!$C$12:$D$53,2,0))</f>
        <v/>
      </c>
      <c r="E21" s="611"/>
      <c r="F21" s="612" t="str">
        <f ca="1">IF(ROWS($1:5)&gt;COUNT(Dong10),"",OFFSET(TH!I$1,SMALL(Dong10,ROWS($1:5)),))</f>
        <v/>
      </c>
      <c r="G21" s="613" t="str">
        <f ca="1">IF(ROWS($1:5)&gt;COUNT(Dong10),"",OFFSET(TH!J$1,SMALL(Dong10,ROWS($1:5)),))</f>
        <v/>
      </c>
      <c r="H21" s="611" t="str">
        <f t="shared" ca="1" si="0"/>
        <v/>
      </c>
    </row>
    <row r="22" spans="1:8" s="596" customFormat="1" ht="12" customHeight="1">
      <c r="A22" s="607" t="str">
        <f t="shared" ca="1" si="1"/>
        <v/>
      </c>
      <c r="B22" s="608" t="str">
        <f ca="1">IF(ROWS($1:6)&gt;COUNT(Dong10),"",OFFSET(TH!F$1,SMALL(Dong10,ROWS($1:6)),))</f>
        <v/>
      </c>
      <c r="C22" s="609"/>
      <c r="D22" s="610" t="str">
        <f ca="1">IF(ISNA(VLOOKUP(B22,NXT!$C$12:$D$53,2,0)),"",VLOOKUP(B22,NXT!$C$12:$D$53,2,0))</f>
        <v/>
      </c>
      <c r="E22" s="611"/>
      <c r="F22" s="612" t="str">
        <f ca="1">IF(ROWS($1:6)&gt;COUNT(Dong10),"",OFFSET(TH!I$1,SMALL(Dong10,ROWS($1:6)),))</f>
        <v/>
      </c>
      <c r="G22" s="613" t="str">
        <f ca="1">IF(ROWS($1:6)&gt;COUNT(Dong10),"",OFFSET(TH!J$1,SMALL(Dong10,ROWS($1:6)),))</f>
        <v/>
      </c>
      <c r="H22" s="611" t="str">
        <f t="shared" ca="1" si="0"/>
        <v/>
      </c>
    </row>
    <row r="23" spans="1:8" s="596" customFormat="1" ht="12" customHeight="1">
      <c r="A23" s="607" t="str">
        <f t="shared" ca="1" si="1"/>
        <v/>
      </c>
      <c r="B23" s="608" t="str">
        <f ca="1">IF(ROWS($1:7)&gt;COUNT(Dong10),"",OFFSET(TH!F$1,SMALL(Dong10,ROWS($1:7)),))</f>
        <v/>
      </c>
      <c r="C23" s="609"/>
      <c r="D23" s="610" t="str">
        <f ca="1">IF(ISNA(VLOOKUP(B23,NXT!$C$12:$D$53,2,0)),"",VLOOKUP(B23,NXT!$C$12:$D$53,2,0))</f>
        <v/>
      </c>
      <c r="E23" s="611"/>
      <c r="F23" s="612" t="str">
        <f ca="1">IF(ROWS($1:7)&gt;COUNT(Dong10),"",OFFSET(TH!I$1,SMALL(Dong10,ROWS($1:7)),))</f>
        <v/>
      </c>
      <c r="G23" s="613" t="str">
        <f ca="1">IF(ROWS($1:7)&gt;COUNT(Dong10),"",OFFSET(TH!J$1,SMALL(Dong10,ROWS($1:7)),))</f>
        <v/>
      </c>
      <c r="H23" s="614" t="str">
        <f t="shared" ca="1" si="0"/>
        <v/>
      </c>
    </row>
    <row r="24" spans="1:8" s="596" customFormat="1" ht="12" customHeight="1">
      <c r="A24" s="1323" t="s">
        <v>637</v>
      </c>
      <c r="B24" s="1323"/>
      <c r="C24" s="615"/>
      <c r="D24" s="615"/>
      <c r="E24" s="616"/>
      <c r="F24" s="616"/>
      <c r="G24" s="616"/>
      <c r="H24" s="616">
        <f ca="1">SUM(H17:H23)</f>
        <v>4200000</v>
      </c>
    </row>
    <row r="25" spans="1:8" s="596" customFormat="1" ht="3" customHeight="1">
      <c r="A25" s="617"/>
      <c r="B25" s="617"/>
      <c r="C25" s="599"/>
      <c r="D25" s="599"/>
      <c r="E25" s="618"/>
      <c r="F25" s="618"/>
      <c r="G25" s="618"/>
      <c r="H25" s="618"/>
    </row>
    <row r="26" spans="1:8" s="596" customFormat="1" ht="14.25" customHeight="1">
      <c r="A26" s="596" t="str">
        <f ca="1">"Tổng số tiền (viết bằng chữ):  "&amp; [1]!VND(H24, TRUE)</f>
        <v>Tổng số tiền (viết bằng chữ):  Bốn triệu, hai trăm ngàn đồng</v>
      </c>
    </row>
    <row r="27" spans="1:8" s="596" customFormat="1" ht="14.25" customHeight="1">
      <c r="A27" s="596" t="str">
        <f ca="1">"Số chứng từ gốc kèm theo :  "&amp;IF(B17&lt;&gt;"","HĐ "&amp;OFFSET(TH!G$1,SMALL(Dong10,ROWS($1:2)),),"")</f>
        <v>Số chứng từ gốc kèm theo :  HĐ 0001664</v>
      </c>
    </row>
    <row r="28" spans="1:8" s="596" customFormat="1" ht="14.25" customHeight="1">
      <c r="F28" s="113" t="str">
        <f ca="1">+IF(LEFT($D$7,1)="N","                                                          "&amp;D6,"                                                                                           "&amp;D6)</f>
        <v xml:space="preserve">                                                                                           Ngày  12  tháng  4  năm  2016</v>
      </c>
    </row>
    <row r="29" spans="1:8" s="620" customFormat="1" ht="14.25" customHeight="1">
      <c r="A29" s="619" t="s">
        <v>638</v>
      </c>
      <c r="C29" s="621"/>
      <c r="E29" s="621"/>
      <c r="F29" s="621" t="str">
        <f>+IF(LEFT($D$7,1)="N","                                                       Kế toán trưởng","                                          Kế toán trưởng                           Giám đốc")</f>
        <v xml:space="preserve">                                          Kế toán trưởng                           Giám đốc</v>
      </c>
    </row>
    <row r="30" spans="1:8" s="596" customFormat="1" ht="12.75" customHeight="1">
      <c r="A30" s="602" t="s">
        <v>639</v>
      </c>
      <c r="C30" s="113"/>
      <c r="E30" s="113"/>
      <c r="F30" s="113" t="str">
        <f>+IF(LEFT($D$7,1)="N","                                                     (Ký, họ tên)","                (Ký, họ tên)                ")</f>
        <v xml:space="preserve">                (Ký, họ tên)                </v>
      </c>
      <c r="H30" s="602" t="str">
        <f>+IF(LEFT($D$7,1)="N","","  (Ký, họ tên)")</f>
        <v xml:space="preserve">  (Ký, họ tên)</v>
      </c>
    </row>
    <row r="31" spans="1:8" s="596" customFormat="1" ht="12.75" customHeight="1">
      <c r="G31" s="113"/>
    </row>
    <row r="32" spans="1:8" s="596" customFormat="1" ht="11.25" customHeight="1"/>
    <row r="33" spans="1:6" s="596" customFormat="1" ht="11.25" customHeight="1"/>
    <row r="34" spans="1:6" s="596" customFormat="1" ht="11.25" customHeight="1"/>
    <row r="35" spans="1:6" s="596" customFormat="1" ht="11.25" customHeight="1"/>
    <row r="36" spans="1:6" ht="11.25" customHeight="1">
      <c r="A36" s="622" t="s">
        <v>640</v>
      </c>
      <c r="F36" s="623"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2" priority="1" stopIfTrue="1">
      <formula>$B17&lt;&gt;""</formula>
    </cfRule>
  </conditionalFormatting>
  <dataValidations count="2">
    <dataValidation type="list" allowBlank="1" showInputMessage="1" showErrorMessage="1" sqref="L5">
      <formula1>"NVL,NNL,NTP,XVL,XNL,XTP"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23.xml><?xml version="1.0" encoding="utf-8"?>
<worksheet xmlns="http://schemas.openxmlformats.org/spreadsheetml/2006/main" xmlns:r="http://schemas.openxmlformats.org/officeDocument/2006/relationships">
  <sheetPr>
    <tabColor indexed="29"/>
  </sheetPr>
  <dimension ref="A1:Q41"/>
  <sheetViews>
    <sheetView topLeftCell="A5" zoomScale="90" workbookViewId="0">
      <pane ySplit="9" topLeftCell="A14" activePane="bottomLeft" state="frozen"/>
      <selection activeCell="C33" sqref="C33"/>
      <selection pane="bottomLeft" activeCell="L38" sqref="L38"/>
    </sheetView>
  </sheetViews>
  <sheetFormatPr defaultColWidth="23.85546875" defaultRowHeight="15"/>
  <cols>
    <col min="1" max="1" width="4.28515625" style="625" customWidth="1"/>
    <col min="2" max="2" width="8.5703125" style="625" customWidth="1"/>
    <col min="3" max="3" width="11" style="625" customWidth="1"/>
    <col min="4" max="4" width="41.7109375" style="625" customWidth="1"/>
    <col min="5" max="5" width="8" style="638" customWidth="1"/>
    <col min="6" max="6" width="8.85546875" style="625" customWidth="1"/>
    <col min="7" max="7" width="9" style="625" customWidth="1"/>
    <col min="8" max="8" width="14.140625" style="625" customWidth="1"/>
    <col min="9" max="9" width="8.85546875" style="625" customWidth="1"/>
    <col min="10" max="10" width="13.42578125" style="625" customWidth="1"/>
    <col min="11" max="11" width="10.140625" style="625" customWidth="1"/>
    <col min="12" max="12" width="13" style="625" customWidth="1"/>
    <col min="13" max="13" width="7.140625" style="625" customWidth="1"/>
    <col min="14" max="14" width="2" style="625" customWidth="1"/>
    <col min="15" max="15" width="5.5703125" style="625" customWidth="1"/>
    <col min="16" max="16" width="4.42578125" style="625" customWidth="1"/>
    <col min="17" max="16384" width="23.85546875" style="625"/>
  </cols>
  <sheetData>
    <row r="1" spans="1:17">
      <c r="A1" s="624" t="s">
        <v>641</v>
      </c>
      <c r="E1" s="625"/>
      <c r="O1" s="626"/>
    </row>
    <row r="2" spans="1:17" s="486" customFormat="1" ht="16.5" customHeight="1">
      <c r="B2" s="627" t="s">
        <v>502</v>
      </c>
      <c r="C2" s="628"/>
      <c r="D2" s="629"/>
      <c r="E2" s="630"/>
      <c r="F2" s="2"/>
      <c r="J2" s="1327" t="s">
        <v>642</v>
      </c>
      <c r="K2" s="1327"/>
      <c r="L2" s="1327"/>
      <c r="M2" s="1327"/>
      <c r="N2" s="631"/>
    </row>
    <row r="3" spans="1:17" s="486" customFormat="1" ht="16.5" customHeight="1">
      <c r="B3" s="627" t="s">
        <v>504</v>
      </c>
      <c r="C3" s="627"/>
      <c r="D3" s="627"/>
      <c r="E3" s="632"/>
      <c r="F3" s="627"/>
      <c r="J3" s="1328" t="s">
        <v>86</v>
      </c>
      <c r="K3" s="1328"/>
      <c r="L3" s="1328"/>
      <c r="M3" s="1328"/>
      <c r="N3" s="633"/>
    </row>
    <row r="4" spans="1:17" s="486" customFormat="1" ht="16.5" customHeight="1">
      <c r="B4" s="627"/>
      <c r="C4" s="627"/>
      <c r="D4" s="627"/>
      <c r="E4" s="632"/>
      <c r="F4" s="627"/>
      <c r="J4" s="1328"/>
      <c r="K4" s="1328"/>
      <c r="L4" s="1328"/>
      <c r="M4" s="1328"/>
      <c r="N4" s="633"/>
    </row>
    <row r="5" spans="1:17" ht="18.75" customHeight="1">
      <c r="B5" s="1329" t="s">
        <v>643</v>
      </c>
      <c r="C5" s="1329"/>
      <c r="D5" s="1329"/>
      <c r="E5" s="1329"/>
      <c r="F5" s="1329"/>
      <c r="G5" s="1329"/>
      <c r="H5" s="1329"/>
      <c r="I5" s="1329"/>
      <c r="J5" s="1329"/>
      <c r="K5" s="1329"/>
      <c r="L5" s="1329"/>
      <c r="M5" s="1329"/>
      <c r="N5" s="634"/>
    </row>
    <row r="6" spans="1:17" s="635" customFormat="1" ht="12.75">
      <c r="B6" s="1330" t="s">
        <v>644</v>
      </c>
      <c r="C6" s="1330"/>
      <c r="D6" s="1330"/>
      <c r="E6" s="1330"/>
      <c r="F6" s="1330"/>
      <c r="G6" s="1330"/>
      <c r="H6" s="1330"/>
      <c r="I6" s="1330"/>
      <c r="J6" s="1330"/>
      <c r="K6" s="1330"/>
      <c r="L6" s="1330"/>
      <c r="M6" s="1330"/>
      <c r="N6" s="636"/>
    </row>
    <row r="7" spans="1:17">
      <c r="C7" s="637"/>
      <c r="D7" s="637"/>
      <c r="F7" s="637" t="s">
        <v>645</v>
      </c>
      <c r="G7" s="637"/>
      <c r="H7" s="639" t="s">
        <v>646</v>
      </c>
      <c r="I7" s="637" t="str">
        <f>IF($O$10="NL","Nguyên Liệu",IF($O$10="TP","Thành Phẩm",IF($O$10="VL","Vật Liệu","")))</f>
        <v>Vật Liệu</v>
      </c>
      <c r="J7" s="637"/>
      <c r="K7" s="637"/>
      <c r="L7" s="637"/>
      <c r="M7" s="637"/>
      <c r="N7" s="638"/>
    </row>
    <row r="8" spans="1:17">
      <c r="B8" s="638"/>
      <c r="C8" s="637"/>
      <c r="D8" s="637"/>
      <c r="F8" s="638" t="s">
        <v>647</v>
      </c>
      <c r="H8" s="637"/>
      <c r="I8" s="637"/>
      <c r="J8" s="1331" t="s">
        <v>760</v>
      </c>
      <c r="K8" s="1331"/>
      <c r="L8" s="1331"/>
      <c r="M8" s="637"/>
      <c r="N8" s="637"/>
    </row>
    <row r="9" spans="1:17">
      <c r="D9" s="640"/>
      <c r="E9" s="641"/>
      <c r="F9" s="640"/>
      <c r="G9" s="640"/>
      <c r="H9" s="640"/>
      <c r="I9" s="640"/>
      <c r="J9" s="640"/>
      <c r="K9" s="640" t="s">
        <v>227</v>
      </c>
      <c r="M9" s="642"/>
      <c r="N9" s="643"/>
    </row>
    <row r="10" spans="1:17" ht="15.75" customHeight="1">
      <c r="A10" s="1324" t="s">
        <v>45</v>
      </c>
      <c r="B10" s="1325" t="s">
        <v>1</v>
      </c>
      <c r="C10" s="1325"/>
      <c r="D10" s="1326" t="s">
        <v>0</v>
      </c>
      <c r="E10" s="1326" t="s">
        <v>648</v>
      </c>
      <c r="F10" s="1326" t="s">
        <v>634</v>
      </c>
      <c r="G10" s="1333" t="s">
        <v>649</v>
      </c>
      <c r="H10" s="1334"/>
      <c r="I10" s="1333" t="s">
        <v>650</v>
      </c>
      <c r="J10" s="1334"/>
      <c r="K10" s="1333" t="s">
        <v>651</v>
      </c>
      <c r="L10" s="1334"/>
      <c r="M10" s="1326" t="s">
        <v>231</v>
      </c>
      <c r="N10" s="644"/>
      <c r="O10" s="645" t="s">
        <v>652</v>
      </c>
    </row>
    <row r="11" spans="1:17" ht="31.5" customHeight="1">
      <c r="A11" s="1324"/>
      <c r="B11" s="646" t="s">
        <v>20</v>
      </c>
      <c r="C11" s="646" t="s">
        <v>39</v>
      </c>
      <c r="D11" s="1326"/>
      <c r="E11" s="1326"/>
      <c r="F11" s="1326"/>
      <c r="G11" s="646" t="s">
        <v>633</v>
      </c>
      <c r="H11" s="646" t="s">
        <v>635</v>
      </c>
      <c r="I11" s="646" t="s">
        <v>633</v>
      </c>
      <c r="J11" s="646" t="s">
        <v>635</v>
      </c>
      <c r="K11" s="646" t="s">
        <v>633</v>
      </c>
      <c r="L11" s="646" t="s">
        <v>635</v>
      </c>
      <c r="M11" s="1326"/>
      <c r="N11" s="644"/>
    </row>
    <row r="12" spans="1:17" s="638" customFormat="1">
      <c r="A12" s="647"/>
      <c r="B12" s="648" t="s">
        <v>2</v>
      </c>
      <c r="C12" s="649" t="s">
        <v>3</v>
      </c>
      <c r="D12" s="649" t="s">
        <v>4</v>
      </c>
      <c r="E12" s="648" t="s">
        <v>5</v>
      </c>
      <c r="F12" s="648">
        <v>1</v>
      </c>
      <c r="G12" s="648">
        <v>2</v>
      </c>
      <c r="H12" s="648" t="s">
        <v>653</v>
      </c>
      <c r="I12" s="648">
        <v>4</v>
      </c>
      <c r="J12" s="648" t="s">
        <v>654</v>
      </c>
      <c r="K12" s="648">
        <v>6</v>
      </c>
      <c r="L12" s="648" t="s">
        <v>655</v>
      </c>
      <c r="M12" s="648"/>
      <c r="N12" s="650"/>
    </row>
    <row r="13" spans="1:17">
      <c r="A13" s="651"/>
      <c r="B13" s="651"/>
      <c r="C13" s="651"/>
      <c r="D13" s="652" t="s">
        <v>258</v>
      </c>
      <c r="E13" s="653"/>
      <c r="F13" s="654"/>
      <c r="G13" s="654"/>
      <c r="H13" s="654"/>
      <c r="I13" s="654"/>
      <c r="J13" s="654"/>
      <c r="K13" s="655">
        <f>VLOOKUP($J$8,NXT!$C$12:$L$53,3,0)</f>
        <v>0</v>
      </c>
      <c r="L13" s="655">
        <f>VLOOKUP($J$8,NXT!$C$12:$L$53,4,0)</f>
        <v>0</v>
      </c>
      <c r="M13" s="654"/>
      <c r="N13" s="650"/>
    </row>
    <row r="14" spans="1:17">
      <c r="A14" s="607">
        <f ca="1">IF(B14="","",ROW()-13)</f>
        <v>1</v>
      </c>
      <c r="B14" s="656" t="str">
        <f ca="1">IF(ROWS($1:1)&gt;COUNT(Dong11),"",OFFSET(TH!D$1,SMALL(Dong11,ROWS($1:1)),))</f>
        <v>VL/N01</v>
      </c>
      <c r="C14" s="657">
        <f ca="1">IF(ROWS($1:1)&gt;COUNT(Dong11),"",OFFSET(TH!E$1,SMALL(Dong11,ROWS($1:1)),))</f>
        <v>42441</v>
      </c>
      <c r="D14" s="658" t="str">
        <f ca="1">IF(ROWS($1:1)&gt;COUNT(Dong11),"",OFFSET(TH!F$1,SMALL(Dong11,ROWS($1:1)),)&amp;" - "&amp;OFFSET(TH!H$1,SMALL(Dong11,ROWS($1:1)),))</f>
        <v>Túi PE 86*75 - CN Công Ty TNHH Tân Hy Xí Nghiệp In &amp; Bao Bì Duy Nhật</v>
      </c>
      <c r="E14" s="656" t="str">
        <f ca="1">IF(ROWS($1:1)&gt;COUNT(Dong11),"",IF(LEFT(OFFSET(TH!O$1,SMALL(Dong11,ROWS($1:1)),),2)="15",OFFSET(TH!P$1,SMALL(Dong11,ROWS($1:1)),),OFFSET(TH!O$1,SMALL(Dong11,ROWS($1:1)),)))</f>
        <v>331</v>
      </c>
      <c r="F14" s="659">
        <f ca="1">IF(ROWS($1:1)&gt;COUNT(Dong11),0,OFFSET(TH!J$1,SMALL(Dong11,ROWS($1:1)),))</f>
        <v>33000</v>
      </c>
      <c r="G14" s="659">
        <f ca="1">IF(ROWS($1:1)&gt;COUNT(Dong11),0,IF(MID(OFFSET(TH!D$1,SMALL(Dong11,ROWS($1:1)),),4,1)="N",OFFSET(TH!I$1,SMALL(Dong11,ROWS($1:1)),),0))</f>
        <v>500</v>
      </c>
      <c r="H14" s="660">
        <f t="shared" ref="H14" ca="1" si="0">ROUND(F14*G14,0)</f>
        <v>16500000</v>
      </c>
      <c r="I14" s="659">
        <f ca="1">IF(ROWS($1:1)&gt;COUNT(Dong11),0,IF(MID(OFFSET(TH!D$1,SMALL(Dong11,ROWS($1:1)),),4,1)="X",OFFSET(TH!I$1,SMALL(Dong11,ROWS($1:1)),),0))</f>
        <v>0</v>
      </c>
      <c r="J14" s="660">
        <f t="shared" ref="J14" ca="1" si="1">ROUND(F14*I14,0)</f>
        <v>0</v>
      </c>
      <c r="K14" s="660">
        <f t="shared" ref="K14" ca="1" si="2">IF(D14&lt;&gt;"",K13+G14-I14,0)</f>
        <v>500</v>
      </c>
      <c r="L14" s="660">
        <f t="shared" ref="L14" ca="1" si="3">IF(D14&lt;&gt;"",L13+H14-J14,0)</f>
        <v>16500000</v>
      </c>
      <c r="M14" s="660"/>
      <c r="N14" s="650"/>
    </row>
    <row r="15" spans="1:17">
      <c r="A15" s="607" t="str">
        <f t="shared" ref="A15:A31" ca="1" si="4">IF(B15="","",A14+1)</f>
        <v/>
      </c>
      <c r="B15" s="656" t="str">
        <f ca="1">IF(ROWS($1:2)&gt;COUNT(Dong11),"",OFFSET(TH!D$1,SMALL(Dong11,ROWS($1:2)),))</f>
        <v/>
      </c>
      <c r="C15" s="657" t="str">
        <f ca="1">IF(ROWS($1:2)&gt;COUNT(Dong11),"",OFFSET(TH!E$1,SMALL(Dong11,ROWS($1:2)),))</f>
        <v/>
      </c>
      <c r="D15" s="658" t="str">
        <f ca="1">IF(ROWS($1:2)&gt;COUNT(Dong11),"",OFFSET(TH!F$1,SMALL(Dong11,ROWS($1:2)),)&amp;" - "&amp;OFFSET(TH!H$1,SMALL(Dong11,ROWS($1:2)),))</f>
        <v/>
      </c>
      <c r="E15" s="656" t="str">
        <f ca="1">IF(ROWS($1:2)&gt;COUNT(Dong11),"",IF(LEFT(OFFSET(TH!O$1,SMALL(Dong11,ROWS($1:2)),),2)="15",OFFSET(TH!P$1,SMALL(Dong11,ROWS($1:2)),),OFFSET(TH!O$1,SMALL(Dong11,ROWS($1:2)),)))</f>
        <v/>
      </c>
      <c r="F15" s="659">
        <f ca="1">IF(ROWS($1:2)&gt;COUNT(Dong11),0,OFFSET(TH!J$1,SMALL(Dong11,ROWS($1:2)),))</f>
        <v>0</v>
      </c>
      <c r="G15" s="659">
        <f ca="1">IF(ROWS($1:2)&gt;COUNT(Dong11),0,IF(MID(OFFSET(TH!D$1,SMALL(Dong11,ROWS($1:2)),),4,1)="N",OFFSET(TH!I$1,SMALL(Dong11,ROWS($1:2)),),0))</f>
        <v>0</v>
      </c>
      <c r="H15" s="660">
        <f t="shared" ref="H15:H30" ca="1" si="5">ROUND(F15*G15,0)</f>
        <v>0</v>
      </c>
      <c r="I15" s="659">
        <f ca="1">IF(ROWS($1:2)&gt;COUNT(Dong11),0,IF(MID(OFFSET(TH!D$1,SMALL(Dong11,ROWS($1:2)),),4,1)="X",OFFSET(TH!I$1,SMALL(Dong11,ROWS($1:2)),),0))</f>
        <v>0</v>
      </c>
      <c r="J15" s="660">
        <f t="shared" ref="J15:J30" ca="1" si="6">ROUND(F15*I15,0)</f>
        <v>0</v>
      </c>
      <c r="K15" s="660">
        <f t="shared" ref="K15:K30" ca="1" si="7">IF(D15&lt;&gt;"",K14+G15-I15,0)</f>
        <v>0</v>
      </c>
      <c r="L15" s="660">
        <f t="shared" ref="L15:L30" ca="1" si="8">IF(D15&lt;&gt;"",L14+H15-J15,0)</f>
        <v>0</v>
      </c>
      <c r="M15" s="660"/>
      <c r="N15" s="650"/>
      <c r="Q15" s="661"/>
    </row>
    <row r="16" spans="1:17">
      <c r="A16" s="607" t="str">
        <f t="shared" ca="1" si="4"/>
        <v/>
      </c>
      <c r="B16" s="656" t="str">
        <f ca="1">IF(ROWS($1:3)&gt;COUNT(Dong11),"",OFFSET(TH!D$1,SMALL(Dong11,ROWS($1:3)),))</f>
        <v/>
      </c>
      <c r="C16" s="657" t="str">
        <f ca="1">IF(ROWS($1:3)&gt;COUNT(Dong11),"",OFFSET(TH!E$1,SMALL(Dong11,ROWS($1:3)),))</f>
        <v/>
      </c>
      <c r="D16" s="658" t="str">
        <f ca="1">IF(ROWS($1:3)&gt;COUNT(Dong11),"",OFFSET(TH!F$1,SMALL(Dong11,ROWS($1:3)),)&amp;" - "&amp;OFFSET(TH!H$1,SMALL(Dong11,ROWS($1:3)),))</f>
        <v/>
      </c>
      <c r="E16" s="656" t="str">
        <f ca="1">IF(ROWS($1:3)&gt;COUNT(Dong11),"",IF(LEFT(OFFSET(TH!O$1,SMALL(Dong11,ROWS($1:3)),),2)="15",OFFSET(TH!P$1,SMALL(Dong11,ROWS($1:3)),),OFFSET(TH!O$1,SMALL(Dong11,ROWS($1:3)),)))</f>
        <v/>
      </c>
      <c r="F16" s="659">
        <f ca="1">IF(ROWS($1:3)&gt;COUNT(Dong11),0,OFFSET(TH!J$1,SMALL(Dong11,ROWS($1:3)),))</f>
        <v>0</v>
      </c>
      <c r="G16" s="659">
        <f ca="1">IF(ROWS($1:3)&gt;COUNT(Dong11),0,IF(MID(OFFSET(TH!D$1,SMALL(Dong11,ROWS($1:3)),),4,1)="N",OFFSET(TH!I$1,SMALL(Dong11,ROWS($1:3)),),0))</f>
        <v>0</v>
      </c>
      <c r="H16" s="660">
        <f t="shared" ca="1" si="5"/>
        <v>0</v>
      </c>
      <c r="I16" s="659">
        <f ca="1">IF(ROWS($1:3)&gt;COUNT(Dong11),0,IF(MID(OFFSET(TH!D$1,SMALL(Dong11,ROWS($1:3)),),4,1)="X",OFFSET(TH!I$1,SMALL(Dong11,ROWS($1:3)),),0))</f>
        <v>0</v>
      </c>
      <c r="J16" s="660">
        <f t="shared" ca="1" si="6"/>
        <v>0</v>
      </c>
      <c r="K16" s="660">
        <f t="shared" ca="1" si="7"/>
        <v>0</v>
      </c>
      <c r="L16" s="660">
        <f t="shared" ca="1" si="8"/>
        <v>0</v>
      </c>
      <c r="M16" s="660"/>
      <c r="N16" s="650"/>
    </row>
    <row r="17" spans="1:16">
      <c r="A17" s="607" t="str">
        <f t="shared" ca="1" si="4"/>
        <v/>
      </c>
      <c r="B17" s="656" t="str">
        <f ca="1">IF(ROWS($1:4)&gt;COUNT(Dong11),"",OFFSET(TH!D$1,SMALL(Dong11,ROWS($1:4)),))</f>
        <v/>
      </c>
      <c r="C17" s="657" t="str">
        <f ca="1">IF(ROWS($1:4)&gt;COUNT(Dong11),"",OFFSET(TH!E$1,SMALL(Dong11,ROWS($1:4)),))</f>
        <v/>
      </c>
      <c r="D17" s="658" t="str">
        <f ca="1">IF(ROWS($1:4)&gt;COUNT(Dong11),"",OFFSET(TH!F$1,SMALL(Dong11,ROWS($1:4)),)&amp;" - "&amp;OFFSET(TH!H$1,SMALL(Dong11,ROWS($1:4)),))</f>
        <v/>
      </c>
      <c r="E17" s="656" t="str">
        <f ca="1">IF(ROWS($1:4)&gt;COUNT(Dong11),"",IF(LEFT(OFFSET(TH!O$1,SMALL(Dong11,ROWS($1:4)),),2)="15",OFFSET(TH!P$1,SMALL(Dong11,ROWS($1:4)),),OFFSET(TH!O$1,SMALL(Dong11,ROWS($1:4)),)))</f>
        <v/>
      </c>
      <c r="F17" s="659">
        <f ca="1">IF(ROWS($1:4)&gt;COUNT(Dong11),0,OFFSET(TH!J$1,SMALL(Dong11,ROWS($1:4)),))</f>
        <v>0</v>
      </c>
      <c r="G17" s="659">
        <f ca="1">IF(ROWS($1:4)&gt;COUNT(Dong11),0,IF(MID(OFFSET(TH!D$1,SMALL(Dong11,ROWS($1:4)),),4,1)="N",OFFSET(TH!I$1,SMALL(Dong11,ROWS($1:4)),),0))</f>
        <v>0</v>
      </c>
      <c r="H17" s="660">
        <f t="shared" ca="1" si="5"/>
        <v>0</v>
      </c>
      <c r="I17" s="659">
        <f ca="1">IF(ROWS($1:4)&gt;COUNT(Dong11),0,IF(MID(OFFSET(TH!D$1,SMALL(Dong11,ROWS($1:4)),),4,1)="X",OFFSET(TH!I$1,SMALL(Dong11,ROWS($1:4)),),0))</f>
        <v>0</v>
      </c>
      <c r="J17" s="660">
        <f t="shared" ca="1" si="6"/>
        <v>0</v>
      </c>
      <c r="K17" s="660">
        <f t="shared" ca="1" si="7"/>
        <v>0</v>
      </c>
      <c r="L17" s="660">
        <f t="shared" ca="1" si="8"/>
        <v>0</v>
      </c>
      <c r="M17" s="660"/>
      <c r="N17" s="650"/>
      <c r="P17" s="662"/>
    </row>
    <row r="18" spans="1:16">
      <c r="A18" s="607" t="str">
        <f t="shared" ca="1" si="4"/>
        <v/>
      </c>
      <c r="B18" s="656" t="str">
        <f ca="1">IF(ROWS($1:5)&gt;COUNT(Dong11),"",OFFSET(TH!D$1,SMALL(Dong11,ROWS($1:5)),))</f>
        <v/>
      </c>
      <c r="C18" s="657" t="str">
        <f ca="1">IF(ROWS($1:5)&gt;COUNT(Dong11),"",OFFSET(TH!E$1,SMALL(Dong11,ROWS($1:5)),))</f>
        <v/>
      </c>
      <c r="D18" s="658" t="str">
        <f ca="1">IF(ROWS($1:5)&gt;COUNT(Dong11),"",OFFSET(TH!F$1,SMALL(Dong11,ROWS($1:5)),)&amp;" - "&amp;OFFSET(TH!H$1,SMALL(Dong11,ROWS($1:5)),))</f>
        <v/>
      </c>
      <c r="E18" s="656" t="str">
        <f ca="1">IF(ROWS($1:5)&gt;COUNT(Dong11),"",IF(LEFT(OFFSET(TH!O$1,SMALL(Dong11,ROWS($1:5)),),2)="15",OFFSET(TH!P$1,SMALL(Dong11,ROWS($1:5)),),OFFSET(TH!O$1,SMALL(Dong11,ROWS($1:5)),)))</f>
        <v/>
      </c>
      <c r="F18" s="659">
        <f ca="1">IF(ROWS($1:5)&gt;COUNT(Dong11),0,OFFSET(TH!J$1,SMALL(Dong11,ROWS($1:5)),))</f>
        <v>0</v>
      </c>
      <c r="G18" s="659">
        <f ca="1">IF(ROWS($1:5)&gt;COUNT(Dong11),0,IF(MID(OFFSET(TH!D$1,SMALL(Dong11,ROWS($1:5)),),4,1)="N",OFFSET(TH!I$1,SMALL(Dong11,ROWS($1:5)),),0))</f>
        <v>0</v>
      </c>
      <c r="H18" s="660">
        <f t="shared" ca="1" si="5"/>
        <v>0</v>
      </c>
      <c r="I18" s="659">
        <f ca="1">IF(ROWS($1:5)&gt;COUNT(Dong11),0,IF(MID(OFFSET(TH!D$1,SMALL(Dong11,ROWS($1:5)),),4,1)="X",OFFSET(TH!I$1,SMALL(Dong11,ROWS($1:5)),),0))</f>
        <v>0</v>
      </c>
      <c r="J18" s="660">
        <f t="shared" ca="1" si="6"/>
        <v>0</v>
      </c>
      <c r="K18" s="660">
        <f t="shared" ca="1" si="7"/>
        <v>0</v>
      </c>
      <c r="L18" s="660">
        <f t="shared" ca="1" si="8"/>
        <v>0</v>
      </c>
      <c r="M18" s="660"/>
      <c r="N18" s="650"/>
    </row>
    <row r="19" spans="1:16">
      <c r="A19" s="607" t="str">
        <f t="shared" ca="1" si="4"/>
        <v/>
      </c>
      <c r="B19" s="656" t="str">
        <f ca="1">IF(ROWS($1:6)&gt;COUNT(Dong11),"",OFFSET(TH!D$1,SMALL(Dong11,ROWS($1:6)),))</f>
        <v/>
      </c>
      <c r="C19" s="657" t="str">
        <f ca="1">IF(ROWS($1:6)&gt;COUNT(Dong11),"",OFFSET(TH!E$1,SMALL(Dong11,ROWS($1:6)),))</f>
        <v/>
      </c>
      <c r="D19" s="658" t="str">
        <f ca="1">IF(ROWS($1:6)&gt;COUNT(Dong11),"",OFFSET(TH!F$1,SMALL(Dong11,ROWS($1:6)),)&amp;" - "&amp;OFFSET(TH!H$1,SMALL(Dong11,ROWS($1:6)),))</f>
        <v/>
      </c>
      <c r="E19" s="656" t="str">
        <f ca="1">IF(ROWS($1:6)&gt;COUNT(Dong11),"",IF(LEFT(OFFSET(TH!O$1,SMALL(Dong11,ROWS($1:6)),),2)="15",OFFSET(TH!P$1,SMALL(Dong11,ROWS($1:6)),),OFFSET(TH!O$1,SMALL(Dong11,ROWS($1:6)),)))</f>
        <v/>
      </c>
      <c r="F19" s="659">
        <f ca="1">IF(ROWS($1:6)&gt;COUNT(Dong11),0,OFFSET(TH!J$1,SMALL(Dong11,ROWS($1:6)),))</f>
        <v>0</v>
      </c>
      <c r="G19" s="659">
        <f ca="1">IF(ROWS($1:6)&gt;COUNT(Dong11),0,IF(MID(OFFSET(TH!D$1,SMALL(Dong11,ROWS($1:6)),),4,1)="N",OFFSET(TH!I$1,SMALL(Dong11,ROWS($1:6)),),0))</f>
        <v>0</v>
      </c>
      <c r="H19" s="660">
        <f t="shared" ca="1" si="5"/>
        <v>0</v>
      </c>
      <c r="I19" s="659">
        <f ca="1">IF(ROWS($1:6)&gt;COUNT(Dong11),0,IF(MID(OFFSET(TH!D$1,SMALL(Dong11,ROWS($1:6)),),4,1)="X",OFFSET(TH!I$1,SMALL(Dong11,ROWS($1:6)),),0))</f>
        <v>0</v>
      </c>
      <c r="J19" s="660">
        <f t="shared" ca="1" si="6"/>
        <v>0</v>
      </c>
      <c r="K19" s="660">
        <f t="shared" ca="1" si="7"/>
        <v>0</v>
      </c>
      <c r="L19" s="660">
        <f t="shared" ca="1" si="8"/>
        <v>0</v>
      </c>
      <c r="M19" s="660"/>
      <c r="N19" s="650"/>
    </row>
    <row r="20" spans="1:16">
      <c r="A20" s="607" t="str">
        <f t="shared" ca="1" si="4"/>
        <v/>
      </c>
      <c r="B20" s="656" t="str">
        <f ca="1">IF(ROWS($1:7)&gt;COUNT(Dong11),"",OFFSET(TH!D$1,SMALL(Dong11,ROWS($1:7)),))</f>
        <v/>
      </c>
      <c r="C20" s="657" t="str">
        <f ca="1">IF(ROWS($1:7)&gt;COUNT(Dong11),"",OFFSET(TH!E$1,SMALL(Dong11,ROWS($1:7)),))</f>
        <v/>
      </c>
      <c r="D20" s="658" t="str">
        <f ca="1">IF(ROWS($1:7)&gt;COUNT(Dong11),"",OFFSET(TH!F$1,SMALL(Dong11,ROWS($1:7)),)&amp;" - "&amp;OFFSET(TH!H$1,SMALL(Dong11,ROWS($1:7)),))</f>
        <v/>
      </c>
      <c r="E20" s="656" t="str">
        <f ca="1">IF(ROWS($1:7)&gt;COUNT(Dong11),"",IF(LEFT(OFFSET(TH!O$1,SMALL(Dong11,ROWS($1:7)),),2)="15",OFFSET(TH!P$1,SMALL(Dong11,ROWS($1:7)),),OFFSET(TH!O$1,SMALL(Dong11,ROWS($1:7)),)))</f>
        <v/>
      </c>
      <c r="F20" s="659">
        <f ca="1">IF(ROWS($1:7)&gt;COUNT(Dong11),0,OFFSET(TH!J$1,SMALL(Dong11,ROWS($1:7)),))</f>
        <v>0</v>
      </c>
      <c r="G20" s="659">
        <f ca="1">IF(ROWS($1:7)&gt;COUNT(Dong11),0,IF(MID(OFFSET(TH!D$1,SMALL(Dong11,ROWS($1:7)),),4,1)="N",OFFSET(TH!I$1,SMALL(Dong11,ROWS($1:7)),),0))</f>
        <v>0</v>
      </c>
      <c r="H20" s="660">
        <f t="shared" ca="1" si="5"/>
        <v>0</v>
      </c>
      <c r="I20" s="659">
        <f ca="1">IF(ROWS($1:7)&gt;COUNT(Dong11),0,IF(MID(OFFSET(TH!D$1,SMALL(Dong11,ROWS($1:7)),),4,1)="X",OFFSET(TH!I$1,SMALL(Dong11,ROWS($1:7)),),0))</f>
        <v>0</v>
      </c>
      <c r="J20" s="660">
        <f t="shared" ca="1" si="6"/>
        <v>0</v>
      </c>
      <c r="K20" s="660">
        <f t="shared" ca="1" si="7"/>
        <v>0</v>
      </c>
      <c r="L20" s="660">
        <f t="shared" ca="1" si="8"/>
        <v>0</v>
      </c>
      <c r="M20" s="660"/>
      <c r="N20" s="650"/>
    </row>
    <row r="21" spans="1:16">
      <c r="A21" s="607" t="str">
        <f t="shared" ca="1" si="4"/>
        <v/>
      </c>
      <c r="B21" s="656" t="str">
        <f ca="1">IF(ROWS($1:8)&gt;COUNT(Dong11),"",OFFSET(TH!D$1,SMALL(Dong11,ROWS($1:8)),))</f>
        <v/>
      </c>
      <c r="C21" s="657" t="str">
        <f ca="1">IF(ROWS($1:8)&gt;COUNT(Dong11),"",OFFSET(TH!E$1,SMALL(Dong11,ROWS($1:8)),))</f>
        <v/>
      </c>
      <c r="D21" s="658" t="str">
        <f ca="1">IF(ROWS($1:8)&gt;COUNT(Dong11),"",OFFSET(TH!F$1,SMALL(Dong11,ROWS($1:8)),)&amp;" - "&amp;OFFSET(TH!H$1,SMALL(Dong11,ROWS($1:8)),))</f>
        <v/>
      </c>
      <c r="E21" s="656" t="str">
        <f ca="1">IF(ROWS($1:8)&gt;COUNT(Dong11),"",IF(LEFT(OFFSET(TH!O$1,SMALL(Dong11,ROWS($1:8)),),2)="15",OFFSET(TH!P$1,SMALL(Dong11,ROWS($1:8)),),OFFSET(TH!O$1,SMALL(Dong11,ROWS($1:8)),)))</f>
        <v/>
      </c>
      <c r="F21" s="659">
        <f ca="1">IF(ROWS($1:8)&gt;COUNT(Dong11),0,OFFSET(TH!J$1,SMALL(Dong11,ROWS($1:8)),))</f>
        <v>0</v>
      </c>
      <c r="G21" s="659">
        <f ca="1">IF(ROWS($1:8)&gt;COUNT(Dong11),0,IF(MID(OFFSET(TH!D$1,SMALL(Dong11,ROWS($1:8)),),4,1)="N",OFFSET(TH!I$1,SMALL(Dong11,ROWS($1:8)),),0))</f>
        <v>0</v>
      </c>
      <c r="H21" s="660">
        <f t="shared" ca="1" si="5"/>
        <v>0</v>
      </c>
      <c r="I21" s="659">
        <f ca="1">IF(ROWS($1:8)&gt;COUNT(Dong11),0,IF(MID(OFFSET(TH!D$1,SMALL(Dong11,ROWS($1:8)),),4,1)="X",OFFSET(TH!I$1,SMALL(Dong11,ROWS($1:8)),),0))</f>
        <v>0</v>
      </c>
      <c r="J21" s="660">
        <f t="shared" ca="1" si="6"/>
        <v>0</v>
      </c>
      <c r="K21" s="660">
        <f t="shared" ca="1" si="7"/>
        <v>0</v>
      </c>
      <c r="L21" s="660">
        <f t="shared" ca="1" si="8"/>
        <v>0</v>
      </c>
      <c r="M21" s="660"/>
      <c r="N21" s="650"/>
    </row>
    <row r="22" spans="1:16">
      <c r="A22" s="607" t="str">
        <f t="shared" ca="1" si="4"/>
        <v/>
      </c>
      <c r="B22" s="656" t="str">
        <f ca="1">IF(ROWS($1:9)&gt;COUNT(Dong11),"",OFFSET(TH!D$1,SMALL(Dong11,ROWS($1:9)),))</f>
        <v/>
      </c>
      <c r="C22" s="657" t="str">
        <f ca="1">IF(ROWS($1:9)&gt;COUNT(Dong11),"",OFFSET(TH!E$1,SMALL(Dong11,ROWS($1:9)),))</f>
        <v/>
      </c>
      <c r="D22" s="658" t="str">
        <f ca="1">IF(ROWS($1:9)&gt;COUNT(Dong11),"",OFFSET(TH!F$1,SMALL(Dong11,ROWS($1:9)),)&amp;" - "&amp;OFFSET(TH!H$1,SMALL(Dong11,ROWS($1:9)),))</f>
        <v/>
      </c>
      <c r="E22" s="656" t="str">
        <f ca="1">IF(ROWS($1:9)&gt;COUNT(Dong11),"",IF(LEFT(OFFSET(TH!O$1,SMALL(Dong11,ROWS($1:9)),),2)="15",OFFSET(TH!P$1,SMALL(Dong11,ROWS($1:9)),),OFFSET(TH!O$1,SMALL(Dong11,ROWS($1:9)),)))</f>
        <v/>
      </c>
      <c r="F22" s="659">
        <f ca="1">IF(ROWS($1:9)&gt;COUNT(Dong11),0,OFFSET(TH!J$1,SMALL(Dong11,ROWS($1:9)),))</f>
        <v>0</v>
      </c>
      <c r="G22" s="659">
        <f ca="1">IF(ROWS($1:9)&gt;COUNT(Dong11),0,IF(MID(OFFSET(TH!D$1,SMALL(Dong11,ROWS($1:9)),),4,1)="N",OFFSET(TH!I$1,SMALL(Dong11,ROWS($1:9)),),0))</f>
        <v>0</v>
      </c>
      <c r="H22" s="660">
        <f t="shared" ca="1" si="5"/>
        <v>0</v>
      </c>
      <c r="I22" s="659">
        <f ca="1">IF(ROWS($1:9)&gt;COUNT(Dong11),0,IF(MID(OFFSET(TH!D$1,SMALL(Dong11,ROWS($1:9)),),4,1)="X",OFFSET(TH!I$1,SMALL(Dong11,ROWS($1:9)),),0))</f>
        <v>0</v>
      </c>
      <c r="J22" s="660">
        <f t="shared" ca="1" si="6"/>
        <v>0</v>
      </c>
      <c r="K22" s="660">
        <f t="shared" ca="1" si="7"/>
        <v>0</v>
      </c>
      <c r="L22" s="660">
        <f t="shared" ca="1" si="8"/>
        <v>0</v>
      </c>
      <c r="M22" s="660"/>
      <c r="N22" s="650"/>
    </row>
    <row r="23" spans="1:16">
      <c r="A23" s="607" t="str">
        <f t="shared" ca="1" si="4"/>
        <v/>
      </c>
      <c r="B23" s="656" t="str">
        <f ca="1">IF(ROWS($1:10)&gt;COUNT(Dong11),"",OFFSET(TH!D$1,SMALL(Dong11,ROWS($1:10)),))</f>
        <v/>
      </c>
      <c r="C23" s="657" t="str">
        <f ca="1">IF(ROWS($1:10)&gt;COUNT(Dong11),"",OFFSET(TH!E$1,SMALL(Dong11,ROWS($1:10)),))</f>
        <v/>
      </c>
      <c r="D23" s="658" t="str">
        <f ca="1">IF(ROWS($1:10)&gt;COUNT(Dong11),"",OFFSET(TH!F$1,SMALL(Dong11,ROWS($1:10)),)&amp;" - "&amp;OFFSET(TH!H$1,SMALL(Dong11,ROWS($1:10)),))</f>
        <v/>
      </c>
      <c r="E23" s="656" t="str">
        <f ca="1">IF(ROWS($1:10)&gt;COUNT(Dong11),"",IF(LEFT(OFFSET(TH!O$1,SMALL(Dong11,ROWS($1:10)),),2)="15",OFFSET(TH!P$1,SMALL(Dong11,ROWS($1:10)),),OFFSET(TH!O$1,SMALL(Dong11,ROWS($1:10)),)))</f>
        <v/>
      </c>
      <c r="F23" s="659">
        <f ca="1">IF(ROWS($1:10)&gt;COUNT(Dong11),0,OFFSET(TH!J$1,SMALL(Dong11,ROWS($1:10)),))</f>
        <v>0</v>
      </c>
      <c r="G23" s="659">
        <f ca="1">IF(ROWS($1:10)&gt;COUNT(Dong11),0,IF(MID(OFFSET(TH!D$1,SMALL(Dong11,ROWS($1:10)),),4,1)="N",OFFSET(TH!I$1,SMALL(Dong11,ROWS($1:10)),),0))</f>
        <v>0</v>
      </c>
      <c r="H23" s="660">
        <f t="shared" ca="1" si="5"/>
        <v>0</v>
      </c>
      <c r="I23" s="659">
        <f ca="1">IF(ROWS($1:10)&gt;COUNT(Dong11),0,IF(MID(OFFSET(TH!D$1,SMALL(Dong11,ROWS($1:10)),),4,1)="X",OFFSET(TH!I$1,SMALL(Dong11,ROWS($1:10)),),0))</f>
        <v>0</v>
      </c>
      <c r="J23" s="660">
        <f t="shared" ca="1" si="6"/>
        <v>0</v>
      </c>
      <c r="K23" s="660">
        <f t="shared" ca="1" si="7"/>
        <v>0</v>
      </c>
      <c r="L23" s="660">
        <f t="shared" ca="1" si="8"/>
        <v>0</v>
      </c>
      <c r="M23" s="660"/>
      <c r="N23" s="650"/>
    </row>
    <row r="24" spans="1:16">
      <c r="A24" s="607" t="str">
        <f t="shared" ca="1" si="4"/>
        <v/>
      </c>
      <c r="B24" s="656" t="str">
        <f ca="1">IF(ROWS($1:11)&gt;COUNT(Dong11),"",OFFSET(TH!D$1,SMALL(Dong11,ROWS($1:11)),))</f>
        <v/>
      </c>
      <c r="C24" s="657" t="str">
        <f ca="1">IF(ROWS($1:11)&gt;COUNT(Dong11),"",OFFSET(TH!E$1,SMALL(Dong11,ROWS($1:11)),))</f>
        <v/>
      </c>
      <c r="D24" s="658" t="str">
        <f ca="1">IF(ROWS($1:11)&gt;COUNT(Dong11),"",OFFSET(TH!F$1,SMALL(Dong11,ROWS($1:11)),)&amp;" - "&amp;OFFSET(TH!H$1,SMALL(Dong11,ROWS($1:11)),))</f>
        <v/>
      </c>
      <c r="E24" s="656" t="str">
        <f ca="1">IF(ROWS($1:11)&gt;COUNT(Dong11),"",IF(LEFT(OFFSET(TH!O$1,SMALL(Dong11,ROWS($1:11)),),2)="15",OFFSET(TH!P$1,SMALL(Dong11,ROWS($1:11)),),OFFSET(TH!O$1,SMALL(Dong11,ROWS($1:11)),)))</f>
        <v/>
      </c>
      <c r="F24" s="659">
        <f ca="1">IF(ROWS($1:11)&gt;COUNT(Dong11),0,OFFSET(TH!J$1,SMALL(Dong11,ROWS($1:11)),))</f>
        <v>0</v>
      </c>
      <c r="G24" s="659">
        <f ca="1">IF(ROWS($1:11)&gt;COUNT(Dong11),0,IF(MID(OFFSET(TH!D$1,SMALL(Dong11,ROWS($1:11)),),4,1)="N",OFFSET(TH!I$1,SMALL(Dong11,ROWS($1:11)),),0))</f>
        <v>0</v>
      </c>
      <c r="H24" s="660">
        <f t="shared" ca="1" si="5"/>
        <v>0</v>
      </c>
      <c r="I24" s="659">
        <f ca="1">IF(ROWS($1:11)&gt;COUNT(Dong11),0,IF(MID(OFFSET(TH!D$1,SMALL(Dong11,ROWS($1:11)),),4,1)="X",OFFSET(TH!I$1,SMALL(Dong11,ROWS($1:11)),),0))</f>
        <v>0</v>
      </c>
      <c r="J24" s="660">
        <f t="shared" ca="1" si="6"/>
        <v>0</v>
      </c>
      <c r="K24" s="660">
        <f t="shared" ca="1" si="7"/>
        <v>0</v>
      </c>
      <c r="L24" s="660">
        <f t="shared" ca="1" si="8"/>
        <v>0</v>
      </c>
      <c r="M24" s="660"/>
      <c r="N24" s="650"/>
    </row>
    <row r="25" spans="1:16">
      <c r="A25" s="607" t="str">
        <f t="shared" ca="1" si="4"/>
        <v/>
      </c>
      <c r="B25" s="656" t="str">
        <f ca="1">IF(ROWS($1:12)&gt;COUNT(Dong11),"",OFFSET(TH!D$1,SMALL(Dong11,ROWS($1:12)),))</f>
        <v/>
      </c>
      <c r="C25" s="657" t="str">
        <f ca="1">IF(ROWS($1:12)&gt;COUNT(Dong11),"",OFFSET(TH!E$1,SMALL(Dong11,ROWS($1:12)),))</f>
        <v/>
      </c>
      <c r="D25" s="658" t="str">
        <f ca="1">IF(ROWS($1:12)&gt;COUNT(Dong11),"",OFFSET(TH!F$1,SMALL(Dong11,ROWS($1:12)),)&amp;" - "&amp;OFFSET(TH!H$1,SMALL(Dong11,ROWS($1:12)),))</f>
        <v/>
      </c>
      <c r="E25" s="656" t="str">
        <f ca="1">IF(ROWS($1:12)&gt;COUNT(Dong11),"",IF(LEFT(OFFSET(TH!O$1,SMALL(Dong11,ROWS($1:12)),),2)="15",OFFSET(TH!P$1,SMALL(Dong11,ROWS($1:12)),),OFFSET(TH!O$1,SMALL(Dong11,ROWS($1:12)),)))</f>
        <v/>
      </c>
      <c r="F25" s="659">
        <f ca="1">IF(ROWS($1:12)&gt;COUNT(Dong11),0,OFFSET(TH!J$1,SMALL(Dong11,ROWS($1:12)),))</f>
        <v>0</v>
      </c>
      <c r="G25" s="659">
        <f ca="1">IF(ROWS($1:12)&gt;COUNT(Dong11),0,IF(MID(OFFSET(TH!D$1,SMALL(Dong11,ROWS($1:12)),),4,1)="N",OFFSET(TH!I$1,SMALL(Dong11,ROWS($1:12)),),0))</f>
        <v>0</v>
      </c>
      <c r="H25" s="660">
        <f t="shared" ca="1" si="5"/>
        <v>0</v>
      </c>
      <c r="I25" s="659">
        <f ca="1">IF(ROWS($1:12)&gt;COUNT(Dong11),0,IF(MID(OFFSET(TH!D$1,SMALL(Dong11,ROWS($1:12)),),4,1)="X",OFFSET(TH!I$1,SMALL(Dong11,ROWS($1:12)),),0))</f>
        <v>0</v>
      </c>
      <c r="J25" s="660">
        <f t="shared" ca="1" si="6"/>
        <v>0</v>
      </c>
      <c r="K25" s="660">
        <f t="shared" ca="1" si="7"/>
        <v>0</v>
      </c>
      <c r="L25" s="660">
        <f t="shared" ca="1" si="8"/>
        <v>0</v>
      </c>
      <c r="M25" s="660"/>
      <c r="N25" s="650"/>
    </row>
    <row r="26" spans="1:16">
      <c r="A26" s="607" t="str">
        <f t="shared" ca="1" si="4"/>
        <v/>
      </c>
      <c r="B26" s="656" t="str">
        <f ca="1">IF(ROWS($1:13)&gt;COUNT(Dong11),"",OFFSET(TH!D$1,SMALL(Dong11,ROWS($1:13)),))</f>
        <v/>
      </c>
      <c r="C26" s="657" t="str">
        <f ca="1">IF(ROWS($1:13)&gt;COUNT(Dong11),"",OFFSET(TH!E$1,SMALL(Dong11,ROWS($1:13)),))</f>
        <v/>
      </c>
      <c r="D26" s="658" t="str">
        <f ca="1">IF(ROWS($1:13)&gt;COUNT(Dong11),"",OFFSET(TH!F$1,SMALL(Dong11,ROWS($1:13)),)&amp;" - "&amp;OFFSET(TH!H$1,SMALL(Dong11,ROWS($1:13)),))</f>
        <v/>
      </c>
      <c r="E26" s="656" t="str">
        <f ca="1">IF(ROWS($1:13)&gt;COUNT(Dong11),"",IF(LEFT(OFFSET(TH!O$1,SMALL(Dong11,ROWS($1:13)),),2)="15",OFFSET(TH!P$1,SMALL(Dong11,ROWS($1:13)),),OFFSET(TH!O$1,SMALL(Dong11,ROWS($1:13)),)))</f>
        <v/>
      </c>
      <c r="F26" s="659">
        <f ca="1">IF(ROWS($1:13)&gt;COUNT(Dong11),0,OFFSET(TH!J$1,SMALL(Dong11,ROWS($1:13)),))</f>
        <v>0</v>
      </c>
      <c r="G26" s="659">
        <f ca="1">IF(ROWS($1:13)&gt;COUNT(Dong11),0,IF(MID(OFFSET(TH!D$1,SMALL(Dong11,ROWS($1:13)),),4,1)="N",OFFSET(TH!I$1,SMALL(Dong11,ROWS($1:13)),),0))</f>
        <v>0</v>
      </c>
      <c r="H26" s="660">
        <f t="shared" ca="1" si="5"/>
        <v>0</v>
      </c>
      <c r="I26" s="659">
        <f ca="1">IF(ROWS($1:13)&gt;COUNT(Dong11),0,IF(MID(OFFSET(TH!D$1,SMALL(Dong11,ROWS($1:13)),),4,1)="X",OFFSET(TH!I$1,SMALL(Dong11,ROWS($1:13)),),0))</f>
        <v>0</v>
      </c>
      <c r="J26" s="660">
        <f t="shared" ca="1" si="6"/>
        <v>0</v>
      </c>
      <c r="K26" s="660">
        <f t="shared" ca="1" si="7"/>
        <v>0</v>
      </c>
      <c r="L26" s="660">
        <f t="shared" ca="1" si="8"/>
        <v>0</v>
      </c>
      <c r="M26" s="660"/>
      <c r="N26" s="650"/>
    </row>
    <row r="27" spans="1:16">
      <c r="A27" s="607" t="str">
        <f t="shared" ca="1" si="4"/>
        <v/>
      </c>
      <c r="B27" s="656" t="str">
        <f ca="1">IF(ROWS($1:14)&gt;COUNT(Dong11),"",OFFSET(TH!D$1,SMALL(Dong11,ROWS($1:14)),))</f>
        <v/>
      </c>
      <c r="C27" s="657" t="str">
        <f ca="1">IF(ROWS($1:14)&gt;COUNT(Dong11),"",OFFSET(TH!E$1,SMALL(Dong11,ROWS($1:14)),))</f>
        <v/>
      </c>
      <c r="D27" s="658" t="str">
        <f ca="1">IF(ROWS($1:14)&gt;COUNT(Dong11),"",OFFSET(TH!F$1,SMALL(Dong11,ROWS($1:14)),)&amp;" - "&amp;OFFSET(TH!H$1,SMALL(Dong11,ROWS($1:14)),))</f>
        <v/>
      </c>
      <c r="E27" s="656" t="str">
        <f ca="1">IF(ROWS($1:14)&gt;COUNT(Dong11),"",IF(LEFT(OFFSET(TH!O$1,SMALL(Dong11,ROWS($1:14)),),2)="15",OFFSET(TH!P$1,SMALL(Dong11,ROWS($1:14)),),OFFSET(TH!O$1,SMALL(Dong11,ROWS($1:14)),)))</f>
        <v/>
      </c>
      <c r="F27" s="659">
        <f ca="1">IF(ROWS($1:14)&gt;COUNT(Dong11),0,OFFSET(TH!J$1,SMALL(Dong11,ROWS($1:14)),))</f>
        <v>0</v>
      </c>
      <c r="G27" s="659">
        <f ca="1">IF(ROWS($1:14)&gt;COUNT(Dong11),0,IF(MID(OFFSET(TH!D$1,SMALL(Dong11,ROWS($1:14)),),4,1)="N",OFFSET(TH!I$1,SMALL(Dong11,ROWS($1:14)),),0))</f>
        <v>0</v>
      </c>
      <c r="H27" s="660">
        <f t="shared" ca="1" si="5"/>
        <v>0</v>
      </c>
      <c r="I27" s="659">
        <f ca="1">IF(ROWS($1:14)&gt;COUNT(Dong11),0,IF(MID(OFFSET(TH!D$1,SMALL(Dong11,ROWS($1:14)),),4,1)="X",OFFSET(TH!I$1,SMALL(Dong11,ROWS($1:14)),),0))</f>
        <v>0</v>
      </c>
      <c r="J27" s="660">
        <f t="shared" ca="1" si="6"/>
        <v>0</v>
      </c>
      <c r="K27" s="660">
        <f t="shared" ca="1" si="7"/>
        <v>0</v>
      </c>
      <c r="L27" s="660">
        <f t="shared" ca="1" si="8"/>
        <v>0</v>
      </c>
      <c r="M27" s="660"/>
      <c r="N27" s="650"/>
    </row>
    <row r="28" spans="1:16">
      <c r="A28" s="607" t="str">
        <f t="shared" ca="1" si="4"/>
        <v/>
      </c>
      <c r="B28" s="656" t="str">
        <f ca="1">IF(ROWS($1:15)&gt;COUNT(Dong11),"",OFFSET(TH!D$1,SMALL(Dong11,ROWS($1:15)),))</f>
        <v/>
      </c>
      <c r="C28" s="657" t="str">
        <f ca="1">IF(ROWS($1:15)&gt;COUNT(Dong11),"",OFFSET(TH!E$1,SMALL(Dong11,ROWS($1:15)),))</f>
        <v/>
      </c>
      <c r="D28" s="658" t="str">
        <f ca="1">IF(ROWS($1:15)&gt;COUNT(Dong11),"",OFFSET(TH!F$1,SMALL(Dong11,ROWS($1:15)),)&amp;" - "&amp;OFFSET(TH!H$1,SMALL(Dong11,ROWS($1:15)),))</f>
        <v/>
      </c>
      <c r="E28" s="656" t="str">
        <f ca="1">IF(ROWS($1:15)&gt;COUNT(Dong11),"",IF(LEFT(OFFSET(TH!O$1,SMALL(Dong11,ROWS($1:15)),),2)="15",OFFSET(TH!P$1,SMALL(Dong11,ROWS($1:15)),),OFFSET(TH!O$1,SMALL(Dong11,ROWS($1:15)),)))</f>
        <v/>
      </c>
      <c r="F28" s="659">
        <f ca="1">IF(ROWS($1:15)&gt;COUNT(Dong11),0,OFFSET(TH!J$1,SMALL(Dong11,ROWS($1:15)),))</f>
        <v>0</v>
      </c>
      <c r="G28" s="659">
        <f ca="1">IF(ROWS($1:15)&gt;COUNT(Dong11),0,IF(MID(OFFSET(TH!D$1,SMALL(Dong11,ROWS($1:15)),),4,1)="N",OFFSET(TH!I$1,SMALL(Dong11,ROWS($1:15)),),0))</f>
        <v>0</v>
      </c>
      <c r="H28" s="660">
        <f t="shared" ca="1" si="5"/>
        <v>0</v>
      </c>
      <c r="I28" s="659">
        <f ca="1">IF(ROWS($1:15)&gt;COUNT(Dong11),0,IF(MID(OFFSET(TH!D$1,SMALL(Dong11,ROWS($1:15)),),4,1)="X",OFFSET(TH!I$1,SMALL(Dong11,ROWS($1:15)),),0))</f>
        <v>0</v>
      </c>
      <c r="J28" s="660">
        <f t="shared" ca="1" si="6"/>
        <v>0</v>
      </c>
      <c r="K28" s="660">
        <f t="shared" ca="1" si="7"/>
        <v>0</v>
      </c>
      <c r="L28" s="660">
        <f t="shared" ca="1" si="8"/>
        <v>0</v>
      </c>
      <c r="M28" s="660"/>
      <c r="N28" s="650"/>
    </row>
    <row r="29" spans="1:16">
      <c r="A29" s="607" t="str">
        <f t="shared" ca="1" si="4"/>
        <v/>
      </c>
      <c r="B29" s="656" t="str">
        <f ca="1">IF(ROWS($1:16)&gt;COUNT(Dong11),"",OFFSET(TH!D$1,SMALL(Dong11,ROWS($1:16)),))</f>
        <v/>
      </c>
      <c r="C29" s="657" t="str">
        <f ca="1">IF(ROWS($1:16)&gt;COUNT(Dong11),"",OFFSET(TH!E$1,SMALL(Dong11,ROWS($1:16)),))</f>
        <v/>
      </c>
      <c r="D29" s="658" t="str">
        <f ca="1">IF(ROWS($1:16)&gt;COUNT(Dong11),"",OFFSET(TH!F$1,SMALL(Dong11,ROWS($1:16)),)&amp;" - "&amp;OFFSET(TH!H$1,SMALL(Dong11,ROWS($1:16)),))</f>
        <v/>
      </c>
      <c r="E29" s="656" t="str">
        <f ca="1">IF(ROWS($1:16)&gt;COUNT(Dong11),"",IF(LEFT(OFFSET(TH!O$1,SMALL(Dong11,ROWS($1:16)),),2)="15",OFFSET(TH!P$1,SMALL(Dong11,ROWS($1:16)),),OFFSET(TH!O$1,SMALL(Dong11,ROWS($1:16)),)))</f>
        <v/>
      </c>
      <c r="F29" s="659">
        <f ca="1">IF(ROWS($1:16)&gt;COUNT(Dong11),0,OFFSET(TH!J$1,SMALL(Dong11,ROWS($1:16)),))</f>
        <v>0</v>
      </c>
      <c r="G29" s="659">
        <f ca="1">IF(ROWS($1:16)&gt;COUNT(Dong11),0,IF(MID(OFFSET(TH!D$1,SMALL(Dong11,ROWS($1:16)),),4,1)="N",OFFSET(TH!I$1,SMALL(Dong11,ROWS($1:16)),),0))</f>
        <v>0</v>
      </c>
      <c r="H29" s="660">
        <f t="shared" ca="1" si="5"/>
        <v>0</v>
      </c>
      <c r="I29" s="659">
        <f ca="1">IF(ROWS($1:16)&gt;COUNT(Dong11),0,IF(MID(OFFSET(TH!D$1,SMALL(Dong11,ROWS($1:16)),),4,1)="X",OFFSET(TH!I$1,SMALL(Dong11,ROWS($1:16)),),0))</f>
        <v>0</v>
      </c>
      <c r="J29" s="660">
        <f t="shared" ca="1" si="6"/>
        <v>0</v>
      </c>
      <c r="K29" s="660">
        <f t="shared" ca="1" si="7"/>
        <v>0</v>
      </c>
      <c r="L29" s="660">
        <f t="shared" ca="1" si="8"/>
        <v>0</v>
      </c>
      <c r="M29" s="660"/>
      <c r="N29" s="650"/>
    </row>
    <row r="30" spans="1:16">
      <c r="A30" s="607" t="str">
        <f t="shared" ca="1" si="4"/>
        <v/>
      </c>
      <c r="B30" s="656" t="str">
        <f ca="1">IF(ROWS($1:17)&gt;COUNT(Dong11),"",OFFSET(TH!D$1,SMALL(Dong11,ROWS($1:17)),))</f>
        <v/>
      </c>
      <c r="C30" s="657" t="str">
        <f ca="1">IF(ROWS($1:17)&gt;COUNT(Dong11),"",OFFSET(TH!E$1,SMALL(Dong11,ROWS($1:17)),))</f>
        <v/>
      </c>
      <c r="D30" s="658" t="str">
        <f ca="1">IF(ROWS($1:17)&gt;COUNT(Dong11),"",OFFSET(TH!F$1,SMALL(Dong11,ROWS($1:17)),)&amp;" - "&amp;OFFSET(TH!H$1,SMALL(Dong11,ROWS($1:17)),))</f>
        <v/>
      </c>
      <c r="E30" s="656" t="str">
        <f ca="1">IF(ROWS($1:17)&gt;COUNT(Dong11),"",IF(LEFT(OFFSET(TH!O$1,SMALL(Dong11,ROWS($1:17)),),2)="15",OFFSET(TH!P$1,SMALL(Dong11,ROWS($1:17)),),OFFSET(TH!O$1,SMALL(Dong11,ROWS($1:17)),)))</f>
        <v/>
      </c>
      <c r="F30" s="659">
        <f ca="1">IF(ROWS($1:17)&gt;COUNT(Dong11),0,OFFSET(TH!J$1,SMALL(Dong11,ROWS($1:17)),))</f>
        <v>0</v>
      </c>
      <c r="G30" s="659">
        <f ca="1">IF(ROWS($1:17)&gt;COUNT(Dong11),0,IF(MID(OFFSET(TH!D$1,SMALL(Dong11,ROWS($1:17)),),4,1)="N",OFFSET(TH!I$1,SMALL(Dong11,ROWS($1:17)),),0))</f>
        <v>0</v>
      </c>
      <c r="H30" s="660">
        <f t="shared" ca="1" si="5"/>
        <v>0</v>
      </c>
      <c r="I30" s="659">
        <f ca="1">IF(ROWS($1:17)&gt;COUNT(Dong11),0,IF(MID(OFFSET(TH!D$1,SMALL(Dong11,ROWS($1:17)),),4,1)="X",OFFSET(TH!I$1,SMALL(Dong11,ROWS($1:17)),),0))</f>
        <v>0</v>
      </c>
      <c r="J30" s="660">
        <f t="shared" ca="1" si="6"/>
        <v>0</v>
      </c>
      <c r="K30" s="660">
        <f t="shared" ca="1" si="7"/>
        <v>0</v>
      </c>
      <c r="L30" s="660">
        <f t="shared" ca="1" si="8"/>
        <v>0</v>
      </c>
      <c r="M30" s="660"/>
      <c r="N30" s="650"/>
    </row>
    <row r="31" spans="1:16">
      <c r="A31" s="607" t="str">
        <f t="shared" si="4"/>
        <v/>
      </c>
      <c r="B31" s="663"/>
      <c r="C31" s="664"/>
      <c r="D31" s="665"/>
      <c r="E31" s="666"/>
      <c r="F31" s="667"/>
      <c r="G31" s="652"/>
      <c r="H31" s="652"/>
      <c r="I31" s="652"/>
      <c r="J31" s="652"/>
      <c r="K31" s="652"/>
      <c r="L31" s="652"/>
      <c r="M31" s="668"/>
      <c r="N31" s="650"/>
    </row>
    <row r="32" spans="1:16">
      <c r="A32" s="669"/>
      <c r="B32" s="669"/>
      <c r="C32" s="669"/>
      <c r="D32" s="669" t="s">
        <v>656</v>
      </c>
      <c r="E32" s="648" t="s">
        <v>26</v>
      </c>
      <c r="F32" s="648" t="s">
        <v>26</v>
      </c>
      <c r="G32" s="670">
        <f ca="1">SUM(G14:G31)</f>
        <v>500</v>
      </c>
      <c r="H32" s="670">
        <f ca="1">SUM(H14:H31)</f>
        <v>16500000</v>
      </c>
      <c r="I32" s="670">
        <f ca="1">SUM(I14:I31)</f>
        <v>0</v>
      </c>
      <c r="J32" s="670">
        <f ca="1">SUM(J14:J31)</f>
        <v>0</v>
      </c>
      <c r="K32" s="670">
        <f ca="1">K13+G32-I32</f>
        <v>500</v>
      </c>
      <c r="L32" s="670">
        <f ca="1">L13+H32-J32</f>
        <v>16500000</v>
      </c>
      <c r="M32" s="669"/>
      <c r="N32" s="650"/>
    </row>
    <row r="33" spans="2:14">
      <c r="B33" s="671" t="s">
        <v>657</v>
      </c>
      <c r="G33" s="662"/>
      <c r="N33" s="650"/>
    </row>
    <row r="34" spans="2:14">
      <c r="B34" s="672" t="str">
        <f ca="1">IF(ISERROR(" - Ngày mở sổ: ngày "&amp;DAY(C14)&amp;" tháng "&amp;MONTH(C14)&amp;" năm "&amp;YEAR(C14))," - Ngày mở sổ: ngày 01 tháng  01 năm 2016 "," - Ngày mở sổ: ngày "&amp;DAY(C14)&amp;" tháng "&amp;MONTH(C14)&amp;" năm "&amp;YEAR(C14))</f>
        <v xml:space="preserve"> - Ngày mở sổ: ngày 12 tháng 3 năm 2016</v>
      </c>
      <c r="G34" s="662"/>
      <c r="I34" s="662"/>
      <c r="N34" s="650"/>
    </row>
    <row r="35" spans="2:14">
      <c r="B35" s="637"/>
      <c r="C35" s="637"/>
      <c r="D35" s="637"/>
      <c r="F35" s="637"/>
      <c r="G35" s="673"/>
      <c r="H35" s="638"/>
      <c r="I35" s="674"/>
      <c r="J35" s="1332" t="s">
        <v>622</v>
      </c>
      <c r="K35" s="1332"/>
      <c r="L35" s="1332"/>
      <c r="M35" s="1332"/>
      <c r="N35" s="650"/>
    </row>
    <row r="36" spans="2:14">
      <c r="B36" s="1332" t="s">
        <v>14</v>
      </c>
      <c r="C36" s="1332"/>
      <c r="D36" s="1332"/>
      <c r="E36" s="1332" t="s">
        <v>15</v>
      </c>
      <c r="F36" s="1332"/>
      <c r="G36" s="1332"/>
      <c r="H36" s="1332"/>
      <c r="I36" s="1332"/>
      <c r="J36" s="1332" t="s">
        <v>205</v>
      </c>
      <c r="K36" s="1332"/>
      <c r="L36" s="1332"/>
      <c r="M36" s="1332"/>
      <c r="N36" s="650"/>
    </row>
    <row r="37" spans="2:14">
      <c r="B37" s="1332" t="s">
        <v>16</v>
      </c>
      <c r="C37" s="1332" t="s">
        <v>625</v>
      </c>
      <c r="D37" s="1332" t="s">
        <v>16</v>
      </c>
      <c r="E37" s="1332" t="s">
        <v>16</v>
      </c>
      <c r="F37" s="1332"/>
      <c r="G37" s="1332"/>
      <c r="H37" s="1332" t="s">
        <v>240</v>
      </c>
      <c r="I37" s="1332"/>
      <c r="J37" s="1332" t="s">
        <v>240</v>
      </c>
      <c r="K37" s="1332"/>
      <c r="L37" s="1332"/>
      <c r="M37" s="1332"/>
      <c r="N37" s="650"/>
    </row>
    <row r="38" spans="2:14">
      <c r="N38" s="675"/>
    </row>
    <row r="39" spans="2:14">
      <c r="E39" s="625"/>
    </row>
    <row r="41" spans="2:14" customFormat="1" ht="12.75">
      <c r="E41" s="676"/>
    </row>
  </sheetData>
  <mergeCells count="21">
    <mergeCell ref="B37:D37"/>
    <mergeCell ref="E37:I37"/>
    <mergeCell ref="J37:M37"/>
    <mergeCell ref="G10:H10"/>
    <mergeCell ref="I10:J10"/>
    <mergeCell ref="K10:L10"/>
    <mergeCell ref="M10:M11"/>
    <mergeCell ref="J35:M35"/>
    <mergeCell ref="B36:D36"/>
    <mergeCell ref="E36:I36"/>
    <mergeCell ref="J36:M36"/>
    <mergeCell ref="J2:M2"/>
    <mergeCell ref="J3:M4"/>
    <mergeCell ref="B5:M5"/>
    <mergeCell ref="B6:M6"/>
    <mergeCell ref="J8:L8"/>
    <mergeCell ref="A10:A11"/>
    <mergeCell ref="B10:C10"/>
    <mergeCell ref="D10:D11"/>
    <mergeCell ref="E10:E11"/>
    <mergeCell ref="F10:F11"/>
  </mergeCells>
  <conditionalFormatting sqref="I14:M30 B14:G30">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24.xml><?xml version="1.0" encoding="utf-8"?>
<worksheet xmlns="http://schemas.openxmlformats.org/spreadsheetml/2006/main" xmlns:r="http://schemas.openxmlformats.org/officeDocument/2006/relationships">
  <sheetPr>
    <tabColor indexed="60"/>
  </sheetPr>
  <dimension ref="A1:L41"/>
  <sheetViews>
    <sheetView topLeftCell="A4" zoomScale="90" workbookViewId="0">
      <pane ySplit="10" topLeftCell="A15" activePane="bottomLeft" state="frozen"/>
      <selection activeCell="C33" sqref="C33"/>
      <selection pane="bottomLeft" activeCell="M20" sqref="M20"/>
    </sheetView>
  </sheetViews>
  <sheetFormatPr defaultRowHeight="14.25"/>
  <cols>
    <col min="1" max="1" width="4.42578125" style="682" customWidth="1"/>
    <col min="2" max="2" width="10.85546875" style="682" customWidth="1"/>
    <col min="3" max="3" width="9.140625" style="746" customWidth="1"/>
    <col min="4" max="4" width="10.85546875" style="746" customWidth="1"/>
    <col min="5" max="5" width="39.42578125" style="747" customWidth="1"/>
    <col min="6" max="6" width="10.85546875" style="748" customWidth="1"/>
    <col min="7" max="7" width="9" style="749" customWidth="1"/>
    <col min="8" max="8" width="9.5703125" style="749" customWidth="1"/>
    <col min="9" max="9" width="10" style="749" customWidth="1"/>
    <col min="10" max="10" width="8" style="682" customWidth="1"/>
    <col min="11" max="11" width="2.42578125" style="682" customWidth="1"/>
    <col min="12" max="12" width="6.5703125" style="682" customWidth="1"/>
    <col min="13" max="16384" width="9.140625" style="682"/>
  </cols>
  <sheetData>
    <row r="1" spans="1:12" ht="15" customHeight="1">
      <c r="A1" s="677" t="s">
        <v>268</v>
      </c>
      <c r="B1" s="678"/>
      <c r="C1" s="678"/>
      <c r="D1" s="678"/>
      <c r="E1" s="679"/>
      <c r="F1" s="678"/>
      <c r="G1" s="680"/>
      <c r="H1" s="681" t="s">
        <v>658</v>
      </c>
      <c r="I1" s="682"/>
      <c r="J1" s="683"/>
      <c r="K1" s="683"/>
      <c r="L1" s="684"/>
    </row>
    <row r="2" spans="1:12" ht="15" customHeight="1">
      <c r="A2" s="685" t="s">
        <v>504</v>
      </c>
      <c r="B2" s="686"/>
      <c r="C2" s="686"/>
      <c r="D2" s="686"/>
      <c r="E2" s="687"/>
      <c r="F2" s="688"/>
      <c r="G2" s="689"/>
      <c r="H2" s="690" t="s">
        <v>505</v>
      </c>
      <c r="I2" s="682"/>
      <c r="J2" s="683"/>
      <c r="K2" s="683"/>
    </row>
    <row r="3" spans="1:12" ht="15">
      <c r="A3" s="686"/>
      <c r="B3" s="686"/>
      <c r="C3" s="686"/>
      <c r="D3" s="686"/>
      <c r="E3" s="687"/>
      <c r="F3" s="688"/>
      <c r="G3" s="689"/>
      <c r="H3" s="690" t="s">
        <v>337</v>
      </c>
      <c r="I3" s="682"/>
      <c r="J3" s="683"/>
      <c r="K3" s="683"/>
    </row>
    <row r="4" spans="1:12" ht="18.75" customHeight="1">
      <c r="A4" s="691"/>
      <c r="B4" s="691"/>
      <c r="C4" s="691"/>
      <c r="D4" s="691"/>
      <c r="E4" s="692" t="s">
        <v>659</v>
      </c>
      <c r="F4" s="691"/>
      <c r="G4" s="691"/>
      <c r="H4" s="691"/>
      <c r="I4" s="691"/>
      <c r="J4" s="683"/>
      <c r="K4" s="683"/>
    </row>
    <row r="5" spans="1:12" ht="15">
      <c r="A5" s="693"/>
      <c r="B5" s="693"/>
      <c r="C5" s="693"/>
      <c r="D5" s="693"/>
      <c r="E5" s="694" t="str">
        <f ca="1">IF(ISERROR("Ngày lập thẻ: ngày "&amp;DAY(B14)&amp;"/"&amp;MONTH(B14)&amp;"/"&amp;YEAR(B14)),"Ngày lập thẻ: ngày 01/ 01/2016 ","Ngày lập thẻ: ngày "&amp;DAY(B14)&amp;"/"&amp;MONTH(B14)&amp;"/"&amp;YEAR(B14))</f>
        <v>Ngày lập thẻ: ngày 12/3/2016</v>
      </c>
      <c r="F5" s="693"/>
      <c r="G5" s="693"/>
      <c r="H5" s="693"/>
      <c r="I5" s="693"/>
      <c r="J5" s="683"/>
      <c r="K5" s="683"/>
    </row>
    <row r="6" spans="1:12" ht="15">
      <c r="A6" s="693"/>
      <c r="B6" s="693"/>
      <c r="C6" s="693"/>
      <c r="D6" s="693"/>
      <c r="E6" s="694" t="s">
        <v>660</v>
      </c>
      <c r="F6" s="693"/>
      <c r="G6" s="693"/>
      <c r="H6" s="693"/>
      <c r="I6" s="693"/>
      <c r="J6" s="683"/>
      <c r="K6" s="683"/>
    </row>
    <row r="7" spans="1:12" ht="15">
      <c r="A7" s="672" t="s">
        <v>661</v>
      </c>
      <c r="B7" s="672"/>
      <c r="C7" s="695"/>
      <c r="D7" s="695"/>
      <c r="E7" s="696" t="s">
        <v>760</v>
      </c>
      <c r="F7" s="688"/>
      <c r="G7" s="697"/>
      <c r="H7" s="697"/>
      <c r="I7" s="697"/>
      <c r="J7" s="683"/>
      <c r="K7" s="683"/>
    </row>
    <row r="8" spans="1:12" ht="15">
      <c r="A8" s="672" t="s">
        <v>662</v>
      </c>
      <c r="B8" s="672"/>
      <c r="C8" s="683" t="str">
        <f>VLOOKUP($E$7,NXT!$C$12:$L$54,2,0)</f>
        <v>kg</v>
      </c>
      <c r="D8" s="672"/>
      <c r="E8" s="696"/>
      <c r="F8" s="688"/>
      <c r="G8" s="697"/>
      <c r="H8" s="697"/>
      <c r="I8" s="697"/>
      <c r="J8" s="683"/>
      <c r="K8" s="683"/>
    </row>
    <row r="9" spans="1:12" ht="15">
      <c r="A9" s="1335" t="s">
        <v>663</v>
      </c>
      <c r="B9" s="1336"/>
      <c r="C9" s="1336"/>
      <c r="D9" s="1336"/>
      <c r="E9" s="696"/>
      <c r="F9" s="688"/>
      <c r="G9" s="697"/>
      <c r="H9" s="697"/>
      <c r="I9" s="697"/>
      <c r="J9" s="698"/>
      <c r="K9" s="698"/>
    </row>
    <row r="10" spans="1:12" ht="19.5" customHeight="1">
      <c r="A10" s="1337" t="s">
        <v>664</v>
      </c>
      <c r="B10" s="1338" t="s">
        <v>665</v>
      </c>
      <c r="C10" s="1340" t="s">
        <v>20</v>
      </c>
      <c r="D10" s="1341"/>
      <c r="E10" s="1342" t="s">
        <v>0</v>
      </c>
      <c r="F10" s="1353" t="s">
        <v>666</v>
      </c>
      <c r="G10" s="1346" t="s">
        <v>633</v>
      </c>
      <c r="H10" s="1346"/>
      <c r="I10" s="1341"/>
      <c r="J10" s="1347" t="s">
        <v>667</v>
      </c>
      <c r="K10" s="699"/>
      <c r="L10" s="700" t="s">
        <v>652</v>
      </c>
    </row>
    <row r="11" spans="1:12" ht="19.5" customHeight="1">
      <c r="A11" s="1337"/>
      <c r="B11" s="1339"/>
      <c r="C11" s="701" t="s">
        <v>649</v>
      </c>
      <c r="D11" s="701" t="s">
        <v>650</v>
      </c>
      <c r="E11" s="1343"/>
      <c r="F11" s="1354"/>
      <c r="G11" s="702" t="s">
        <v>649</v>
      </c>
      <c r="H11" s="702" t="s">
        <v>650</v>
      </c>
      <c r="I11" s="702" t="s">
        <v>651</v>
      </c>
      <c r="J11" s="1348"/>
      <c r="K11" s="699"/>
    </row>
    <row r="12" spans="1:12" ht="15">
      <c r="A12" s="703" t="s">
        <v>2</v>
      </c>
      <c r="B12" s="704" t="s">
        <v>3</v>
      </c>
      <c r="C12" s="705" t="s">
        <v>4</v>
      </c>
      <c r="D12" s="705" t="s">
        <v>5</v>
      </c>
      <c r="E12" s="706" t="s">
        <v>6</v>
      </c>
      <c r="F12" s="704" t="s">
        <v>234</v>
      </c>
      <c r="G12" s="707">
        <v>1</v>
      </c>
      <c r="H12" s="707">
        <v>2</v>
      </c>
      <c r="I12" s="707">
        <v>3</v>
      </c>
      <c r="J12" s="705" t="s">
        <v>235</v>
      </c>
      <c r="K12" s="708"/>
    </row>
    <row r="13" spans="1:12" ht="16.5" customHeight="1">
      <c r="A13" s="709"/>
      <c r="B13" s="710"/>
      <c r="C13" s="711"/>
      <c r="D13" s="711"/>
      <c r="E13" s="712" t="s">
        <v>519</v>
      </c>
      <c r="F13" s="710"/>
      <c r="G13" s="713"/>
      <c r="H13" s="713"/>
      <c r="I13" s="714">
        <f>VLOOKUP($E$7,NXT!$C$12:$L$54,3,0)</f>
        <v>0</v>
      </c>
      <c r="J13" s="709"/>
      <c r="K13" s="715"/>
    </row>
    <row r="14" spans="1:12" ht="16.5" customHeight="1">
      <c r="A14" s="716">
        <f ca="1">IF(B14&lt;&gt;"",ROW()-(ROW()-1),"")</f>
        <v>1</v>
      </c>
      <c r="B14" s="717">
        <f ca="1">IF(ROWS($1:1)&gt;COUNT(Dong12),"",OFFSET(TH!E$1,SMALL(Dong12,ROWS($1:1)),))</f>
        <v>42441</v>
      </c>
      <c r="C14" s="931" t="str">
        <f ca="1">IF(ROWS($1:1)&gt;COUNT(Dong12),"",IF(MID(OFFSET(TH!D$1,SMALL(Dong12,ROWS($1:1)),),4,1)="N",OFFSET(TH!D$1,SMALL(Dong12,ROWS($1:1)),),""))</f>
        <v>VL/N01</v>
      </c>
      <c r="D14" s="717" t="str">
        <f ca="1">IF(ROWS($1:1)&gt;COUNT(Dong12),"",IF(MID(OFFSET(TH!D$1,SMALL(Dong12,ROWS($1:1)),),4,1)="X",OFFSET(TH!D$1,SMALL(Dong12,ROWS($1:1)),),""))</f>
        <v/>
      </c>
      <c r="E14" s="718" t="str">
        <f ca="1">IF(ROWS($1:1)&gt;COUNT(Dong12),"",OFFSET(TH!F$1,SMALL(Dong12,ROWS($1:1)),)&amp;" - "&amp;OFFSET(TH!H$1,SMALL(Dong12,ROWS($1:1)),))</f>
        <v>Túi PE 86*75 - CN Công Ty TNHH Tân Hy Xí Nghiệp In &amp; Bao Bì Duy Nhật</v>
      </c>
      <c r="F14" s="717">
        <f ca="1">B14</f>
        <v>42441</v>
      </c>
      <c r="G14" s="719">
        <f ca="1">IF(ROWS($1:1)&gt;COUNT(Dong12),0,IF(MID(OFFSET(TH!D$1,SMALL(Dong12,ROWS($1:1)),),4,1)="N",OFFSET(TH!I$1,SMALL(Dong12,ROWS($1:1)),),0))</f>
        <v>500</v>
      </c>
      <c r="H14" s="719">
        <f ca="1">IF(ROWS($1:1)&gt;COUNT(Dong12),0,IF(MID(OFFSET(TH!D$1,SMALL(Dong12,ROWS($1:1)),),4,1)="X",OFFSET(TH!I$1,SMALL(Dong12,ROWS($1:1)),),0))</f>
        <v>0</v>
      </c>
      <c r="I14" s="720">
        <f ca="1">IF(E14&lt;&gt;"",I13+G14-H14,0)</f>
        <v>500</v>
      </c>
      <c r="J14" s="721"/>
      <c r="K14" s="722"/>
    </row>
    <row r="15" spans="1:12" ht="16.5" customHeight="1">
      <c r="A15" s="723" t="str">
        <f ca="1">IF(B15&lt;&gt;"",A14+1,"")</f>
        <v/>
      </c>
      <c r="B15" s="717" t="str">
        <f ca="1">IF(ROWS($1:2)&gt;COUNT(Dong12),"",OFFSET(TH!E$1,SMALL(Dong12,ROWS($1:2)),))</f>
        <v/>
      </c>
      <c r="C15" s="931" t="str">
        <f ca="1">IF(ROWS($1:2)&gt;COUNT(Dong12),"",IF(MID(OFFSET(TH!D$1,SMALL(Dong12,ROWS($1:2)),),4,1)="N",OFFSET(TH!D$1,SMALL(Dong12,ROWS($1:2)),),""))</f>
        <v/>
      </c>
      <c r="D15" s="717" t="str">
        <f ca="1">IF(ROWS($1:2)&gt;COUNT(Dong12),"",IF(MID(OFFSET(TH!D$1,SMALL(Dong12,ROWS($1:2)),),4,1)="X",OFFSET(TH!D$1,SMALL(Dong12,ROWS($1:2)),),""))</f>
        <v/>
      </c>
      <c r="E15" s="718" t="str">
        <f ca="1">IF(ROWS($1:2)&gt;COUNT(Dong12),"",OFFSET(TH!F$1,SMALL(Dong12,ROWS($1:2)),)&amp;" - "&amp;OFFSET(TH!H$1,SMALL(Dong12,ROWS($1:2)),))</f>
        <v/>
      </c>
      <c r="F15" s="717" t="str">
        <f t="shared" ref="F15:F30" ca="1" si="0">B15</f>
        <v/>
      </c>
      <c r="G15" s="719">
        <f ca="1">IF(ROWS($1:2)&gt;COUNT(Dong12),0,IF(MID(OFFSET(TH!D$1,SMALL(Dong12,ROWS($1:2)),),4,1)="N",OFFSET(TH!I$1,SMALL(Dong12,ROWS($1:2)),),0))</f>
        <v>0</v>
      </c>
      <c r="H15" s="719">
        <f ca="1">IF(ROWS($1:2)&gt;COUNT(Dong12),0,IF(MID(OFFSET(TH!D$1,SMALL(Dong12,ROWS($1:2)),),4,1)="X",OFFSET(TH!I$1,SMALL(Dong12,ROWS($1:2)),),0))</f>
        <v>0</v>
      </c>
      <c r="I15" s="720">
        <f t="shared" ref="I15:I30" ca="1" si="1">IF(E15&lt;&gt;"",I14+G15-H15,0)</f>
        <v>0</v>
      </c>
      <c r="J15" s="721"/>
      <c r="K15" s="722"/>
    </row>
    <row r="16" spans="1:12" ht="16.5" customHeight="1">
      <c r="A16" s="723" t="str">
        <f t="shared" ref="A16:A30" ca="1" si="2">IF(B16&lt;&gt;"",A15+1,"")</f>
        <v/>
      </c>
      <c r="B16" s="717" t="str">
        <f ca="1">IF(ROWS($1:3)&gt;COUNT(Dong12),"",OFFSET(TH!E$1,SMALL(Dong12,ROWS($1:3)),))</f>
        <v/>
      </c>
      <c r="C16" s="931" t="str">
        <f ca="1">IF(ROWS($1:3)&gt;COUNT(Dong12),"",IF(MID(OFFSET(TH!D$1,SMALL(Dong12,ROWS($1:3)),),4,1)="N",OFFSET(TH!D$1,SMALL(Dong12,ROWS($1:3)),),""))</f>
        <v/>
      </c>
      <c r="D16" s="717" t="str">
        <f ca="1">IF(ROWS($1:3)&gt;COUNT(Dong12),"",IF(MID(OFFSET(TH!D$1,SMALL(Dong12,ROWS($1:3)),),4,1)="X",OFFSET(TH!D$1,SMALL(Dong12,ROWS($1:3)),),""))</f>
        <v/>
      </c>
      <c r="E16" s="718" t="str">
        <f ca="1">IF(ROWS($1:3)&gt;COUNT(Dong12),"",OFFSET(TH!F$1,SMALL(Dong12,ROWS($1:3)),)&amp;" - "&amp;OFFSET(TH!H$1,SMALL(Dong12,ROWS($1:3)),))</f>
        <v/>
      </c>
      <c r="F16" s="717" t="str">
        <f t="shared" ca="1" si="0"/>
        <v/>
      </c>
      <c r="G16" s="719">
        <f ca="1">IF(ROWS($1:3)&gt;COUNT(Dong12),0,IF(MID(OFFSET(TH!D$1,SMALL(Dong12,ROWS($1:3)),),4,1)="N",OFFSET(TH!I$1,SMALL(Dong12,ROWS($1:3)),),0))</f>
        <v>0</v>
      </c>
      <c r="H16" s="719">
        <f ca="1">IF(ROWS($1:3)&gt;COUNT(Dong12),0,IF(MID(OFFSET(TH!D$1,SMALL(Dong12,ROWS($1:3)),),4,1)="X",OFFSET(TH!I$1,SMALL(Dong12,ROWS($1:3)),),0))</f>
        <v>0</v>
      </c>
      <c r="I16" s="720">
        <f t="shared" ca="1" si="1"/>
        <v>0</v>
      </c>
      <c r="J16" s="721"/>
      <c r="K16" s="722"/>
    </row>
    <row r="17" spans="1:11" ht="16.5" customHeight="1">
      <c r="A17" s="723" t="str">
        <f t="shared" ca="1" si="2"/>
        <v/>
      </c>
      <c r="B17" s="717" t="str">
        <f ca="1">IF(ROWS($1:4)&gt;COUNT(Dong12),"",OFFSET(TH!E$1,SMALL(Dong12,ROWS($1:4)),))</f>
        <v/>
      </c>
      <c r="C17" s="931" t="str">
        <f ca="1">IF(ROWS($1:4)&gt;COUNT(Dong12),"",IF(MID(OFFSET(TH!D$1,SMALL(Dong12,ROWS($1:4)),),4,1)="N",OFFSET(TH!D$1,SMALL(Dong12,ROWS($1:4)),),""))</f>
        <v/>
      </c>
      <c r="D17" s="717" t="str">
        <f ca="1">IF(ROWS($1:4)&gt;COUNT(Dong12),"",IF(MID(OFFSET(TH!D$1,SMALL(Dong12,ROWS($1:4)),),4,1)="X",OFFSET(TH!D$1,SMALL(Dong12,ROWS($1:4)),),""))</f>
        <v/>
      </c>
      <c r="E17" s="718" t="str">
        <f ca="1">IF(ROWS($1:4)&gt;COUNT(Dong12),"",OFFSET(TH!F$1,SMALL(Dong12,ROWS($1:4)),)&amp;" - "&amp;OFFSET(TH!H$1,SMALL(Dong12,ROWS($1:4)),))</f>
        <v/>
      </c>
      <c r="F17" s="717" t="str">
        <f t="shared" ca="1" si="0"/>
        <v/>
      </c>
      <c r="G17" s="719">
        <f ca="1">IF(ROWS($1:4)&gt;COUNT(Dong12),0,IF(MID(OFFSET(TH!D$1,SMALL(Dong12,ROWS($1:4)),),4,1)="N",OFFSET(TH!I$1,SMALL(Dong12,ROWS($1:4)),),0))</f>
        <v>0</v>
      </c>
      <c r="H17" s="719">
        <f ca="1">IF(ROWS($1:4)&gt;COUNT(Dong12),0,IF(MID(OFFSET(TH!D$1,SMALL(Dong12,ROWS($1:4)),),4,1)="X",OFFSET(TH!I$1,SMALL(Dong12,ROWS($1:4)),),0))</f>
        <v>0</v>
      </c>
      <c r="I17" s="720">
        <f t="shared" ca="1" si="1"/>
        <v>0</v>
      </c>
      <c r="J17" s="721"/>
      <c r="K17" s="722"/>
    </row>
    <row r="18" spans="1:11" ht="16.5" customHeight="1">
      <c r="A18" s="723" t="str">
        <f t="shared" ca="1" si="2"/>
        <v/>
      </c>
      <c r="B18" s="717" t="str">
        <f ca="1">IF(ROWS($1:5)&gt;COUNT(Dong12),"",OFFSET(TH!E$1,SMALL(Dong12,ROWS($1:5)),))</f>
        <v/>
      </c>
      <c r="C18" s="931" t="str">
        <f ca="1">IF(ROWS($1:5)&gt;COUNT(Dong12),"",IF(MID(OFFSET(TH!D$1,SMALL(Dong12,ROWS($1:5)),),4,1)="N",OFFSET(TH!D$1,SMALL(Dong12,ROWS($1:5)),),""))</f>
        <v/>
      </c>
      <c r="D18" s="717" t="str">
        <f ca="1">IF(ROWS($1:5)&gt;COUNT(Dong12),"",IF(MID(OFFSET(TH!D$1,SMALL(Dong12,ROWS($1:5)),),4,1)="X",OFFSET(TH!D$1,SMALL(Dong12,ROWS($1:5)),),""))</f>
        <v/>
      </c>
      <c r="E18" s="718" t="str">
        <f ca="1">IF(ROWS($1:5)&gt;COUNT(Dong12),"",OFFSET(TH!F$1,SMALL(Dong12,ROWS($1:5)),)&amp;" - "&amp;OFFSET(TH!H$1,SMALL(Dong12,ROWS($1:5)),))</f>
        <v/>
      </c>
      <c r="F18" s="717" t="str">
        <f t="shared" ca="1" si="0"/>
        <v/>
      </c>
      <c r="G18" s="719">
        <f ca="1">IF(ROWS($1:5)&gt;COUNT(Dong12),0,IF(MID(OFFSET(TH!D$1,SMALL(Dong12,ROWS($1:5)),),4,1)="N",OFFSET(TH!I$1,SMALL(Dong12,ROWS($1:5)),),0))</f>
        <v>0</v>
      </c>
      <c r="H18" s="719">
        <f ca="1">IF(ROWS($1:5)&gt;COUNT(Dong12),0,IF(MID(OFFSET(TH!D$1,SMALL(Dong12,ROWS($1:5)),),4,1)="X",OFFSET(TH!I$1,SMALL(Dong12,ROWS($1:5)),),0))</f>
        <v>0</v>
      </c>
      <c r="I18" s="720">
        <f t="shared" ca="1" si="1"/>
        <v>0</v>
      </c>
      <c r="J18" s="721"/>
      <c r="K18" s="722"/>
    </row>
    <row r="19" spans="1:11" ht="16.5" customHeight="1">
      <c r="A19" s="723" t="str">
        <f t="shared" ca="1" si="2"/>
        <v/>
      </c>
      <c r="B19" s="717" t="str">
        <f ca="1">IF(ROWS($1:6)&gt;COUNT(Dong12),"",OFFSET(TH!E$1,SMALL(Dong12,ROWS($1:6)),))</f>
        <v/>
      </c>
      <c r="C19" s="931" t="str">
        <f ca="1">IF(ROWS($1:6)&gt;COUNT(Dong12),"",IF(MID(OFFSET(TH!D$1,SMALL(Dong12,ROWS($1:6)),),4,1)="N",OFFSET(TH!D$1,SMALL(Dong12,ROWS($1:6)),),""))</f>
        <v/>
      </c>
      <c r="D19" s="717" t="str">
        <f ca="1">IF(ROWS($1:6)&gt;COUNT(Dong12),"",IF(MID(OFFSET(TH!D$1,SMALL(Dong12,ROWS($1:6)),),4,1)="X",OFFSET(TH!D$1,SMALL(Dong12,ROWS($1:6)),),""))</f>
        <v/>
      </c>
      <c r="E19" s="718" t="str">
        <f ca="1">IF(ROWS($1:6)&gt;COUNT(Dong12),"",OFFSET(TH!F$1,SMALL(Dong12,ROWS($1:6)),)&amp;" - "&amp;OFFSET(TH!H$1,SMALL(Dong12,ROWS($1:6)),))</f>
        <v/>
      </c>
      <c r="F19" s="717" t="str">
        <f t="shared" ca="1" si="0"/>
        <v/>
      </c>
      <c r="G19" s="719">
        <f ca="1">IF(ROWS($1:6)&gt;COUNT(Dong12),0,IF(MID(OFFSET(TH!D$1,SMALL(Dong12,ROWS($1:6)),),4,1)="N",OFFSET(TH!I$1,SMALL(Dong12,ROWS($1:6)),),0))</f>
        <v>0</v>
      </c>
      <c r="H19" s="719">
        <f ca="1">IF(ROWS($1:6)&gt;COUNT(Dong12),0,IF(MID(OFFSET(TH!D$1,SMALL(Dong12,ROWS($1:6)),),4,1)="X",OFFSET(TH!I$1,SMALL(Dong12,ROWS($1:6)),),0))</f>
        <v>0</v>
      </c>
      <c r="I19" s="720">
        <f t="shared" ca="1" si="1"/>
        <v>0</v>
      </c>
      <c r="J19" s="721"/>
      <c r="K19" s="722"/>
    </row>
    <row r="20" spans="1:11" ht="16.5" customHeight="1">
      <c r="A20" s="723" t="str">
        <f t="shared" ca="1" si="2"/>
        <v/>
      </c>
      <c r="B20" s="717" t="str">
        <f ca="1">IF(ROWS($1:7)&gt;COUNT(Dong12),"",OFFSET(TH!E$1,SMALL(Dong12,ROWS($1:7)),))</f>
        <v/>
      </c>
      <c r="C20" s="931" t="str">
        <f ca="1">IF(ROWS($1:7)&gt;COUNT(Dong12),"",IF(MID(OFFSET(TH!D$1,SMALL(Dong12,ROWS($1:7)),),4,1)="N",OFFSET(TH!D$1,SMALL(Dong12,ROWS($1:7)),),""))</f>
        <v/>
      </c>
      <c r="D20" s="717" t="str">
        <f ca="1">IF(ROWS($1:7)&gt;COUNT(Dong12),"",IF(MID(OFFSET(TH!D$1,SMALL(Dong12,ROWS($1:7)),),4,1)="X",OFFSET(TH!D$1,SMALL(Dong12,ROWS($1:7)),),""))</f>
        <v/>
      </c>
      <c r="E20" s="718" t="str">
        <f ca="1">IF(ROWS($1:7)&gt;COUNT(Dong12),"",OFFSET(TH!F$1,SMALL(Dong12,ROWS($1:7)),)&amp;" - "&amp;OFFSET(TH!H$1,SMALL(Dong12,ROWS($1:7)),))</f>
        <v/>
      </c>
      <c r="F20" s="717" t="str">
        <f t="shared" ca="1" si="0"/>
        <v/>
      </c>
      <c r="G20" s="719">
        <f ca="1">IF(ROWS($1:7)&gt;COUNT(Dong12),0,IF(MID(OFFSET(TH!D$1,SMALL(Dong12,ROWS($1:7)),),4,1)="N",OFFSET(TH!I$1,SMALL(Dong12,ROWS($1:7)),),0))</f>
        <v>0</v>
      </c>
      <c r="H20" s="719">
        <f ca="1">IF(ROWS($1:7)&gt;COUNT(Dong12),0,IF(MID(OFFSET(TH!D$1,SMALL(Dong12,ROWS($1:7)),),4,1)="X",OFFSET(TH!I$1,SMALL(Dong12,ROWS($1:7)),),0))</f>
        <v>0</v>
      </c>
      <c r="I20" s="720">
        <f t="shared" ca="1" si="1"/>
        <v>0</v>
      </c>
      <c r="J20" s="721"/>
      <c r="K20" s="722"/>
    </row>
    <row r="21" spans="1:11" ht="16.5" customHeight="1">
      <c r="A21" s="723" t="str">
        <f t="shared" ca="1" si="2"/>
        <v/>
      </c>
      <c r="B21" s="717" t="str">
        <f ca="1">IF(ROWS($1:8)&gt;COUNT(Dong12),"",OFFSET(TH!E$1,SMALL(Dong12,ROWS($1:8)),))</f>
        <v/>
      </c>
      <c r="C21" s="931" t="str">
        <f ca="1">IF(ROWS($1:8)&gt;COUNT(Dong12),"",IF(MID(OFFSET(TH!D$1,SMALL(Dong12,ROWS($1:8)),),4,1)="N",OFFSET(TH!D$1,SMALL(Dong12,ROWS($1:8)),),""))</f>
        <v/>
      </c>
      <c r="D21" s="717" t="str">
        <f ca="1">IF(ROWS($1:8)&gt;COUNT(Dong12),"",IF(MID(OFFSET(TH!D$1,SMALL(Dong12,ROWS($1:8)),),4,1)="X",OFFSET(TH!D$1,SMALL(Dong12,ROWS($1:8)),),""))</f>
        <v/>
      </c>
      <c r="E21" s="718" t="str">
        <f ca="1">IF(ROWS($1:8)&gt;COUNT(Dong12),"",OFFSET(TH!F$1,SMALL(Dong12,ROWS($1:8)),)&amp;" - "&amp;OFFSET(TH!H$1,SMALL(Dong12,ROWS($1:8)),))</f>
        <v/>
      </c>
      <c r="F21" s="717" t="str">
        <f t="shared" ca="1" si="0"/>
        <v/>
      </c>
      <c r="G21" s="719">
        <f ca="1">IF(ROWS($1:8)&gt;COUNT(Dong12),0,IF(MID(OFFSET(TH!D$1,SMALL(Dong12,ROWS($1:8)),),4,1)="N",OFFSET(TH!I$1,SMALL(Dong12,ROWS($1:8)),),0))</f>
        <v>0</v>
      </c>
      <c r="H21" s="719">
        <f ca="1">IF(ROWS($1:8)&gt;COUNT(Dong12),0,IF(MID(OFFSET(TH!D$1,SMALL(Dong12,ROWS($1:8)),),4,1)="X",OFFSET(TH!I$1,SMALL(Dong12,ROWS($1:8)),),0))</f>
        <v>0</v>
      </c>
      <c r="I21" s="720">
        <f t="shared" ca="1" si="1"/>
        <v>0</v>
      </c>
      <c r="J21" s="721"/>
      <c r="K21" s="722"/>
    </row>
    <row r="22" spans="1:11" ht="16.5" customHeight="1">
      <c r="A22" s="723" t="str">
        <f t="shared" ca="1" si="2"/>
        <v/>
      </c>
      <c r="B22" s="717" t="str">
        <f ca="1">IF(ROWS($1:9)&gt;COUNT(Dong12),"",OFFSET(TH!E$1,SMALL(Dong12,ROWS($1:9)),))</f>
        <v/>
      </c>
      <c r="C22" s="931" t="str">
        <f ca="1">IF(ROWS($1:9)&gt;COUNT(Dong12),"",IF(MID(OFFSET(TH!D$1,SMALL(Dong12,ROWS($1:9)),),4,1)="N",OFFSET(TH!D$1,SMALL(Dong12,ROWS($1:9)),),""))</f>
        <v/>
      </c>
      <c r="D22" s="717" t="str">
        <f ca="1">IF(ROWS($1:9)&gt;COUNT(Dong12),"",IF(MID(OFFSET(TH!D$1,SMALL(Dong12,ROWS($1:9)),),4,1)="X",OFFSET(TH!D$1,SMALL(Dong12,ROWS($1:9)),),""))</f>
        <v/>
      </c>
      <c r="E22" s="718" t="str">
        <f ca="1">IF(ROWS($1:9)&gt;COUNT(Dong12),"",OFFSET(TH!F$1,SMALL(Dong12,ROWS($1:9)),)&amp;" - "&amp;OFFSET(TH!H$1,SMALL(Dong12,ROWS($1:9)),))</f>
        <v/>
      </c>
      <c r="F22" s="717" t="str">
        <f t="shared" ca="1" si="0"/>
        <v/>
      </c>
      <c r="G22" s="719">
        <f ca="1">IF(ROWS($1:9)&gt;COUNT(Dong12),0,IF(MID(OFFSET(TH!D$1,SMALL(Dong12,ROWS($1:9)),),4,1)="N",OFFSET(TH!I$1,SMALL(Dong12,ROWS($1:9)),),0))</f>
        <v>0</v>
      </c>
      <c r="H22" s="719">
        <f ca="1">IF(ROWS($1:9)&gt;COUNT(Dong12),0,IF(MID(OFFSET(TH!D$1,SMALL(Dong12,ROWS($1:9)),),4,1)="X",OFFSET(TH!I$1,SMALL(Dong12,ROWS($1:9)),),0))</f>
        <v>0</v>
      </c>
      <c r="I22" s="720">
        <f t="shared" ca="1" si="1"/>
        <v>0</v>
      </c>
      <c r="J22" s="721"/>
      <c r="K22" s="722"/>
    </row>
    <row r="23" spans="1:11" ht="16.5" customHeight="1">
      <c r="A23" s="723" t="str">
        <f t="shared" ca="1" si="2"/>
        <v/>
      </c>
      <c r="B23" s="717" t="str">
        <f ca="1">IF(ROWS($1:10)&gt;COUNT(Dong12),"",OFFSET(TH!E$1,SMALL(Dong12,ROWS($1:10)),))</f>
        <v/>
      </c>
      <c r="C23" s="931" t="str">
        <f ca="1">IF(ROWS($1:10)&gt;COUNT(Dong12),"",IF(MID(OFFSET(TH!D$1,SMALL(Dong12,ROWS($1:10)),),4,1)="N",OFFSET(TH!D$1,SMALL(Dong12,ROWS($1:10)),),""))</f>
        <v/>
      </c>
      <c r="D23" s="717" t="str">
        <f ca="1">IF(ROWS($1:10)&gt;COUNT(Dong12),"",IF(MID(OFFSET(TH!D$1,SMALL(Dong12,ROWS($1:10)),),4,1)="X",OFFSET(TH!D$1,SMALL(Dong12,ROWS($1:10)),),""))</f>
        <v/>
      </c>
      <c r="E23" s="718" t="str">
        <f ca="1">IF(ROWS($1:10)&gt;COUNT(Dong12),"",OFFSET(TH!F$1,SMALL(Dong12,ROWS($1:10)),)&amp;" - "&amp;OFFSET(TH!H$1,SMALL(Dong12,ROWS($1:10)),))</f>
        <v/>
      </c>
      <c r="F23" s="717" t="str">
        <f t="shared" ca="1" si="0"/>
        <v/>
      </c>
      <c r="G23" s="719">
        <f ca="1">IF(ROWS($1:10)&gt;COUNT(Dong12),0,IF(MID(OFFSET(TH!D$1,SMALL(Dong12,ROWS($1:10)),),4,1)="N",OFFSET(TH!I$1,SMALL(Dong12,ROWS($1:10)),),0))</f>
        <v>0</v>
      </c>
      <c r="H23" s="719">
        <f ca="1">IF(ROWS($1:10)&gt;COUNT(Dong12),0,IF(MID(OFFSET(TH!D$1,SMALL(Dong12,ROWS($1:10)),),4,1)="X",OFFSET(TH!I$1,SMALL(Dong12,ROWS($1:10)),),0))</f>
        <v>0</v>
      </c>
      <c r="I23" s="720">
        <f t="shared" ca="1" si="1"/>
        <v>0</v>
      </c>
      <c r="J23" s="721"/>
      <c r="K23" s="722"/>
    </row>
    <row r="24" spans="1:11" ht="16.5" customHeight="1">
      <c r="A24" s="723" t="str">
        <f t="shared" ca="1" si="2"/>
        <v/>
      </c>
      <c r="B24" s="717" t="str">
        <f ca="1">IF(ROWS($1:11)&gt;COUNT(Dong12),"",OFFSET(TH!E$1,SMALL(Dong12,ROWS($1:11)),))</f>
        <v/>
      </c>
      <c r="C24" s="931" t="str">
        <f ca="1">IF(ROWS($1:11)&gt;COUNT(Dong12),"",IF(MID(OFFSET(TH!D$1,SMALL(Dong12,ROWS($1:11)),),4,1)="N",OFFSET(TH!D$1,SMALL(Dong12,ROWS($1:11)),),""))</f>
        <v/>
      </c>
      <c r="D24" s="717" t="str">
        <f ca="1">IF(ROWS($1:11)&gt;COUNT(Dong12),"",IF(MID(OFFSET(TH!D$1,SMALL(Dong12,ROWS($1:11)),),4,1)="X",OFFSET(TH!D$1,SMALL(Dong12,ROWS($1:11)),),""))</f>
        <v/>
      </c>
      <c r="E24" s="718" t="str">
        <f ca="1">IF(ROWS($1:11)&gt;COUNT(Dong12),"",OFFSET(TH!F$1,SMALL(Dong12,ROWS($1:11)),)&amp;" - "&amp;OFFSET(TH!H$1,SMALL(Dong12,ROWS($1:11)),))</f>
        <v/>
      </c>
      <c r="F24" s="717" t="str">
        <f t="shared" ca="1" si="0"/>
        <v/>
      </c>
      <c r="G24" s="719">
        <f ca="1">IF(ROWS($1:11)&gt;COUNT(Dong12),0,IF(MID(OFFSET(TH!D$1,SMALL(Dong12,ROWS($1:11)),),4,1)="N",OFFSET(TH!I$1,SMALL(Dong12,ROWS($1:11)),),0))</f>
        <v>0</v>
      </c>
      <c r="H24" s="719">
        <f ca="1">IF(ROWS($1:11)&gt;COUNT(Dong12),0,IF(MID(OFFSET(TH!D$1,SMALL(Dong12,ROWS($1:11)),),4,1)="X",OFFSET(TH!I$1,SMALL(Dong12,ROWS($1:11)),),0))</f>
        <v>0</v>
      </c>
      <c r="I24" s="720">
        <f t="shared" ca="1" si="1"/>
        <v>0</v>
      </c>
      <c r="J24" s="721"/>
      <c r="K24" s="722"/>
    </row>
    <row r="25" spans="1:11" ht="16.5" customHeight="1">
      <c r="A25" s="723" t="str">
        <f t="shared" ca="1" si="2"/>
        <v/>
      </c>
      <c r="B25" s="717" t="str">
        <f ca="1">IF(ROWS($1:12)&gt;COUNT(Dong12),"",OFFSET(TH!E$1,SMALL(Dong12,ROWS($1:12)),))</f>
        <v/>
      </c>
      <c r="C25" s="931" t="str">
        <f ca="1">IF(ROWS($1:12)&gt;COUNT(Dong12),"",IF(MID(OFFSET(TH!D$1,SMALL(Dong12,ROWS($1:12)),),4,1)="N",OFFSET(TH!D$1,SMALL(Dong12,ROWS($1:12)),),""))</f>
        <v/>
      </c>
      <c r="D25" s="717" t="str">
        <f ca="1">IF(ROWS($1:12)&gt;COUNT(Dong12),"",IF(MID(OFFSET(TH!D$1,SMALL(Dong12,ROWS($1:12)),),4,1)="X",OFFSET(TH!D$1,SMALL(Dong12,ROWS($1:12)),),""))</f>
        <v/>
      </c>
      <c r="E25" s="718" t="str">
        <f ca="1">IF(ROWS($1:12)&gt;COUNT(Dong12),"",OFFSET(TH!F$1,SMALL(Dong12,ROWS($1:12)),)&amp;" - "&amp;OFFSET(TH!H$1,SMALL(Dong12,ROWS($1:12)),))</f>
        <v/>
      </c>
      <c r="F25" s="717" t="str">
        <f t="shared" ca="1" si="0"/>
        <v/>
      </c>
      <c r="G25" s="719">
        <f ca="1">IF(ROWS($1:12)&gt;COUNT(Dong12),0,IF(MID(OFFSET(TH!D$1,SMALL(Dong12,ROWS($1:12)),),4,1)="N",OFFSET(TH!I$1,SMALL(Dong12,ROWS($1:12)),),0))</f>
        <v>0</v>
      </c>
      <c r="H25" s="719">
        <f ca="1">IF(ROWS($1:12)&gt;COUNT(Dong12),0,IF(MID(OFFSET(TH!D$1,SMALL(Dong12,ROWS($1:12)),),4,1)="X",OFFSET(TH!I$1,SMALL(Dong12,ROWS($1:12)),),0))</f>
        <v>0</v>
      </c>
      <c r="I25" s="720">
        <f t="shared" ca="1" si="1"/>
        <v>0</v>
      </c>
      <c r="J25" s="721"/>
      <c r="K25" s="722"/>
    </row>
    <row r="26" spans="1:11" ht="16.5" customHeight="1">
      <c r="A26" s="723" t="str">
        <f t="shared" ca="1" si="2"/>
        <v/>
      </c>
      <c r="B26" s="717" t="str">
        <f ca="1">IF(ROWS($1:13)&gt;COUNT(Dong12),"",OFFSET(TH!E$1,SMALL(Dong12,ROWS($1:13)),))</f>
        <v/>
      </c>
      <c r="C26" s="931" t="str">
        <f ca="1">IF(ROWS($1:13)&gt;COUNT(Dong12),"",IF(MID(OFFSET(TH!D$1,SMALL(Dong12,ROWS($1:13)),),4,1)="N",OFFSET(TH!D$1,SMALL(Dong12,ROWS($1:13)),),""))</f>
        <v/>
      </c>
      <c r="D26" s="717" t="str">
        <f ca="1">IF(ROWS($1:13)&gt;COUNT(Dong12),"",IF(MID(OFFSET(TH!D$1,SMALL(Dong12,ROWS($1:13)),),4,1)="X",OFFSET(TH!D$1,SMALL(Dong12,ROWS($1:13)),),""))</f>
        <v/>
      </c>
      <c r="E26" s="718" t="str">
        <f ca="1">IF(ROWS($1:13)&gt;COUNT(Dong12),"",OFFSET(TH!F$1,SMALL(Dong12,ROWS($1:13)),)&amp;" - "&amp;OFFSET(TH!H$1,SMALL(Dong12,ROWS($1:13)),))</f>
        <v/>
      </c>
      <c r="F26" s="717" t="str">
        <f t="shared" ca="1" si="0"/>
        <v/>
      </c>
      <c r="G26" s="719">
        <f ca="1">IF(ROWS($1:13)&gt;COUNT(Dong12),0,IF(MID(OFFSET(TH!D$1,SMALL(Dong12,ROWS($1:13)),),4,1)="N",OFFSET(TH!I$1,SMALL(Dong12,ROWS($1:13)),),0))</f>
        <v>0</v>
      </c>
      <c r="H26" s="719">
        <f ca="1">IF(ROWS($1:13)&gt;COUNT(Dong12),0,IF(MID(OFFSET(TH!D$1,SMALL(Dong12,ROWS($1:13)),),4,1)="X",OFFSET(TH!I$1,SMALL(Dong12,ROWS($1:13)),),0))</f>
        <v>0</v>
      </c>
      <c r="I26" s="720">
        <f t="shared" ca="1" si="1"/>
        <v>0</v>
      </c>
      <c r="J26" s="721"/>
      <c r="K26" s="722"/>
    </row>
    <row r="27" spans="1:11" ht="16.5" customHeight="1">
      <c r="A27" s="723" t="str">
        <f t="shared" ca="1" si="2"/>
        <v/>
      </c>
      <c r="B27" s="717" t="str">
        <f ca="1">IF(ROWS($1:14)&gt;COUNT(Dong12),"",OFFSET(TH!E$1,SMALL(Dong12,ROWS($1:14)),))</f>
        <v/>
      </c>
      <c r="C27" s="931" t="str">
        <f ca="1">IF(ROWS($1:14)&gt;COUNT(Dong12),"",IF(MID(OFFSET(TH!D$1,SMALL(Dong12,ROWS($1:14)),),4,1)="N",OFFSET(TH!D$1,SMALL(Dong12,ROWS($1:14)),),""))</f>
        <v/>
      </c>
      <c r="D27" s="717" t="str">
        <f ca="1">IF(ROWS($1:14)&gt;COUNT(Dong12),"",IF(MID(OFFSET(TH!D$1,SMALL(Dong12,ROWS($1:14)),),4,1)="X",OFFSET(TH!D$1,SMALL(Dong12,ROWS($1:14)),),""))</f>
        <v/>
      </c>
      <c r="E27" s="718" t="str">
        <f ca="1">IF(ROWS($1:14)&gt;COUNT(Dong12),"",OFFSET(TH!F$1,SMALL(Dong12,ROWS($1:14)),)&amp;" - "&amp;OFFSET(TH!H$1,SMALL(Dong12,ROWS($1:14)),))</f>
        <v/>
      </c>
      <c r="F27" s="717" t="str">
        <f t="shared" ca="1" si="0"/>
        <v/>
      </c>
      <c r="G27" s="719">
        <f ca="1">IF(ROWS($1:14)&gt;COUNT(Dong12),0,IF(MID(OFFSET(TH!D$1,SMALL(Dong12,ROWS($1:14)),),4,1)="N",OFFSET(TH!I$1,SMALL(Dong12,ROWS($1:14)),),0))</f>
        <v>0</v>
      </c>
      <c r="H27" s="719">
        <f ca="1">IF(ROWS($1:14)&gt;COUNT(Dong12),0,IF(MID(OFFSET(TH!D$1,SMALL(Dong12,ROWS($1:14)),),4,1)="X",OFFSET(TH!I$1,SMALL(Dong12,ROWS($1:14)),),0))</f>
        <v>0</v>
      </c>
      <c r="I27" s="720">
        <f t="shared" ca="1" si="1"/>
        <v>0</v>
      </c>
      <c r="J27" s="721"/>
      <c r="K27" s="722"/>
    </row>
    <row r="28" spans="1:11" ht="16.5" customHeight="1">
      <c r="A28" s="723" t="str">
        <f t="shared" ca="1" si="2"/>
        <v/>
      </c>
      <c r="B28" s="717" t="str">
        <f ca="1">IF(ROWS($1:15)&gt;COUNT(Dong12),"",OFFSET(TH!E$1,SMALL(Dong12,ROWS($1:15)),))</f>
        <v/>
      </c>
      <c r="C28" s="931" t="str">
        <f ca="1">IF(ROWS($1:15)&gt;COUNT(Dong12),"",IF(MID(OFFSET(TH!D$1,SMALL(Dong12,ROWS($1:15)),),4,1)="N",OFFSET(TH!D$1,SMALL(Dong12,ROWS($1:15)),),""))</f>
        <v/>
      </c>
      <c r="D28" s="717" t="str">
        <f ca="1">IF(ROWS($1:15)&gt;COUNT(Dong12),"",IF(MID(OFFSET(TH!D$1,SMALL(Dong12,ROWS($1:15)),),4,1)="X",OFFSET(TH!D$1,SMALL(Dong12,ROWS($1:15)),),""))</f>
        <v/>
      </c>
      <c r="E28" s="718" t="str">
        <f ca="1">IF(ROWS($1:15)&gt;COUNT(Dong12),"",OFFSET(TH!F$1,SMALL(Dong12,ROWS($1:15)),)&amp;" - "&amp;OFFSET(TH!H$1,SMALL(Dong12,ROWS($1:15)),))</f>
        <v/>
      </c>
      <c r="F28" s="717" t="str">
        <f t="shared" ca="1" si="0"/>
        <v/>
      </c>
      <c r="G28" s="719">
        <f ca="1">IF(ROWS($1:15)&gt;COUNT(Dong12),0,IF(MID(OFFSET(TH!D$1,SMALL(Dong12,ROWS($1:15)),),4,1)="N",OFFSET(TH!I$1,SMALL(Dong12,ROWS($1:15)),),0))</f>
        <v>0</v>
      </c>
      <c r="H28" s="719">
        <f ca="1">IF(ROWS($1:15)&gt;COUNT(Dong12),0,IF(MID(OFFSET(TH!D$1,SMALL(Dong12,ROWS($1:15)),),4,1)="X",OFFSET(TH!I$1,SMALL(Dong12,ROWS($1:15)),),0))</f>
        <v>0</v>
      </c>
      <c r="I28" s="720">
        <f t="shared" ca="1" si="1"/>
        <v>0</v>
      </c>
      <c r="J28" s="721"/>
      <c r="K28" s="722"/>
    </row>
    <row r="29" spans="1:11" ht="16.5" customHeight="1">
      <c r="A29" s="723" t="str">
        <f t="shared" ca="1" si="2"/>
        <v/>
      </c>
      <c r="B29" s="717" t="str">
        <f ca="1">IF(ROWS($1:16)&gt;COUNT(Dong12),"",OFFSET(TH!E$1,SMALL(Dong12,ROWS($1:16)),))</f>
        <v/>
      </c>
      <c r="C29" s="931" t="str">
        <f ca="1">IF(ROWS($1:16)&gt;COUNT(Dong12),"",IF(MID(OFFSET(TH!D$1,SMALL(Dong12,ROWS($1:16)),),4,1)="N",OFFSET(TH!D$1,SMALL(Dong12,ROWS($1:16)),),""))</f>
        <v/>
      </c>
      <c r="D29" s="717" t="str">
        <f ca="1">IF(ROWS($1:16)&gt;COUNT(Dong12),"",IF(MID(OFFSET(TH!D$1,SMALL(Dong12,ROWS($1:16)),),4,1)="X",OFFSET(TH!D$1,SMALL(Dong12,ROWS($1:16)),),""))</f>
        <v/>
      </c>
      <c r="E29" s="718" t="str">
        <f ca="1">IF(ROWS($1:16)&gt;COUNT(Dong12),"",OFFSET(TH!F$1,SMALL(Dong12,ROWS($1:16)),)&amp;" - "&amp;OFFSET(TH!H$1,SMALL(Dong12,ROWS($1:16)),))</f>
        <v/>
      </c>
      <c r="F29" s="717" t="str">
        <f t="shared" ca="1" si="0"/>
        <v/>
      </c>
      <c r="G29" s="719">
        <f ca="1">IF(ROWS($1:16)&gt;COUNT(Dong12),0,IF(MID(OFFSET(TH!D$1,SMALL(Dong12,ROWS($1:16)),),4,1)="N",OFFSET(TH!I$1,SMALL(Dong12,ROWS($1:16)),),0))</f>
        <v>0</v>
      </c>
      <c r="H29" s="719">
        <f ca="1">IF(ROWS($1:16)&gt;COUNT(Dong12),0,IF(MID(OFFSET(TH!D$1,SMALL(Dong12,ROWS($1:16)),),4,1)="X",OFFSET(TH!I$1,SMALL(Dong12,ROWS($1:16)),),0))</f>
        <v>0</v>
      </c>
      <c r="I29" s="720">
        <f t="shared" ca="1" si="1"/>
        <v>0</v>
      </c>
      <c r="J29" s="721"/>
      <c r="K29" s="722"/>
    </row>
    <row r="30" spans="1:11" ht="16.5" customHeight="1">
      <c r="A30" s="723" t="str">
        <f t="shared" ca="1" si="2"/>
        <v/>
      </c>
      <c r="B30" s="717" t="str">
        <f ca="1">IF(ROWS($1:17)&gt;COUNT(Dong12),"",OFFSET(TH!E$1,SMALL(Dong12,ROWS($1:17)),))</f>
        <v/>
      </c>
      <c r="C30" s="931" t="str">
        <f ca="1">IF(ROWS($1:17)&gt;COUNT(Dong12),"",IF(MID(OFFSET(TH!D$1,SMALL(Dong12,ROWS($1:17)),),4,1)="N",OFFSET(TH!D$1,SMALL(Dong12,ROWS($1:17)),),""))</f>
        <v/>
      </c>
      <c r="D30" s="717" t="str">
        <f ca="1">IF(ROWS($1:17)&gt;COUNT(Dong12),"",IF(MID(OFFSET(TH!D$1,SMALL(Dong12,ROWS($1:17)),),4,1)="X",OFFSET(TH!D$1,SMALL(Dong12,ROWS($1:17)),),""))</f>
        <v/>
      </c>
      <c r="E30" s="718" t="str">
        <f ca="1">IF(ROWS($1:17)&gt;COUNT(Dong12),"",OFFSET(TH!F$1,SMALL(Dong12,ROWS($1:17)),)&amp;" - "&amp;OFFSET(TH!H$1,SMALL(Dong12,ROWS($1:17)),))</f>
        <v/>
      </c>
      <c r="F30" s="717" t="str">
        <f t="shared" ca="1" si="0"/>
        <v/>
      </c>
      <c r="G30" s="719">
        <f ca="1">IF(ROWS($1:17)&gt;COUNT(Dong12),0,IF(MID(OFFSET(TH!D$1,SMALL(Dong12,ROWS($1:17)),),4,1)="N",OFFSET(TH!I$1,SMALL(Dong12,ROWS($1:17)),),0))</f>
        <v>0</v>
      </c>
      <c r="H30" s="719">
        <f ca="1">IF(ROWS($1:17)&gt;COUNT(Dong12),0,IF(MID(OFFSET(TH!D$1,SMALL(Dong12,ROWS($1:17)),),4,1)="X",OFFSET(TH!I$1,SMALL(Dong12,ROWS($1:17)),),0))</f>
        <v>0</v>
      </c>
      <c r="I30" s="720">
        <f t="shared" ca="1" si="1"/>
        <v>0</v>
      </c>
      <c r="J30" s="721"/>
      <c r="K30" s="722"/>
    </row>
    <row r="31" spans="1:11" ht="16.5" customHeight="1">
      <c r="A31" s="724" t="str">
        <f>IF(D31&lt;&gt;"",A21+1,"")</f>
        <v/>
      </c>
      <c r="B31" s="725"/>
      <c r="C31" s="726"/>
      <c r="D31" s="726"/>
      <c r="E31" s="727"/>
      <c r="F31" s="725"/>
      <c r="G31" s="728"/>
      <c r="H31" s="728"/>
      <c r="I31" s="728"/>
      <c r="J31" s="729"/>
      <c r="K31" s="722"/>
    </row>
    <row r="32" spans="1:11" ht="16.5" customHeight="1">
      <c r="A32" s="711"/>
      <c r="B32" s="730"/>
      <c r="C32" s="711"/>
      <c r="D32" s="711"/>
      <c r="E32" s="712" t="s">
        <v>668</v>
      </c>
      <c r="F32" s="731" t="s">
        <v>26</v>
      </c>
      <c r="G32" s="732">
        <f ca="1">SUM(G14:G31)</f>
        <v>500</v>
      </c>
      <c r="H32" s="732">
        <f ca="1">SUM(H14:H31)</f>
        <v>0</v>
      </c>
      <c r="I32" s="732">
        <f ca="1">I13+G32-H32</f>
        <v>500</v>
      </c>
      <c r="J32" s="711" t="s">
        <v>26</v>
      </c>
      <c r="K32" s="733"/>
    </row>
    <row r="33" spans="1:11" ht="12.75" customHeight="1">
      <c r="A33" s="734"/>
      <c r="B33" s="688"/>
      <c r="C33" s="734"/>
      <c r="D33" s="734"/>
      <c r="E33" s="696"/>
      <c r="F33" s="688"/>
      <c r="G33" s="697"/>
      <c r="H33" s="697"/>
      <c r="I33" s="697"/>
      <c r="J33" s="683"/>
      <c r="K33" s="683"/>
    </row>
    <row r="34" spans="1:11" ht="15">
      <c r="A34" s="735" t="s">
        <v>669</v>
      </c>
      <c r="B34" s="735"/>
      <c r="C34" s="736"/>
      <c r="D34" s="736"/>
      <c r="E34" s="696"/>
      <c r="F34" s="688"/>
      <c r="G34" s="697"/>
      <c r="H34" s="697"/>
      <c r="I34" s="697"/>
      <c r="J34" s="683"/>
      <c r="K34" s="683"/>
    </row>
    <row r="35" spans="1:11" ht="15">
      <c r="A35" s="1349" t="str">
        <f ca="1">IF(ISERROR(" - Ngày mở sổ: ngày "&amp;DAY(B14)&amp;" tháng "&amp;MONTH(B14)&amp;" năm "&amp;YEAR(B14))," - Ngày mở sổ: ngày 01 tháng  01 năm 2016 "," - Ngày mở sổ: ngày "&amp;DAY(B14)&amp;" tháng "&amp;MONTH(B14)&amp;" năm "&amp;YEAR(B14))</f>
        <v xml:space="preserve"> - Ngày mở sổ: ngày 12 tháng 3 năm 2016</v>
      </c>
      <c r="B35" s="1350"/>
      <c r="C35" s="1350"/>
      <c r="D35" s="1350"/>
      <c r="E35" s="1350"/>
      <c r="F35" s="688"/>
      <c r="G35" s="697"/>
      <c r="H35" s="697"/>
      <c r="I35" s="697"/>
      <c r="J35" s="683"/>
      <c r="K35" s="683"/>
    </row>
    <row r="36" spans="1:11" ht="15">
      <c r="A36" s="737"/>
      <c r="B36" s="738"/>
      <c r="C36" s="739"/>
      <c r="D36" s="734"/>
      <c r="E36" s="696"/>
      <c r="F36" s="688"/>
      <c r="G36" s="1320" t="s">
        <v>622</v>
      </c>
      <c r="H36" s="1320"/>
      <c r="I36" s="1320"/>
      <c r="J36" s="1320"/>
      <c r="K36" s="589"/>
    </row>
    <row r="37" spans="1:11" ht="15">
      <c r="A37" s="737"/>
      <c r="B37" s="740" t="s">
        <v>670</v>
      </c>
      <c r="C37" s="737"/>
      <c r="D37" s="734"/>
      <c r="E37" s="1351" t="s">
        <v>15</v>
      </c>
      <c r="F37" s="1351"/>
      <c r="G37" s="697"/>
      <c r="H37" s="1352" t="s">
        <v>205</v>
      </c>
      <c r="I37" s="1352"/>
      <c r="J37" s="1352"/>
      <c r="K37" s="737"/>
    </row>
    <row r="38" spans="1:11" ht="15">
      <c r="A38" s="741"/>
      <c r="B38" s="742" t="s">
        <v>16</v>
      </c>
      <c r="C38" s="741"/>
      <c r="D38" s="743"/>
      <c r="E38" s="1344" t="s">
        <v>16</v>
      </c>
      <c r="F38" s="1344"/>
      <c r="G38" s="697"/>
      <c r="H38" s="1345" t="s">
        <v>240</v>
      </c>
      <c r="I38" s="1345"/>
      <c r="J38" s="1345"/>
      <c r="K38" s="741"/>
    </row>
    <row r="39" spans="1:11" ht="15">
      <c r="A39" s="741"/>
      <c r="B39" s="742"/>
      <c r="C39" s="741"/>
      <c r="D39" s="734"/>
      <c r="E39" s="744"/>
      <c r="F39" s="745"/>
      <c r="G39" s="697"/>
      <c r="H39" s="741"/>
      <c r="I39" s="741"/>
      <c r="J39" s="741"/>
      <c r="K39" s="741"/>
    </row>
    <row r="40" spans="1:11" ht="15">
      <c r="A40" s="741"/>
      <c r="B40" s="742"/>
      <c r="C40" s="741"/>
      <c r="D40" s="734"/>
      <c r="E40" s="744"/>
      <c r="F40" s="745"/>
      <c r="G40" s="697"/>
      <c r="H40" s="741"/>
      <c r="I40" s="741"/>
      <c r="J40" s="741"/>
      <c r="K40" s="741"/>
    </row>
    <row r="41" spans="1:11" ht="15">
      <c r="A41" s="741"/>
      <c r="B41" s="742"/>
      <c r="C41" s="741"/>
      <c r="D41" s="734"/>
      <c r="E41" s="744"/>
      <c r="F41" s="745"/>
      <c r="G41" s="697"/>
      <c r="H41" s="741"/>
      <c r="I41" s="741"/>
      <c r="J41" s="741"/>
      <c r="K41" s="741"/>
    </row>
  </sheetData>
  <mergeCells count="14">
    <mergeCell ref="E38:F38"/>
    <mergeCell ref="H38:J38"/>
    <mergeCell ref="G10:I10"/>
    <mergeCell ref="J10:J11"/>
    <mergeCell ref="A35:E35"/>
    <mergeCell ref="G36:J36"/>
    <mergeCell ref="E37:F37"/>
    <mergeCell ref="H37:J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5.xml><?xml version="1.0" encoding="utf-8"?>
<worksheet xmlns="http://schemas.openxmlformats.org/spreadsheetml/2006/main" xmlns:r="http://schemas.openxmlformats.org/officeDocument/2006/relationships">
  <sheetPr>
    <tabColor indexed="56"/>
  </sheetPr>
  <dimension ref="A1:CH52"/>
  <sheetViews>
    <sheetView zoomScale="90" zoomScaleSheetLayoutView="100" workbookViewId="0">
      <pane ySplit="13" topLeftCell="A14" activePane="bottomLeft" state="frozen"/>
      <selection pane="bottomLeft" activeCell="A11" sqref="A11:A12"/>
    </sheetView>
  </sheetViews>
  <sheetFormatPr defaultColWidth="9.140625" defaultRowHeight="15.75"/>
  <cols>
    <col min="1" max="1" width="10.42578125" style="752" customWidth="1"/>
    <col min="2" max="2" width="26.85546875" style="750" customWidth="1"/>
    <col min="3" max="3" width="5.85546875" style="750" customWidth="1"/>
    <col min="4" max="4" width="8" style="750" customWidth="1"/>
    <col min="5" max="5" width="25.42578125" style="750" customWidth="1"/>
    <col min="6" max="6" width="10.7109375" style="750" bestFit="1" customWidth="1"/>
    <col min="7" max="7" width="16.42578125" style="750" customWidth="1"/>
    <col min="8" max="8" width="7.85546875" style="754" customWidth="1"/>
    <col min="9" max="9" width="9" style="754" customWidth="1"/>
    <col min="10" max="10" width="13.140625" style="750" customWidth="1"/>
    <col min="11" max="12" width="6.7109375" style="750" customWidth="1"/>
    <col min="13" max="13" width="7.140625" style="751" customWidth="1"/>
    <col min="14" max="14" width="18.7109375" style="751" customWidth="1"/>
    <col min="15" max="85" width="10.28515625" style="751" customWidth="1"/>
    <col min="86" max="16384" width="9.140625" style="750"/>
  </cols>
  <sheetData>
    <row r="1" spans="1:86" ht="15.95" customHeight="1">
      <c r="A1" s="1358" t="s">
        <v>671</v>
      </c>
      <c r="B1" s="1358"/>
      <c r="C1" s="1358"/>
      <c r="D1" s="1358"/>
      <c r="E1" s="1358"/>
      <c r="F1" s="1358"/>
      <c r="G1" s="1358"/>
      <c r="H1" s="1358"/>
      <c r="I1" s="1358"/>
      <c r="J1" s="1359" t="s">
        <v>672</v>
      </c>
      <c r="K1" s="1360"/>
      <c r="M1" s="750"/>
      <c r="CH1" s="751"/>
    </row>
    <row r="2" spans="1:86" ht="15.95" customHeight="1">
      <c r="A2" s="1358"/>
      <c r="B2" s="1358"/>
      <c r="C2" s="1358"/>
      <c r="D2" s="1358"/>
      <c r="E2" s="1358"/>
      <c r="F2" s="1358"/>
      <c r="G2" s="1358"/>
      <c r="H2" s="1358"/>
      <c r="I2" s="1358"/>
      <c r="J2" s="1361"/>
      <c r="K2" s="1362"/>
      <c r="M2" s="750"/>
      <c r="CH2" s="751"/>
    </row>
    <row r="3" spans="1:86" ht="12.75" customHeight="1">
      <c r="A3" s="1358"/>
      <c r="B3" s="1358"/>
      <c r="C3" s="1358"/>
      <c r="D3" s="1358"/>
      <c r="E3" s="1358"/>
      <c r="F3" s="1358"/>
      <c r="G3" s="1358"/>
      <c r="H3" s="1358"/>
      <c r="I3" s="1358"/>
      <c r="J3" s="1361"/>
      <c r="K3" s="1362"/>
      <c r="M3" s="750"/>
      <c r="CH3" s="751"/>
    </row>
    <row r="4" spans="1:86" ht="18" customHeight="1">
      <c r="A4" s="1365" t="str">
        <f>"( " &amp; IF(OR($M$11=1,$M$11=4,$M$11=6,$M$11=9,$M$11=11),"Ngày  30  tháng  "&amp;$M$11&amp;"  năm 2016",IF(OR($M$11=3,$M$11=5,$M$11=7,$M$11=8,$M$11=10,$M$11=12),"Ngày  31  tháng  "&amp;$M$11&amp;"  năm 2016","Ngày  29  tháng  "&amp;$M$11&amp;"  năm 2016")) &amp; " ) "</f>
        <v xml:space="preserve">( Ngày  30  tháng  1  năm 2016 ) </v>
      </c>
      <c r="B4" s="1365"/>
      <c r="C4" s="1365"/>
      <c r="D4" s="1365"/>
      <c r="E4" s="1365"/>
      <c r="F4" s="1365"/>
      <c r="G4" s="1365"/>
      <c r="H4" s="1365"/>
      <c r="I4" s="1365"/>
      <c r="J4" s="1363"/>
      <c r="K4" s="1364"/>
      <c r="M4" s="750"/>
      <c r="CH4" s="751"/>
    </row>
    <row r="5" spans="1:86" ht="15" hidden="1" customHeight="1">
      <c r="E5" s="753"/>
      <c r="F5" s="753"/>
    </row>
    <row r="6" spans="1:86" ht="18" customHeight="1">
      <c r="A6" s="752" t="s">
        <v>673</v>
      </c>
      <c r="G6" s="750" t="s">
        <v>674</v>
      </c>
    </row>
    <row r="7" spans="1:86" ht="18" customHeight="1">
      <c r="A7" s="752" t="s">
        <v>675</v>
      </c>
    </row>
    <row r="8" spans="1:86" ht="18" hidden="1" customHeight="1">
      <c r="A8" s="752" t="s">
        <v>676</v>
      </c>
    </row>
    <row r="9" spans="1:86" ht="18" hidden="1" customHeight="1">
      <c r="A9" s="752" t="s">
        <v>677</v>
      </c>
    </row>
    <row r="10" spans="1:86" ht="10.5" hidden="1" customHeight="1">
      <c r="M10" s="755"/>
    </row>
    <row r="11" spans="1:86" s="756" customFormat="1" ht="17.25" customHeight="1">
      <c r="A11" s="1366" t="s">
        <v>744</v>
      </c>
      <c r="B11" s="1368" t="s">
        <v>678</v>
      </c>
      <c r="C11" s="1369"/>
      <c r="D11" s="1369"/>
      <c r="E11" s="1369"/>
      <c r="F11" s="1370"/>
      <c r="G11" s="1371" t="s">
        <v>679</v>
      </c>
      <c r="H11" s="1371"/>
      <c r="I11" s="1371"/>
      <c r="J11" s="1371"/>
      <c r="K11" s="1372" t="s">
        <v>231</v>
      </c>
      <c r="M11" s="757">
        <v>1</v>
      </c>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c r="AN11" s="758"/>
      <c r="AO11" s="758"/>
      <c r="AP11" s="758"/>
      <c r="AQ11" s="758"/>
      <c r="AR11" s="758"/>
      <c r="AS11" s="758"/>
      <c r="AT11" s="758"/>
      <c r="AU11" s="758"/>
      <c r="AV11" s="758"/>
      <c r="AW11" s="758"/>
      <c r="AX11" s="758"/>
      <c r="AY11" s="758"/>
      <c r="AZ11" s="758"/>
      <c r="BA11" s="758"/>
      <c r="BB11" s="758"/>
      <c r="BC11" s="758"/>
      <c r="BD11" s="758"/>
      <c r="BE11" s="758"/>
      <c r="BF11" s="758"/>
      <c r="BG11" s="758"/>
      <c r="BH11" s="758"/>
      <c r="BI11" s="758"/>
      <c r="BJ11" s="758"/>
      <c r="BK11" s="758"/>
      <c r="BL11" s="758"/>
      <c r="BM11" s="758"/>
      <c r="BN11" s="758"/>
      <c r="BO11" s="758"/>
      <c r="BP11" s="758"/>
      <c r="BQ11" s="758"/>
      <c r="BR11" s="758"/>
      <c r="BS11" s="758"/>
      <c r="BT11" s="758"/>
      <c r="BU11" s="758"/>
      <c r="BV11" s="758"/>
      <c r="BW11" s="758"/>
      <c r="BX11" s="758"/>
      <c r="BY11" s="758"/>
      <c r="BZ11" s="758"/>
      <c r="CA11" s="758"/>
      <c r="CB11" s="758"/>
      <c r="CC11" s="758"/>
      <c r="CD11" s="758"/>
      <c r="CE11" s="758"/>
      <c r="CF11" s="758"/>
      <c r="CG11" s="758"/>
    </row>
    <row r="12" spans="1:86" s="761" customFormat="1" ht="36" customHeight="1">
      <c r="A12" s="1367"/>
      <c r="B12" s="759" t="s">
        <v>680</v>
      </c>
      <c r="C12" s="759"/>
      <c r="D12" s="759" t="s">
        <v>681</v>
      </c>
      <c r="E12" s="759" t="s">
        <v>682</v>
      </c>
      <c r="F12" s="759" t="s">
        <v>683</v>
      </c>
      <c r="G12" s="759" t="s">
        <v>684</v>
      </c>
      <c r="H12" s="760" t="s">
        <v>633</v>
      </c>
      <c r="I12" s="760" t="s">
        <v>634</v>
      </c>
      <c r="J12" s="759" t="s">
        <v>685</v>
      </c>
      <c r="K12" s="1373"/>
      <c r="M12" s="762"/>
      <c r="N12" s="762"/>
      <c r="O12" s="762"/>
      <c r="P12" s="762"/>
      <c r="Q12" s="762"/>
      <c r="R12" s="762"/>
      <c r="S12" s="762"/>
      <c r="T12" s="762"/>
      <c r="U12" s="762"/>
      <c r="V12" s="762"/>
      <c r="W12" s="762"/>
      <c r="X12" s="762"/>
      <c r="Y12" s="762"/>
      <c r="Z12" s="762"/>
      <c r="AA12" s="762"/>
      <c r="AB12" s="762"/>
      <c r="AC12" s="762"/>
      <c r="AD12" s="762"/>
      <c r="AE12" s="762"/>
      <c r="AF12" s="762"/>
      <c r="AG12" s="762"/>
      <c r="AH12" s="762"/>
      <c r="AI12" s="762"/>
      <c r="AJ12" s="762"/>
      <c r="AK12" s="762"/>
      <c r="AL12" s="762"/>
      <c r="AM12" s="762"/>
      <c r="AN12" s="762"/>
      <c r="AO12" s="762"/>
      <c r="AP12" s="762"/>
      <c r="AQ12" s="762"/>
      <c r="AR12" s="762"/>
      <c r="AS12" s="762"/>
      <c r="AT12" s="762"/>
      <c r="AU12" s="762"/>
      <c r="AV12" s="762"/>
      <c r="AW12" s="762"/>
      <c r="AX12" s="762"/>
      <c r="AY12" s="762"/>
      <c r="AZ12" s="762"/>
      <c r="BA12" s="762"/>
      <c r="BB12" s="762"/>
      <c r="BC12" s="762"/>
      <c r="BD12" s="762"/>
      <c r="BE12" s="762"/>
      <c r="BF12" s="762"/>
      <c r="BG12" s="762"/>
      <c r="BH12" s="762"/>
      <c r="BI12" s="762"/>
      <c r="BJ12" s="762"/>
      <c r="BK12" s="762"/>
      <c r="BL12" s="762"/>
      <c r="BM12" s="762"/>
      <c r="BN12" s="762"/>
      <c r="BO12" s="762"/>
      <c r="BP12" s="762"/>
      <c r="BQ12" s="762"/>
      <c r="BR12" s="762"/>
      <c r="BS12" s="762"/>
      <c r="BT12" s="762"/>
      <c r="BU12" s="762"/>
      <c r="BV12" s="762"/>
      <c r="BW12" s="762"/>
      <c r="BX12" s="762"/>
      <c r="BY12" s="762"/>
      <c r="BZ12" s="762"/>
      <c r="CA12" s="762"/>
      <c r="CB12" s="762"/>
      <c r="CC12" s="762"/>
      <c r="CD12" s="762"/>
      <c r="CE12" s="762"/>
      <c r="CF12" s="762"/>
      <c r="CG12" s="762"/>
    </row>
    <row r="13" spans="1:86" s="767" customFormat="1" ht="9.75" customHeight="1">
      <c r="A13" s="763" t="s">
        <v>256</v>
      </c>
      <c r="B13" s="764">
        <v>2</v>
      </c>
      <c r="C13" s="764"/>
      <c r="D13" s="764"/>
      <c r="E13" s="764">
        <v>3</v>
      </c>
      <c r="F13" s="764">
        <v>4</v>
      </c>
      <c r="G13" s="764">
        <v>5</v>
      </c>
      <c r="H13" s="765" t="s">
        <v>686</v>
      </c>
      <c r="I13" s="765" t="s">
        <v>687</v>
      </c>
      <c r="J13" s="764">
        <v>8</v>
      </c>
      <c r="K13" s="764">
        <v>9</v>
      </c>
      <c r="L13" s="766"/>
      <c r="M13" s="766"/>
      <c r="N13" s="766"/>
      <c r="O13" s="766"/>
      <c r="P13" s="766"/>
      <c r="Q13" s="766"/>
      <c r="R13" s="766"/>
      <c r="S13" s="766"/>
      <c r="T13" s="766"/>
      <c r="U13" s="766"/>
      <c r="V13" s="766"/>
      <c r="W13" s="766"/>
      <c r="X13" s="766"/>
      <c r="Y13" s="766"/>
      <c r="Z13" s="766"/>
      <c r="AA13" s="766"/>
      <c r="AB13" s="766"/>
      <c r="AC13" s="766"/>
      <c r="AD13" s="766"/>
      <c r="AE13" s="766"/>
      <c r="AF13" s="766"/>
      <c r="AG13" s="766"/>
      <c r="AH13" s="766"/>
      <c r="AI13" s="766"/>
      <c r="AJ13" s="766"/>
      <c r="AK13" s="766"/>
      <c r="AL13" s="766"/>
      <c r="AM13" s="766"/>
      <c r="AN13" s="766"/>
      <c r="AO13" s="766"/>
      <c r="AP13" s="766"/>
      <c r="AQ13" s="766"/>
      <c r="AR13" s="766"/>
      <c r="AS13" s="766"/>
      <c r="AT13" s="766"/>
      <c r="AU13" s="766"/>
      <c r="AV13" s="766"/>
      <c r="AW13" s="766"/>
      <c r="AX13" s="766"/>
      <c r="AY13" s="766"/>
      <c r="AZ13" s="766"/>
      <c r="BA13" s="766"/>
      <c r="BB13" s="766"/>
      <c r="BC13" s="766"/>
      <c r="BD13" s="766"/>
      <c r="BE13" s="766"/>
      <c r="BF13" s="766"/>
      <c r="BG13" s="766"/>
      <c r="BH13" s="766"/>
      <c r="BI13" s="766"/>
      <c r="BJ13" s="766"/>
      <c r="BK13" s="766"/>
      <c r="BL13" s="766"/>
      <c r="BM13" s="766"/>
      <c r="BN13" s="766"/>
      <c r="BO13" s="766"/>
      <c r="BP13" s="766"/>
      <c r="BQ13" s="766"/>
      <c r="BR13" s="766"/>
      <c r="BS13" s="766"/>
      <c r="BT13" s="766"/>
      <c r="BU13" s="766"/>
      <c r="BV13" s="766"/>
      <c r="BW13" s="766"/>
      <c r="BX13" s="766"/>
      <c r="BY13" s="766"/>
      <c r="BZ13" s="766"/>
      <c r="CA13" s="766"/>
      <c r="CB13" s="766"/>
      <c r="CC13" s="766"/>
      <c r="CD13" s="766"/>
      <c r="CE13" s="766"/>
      <c r="CF13" s="766"/>
      <c r="CG13" s="766"/>
    </row>
    <row r="14" spans="1:86" s="774" customFormat="1" ht="21.75" customHeight="1">
      <c r="A14" s="229" t="str">
        <f ca="1">IF(ROWS($1:1)&gt;COUNT(Dong13),"",OFFSET(TH!E$1,SMALL(Dong13,ROWS($1:1)),))</f>
        <v/>
      </c>
      <c r="B14" s="239" t="str">
        <f ca="1">IF(ROWS($1:1)&gt;COUNT(Dong13),"",OFFSET(TH!H$1,SMALL(Dong13,ROWS($1:1)),))</f>
        <v/>
      </c>
      <c r="C14" s="768" t="str">
        <f t="shared" ref="C14:C40" ca="1" si="0">IF(ISNA(VLOOKUP($B14,DSNL,6,0)),"",VLOOKUP($B14,DSNL,6,0))</f>
        <v/>
      </c>
      <c r="D14" s="768" t="str">
        <f ca="1">IF(ROWS($1:1)&gt;COUNT(Dong13),"",OFFSET(TH!D$1,SMALL(Dong13,ROWS($1:1)),))</f>
        <v/>
      </c>
      <c r="E14" s="769" t="str">
        <f t="shared" ref="E14:E40" ca="1" si="1">IF(ISNA(VLOOKUP($B14,DSNL,4,0)),"",VLOOKUP($B14,DSNL,4,0))</f>
        <v/>
      </c>
      <c r="F14" s="769" t="str">
        <f t="shared" ref="F14:F40" ca="1" si="2">IF(ISNA(VLOOKUP($B14,DSNL,3,0)),"",VLOOKUP($B14,DSNL,3,0))</f>
        <v/>
      </c>
      <c r="G14" s="770" t="str">
        <f ca="1">IF(ROWS($1:1)&gt;COUNT(Dong13),"",OFFSET(TH!F$1,SMALL(Dong13,ROWS($1:1)),))</f>
        <v/>
      </c>
      <c r="H14" s="771" t="str">
        <f ca="1">IF(ROWS($1:1)&gt;COUNT(Dong13),"",OFFSET(TH!I$1,SMALL(Dong13,ROWS($1:1)),))</f>
        <v/>
      </c>
      <c r="I14" s="771" t="str">
        <f ca="1">IF(ROWS($1:1)&gt;COUNT(Dong13),"",OFFSET(TH!J$1,SMALL(Dong13,ROWS($1:1)),))</f>
        <v/>
      </c>
      <c r="J14" s="772">
        <f ca="1">IF(B14&lt;&gt;"",H14*I14,0)</f>
        <v>0</v>
      </c>
      <c r="K14" s="772"/>
      <c r="L14" s="773"/>
      <c r="M14" s="751"/>
      <c r="N14" s="751"/>
      <c r="O14" s="751"/>
      <c r="P14" s="751"/>
      <c r="Q14" s="751"/>
      <c r="R14" s="751"/>
      <c r="S14" s="751"/>
      <c r="T14" s="751"/>
      <c r="U14" s="751"/>
      <c r="V14" s="751"/>
      <c r="W14" s="751"/>
      <c r="X14" s="751"/>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51"/>
      <c r="AY14" s="751"/>
      <c r="AZ14" s="751"/>
      <c r="BA14" s="751"/>
      <c r="BB14" s="751"/>
      <c r="BC14" s="751"/>
      <c r="BD14" s="751"/>
      <c r="BE14" s="751"/>
      <c r="BF14" s="751"/>
      <c r="BG14" s="751"/>
      <c r="BH14" s="751"/>
      <c r="BI14" s="751"/>
      <c r="BJ14" s="751"/>
      <c r="BK14" s="751"/>
      <c r="BL14" s="751"/>
      <c r="BM14" s="751"/>
      <c r="BN14" s="751"/>
      <c r="BO14" s="751"/>
      <c r="BP14" s="751"/>
      <c r="BQ14" s="751"/>
      <c r="BR14" s="751"/>
      <c r="BS14" s="751"/>
      <c r="BT14" s="751"/>
      <c r="BU14" s="751"/>
      <c r="BV14" s="751"/>
      <c r="BW14" s="751"/>
      <c r="BX14" s="751"/>
      <c r="BY14" s="751"/>
      <c r="BZ14" s="751"/>
      <c r="CA14" s="751"/>
      <c r="CB14" s="751"/>
      <c r="CC14" s="751"/>
      <c r="CD14" s="751"/>
      <c r="CE14" s="751"/>
      <c r="CF14" s="751"/>
      <c r="CG14" s="751"/>
    </row>
    <row r="15" spans="1:86" s="774" customFormat="1" ht="21.75" customHeight="1">
      <c r="A15" s="229" t="str">
        <f ca="1">IF(ROWS($1:2)&gt;COUNT(Dong13),"",OFFSET(TH!E$1,SMALL(Dong13,ROWS($1:2)),))</f>
        <v/>
      </c>
      <c r="B15" s="239" t="str">
        <f ca="1">IF(ROWS($1:2)&gt;COUNT(Dong13),"",OFFSET(TH!H$1,SMALL(Dong13,ROWS($1:2)),))</f>
        <v/>
      </c>
      <c r="C15" s="768" t="str">
        <f t="shared" ca="1" si="0"/>
        <v/>
      </c>
      <c r="D15" s="768" t="str">
        <f ca="1">IF(ROWS($1:2)&gt;COUNT(Dong13),"",OFFSET(TH!D$1,SMALL(Dong13,ROWS($1:2)),))</f>
        <v/>
      </c>
      <c r="E15" s="769" t="str">
        <f t="shared" ca="1" si="1"/>
        <v/>
      </c>
      <c r="F15" s="769" t="str">
        <f t="shared" ca="1" si="2"/>
        <v/>
      </c>
      <c r="G15" s="770" t="str">
        <f ca="1">IF(ROWS($1:2)&gt;COUNT(Dong13),"",OFFSET(TH!F$1,SMALL(Dong13,ROWS($1:2)),))</f>
        <v/>
      </c>
      <c r="H15" s="771" t="str">
        <f ca="1">IF(ROWS($1:2)&gt;COUNT(Dong13),"",OFFSET(TH!I$1,SMALL(Dong13,ROWS($1:2)),))</f>
        <v/>
      </c>
      <c r="I15" s="771" t="str">
        <f ca="1">IF(ROWS($1:2)&gt;COUNT(Dong13),"",OFFSET(TH!J$1,SMALL(Dong13,ROWS($1:2)),))</f>
        <v/>
      </c>
      <c r="J15" s="772">
        <f t="shared" ref="J15:J40" ca="1" si="3">IF(B15&lt;&gt;"",H15*I15,0)</f>
        <v>0</v>
      </c>
      <c r="K15" s="775"/>
      <c r="L15" s="773"/>
      <c r="M15" s="751"/>
      <c r="N15" s="751"/>
      <c r="O15" s="751"/>
      <c r="P15" s="751"/>
      <c r="Q15" s="751"/>
      <c r="R15" s="751"/>
      <c r="S15" s="751"/>
      <c r="T15" s="751"/>
      <c r="U15" s="751"/>
      <c r="V15" s="751"/>
      <c r="W15" s="751"/>
      <c r="X15" s="751"/>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c r="BQ15" s="751"/>
      <c r="BR15" s="751"/>
      <c r="BS15" s="751"/>
      <c r="BT15" s="751"/>
      <c r="BU15" s="751"/>
      <c r="BV15" s="751"/>
      <c r="BW15" s="751"/>
      <c r="BX15" s="751"/>
      <c r="BY15" s="751"/>
      <c r="BZ15" s="751"/>
      <c r="CA15" s="751"/>
      <c r="CB15" s="751"/>
      <c r="CC15" s="751"/>
      <c r="CD15" s="751"/>
      <c r="CE15" s="751"/>
      <c r="CF15" s="751"/>
      <c r="CG15" s="751"/>
    </row>
    <row r="16" spans="1:86" s="774" customFormat="1" ht="21.75" customHeight="1">
      <c r="A16" s="229" t="str">
        <f ca="1">IF(ROWS($1:3)&gt;COUNT(Dong13),"",OFFSET(TH!E$1,SMALL(Dong13,ROWS($1:3)),))</f>
        <v/>
      </c>
      <c r="B16" s="239" t="str">
        <f ca="1">IF(ROWS($1:3)&gt;COUNT(Dong13),"",OFFSET(TH!H$1,SMALL(Dong13,ROWS($1:3)),))</f>
        <v/>
      </c>
      <c r="C16" s="768" t="str">
        <f t="shared" ca="1" si="0"/>
        <v/>
      </c>
      <c r="D16" s="768" t="str">
        <f ca="1">IF(ROWS($1:3)&gt;COUNT(Dong13),"",OFFSET(TH!D$1,SMALL(Dong13,ROWS($1:3)),))</f>
        <v/>
      </c>
      <c r="E16" s="769" t="str">
        <f t="shared" ca="1" si="1"/>
        <v/>
      </c>
      <c r="F16" s="769" t="str">
        <f t="shared" ca="1" si="2"/>
        <v/>
      </c>
      <c r="G16" s="770" t="str">
        <f ca="1">IF(ROWS($1:3)&gt;COUNT(Dong13),"",OFFSET(TH!F$1,SMALL(Dong13,ROWS($1:3)),))</f>
        <v/>
      </c>
      <c r="H16" s="771" t="str">
        <f ca="1">IF(ROWS($1:3)&gt;COUNT(Dong13),"",OFFSET(TH!I$1,SMALL(Dong13,ROWS($1:3)),))</f>
        <v/>
      </c>
      <c r="I16" s="771" t="str">
        <f ca="1">IF(ROWS($1:3)&gt;COUNT(Dong13),"",OFFSET(TH!J$1,SMALL(Dong13,ROWS($1:3)),))</f>
        <v/>
      </c>
      <c r="J16" s="772">
        <f t="shared" ca="1" si="3"/>
        <v>0</v>
      </c>
      <c r="K16" s="775"/>
      <c r="L16" s="773"/>
      <c r="M16" s="751"/>
      <c r="N16" s="751"/>
      <c r="O16" s="751"/>
      <c r="P16" s="751"/>
      <c r="Q16" s="751"/>
      <c r="R16" s="751"/>
      <c r="S16" s="751"/>
      <c r="T16" s="751"/>
      <c r="U16" s="751"/>
      <c r="V16" s="751"/>
      <c r="W16" s="751"/>
      <c r="X16" s="751"/>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51"/>
      <c r="AY16" s="751"/>
      <c r="AZ16" s="751"/>
      <c r="BA16" s="751"/>
      <c r="BB16" s="751"/>
      <c r="BC16" s="751"/>
      <c r="BD16" s="751"/>
      <c r="BE16" s="751"/>
      <c r="BF16" s="751"/>
      <c r="BG16" s="751"/>
      <c r="BH16" s="751"/>
      <c r="BI16" s="751"/>
      <c r="BJ16" s="751"/>
      <c r="BK16" s="751"/>
      <c r="BL16" s="751"/>
      <c r="BM16" s="751"/>
      <c r="BN16" s="751"/>
      <c r="BO16" s="751"/>
      <c r="BP16" s="751"/>
      <c r="BQ16" s="751"/>
      <c r="BR16" s="751"/>
      <c r="BS16" s="751"/>
      <c r="BT16" s="751"/>
      <c r="BU16" s="751"/>
      <c r="BV16" s="751"/>
      <c r="BW16" s="751"/>
      <c r="BX16" s="751"/>
      <c r="BY16" s="751"/>
      <c r="BZ16" s="751"/>
      <c r="CA16" s="751"/>
      <c r="CB16" s="751"/>
      <c r="CC16" s="751"/>
      <c r="CD16" s="751"/>
      <c r="CE16" s="751"/>
      <c r="CF16" s="751"/>
      <c r="CG16" s="751"/>
    </row>
    <row r="17" spans="1:85" s="774" customFormat="1" ht="21.75" customHeight="1">
      <c r="A17" s="229" t="str">
        <f ca="1">IF(ROWS($1:4)&gt;COUNT(Dong13),"",OFFSET(TH!E$1,SMALL(Dong13,ROWS($1:4)),))</f>
        <v/>
      </c>
      <c r="B17" s="239" t="str">
        <f ca="1">IF(ROWS($1:4)&gt;COUNT(Dong13),"",OFFSET(TH!H$1,SMALL(Dong13,ROWS($1:4)),))</f>
        <v/>
      </c>
      <c r="C17" s="768" t="str">
        <f t="shared" ca="1" si="0"/>
        <v/>
      </c>
      <c r="D17" s="768" t="str">
        <f ca="1">IF(ROWS($1:4)&gt;COUNT(Dong13),"",OFFSET(TH!D$1,SMALL(Dong13,ROWS($1:4)),))</f>
        <v/>
      </c>
      <c r="E17" s="769" t="str">
        <f t="shared" ca="1" si="1"/>
        <v/>
      </c>
      <c r="F17" s="769" t="str">
        <f t="shared" ca="1" si="2"/>
        <v/>
      </c>
      <c r="G17" s="770" t="str">
        <f ca="1">IF(ROWS($1:4)&gt;COUNT(Dong13),"",OFFSET(TH!F$1,SMALL(Dong13,ROWS($1:4)),))</f>
        <v/>
      </c>
      <c r="H17" s="771" t="str">
        <f ca="1">IF(ROWS($1:4)&gt;COUNT(Dong13),"",OFFSET(TH!I$1,SMALL(Dong13,ROWS($1:4)),))</f>
        <v/>
      </c>
      <c r="I17" s="771" t="str">
        <f ca="1">IF(ROWS($1:4)&gt;COUNT(Dong13),"",OFFSET(TH!J$1,SMALL(Dong13,ROWS($1:4)),))</f>
        <v/>
      </c>
      <c r="J17" s="772">
        <f t="shared" ca="1" si="3"/>
        <v>0</v>
      </c>
      <c r="K17" s="775"/>
      <c r="L17" s="773"/>
      <c r="M17" s="751"/>
      <c r="N17" s="751"/>
      <c r="O17" s="751"/>
      <c r="P17" s="751"/>
      <c r="Q17" s="751"/>
      <c r="R17" s="751"/>
      <c r="S17" s="751"/>
      <c r="T17" s="751"/>
      <c r="U17" s="751"/>
      <c r="V17" s="751"/>
      <c r="W17" s="751"/>
      <c r="X17" s="751"/>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51"/>
      <c r="AY17" s="751"/>
      <c r="AZ17" s="751"/>
      <c r="BA17" s="751"/>
      <c r="BB17" s="751"/>
      <c r="BC17" s="751"/>
      <c r="BD17" s="751"/>
      <c r="BE17" s="751"/>
      <c r="BF17" s="751"/>
      <c r="BG17" s="751"/>
      <c r="BH17" s="751"/>
      <c r="BI17" s="751"/>
      <c r="BJ17" s="751"/>
      <c r="BK17" s="751"/>
      <c r="BL17" s="751"/>
      <c r="BM17" s="751"/>
      <c r="BN17" s="751"/>
      <c r="BO17" s="751"/>
      <c r="BP17" s="751"/>
      <c r="BQ17" s="751"/>
      <c r="BR17" s="751"/>
      <c r="BS17" s="751"/>
      <c r="BT17" s="751"/>
      <c r="BU17" s="751"/>
      <c r="BV17" s="751"/>
      <c r="BW17" s="751"/>
      <c r="BX17" s="751"/>
      <c r="BY17" s="751"/>
      <c r="BZ17" s="751"/>
      <c r="CA17" s="751"/>
      <c r="CB17" s="751"/>
      <c r="CC17" s="751"/>
      <c r="CD17" s="751"/>
      <c r="CE17" s="751"/>
      <c r="CF17" s="751"/>
      <c r="CG17" s="751"/>
    </row>
    <row r="18" spans="1:85" s="774" customFormat="1" ht="21.75" customHeight="1">
      <c r="A18" s="229" t="str">
        <f ca="1">IF(ROWS($1:5)&gt;COUNT(Dong13),"",OFFSET(TH!E$1,SMALL(Dong13,ROWS($1:5)),))</f>
        <v/>
      </c>
      <c r="B18" s="239" t="str">
        <f ca="1">IF(ROWS($1:5)&gt;COUNT(Dong13),"",OFFSET(TH!H$1,SMALL(Dong13,ROWS($1:5)),))</f>
        <v/>
      </c>
      <c r="C18" s="768" t="str">
        <f t="shared" ca="1" si="0"/>
        <v/>
      </c>
      <c r="D18" s="768" t="str">
        <f ca="1">IF(ROWS($1:5)&gt;COUNT(Dong13),"",OFFSET(TH!D$1,SMALL(Dong13,ROWS($1:5)),))</f>
        <v/>
      </c>
      <c r="E18" s="769" t="str">
        <f t="shared" ca="1" si="1"/>
        <v/>
      </c>
      <c r="F18" s="769" t="str">
        <f t="shared" ca="1" si="2"/>
        <v/>
      </c>
      <c r="G18" s="770" t="str">
        <f ca="1">IF(ROWS($1:5)&gt;COUNT(Dong13),"",OFFSET(TH!F$1,SMALL(Dong13,ROWS($1:5)),))</f>
        <v/>
      </c>
      <c r="H18" s="771" t="str">
        <f ca="1">IF(ROWS($1:5)&gt;COUNT(Dong13),"",OFFSET(TH!I$1,SMALL(Dong13,ROWS($1:5)),))</f>
        <v/>
      </c>
      <c r="I18" s="771" t="str">
        <f ca="1">IF(ROWS($1:5)&gt;COUNT(Dong13),"",OFFSET(TH!J$1,SMALL(Dong13,ROWS($1:5)),))</f>
        <v/>
      </c>
      <c r="J18" s="772">
        <f t="shared" ca="1" si="3"/>
        <v>0</v>
      </c>
      <c r="K18" s="775"/>
      <c r="L18" s="773"/>
      <c r="M18" s="751"/>
      <c r="N18" s="751"/>
      <c r="O18" s="751"/>
      <c r="P18" s="751"/>
      <c r="Q18" s="751"/>
      <c r="R18" s="751"/>
      <c r="S18" s="751"/>
      <c r="T18" s="751"/>
      <c r="U18" s="751"/>
      <c r="V18" s="751"/>
      <c r="W18" s="751"/>
      <c r="X18" s="751"/>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51"/>
      <c r="AY18" s="751"/>
      <c r="AZ18" s="751"/>
      <c r="BA18" s="751"/>
      <c r="BB18" s="751"/>
      <c r="BC18" s="751"/>
      <c r="BD18" s="751"/>
      <c r="BE18" s="751"/>
      <c r="BF18" s="751"/>
      <c r="BG18" s="751"/>
      <c r="BH18" s="751"/>
      <c r="BI18" s="751"/>
      <c r="BJ18" s="751"/>
      <c r="BK18" s="751"/>
      <c r="BL18" s="751"/>
      <c r="BM18" s="751"/>
      <c r="BN18" s="751"/>
      <c r="BO18" s="751"/>
      <c r="BP18" s="751"/>
      <c r="BQ18" s="751"/>
      <c r="BR18" s="751"/>
      <c r="BS18" s="751"/>
      <c r="BT18" s="751"/>
      <c r="BU18" s="751"/>
      <c r="BV18" s="751"/>
      <c r="BW18" s="751"/>
      <c r="BX18" s="751"/>
      <c r="BY18" s="751"/>
      <c r="BZ18" s="751"/>
      <c r="CA18" s="751"/>
      <c r="CB18" s="751"/>
      <c r="CC18" s="751"/>
      <c r="CD18" s="751"/>
      <c r="CE18" s="751"/>
      <c r="CF18" s="751"/>
      <c r="CG18" s="751"/>
    </row>
    <row r="19" spans="1:85" s="774" customFormat="1" ht="21.75" customHeight="1">
      <c r="A19" s="229" t="str">
        <f ca="1">IF(ROWS($1:6)&gt;COUNT(Dong13),"",OFFSET(TH!E$1,SMALL(Dong13,ROWS($1:6)),))</f>
        <v/>
      </c>
      <c r="B19" s="239" t="str">
        <f ca="1">IF(ROWS($1:6)&gt;COUNT(Dong13),"",OFFSET(TH!H$1,SMALL(Dong13,ROWS($1:6)),))</f>
        <v/>
      </c>
      <c r="C19" s="768" t="str">
        <f t="shared" ca="1" si="0"/>
        <v/>
      </c>
      <c r="D19" s="768" t="str">
        <f ca="1">IF(ROWS($1:6)&gt;COUNT(Dong13),"",OFFSET(TH!D$1,SMALL(Dong13,ROWS($1:6)),))</f>
        <v/>
      </c>
      <c r="E19" s="769" t="str">
        <f t="shared" ca="1" si="1"/>
        <v/>
      </c>
      <c r="F19" s="769" t="str">
        <f t="shared" ca="1" si="2"/>
        <v/>
      </c>
      <c r="G19" s="770" t="str">
        <f ca="1">IF(ROWS($1:6)&gt;COUNT(Dong13),"",OFFSET(TH!F$1,SMALL(Dong13,ROWS($1:6)),))</f>
        <v/>
      </c>
      <c r="H19" s="771" t="str">
        <f ca="1">IF(ROWS($1:6)&gt;COUNT(Dong13),"",OFFSET(TH!I$1,SMALL(Dong13,ROWS($1:6)),))</f>
        <v/>
      </c>
      <c r="I19" s="771" t="str">
        <f ca="1">IF(ROWS($1:6)&gt;COUNT(Dong13),"",OFFSET(TH!J$1,SMALL(Dong13,ROWS($1:6)),))</f>
        <v/>
      </c>
      <c r="J19" s="772">
        <f t="shared" ca="1" si="3"/>
        <v>0</v>
      </c>
      <c r="K19" s="775"/>
      <c r="L19" s="773"/>
      <c r="M19" s="751"/>
      <c r="N19" s="751"/>
      <c r="O19" s="751"/>
      <c r="P19" s="751"/>
      <c r="Q19" s="751"/>
      <c r="R19" s="751"/>
      <c r="S19" s="751"/>
      <c r="T19" s="751"/>
      <c r="U19" s="751"/>
      <c r="V19" s="751"/>
      <c r="W19" s="751"/>
      <c r="X19" s="751"/>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51"/>
      <c r="AY19" s="751"/>
      <c r="AZ19" s="751"/>
      <c r="BA19" s="751"/>
      <c r="BB19" s="751"/>
      <c r="BC19" s="751"/>
      <c r="BD19" s="751"/>
      <c r="BE19" s="751"/>
      <c r="BF19" s="751"/>
      <c r="BG19" s="751"/>
      <c r="BH19" s="751"/>
      <c r="BI19" s="751"/>
      <c r="BJ19" s="751"/>
      <c r="BK19" s="751"/>
      <c r="BL19" s="751"/>
      <c r="BM19" s="751"/>
      <c r="BN19" s="751"/>
      <c r="BO19" s="751"/>
      <c r="BP19" s="751"/>
      <c r="BQ19" s="751"/>
      <c r="BR19" s="751"/>
      <c r="BS19" s="751"/>
      <c r="BT19" s="751"/>
      <c r="BU19" s="751"/>
      <c r="BV19" s="751"/>
      <c r="BW19" s="751"/>
      <c r="BX19" s="751"/>
      <c r="BY19" s="751"/>
      <c r="BZ19" s="751"/>
      <c r="CA19" s="751"/>
      <c r="CB19" s="751"/>
      <c r="CC19" s="751"/>
      <c r="CD19" s="751"/>
      <c r="CE19" s="751"/>
      <c r="CF19" s="751"/>
      <c r="CG19" s="751"/>
    </row>
    <row r="20" spans="1:85" s="774" customFormat="1" ht="21.75" customHeight="1">
      <c r="A20" s="229" t="str">
        <f ca="1">IF(ROWS($1:7)&gt;COUNT(Dong13),"",OFFSET(TH!E$1,SMALL(Dong13,ROWS($1:7)),))</f>
        <v/>
      </c>
      <c r="B20" s="239" t="str">
        <f ca="1">IF(ROWS($1:7)&gt;COUNT(Dong13),"",OFFSET(TH!H$1,SMALL(Dong13,ROWS($1:7)),))</f>
        <v/>
      </c>
      <c r="C20" s="768" t="str">
        <f t="shared" ca="1" si="0"/>
        <v/>
      </c>
      <c r="D20" s="768" t="str">
        <f ca="1">IF(ROWS($1:7)&gt;COUNT(Dong13),"",OFFSET(TH!D$1,SMALL(Dong13,ROWS($1:7)),))</f>
        <v/>
      </c>
      <c r="E20" s="769" t="str">
        <f t="shared" ca="1" si="1"/>
        <v/>
      </c>
      <c r="F20" s="769" t="str">
        <f t="shared" ca="1" si="2"/>
        <v/>
      </c>
      <c r="G20" s="770" t="str">
        <f ca="1">IF(ROWS($1:7)&gt;COUNT(Dong13),"",OFFSET(TH!F$1,SMALL(Dong13,ROWS($1:7)),))</f>
        <v/>
      </c>
      <c r="H20" s="771" t="str">
        <f ca="1">IF(ROWS($1:7)&gt;COUNT(Dong13),"",OFFSET(TH!I$1,SMALL(Dong13,ROWS($1:7)),))</f>
        <v/>
      </c>
      <c r="I20" s="771" t="str">
        <f ca="1">IF(ROWS($1:7)&gt;COUNT(Dong13),"",OFFSET(TH!J$1,SMALL(Dong13,ROWS($1:7)),))</f>
        <v/>
      </c>
      <c r="J20" s="772">
        <f t="shared" ca="1" si="3"/>
        <v>0</v>
      </c>
      <c r="K20" s="775"/>
      <c r="L20" s="773"/>
      <c r="M20" s="751"/>
      <c r="N20" s="751"/>
      <c r="O20" s="751"/>
      <c r="P20" s="751"/>
      <c r="Q20" s="751"/>
      <c r="R20" s="751"/>
      <c r="S20" s="751"/>
      <c r="T20" s="751"/>
      <c r="U20" s="751"/>
      <c r="V20" s="751"/>
      <c r="W20" s="751"/>
      <c r="X20" s="751"/>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51"/>
      <c r="AY20" s="751"/>
      <c r="AZ20" s="751"/>
      <c r="BA20" s="751"/>
      <c r="BB20" s="751"/>
      <c r="BC20" s="751"/>
      <c r="BD20" s="751"/>
      <c r="BE20" s="751"/>
      <c r="BF20" s="751"/>
      <c r="BG20" s="751"/>
      <c r="BH20" s="751"/>
      <c r="BI20" s="751"/>
      <c r="BJ20" s="751"/>
      <c r="BK20" s="751"/>
      <c r="BL20" s="751"/>
      <c r="BM20" s="751"/>
      <c r="BN20" s="751"/>
      <c r="BO20" s="751"/>
      <c r="BP20" s="751"/>
      <c r="BQ20" s="751"/>
      <c r="BR20" s="751"/>
      <c r="BS20" s="751"/>
      <c r="BT20" s="751"/>
      <c r="BU20" s="751"/>
      <c r="BV20" s="751"/>
      <c r="BW20" s="751"/>
      <c r="BX20" s="751"/>
      <c r="BY20" s="751"/>
      <c r="BZ20" s="751"/>
      <c r="CA20" s="751"/>
      <c r="CB20" s="751"/>
      <c r="CC20" s="751"/>
      <c r="CD20" s="751"/>
      <c r="CE20" s="751"/>
      <c r="CF20" s="751"/>
      <c r="CG20" s="751"/>
    </row>
    <row r="21" spans="1:85" s="774" customFormat="1" ht="21.75" customHeight="1">
      <c r="A21" s="229" t="str">
        <f ca="1">IF(ROWS($1:8)&gt;COUNT(Dong13),"",OFFSET(TH!E$1,SMALL(Dong13,ROWS($1:8)),))</f>
        <v/>
      </c>
      <c r="B21" s="239" t="str">
        <f ca="1">IF(ROWS($1:8)&gt;COUNT(Dong13),"",OFFSET(TH!H$1,SMALL(Dong13,ROWS($1:8)),))</f>
        <v/>
      </c>
      <c r="C21" s="768" t="str">
        <f t="shared" ca="1" si="0"/>
        <v/>
      </c>
      <c r="D21" s="768" t="str">
        <f ca="1">IF(ROWS($1:8)&gt;COUNT(Dong13),"",OFFSET(TH!D$1,SMALL(Dong13,ROWS($1:8)),))</f>
        <v/>
      </c>
      <c r="E21" s="769" t="str">
        <f t="shared" ca="1" si="1"/>
        <v/>
      </c>
      <c r="F21" s="769" t="str">
        <f t="shared" ca="1" si="2"/>
        <v/>
      </c>
      <c r="G21" s="770" t="str">
        <f ca="1">IF(ROWS($1:8)&gt;COUNT(Dong13),"",OFFSET(TH!F$1,SMALL(Dong13,ROWS($1:8)),))</f>
        <v/>
      </c>
      <c r="H21" s="771" t="str">
        <f ca="1">IF(ROWS($1:8)&gt;COUNT(Dong13),"",OFFSET(TH!I$1,SMALL(Dong13,ROWS($1:8)),))</f>
        <v/>
      </c>
      <c r="I21" s="771" t="str">
        <f ca="1">IF(ROWS($1:8)&gt;COUNT(Dong13),"",OFFSET(TH!J$1,SMALL(Dong13,ROWS($1:8)),))</f>
        <v/>
      </c>
      <c r="J21" s="772">
        <f t="shared" ca="1" si="3"/>
        <v>0</v>
      </c>
      <c r="K21" s="775"/>
      <c r="L21" s="773"/>
      <c r="M21" s="751"/>
      <c r="N21" s="751"/>
      <c r="O21" s="751"/>
      <c r="P21" s="751"/>
      <c r="Q21" s="751"/>
      <c r="R21" s="751"/>
      <c r="S21" s="751"/>
      <c r="T21" s="751"/>
      <c r="U21" s="751"/>
      <c r="V21" s="751"/>
      <c r="W21" s="751"/>
      <c r="X21" s="751"/>
      <c r="Y21" s="751"/>
      <c r="Z21" s="751"/>
      <c r="AA21" s="751"/>
      <c r="AB21" s="751"/>
      <c r="AC21" s="751"/>
      <c r="AD21" s="751"/>
      <c r="AE21" s="751"/>
      <c r="AF21" s="751"/>
      <c r="AG21" s="751"/>
      <c r="AH21" s="751"/>
      <c r="AI21" s="751"/>
      <c r="AJ21" s="751"/>
      <c r="AK21" s="751"/>
      <c r="AL21" s="751"/>
      <c r="AM21" s="751"/>
      <c r="AN21" s="751"/>
      <c r="AO21" s="751"/>
      <c r="AP21" s="751"/>
      <c r="AQ21" s="751"/>
      <c r="AR21" s="751"/>
      <c r="AS21" s="751"/>
      <c r="AT21" s="751"/>
      <c r="AU21" s="751"/>
      <c r="AV21" s="751"/>
      <c r="AW21" s="751"/>
      <c r="AX21" s="751"/>
      <c r="AY21" s="751"/>
      <c r="AZ21" s="751"/>
      <c r="BA21" s="751"/>
      <c r="BB21" s="751"/>
      <c r="BC21" s="751"/>
      <c r="BD21" s="751"/>
      <c r="BE21" s="751"/>
      <c r="BF21" s="751"/>
      <c r="BG21" s="751"/>
      <c r="BH21" s="751"/>
      <c r="BI21" s="751"/>
      <c r="BJ21" s="751"/>
      <c r="BK21" s="751"/>
      <c r="BL21" s="751"/>
      <c r="BM21" s="751"/>
      <c r="BN21" s="751"/>
      <c r="BO21" s="751"/>
      <c r="BP21" s="751"/>
      <c r="BQ21" s="751"/>
      <c r="BR21" s="751"/>
      <c r="BS21" s="751"/>
      <c r="BT21" s="751"/>
      <c r="BU21" s="751"/>
      <c r="BV21" s="751"/>
      <c r="BW21" s="751"/>
      <c r="BX21" s="751"/>
      <c r="BY21" s="751"/>
      <c r="BZ21" s="751"/>
      <c r="CA21" s="751"/>
      <c r="CB21" s="751"/>
      <c r="CC21" s="751"/>
      <c r="CD21" s="751"/>
      <c r="CE21" s="751"/>
      <c r="CF21" s="751"/>
      <c r="CG21" s="751"/>
    </row>
    <row r="22" spans="1:85" s="774" customFormat="1" ht="21.75" customHeight="1">
      <c r="A22" s="229" t="str">
        <f ca="1">IF(ROWS($1:9)&gt;COUNT(Dong13),"",OFFSET(TH!E$1,SMALL(Dong13,ROWS($1:9)),))</f>
        <v/>
      </c>
      <c r="B22" s="239" t="str">
        <f ca="1">IF(ROWS($1:9)&gt;COUNT(Dong13),"",OFFSET(TH!H$1,SMALL(Dong13,ROWS($1:9)),))</f>
        <v/>
      </c>
      <c r="C22" s="768" t="str">
        <f t="shared" ca="1" si="0"/>
        <v/>
      </c>
      <c r="D22" s="768" t="str">
        <f ca="1">IF(ROWS($1:9)&gt;COUNT(Dong13),"",OFFSET(TH!D$1,SMALL(Dong13,ROWS($1:9)),))</f>
        <v/>
      </c>
      <c r="E22" s="769" t="str">
        <f t="shared" ca="1" si="1"/>
        <v/>
      </c>
      <c r="F22" s="769" t="str">
        <f t="shared" ca="1" si="2"/>
        <v/>
      </c>
      <c r="G22" s="770" t="str">
        <f ca="1">IF(ROWS($1:9)&gt;COUNT(Dong13),"",OFFSET(TH!F$1,SMALL(Dong13,ROWS($1:9)),))</f>
        <v/>
      </c>
      <c r="H22" s="771" t="str">
        <f ca="1">IF(ROWS($1:9)&gt;COUNT(Dong13),"",OFFSET(TH!I$1,SMALL(Dong13,ROWS($1:9)),))</f>
        <v/>
      </c>
      <c r="I22" s="771" t="str">
        <f ca="1">IF(ROWS($1:9)&gt;COUNT(Dong13),"",OFFSET(TH!J$1,SMALL(Dong13,ROWS($1:9)),))</f>
        <v/>
      </c>
      <c r="J22" s="772">
        <f t="shared" ca="1" si="3"/>
        <v>0</v>
      </c>
      <c r="K22" s="775"/>
      <c r="L22" s="773"/>
      <c r="M22" s="751"/>
      <c r="N22" s="751"/>
      <c r="O22" s="751"/>
      <c r="P22" s="751"/>
      <c r="Q22" s="751"/>
      <c r="R22" s="751"/>
      <c r="S22" s="751"/>
      <c r="T22" s="751"/>
      <c r="U22" s="751"/>
      <c r="V22" s="751"/>
      <c r="W22" s="751"/>
      <c r="X22" s="751"/>
      <c r="Y22" s="751"/>
      <c r="Z22" s="751"/>
      <c r="AA22" s="751"/>
      <c r="AB22" s="751"/>
      <c r="AC22" s="751"/>
      <c r="AD22" s="751"/>
      <c r="AE22" s="751"/>
      <c r="AF22" s="751"/>
      <c r="AG22" s="751"/>
      <c r="AH22" s="751"/>
      <c r="AI22" s="751"/>
      <c r="AJ22" s="751"/>
      <c r="AK22" s="751"/>
      <c r="AL22" s="751"/>
      <c r="AM22" s="751"/>
      <c r="AN22" s="751"/>
      <c r="AO22" s="751"/>
      <c r="AP22" s="751"/>
      <c r="AQ22" s="751"/>
      <c r="AR22" s="751"/>
      <c r="AS22" s="751"/>
      <c r="AT22" s="751"/>
      <c r="AU22" s="751"/>
      <c r="AV22" s="751"/>
      <c r="AW22" s="751"/>
      <c r="AX22" s="751"/>
      <c r="AY22" s="751"/>
      <c r="AZ22" s="751"/>
      <c r="BA22" s="751"/>
      <c r="BB22" s="751"/>
      <c r="BC22" s="751"/>
      <c r="BD22" s="751"/>
      <c r="BE22" s="751"/>
      <c r="BF22" s="751"/>
      <c r="BG22" s="751"/>
      <c r="BH22" s="751"/>
      <c r="BI22" s="751"/>
      <c r="BJ22" s="751"/>
      <c r="BK22" s="751"/>
      <c r="BL22" s="751"/>
      <c r="BM22" s="751"/>
      <c r="BN22" s="751"/>
      <c r="BO22" s="751"/>
      <c r="BP22" s="751"/>
      <c r="BQ22" s="751"/>
      <c r="BR22" s="751"/>
      <c r="BS22" s="751"/>
      <c r="BT22" s="751"/>
      <c r="BU22" s="751"/>
      <c r="BV22" s="751"/>
      <c r="BW22" s="751"/>
      <c r="BX22" s="751"/>
      <c r="BY22" s="751"/>
      <c r="BZ22" s="751"/>
      <c r="CA22" s="751"/>
      <c r="CB22" s="751"/>
      <c r="CC22" s="751"/>
      <c r="CD22" s="751"/>
      <c r="CE22" s="751"/>
      <c r="CF22" s="751"/>
      <c r="CG22" s="751"/>
    </row>
    <row r="23" spans="1:85" s="774" customFormat="1" ht="21.75" customHeight="1">
      <c r="A23" s="229" t="str">
        <f ca="1">IF(ROWS($1:10)&gt;COUNT(Dong13),"",OFFSET(TH!E$1,SMALL(Dong13,ROWS($1:10)),))</f>
        <v/>
      </c>
      <c r="B23" s="239" t="str">
        <f ca="1">IF(ROWS($1:10)&gt;COUNT(Dong13),"",OFFSET(TH!H$1,SMALL(Dong13,ROWS($1:10)),))</f>
        <v/>
      </c>
      <c r="C23" s="768" t="str">
        <f t="shared" ca="1" si="0"/>
        <v/>
      </c>
      <c r="D23" s="768" t="str">
        <f ca="1">IF(ROWS($1:10)&gt;COUNT(Dong13),"",OFFSET(TH!D$1,SMALL(Dong13,ROWS($1:10)),))</f>
        <v/>
      </c>
      <c r="E23" s="769" t="str">
        <f t="shared" ca="1" si="1"/>
        <v/>
      </c>
      <c r="F23" s="769" t="str">
        <f t="shared" ca="1" si="2"/>
        <v/>
      </c>
      <c r="G23" s="770" t="str">
        <f ca="1">IF(ROWS($1:10)&gt;COUNT(Dong13),"",OFFSET(TH!F$1,SMALL(Dong13,ROWS($1:10)),))</f>
        <v/>
      </c>
      <c r="H23" s="771" t="str">
        <f ca="1">IF(ROWS($1:10)&gt;COUNT(Dong13),"",OFFSET(TH!I$1,SMALL(Dong13,ROWS($1:10)),))</f>
        <v/>
      </c>
      <c r="I23" s="771" t="str">
        <f ca="1">IF(ROWS($1:10)&gt;COUNT(Dong13),"",OFFSET(TH!J$1,SMALL(Dong13,ROWS($1:10)),))</f>
        <v/>
      </c>
      <c r="J23" s="772">
        <f t="shared" ca="1" si="3"/>
        <v>0</v>
      </c>
      <c r="K23" s="775"/>
      <c r="L23" s="773"/>
      <c r="M23" s="751"/>
      <c r="N23" s="751"/>
      <c r="O23" s="751"/>
      <c r="P23" s="751"/>
      <c r="Q23" s="751"/>
      <c r="R23" s="751"/>
      <c r="S23" s="751"/>
      <c r="T23" s="751"/>
      <c r="U23" s="751"/>
      <c r="V23" s="751"/>
      <c r="W23" s="751"/>
      <c r="X23" s="751"/>
      <c r="Y23" s="751"/>
      <c r="Z23" s="751"/>
      <c r="AA23" s="751"/>
      <c r="AB23" s="751"/>
      <c r="AC23" s="751"/>
      <c r="AD23" s="751"/>
      <c r="AE23" s="751"/>
      <c r="AF23" s="751"/>
      <c r="AG23" s="751"/>
      <c r="AH23" s="751"/>
      <c r="AI23" s="751"/>
      <c r="AJ23" s="751"/>
      <c r="AK23" s="751"/>
      <c r="AL23" s="751"/>
      <c r="AM23" s="751"/>
      <c r="AN23" s="751"/>
      <c r="AO23" s="751"/>
      <c r="AP23" s="751"/>
      <c r="AQ23" s="751"/>
      <c r="AR23" s="751"/>
      <c r="AS23" s="751"/>
      <c r="AT23" s="751"/>
      <c r="AU23" s="751"/>
      <c r="AV23" s="751"/>
      <c r="AW23" s="751"/>
      <c r="AX23" s="751"/>
      <c r="AY23" s="751"/>
      <c r="AZ23" s="751"/>
      <c r="BA23" s="751"/>
      <c r="BB23" s="751"/>
      <c r="BC23" s="751"/>
      <c r="BD23" s="751"/>
      <c r="BE23" s="751"/>
      <c r="BF23" s="751"/>
      <c r="BG23" s="751"/>
      <c r="BH23" s="751"/>
      <c r="BI23" s="751"/>
      <c r="BJ23" s="751"/>
      <c r="BK23" s="751"/>
      <c r="BL23" s="751"/>
      <c r="BM23" s="751"/>
      <c r="BN23" s="751"/>
      <c r="BO23" s="751"/>
      <c r="BP23" s="751"/>
      <c r="BQ23" s="751"/>
      <c r="BR23" s="751"/>
      <c r="BS23" s="751"/>
      <c r="BT23" s="751"/>
      <c r="BU23" s="751"/>
      <c r="BV23" s="751"/>
      <c r="BW23" s="751"/>
      <c r="BX23" s="751"/>
      <c r="BY23" s="751"/>
      <c r="BZ23" s="751"/>
      <c r="CA23" s="751"/>
      <c r="CB23" s="751"/>
      <c r="CC23" s="751"/>
      <c r="CD23" s="751"/>
      <c r="CE23" s="751"/>
      <c r="CF23" s="751"/>
      <c r="CG23" s="751"/>
    </row>
    <row r="24" spans="1:85" s="774" customFormat="1" ht="21.75" customHeight="1">
      <c r="A24" s="229" t="str">
        <f ca="1">IF(ROWS($1:11)&gt;COUNT(Dong13),"",OFFSET(TH!E$1,SMALL(Dong13,ROWS($1:11)),))</f>
        <v/>
      </c>
      <c r="B24" s="239" t="str">
        <f ca="1">IF(ROWS($1:11)&gt;COUNT(Dong13),"",OFFSET(TH!H$1,SMALL(Dong13,ROWS($1:11)),))</f>
        <v/>
      </c>
      <c r="C24" s="768" t="str">
        <f t="shared" ca="1" si="0"/>
        <v/>
      </c>
      <c r="D24" s="768" t="str">
        <f ca="1">IF(ROWS($1:11)&gt;COUNT(Dong13),"",OFFSET(TH!D$1,SMALL(Dong13,ROWS($1:11)),))</f>
        <v/>
      </c>
      <c r="E24" s="769" t="str">
        <f t="shared" ca="1" si="1"/>
        <v/>
      </c>
      <c r="F24" s="769" t="str">
        <f t="shared" ca="1" si="2"/>
        <v/>
      </c>
      <c r="G24" s="770" t="str">
        <f ca="1">IF(ROWS($1:11)&gt;COUNT(Dong13),"",OFFSET(TH!F$1,SMALL(Dong13,ROWS($1:11)),))</f>
        <v/>
      </c>
      <c r="H24" s="771" t="str">
        <f ca="1">IF(ROWS($1:11)&gt;COUNT(Dong13),"",OFFSET(TH!I$1,SMALL(Dong13,ROWS($1:11)),))</f>
        <v/>
      </c>
      <c r="I24" s="771" t="str">
        <f ca="1">IF(ROWS($1:11)&gt;COUNT(Dong13),"",OFFSET(TH!J$1,SMALL(Dong13,ROWS($1:11)),))</f>
        <v/>
      </c>
      <c r="J24" s="772">
        <f t="shared" ca="1" si="3"/>
        <v>0</v>
      </c>
      <c r="K24" s="775"/>
      <c r="L24" s="773"/>
      <c r="M24" s="751"/>
      <c r="N24" s="751"/>
      <c r="O24" s="751"/>
      <c r="P24" s="751"/>
      <c r="Q24" s="751"/>
      <c r="R24" s="751"/>
      <c r="S24" s="751"/>
      <c r="T24" s="751"/>
      <c r="U24" s="751"/>
      <c r="V24" s="751"/>
      <c r="W24" s="751"/>
      <c r="X24" s="751"/>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51"/>
      <c r="AY24" s="751"/>
      <c r="AZ24" s="751"/>
      <c r="BA24" s="751"/>
      <c r="BB24" s="751"/>
      <c r="BC24" s="751"/>
      <c r="BD24" s="751"/>
      <c r="BE24" s="751"/>
      <c r="BF24" s="751"/>
      <c r="BG24" s="751"/>
      <c r="BH24" s="751"/>
      <c r="BI24" s="751"/>
      <c r="BJ24" s="751"/>
      <c r="BK24" s="751"/>
      <c r="BL24" s="751"/>
      <c r="BM24" s="751"/>
      <c r="BN24" s="751"/>
      <c r="BO24" s="751"/>
      <c r="BP24" s="751"/>
      <c r="BQ24" s="751"/>
      <c r="BR24" s="751"/>
      <c r="BS24" s="751"/>
      <c r="BT24" s="751"/>
      <c r="BU24" s="751"/>
      <c r="BV24" s="751"/>
      <c r="BW24" s="751"/>
      <c r="BX24" s="751"/>
      <c r="BY24" s="751"/>
      <c r="BZ24" s="751"/>
      <c r="CA24" s="751"/>
      <c r="CB24" s="751"/>
      <c r="CC24" s="751"/>
      <c r="CD24" s="751"/>
      <c r="CE24" s="751"/>
      <c r="CF24" s="751"/>
      <c r="CG24" s="751"/>
    </row>
    <row r="25" spans="1:85" s="774" customFormat="1" ht="21.75" customHeight="1">
      <c r="A25" s="229" t="str">
        <f ca="1">IF(ROWS($1:12)&gt;COUNT(Dong13),"",OFFSET(TH!E$1,SMALL(Dong13,ROWS($1:12)),))</f>
        <v/>
      </c>
      <c r="B25" s="239" t="str">
        <f ca="1">IF(ROWS($1:12)&gt;COUNT(Dong13),"",OFFSET(TH!H$1,SMALL(Dong13,ROWS($1:12)),))</f>
        <v/>
      </c>
      <c r="C25" s="768" t="str">
        <f t="shared" ca="1" si="0"/>
        <v/>
      </c>
      <c r="D25" s="768" t="str">
        <f ca="1">IF(ROWS($1:12)&gt;COUNT(Dong13),"",OFFSET(TH!D$1,SMALL(Dong13,ROWS($1:12)),))</f>
        <v/>
      </c>
      <c r="E25" s="769" t="str">
        <f t="shared" ca="1" si="1"/>
        <v/>
      </c>
      <c r="F25" s="769" t="str">
        <f t="shared" ca="1" si="2"/>
        <v/>
      </c>
      <c r="G25" s="770" t="str">
        <f ca="1">IF(ROWS($1:12)&gt;COUNT(Dong13),"",OFFSET(TH!F$1,SMALL(Dong13,ROWS($1:12)),))</f>
        <v/>
      </c>
      <c r="H25" s="771" t="str">
        <f ca="1">IF(ROWS($1:12)&gt;COUNT(Dong13),"",OFFSET(TH!I$1,SMALL(Dong13,ROWS($1:12)),))</f>
        <v/>
      </c>
      <c r="I25" s="771" t="str">
        <f ca="1">IF(ROWS($1:12)&gt;COUNT(Dong13),"",OFFSET(TH!J$1,SMALL(Dong13,ROWS($1:12)),))</f>
        <v/>
      </c>
      <c r="J25" s="772">
        <f t="shared" ca="1" si="3"/>
        <v>0</v>
      </c>
      <c r="K25" s="775"/>
      <c r="L25" s="773"/>
      <c r="M25" s="751"/>
      <c r="N25" s="751"/>
      <c r="O25" s="751"/>
      <c r="P25" s="751"/>
      <c r="Q25" s="751"/>
      <c r="R25" s="751"/>
      <c r="S25" s="751"/>
      <c r="T25" s="751"/>
      <c r="U25" s="751"/>
      <c r="V25" s="751"/>
      <c r="W25" s="751"/>
      <c r="X25" s="751"/>
      <c r="Y25" s="751"/>
      <c r="Z25" s="751"/>
      <c r="AA25" s="751"/>
      <c r="AB25" s="751"/>
      <c r="AC25" s="751"/>
      <c r="AD25" s="751"/>
      <c r="AE25" s="751"/>
      <c r="AF25" s="751"/>
      <c r="AG25" s="751"/>
      <c r="AH25" s="751"/>
      <c r="AI25" s="751"/>
      <c r="AJ25" s="751"/>
      <c r="AK25" s="751"/>
      <c r="AL25" s="751"/>
      <c r="AM25" s="751"/>
      <c r="AN25" s="751"/>
      <c r="AO25" s="751"/>
      <c r="AP25" s="751"/>
      <c r="AQ25" s="751"/>
      <c r="AR25" s="751"/>
      <c r="AS25" s="751"/>
      <c r="AT25" s="751"/>
      <c r="AU25" s="751"/>
      <c r="AV25" s="751"/>
      <c r="AW25" s="751"/>
      <c r="AX25" s="751"/>
      <c r="AY25" s="751"/>
      <c r="AZ25" s="751"/>
      <c r="BA25" s="751"/>
      <c r="BB25" s="751"/>
      <c r="BC25" s="751"/>
      <c r="BD25" s="751"/>
      <c r="BE25" s="751"/>
      <c r="BF25" s="751"/>
      <c r="BG25" s="751"/>
      <c r="BH25" s="751"/>
      <c r="BI25" s="751"/>
      <c r="BJ25" s="751"/>
      <c r="BK25" s="751"/>
      <c r="BL25" s="751"/>
      <c r="BM25" s="751"/>
      <c r="BN25" s="751"/>
      <c r="BO25" s="751"/>
      <c r="BP25" s="751"/>
      <c r="BQ25" s="751"/>
      <c r="BR25" s="751"/>
      <c r="BS25" s="751"/>
      <c r="BT25" s="751"/>
      <c r="BU25" s="751"/>
      <c r="BV25" s="751"/>
      <c r="BW25" s="751"/>
      <c r="BX25" s="751"/>
      <c r="BY25" s="751"/>
      <c r="BZ25" s="751"/>
      <c r="CA25" s="751"/>
      <c r="CB25" s="751"/>
      <c r="CC25" s="751"/>
      <c r="CD25" s="751"/>
      <c r="CE25" s="751"/>
      <c r="CF25" s="751"/>
      <c r="CG25" s="751"/>
    </row>
    <row r="26" spans="1:85" s="774" customFormat="1" ht="21.75" customHeight="1">
      <c r="A26" s="229" t="str">
        <f ca="1">IF(ROWS($1:13)&gt;COUNT(Dong13),"",OFFSET(TH!E$1,SMALL(Dong13,ROWS($1:13)),))</f>
        <v/>
      </c>
      <c r="B26" s="239" t="str">
        <f ca="1">IF(ROWS($1:13)&gt;COUNT(Dong13),"",OFFSET(TH!H$1,SMALL(Dong13,ROWS($1:13)),))</f>
        <v/>
      </c>
      <c r="C26" s="768" t="str">
        <f t="shared" ca="1" si="0"/>
        <v/>
      </c>
      <c r="D26" s="768" t="str">
        <f ca="1">IF(ROWS($1:13)&gt;COUNT(Dong13),"",OFFSET(TH!D$1,SMALL(Dong13,ROWS($1:13)),))</f>
        <v/>
      </c>
      <c r="E26" s="769" t="str">
        <f t="shared" ca="1" si="1"/>
        <v/>
      </c>
      <c r="F26" s="769" t="str">
        <f t="shared" ca="1" si="2"/>
        <v/>
      </c>
      <c r="G26" s="770" t="str">
        <f ca="1">IF(ROWS($1:13)&gt;COUNT(Dong13),"",OFFSET(TH!F$1,SMALL(Dong13,ROWS($1:13)),))</f>
        <v/>
      </c>
      <c r="H26" s="771" t="str">
        <f ca="1">IF(ROWS($1:13)&gt;COUNT(Dong13),"",OFFSET(TH!I$1,SMALL(Dong13,ROWS($1:13)),))</f>
        <v/>
      </c>
      <c r="I26" s="771" t="str">
        <f ca="1">IF(ROWS($1:13)&gt;COUNT(Dong13),"",OFFSET(TH!J$1,SMALL(Dong13,ROWS($1:13)),))</f>
        <v/>
      </c>
      <c r="J26" s="772">
        <f t="shared" ca="1" si="3"/>
        <v>0</v>
      </c>
      <c r="K26" s="775"/>
      <c r="L26" s="773"/>
      <c r="M26" s="751"/>
      <c r="N26" s="751"/>
      <c r="O26" s="751"/>
      <c r="P26" s="751"/>
      <c r="Q26" s="751"/>
      <c r="R26" s="751"/>
      <c r="S26" s="751"/>
      <c r="T26" s="751"/>
      <c r="U26" s="751"/>
      <c r="V26" s="751"/>
      <c r="W26" s="751"/>
      <c r="X26" s="751"/>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51"/>
      <c r="AY26" s="751"/>
      <c r="AZ26" s="751"/>
      <c r="BA26" s="751"/>
      <c r="BB26" s="751"/>
      <c r="BC26" s="751"/>
      <c r="BD26" s="751"/>
      <c r="BE26" s="751"/>
      <c r="BF26" s="751"/>
      <c r="BG26" s="751"/>
      <c r="BH26" s="751"/>
      <c r="BI26" s="751"/>
      <c r="BJ26" s="751"/>
      <c r="BK26" s="751"/>
      <c r="BL26" s="751"/>
      <c r="BM26" s="751"/>
      <c r="BN26" s="751"/>
      <c r="BO26" s="751"/>
      <c r="BP26" s="751"/>
      <c r="BQ26" s="751"/>
      <c r="BR26" s="751"/>
      <c r="BS26" s="751"/>
      <c r="BT26" s="751"/>
      <c r="BU26" s="751"/>
      <c r="BV26" s="751"/>
      <c r="BW26" s="751"/>
      <c r="BX26" s="751"/>
      <c r="BY26" s="751"/>
      <c r="BZ26" s="751"/>
      <c r="CA26" s="751"/>
      <c r="CB26" s="751"/>
      <c r="CC26" s="751"/>
      <c r="CD26" s="751"/>
      <c r="CE26" s="751"/>
      <c r="CF26" s="751"/>
      <c r="CG26" s="751"/>
    </row>
    <row r="27" spans="1:85" s="774" customFormat="1" ht="21.75" customHeight="1">
      <c r="A27" s="229" t="str">
        <f ca="1">IF(ROWS($1:14)&gt;COUNT(Dong13),"",OFFSET(TH!E$1,SMALL(Dong13,ROWS($1:14)),))</f>
        <v/>
      </c>
      <c r="B27" s="239" t="str">
        <f ca="1">IF(ROWS($1:14)&gt;COUNT(Dong13),"",OFFSET(TH!H$1,SMALL(Dong13,ROWS($1:14)),))</f>
        <v/>
      </c>
      <c r="C27" s="768" t="str">
        <f t="shared" ca="1" si="0"/>
        <v/>
      </c>
      <c r="D27" s="768" t="str">
        <f ca="1">IF(ROWS($1:14)&gt;COUNT(Dong13),"",OFFSET(TH!D$1,SMALL(Dong13,ROWS($1:14)),))</f>
        <v/>
      </c>
      <c r="E27" s="769" t="str">
        <f t="shared" ca="1" si="1"/>
        <v/>
      </c>
      <c r="F27" s="769" t="str">
        <f t="shared" ca="1" si="2"/>
        <v/>
      </c>
      <c r="G27" s="770" t="str">
        <f ca="1">IF(ROWS($1:14)&gt;COUNT(Dong13),"",OFFSET(TH!F$1,SMALL(Dong13,ROWS($1:14)),))</f>
        <v/>
      </c>
      <c r="H27" s="771" t="str">
        <f ca="1">IF(ROWS($1:14)&gt;COUNT(Dong13),"",OFFSET(TH!I$1,SMALL(Dong13,ROWS($1:14)),))</f>
        <v/>
      </c>
      <c r="I27" s="771" t="str">
        <f ca="1">IF(ROWS($1:14)&gt;COUNT(Dong13),"",OFFSET(TH!J$1,SMALL(Dong13,ROWS($1:14)),))</f>
        <v/>
      </c>
      <c r="J27" s="772">
        <f t="shared" ca="1" si="3"/>
        <v>0</v>
      </c>
      <c r="K27" s="775"/>
      <c r="L27" s="773"/>
      <c r="M27" s="751"/>
      <c r="N27" s="751"/>
      <c r="O27" s="751"/>
      <c r="P27" s="751"/>
      <c r="Q27" s="751"/>
      <c r="R27" s="751"/>
      <c r="S27" s="751"/>
      <c r="T27" s="751"/>
      <c r="U27" s="751"/>
      <c r="V27" s="751"/>
      <c r="W27" s="751"/>
      <c r="X27" s="751"/>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51"/>
      <c r="AY27" s="751"/>
      <c r="AZ27" s="751"/>
      <c r="BA27" s="751"/>
      <c r="BB27" s="751"/>
      <c r="BC27" s="751"/>
      <c r="BD27" s="751"/>
      <c r="BE27" s="751"/>
      <c r="BF27" s="751"/>
      <c r="BG27" s="751"/>
      <c r="BH27" s="751"/>
      <c r="BI27" s="751"/>
      <c r="BJ27" s="751"/>
      <c r="BK27" s="751"/>
      <c r="BL27" s="751"/>
      <c r="BM27" s="751"/>
      <c r="BN27" s="751"/>
      <c r="BO27" s="751"/>
      <c r="BP27" s="751"/>
      <c r="BQ27" s="751"/>
      <c r="BR27" s="751"/>
      <c r="BS27" s="751"/>
      <c r="BT27" s="751"/>
      <c r="BU27" s="751"/>
      <c r="BV27" s="751"/>
      <c r="BW27" s="751"/>
      <c r="BX27" s="751"/>
      <c r="BY27" s="751"/>
      <c r="BZ27" s="751"/>
      <c r="CA27" s="751"/>
      <c r="CB27" s="751"/>
      <c r="CC27" s="751"/>
      <c r="CD27" s="751"/>
      <c r="CE27" s="751"/>
      <c r="CF27" s="751"/>
      <c r="CG27" s="751"/>
    </row>
    <row r="28" spans="1:85" s="774" customFormat="1" ht="21.75" customHeight="1">
      <c r="A28" s="229" t="str">
        <f ca="1">IF(ROWS($1:15)&gt;COUNT(Dong13),"",OFFSET(TH!E$1,SMALL(Dong13,ROWS($1:15)),))</f>
        <v/>
      </c>
      <c r="B28" s="239" t="str">
        <f ca="1">IF(ROWS($1:15)&gt;COUNT(Dong13),"",OFFSET(TH!H$1,SMALL(Dong13,ROWS($1:15)),))</f>
        <v/>
      </c>
      <c r="C28" s="768" t="str">
        <f t="shared" ca="1" si="0"/>
        <v/>
      </c>
      <c r="D28" s="768" t="str">
        <f ca="1">IF(ROWS($1:15)&gt;COUNT(Dong13),"",OFFSET(TH!D$1,SMALL(Dong13,ROWS($1:15)),))</f>
        <v/>
      </c>
      <c r="E28" s="769" t="str">
        <f t="shared" ca="1" si="1"/>
        <v/>
      </c>
      <c r="F28" s="769" t="str">
        <f t="shared" ca="1" si="2"/>
        <v/>
      </c>
      <c r="G28" s="770" t="str">
        <f ca="1">IF(ROWS($1:15)&gt;COUNT(Dong13),"",OFFSET(TH!F$1,SMALL(Dong13,ROWS($1:15)),))</f>
        <v/>
      </c>
      <c r="H28" s="771" t="str">
        <f ca="1">IF(ROWS($1:15)&gt;COUNT(Dong13),"",OFFSET(TH!I$1,SMALL(Dong13,ROWS($1:15)),))</f>
        <v/>
      </c>
      <c r="I28" s="771" t="str">
        <f ca="1">IF(ROWS($1:15)&gt;COUNT(Dong13),"",OFFSET(TH!J$1,SMALL(Dong13,ROWS($1:15)),))</f>
        <v/>
      </c>
      <c r="J28" s="772">
        <f t="shared" ca="1" si="3"/>
        <v>0</v>
      </c>
      <c r="K28" s="775"/>
      <c r="L28" s="773"/>
      <c r="M28" s="751"/>
      <c r="N28" s="751"/>
      <c r="O28" s="751"/>
      <c r="P28" s="751"/>
      <c r="Q28" s="751"/>
      <c r="R28" s="751"/>
      <c r="S28" s="751"/>
      <c r="T28" s="751"/>
      <c r="U28" s="751"/>
      <c r="V28" s="751"/>
      <c r="W28" s="751"/>
      <c r="X28" s="751"/>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51"/>
      <c r="AY28" s="751"/>
      <c r="AZ28" s="751"/>
      <c r="BA28" s="751"/>
      <c r="BB28" s="751"/>
      <c r="BC28" s="751"/>
      <c r="BD28" s="751"/>
      <c r="BE28" s="751"/>
      <c r="BF28" s="751"/>
      <c r="BG28" s="751"/>
      <c r="BH28" s="751"/>
      <c r="BI28" s="751"/>
      <c r="BJ28" s="751"/>
      <c r="BK28" s="751"/>
      <c r="BL28" s="751"/>
      <c r="BM28" s="751"/>
      <c r="BN28" s="751"/>
      <c r="BO28" s="751"/>
      <c r="BP28" s="751"/>
      <c r="BQ28" s="751"/>
      <c r="BR28" s="751"/>
      <c r="BS28" s="751"/>
      <c r="BT28" s="751"/>
      <c r="BU28" s="751"/>
      <c r="BV28" s="751"/>
      <c r="BW28" s="751"/>
      <c r="BX28" s="751"/>
      <c r="BY28" s="751"/>
      <c r="BZ28" s="751"/>
      <c r="CA28" s="751"/>
      <c r="CB28" s="751"/>
      <c r="CC28" s="751"/>
      <c r="CD28" s="751"/>
      <c r="CE28" s="751"/>
      <c r="CF28" s="751"/>
      <c r="CG28" s="751"/>
    </row>
    <row r="29" spans="1:85" s="774" customFormat="1" ht="21.75" customHeight="1">
      <c r="A29" s="229" t="str">
        <f ca="1">IF(ROWS($1:16)&gt;COUNT(Dong13),"",OFFSET(TH!E$1,SMALL(Dong13,ROWS($1:16)),))</f>
        <v/>
      </c>
      <c r="B29" s="239" t="str">
        <f ca="1">IF(ROWS($1:16)&gt;COUNT(Dong13),"",OFFSET(TH!H$1,SMALL(Dong13,ROWS($1:16)),))</f>
        <v/>
      </c>
      <c r="C29" s="768" t="str">
        <f t="shared" ca="1" si="0"/>
        <v/>
      </c>
      <c r="D29" s="768" t="str">
        <f ca="1">IF(ROWS($1:16)&gt;COUNT(Dong13),"",OFFSET(TH!D$1,SMALL(Dong13,ROWS($1:16)),))</f>
        <v/>
      </c>
      <c r="E29" s="769" t="str">
        <f t="shared" ca="1" si="1"/>
        <v/>
      </c>
      <c r="F29" s="769" t="str">
        <f t="shared" ca="1" si="2"/>
        <v/>
      </c>
      <c r="G29" s="770" t="str">
        <f ca="1">IF(ROWS($1:16)&gt;COUNT(Dong13),"",OFFSET(TH!F$1,SMALL(Dong13,ROWS($1:16)),))</f>
        <v/>
      </c>
      <c r="H29" s="771" t="str">
        <f ca="1">IF(ROWS($1:16)&gt;COUNT(Dong13),"",OFFSET(TH!I$1,SMALL(Dong13,ROWS($1:16)),))</f>
        <v/>
      </c>
      <c r="I29" s="771" t="str">
        <f ca="1">IF(ROWS($1:16)&gt;COUNT(Dong13),"",OFFSET(TH!J$1,SMALL(Dong13,ROWS($1:16)),))</f>
        <v/>
      </c>
      <c r="J29" s="772">
        <f t="shared" ca="1" si="3"/>
        <v>0</v>
      </c>
      <c r="K29" s="775"/>
      <c r="L29" s="773"/>
      <c r="M29" s="751"/>
      <c r="N29" s="751"/>
      <c r="O29" s="751"/>
      <c r="P29" s="751"/>
      <c r="Q29" s="751"/>
      <c r="R29" s="751"/>
      <c r="S29" s="751"/>
      <c r="T29" s="751"/>
      <c r="U29" s="751"/>
      <c r="V29" s="751"/>
      <c r="W29" s="751"/>
      <c r="X29" s="751"/>
      <c r="Y29" s="751"/>
      <c r="Z29" s="751"/>
      <c r="AA29" s="751"/>
      <c r="AB29" s="751"/>
      <c r="AC29" s="751"/>
      <c r="AD29" s="751"/>
      <c r="AE29" s="751"/>
      <c r="AF29" s="751"/>
      <c r="AG29" s="751"/>
      <c r="AH29" s="751"/>
      <c r="AI29" s="751"/>
      <c r="AJ29" s="751"/>
      <c r="AK29" s="751"/>
      <c r="AL29" s="751"/>
      <c r="AM29" s="751"/>
      <c r="AN29" s="751"/>
      <c r="AO29" s="751"/>
      <c r="AP29" s="751"/>
      <c r="AQ29" s="751"/>
      <c r="AR29" s="751"/>
      <c r="AS29" s="751"/>
      <c r="AT29" s="751"/>
      <c r="AU29" s="751"/>
      <c r="AV29" s="751"/>
      <c r="AW29" s="751"/>
      <c r="AX29" s="751"/>
      <c r="AY29" s="751"/>
      <c r="AZ29" s="751"/>
      <c r="BA29" s="751"/>
      <c r="BB29" s="751"/>
      <c r="BC29" s="751"/>
      <c r="BD29" s="751"/>
      <c r="BE29" s="751"/>
      <c r="BF29" s="751"/>
      <c r="BG29" s="751"/>
      <c r="BH29" s="751"/>
      <c r="BI29" s="751"/>
      <c r="BJ29" s="751"/>
      <c r="BK29" s="751"/>
      <c r="BL29" s="751"/>
      <c r="BM29" s="751"/>
      <c r="BN29" s="751"/>
      <c r="BO29" s="751"/>
      <c r="BP29" s="751"/>
      <c r="BQ29" s="751"/>
      <c r="BR29" s="751"/>
      <c r="BS29" s="751"/>
      <c r="BT29" s="751"/>
      <c r="BU29" s="751"/>
      <c r="BV29" s="751"/>
      <c r="BW29" s="751"/>
      <c r="BX29" s="751"/>
      <c r="BY29" s="751"/>
      <c r="BZ29" s="751"/>
      <c r="CA29" s="751"/>
      <c r="CB29" s="751"/>
      <c r="CC29" s="751"/>
      <c r="CD29" s="751"/>
      <c r="CE29" s="751"/>
      <c r="CF29" s="751"/>
      <c r="CG29" s="751"/>
    </row>
    <row r="30" spans="1:85" s="774" customFormat="1" ht="21.75" customHeight="1">
      <c r="A30" s="229" t="str">
        <f ca="1">IF(ROWS($1:17)&gt;COUNT(Dong13),"",OFFSET(TH!E$1,SMALL(Dong13,ROWS($1:17)),))</f>
        <v/>
      </c>
      <c r="B30" s="239" t="str">
        <f ca="1">IF(ROWS($1:17)&gt;COUNT(Dong13),"",OFFSET(TH!H$1,SMALL(Dong13,ROWS($1:17)),))</f>
        <v/>
      </c>
      <c r="C30" s="768" t="str">
        <f t="shared" ca="1" si="0"/>
        <v/>
      </c>
      <c r="D30" s="768" t="str">
        <f ca="1">IF(ROWS($1:17)&gt;COUNT(Dong13),"",OFFSET(TH!D$1,SMALL(Dong13,ROWS($1:17)),))</f>
        <v/>
      </c>
      <c r="E30" s="769" t="str">
        <f t="shared" ca="1" si="1"/>
        <v/>
      </c>
      <c r="F30" s="769" t="str">
        <f t="shared" ca="1" si="2"/>
        <v/>
      </c>
      <c r="G30" s="770" t="str">
        <f ca="1">IF(ROWS($1:17)&gt;COUNT(Dong13),"",OFFSET(TH!F$1,SMALL(Dong13,ROWS($1:17)),))</f>
        <v/>
      </c>
      <c r="H30" s="771" t="str">
        <f ca="1">IF(ROWS($1:17)&gt;COUNT(Dong13),"",OFFSET(TH!I$1,SMALL(Dong13,ROWS($1:17)),))</f>
        <v/>
      </c>
      <c r="I30" s="771" t="str">
        <f ca="1">IF(ROWS($1:17)&gt;COUNT(Dong13),"",OFFSET(TH!J$1,SMALL(Dong13,ROWS($1:17)),))</f>
        <v/>
      </c>
      <c r="J30" s="772">
        <f t="shared" ca="1" si="3"/>
        <v>0</v>
      </c>
      <c r="K30" s="775"/>
      <c r="L30" s="773"/>
      <c r="M30" s="751"/>
      <c r="N30" s="751"/>
      <c r="O30" s="751"/>
      <c r="P30" s="751"/>
      <c r="Q30" s="751"/>
      <c r="R30" s="751"/>
      <c r="S30" s="751"/>
      <c r="T30" s="751"/>
      <c r="U30" s="751"/>
      <c r="V30" s="751"/>
      <c r="W30" s="751"/>
      <c r="X30" s="751"/>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51"/>
      <c r="AY30" s="751"/>
      <c r="AZ30" s="751"/>
      <c r="BA30" s="751"/>
      <c r="BB30" s="751"/>
      <c r="BC30" s="751"/>
      <c r="BD30" s="751"/>
      <c r="BE30" s="751"/>
      <c r="BF30" s="751"/>
      <c r="BG30" s="751"/>
      <c r="BH30" s="751"/>
      <c r="BI30" s="751"/>
      <c r="BJ30" s="751"/>
      <c r="BK30" s="751"/>
      <c r="BL30" s="751"/>
      <c r="BM30" s="751"/>
      <c r="BN30" s="751"/>
      <c r="BO30" s="751"/>
      <c r="BP30" s="751"/>
      <c r="BQ30" s="751"/>
      <c r="BR30" s="751"/>
      <c r="BS30" s="751"/>
      <c r="BT30" s="751"/>
      <c r="BU30" s="751"/>
      <c r="BV30" s="751"/>
      <c r="BW30" s="751"/>
      <c r="BX30" s="751"/>
      <c r="BY30" s="751"/>
      <c r="BZ30" s="751"/>
      <c r="CA30" s="751"/>
      <c r="CB30" s="751"/>
      <c r="CC30" s="751"/>
      <c r="CD30" s="751"/>
      <c r="CE30" s="751"/>
      <c r="CF30" s="751"/>
      <c r="CG30" s="751"/>
    </row>
    <row r="31" spans="1:85" s="774" customFormat="1" ht="21.75" customHeight="1">
      <c r="A31" s="229" t="str">
        <f ca="1">IF(ROWS($1:18)&gt;COUNT(Dong13),"",OFFSET(TH!E$1,SMALL(Dong13,ROWS($1:18)),))</f>
        <v/>
      </c>
      <c r="B31" s="239" t="str">
        <f ca="1">IF(ROWS($1:18)&gt;COUNT(Dong13),"",OFFSET(TH!H$1,SMALL(Dong13,ROWS($1:18)),))</f>
        <v/>
      </c>
      <c r="C31" s="768" t="str">
        <f t="shared" ca="1" si="0"/>
        <v/>
      </c>
      <c r="D31" s="768" t="str">
        <f ca="1">IF(ROWS($1:18)&gt;COUNT(Dong13),"",OFFSET(TH!D$1,SMALL(Dong13,ROWS($1:18)),))</f>
        <v/>
      </c>
      <c r="E31" s="769" t="str">
        <f t="shared" ca="1" si="1"/>
        <v/>
      </c>
      <c r="F31" s="769" t="str">
        <f t="shared" ca="1" si="2"/>
        <v/>
      </c>
      <c r="G31" s="770" t="str">
        <f ca="1">IF(ROWS($1:18)&gt;COUNT(Dong13),"",OFFSET(TH!F$1,SMALL(Dong13,ROWS($1:18)),))</f>
        <v/>
      </c>
      <c r="H31" s="771" t="str">
        <f ca="1">IF(ROWS($1:18)&gt;COUNT(Dong13),"",OFFSET(TH!I$1,SMALL(Dong13,ROWS($1:18)),))</f>
        <v/>
      </c>
      <c r="I31" s="771" t="str">
        <f ca="1">IF(ROWS($1:18)&gt;COUNT(Dong13),"",OFFSET(TH!J$1,SMALL(Dong13,ROWS($1:18)),))</f>
        <v/>
      </c>
      <c r="J31" s="772">
        <f t="shared" ca="1" si="3"/>
        <v>0</v>
      </c>
      <c r="K31" s="775"/>
      <c r="L31" s="773"/>
      <c r="M31" s="751"/>
      <c r="N31" s="751"/>
      <c r="O31" s="751"/>
      <c r="P31" s="751"/>
      <c r="Q31" s="751"/>
      <c r="R31" s="751"/>
      <c r="S31" s="751"/>
      <c r="T31" s="751"/>
      <c r="U31" s="751"/>
      <c r="V31" s="751"/>
      <c r="W31" s="751"/>
      <c r="X31" s="751"/>
      <c r="Y31" s="751"/>
      <c r="Z31" s="751"/>
      <c r="AA31" s="751"/>
      <c r="AB31" s="751"/>
      <c r="AC31" s="751"/>
      <c r="AD31" s="751"/>
      <c r="AE31" s="751"/>
      <c r="AF31" s="751"/>
      <c r="AG31" s="751"/>
      <c r="AH31" s="751"/>
      <c r="AI31" s="751"/>
      <c r="AJ31" s="751"/>
      <c r="AK31" s="751"/>
      <c r="AL31" s="751"/>
      <c r="AM31" s="751"/>
      <c r="AN31" s="751"/>
      <c r="AO31" s="751"/>
      <c r="AP31" s="751"/>
      <c r="AQ31" s="751"/>
      <c r="AR31" s="751"/>
      <c r="AS31" s="751"/>
      <c r="AT31" s="751"/>
      <c r="AU31" s="751"/>
      <c r="AV31" s="751"/>
      <c r="AW31" s="751"/>
      <c r="AX31" s="751"/>
      <c r="AY31" s="751"/>
      <c r="AZ31" s="751"/>
      <c r="BA31" s="751"/>
      <c r="BB31" s="751"/>
      <c r="BC31" s="751"/>
      <c r="BD31" s="751"/>
      <c r="BE31" s="751"/>
      <c r="BF31" s="751"/>
      <c r="BG31" s="751"/>
      <c r="BH31" s="751"/>
      <c r="BI31" s="751"/>
      <c r="BJ31" s="751"/>
      <c r="BK31" s="751"/>
      <c r="BL31" s="751"/>
      <c r="BM31" s="751"/>
      <c r="BN31" s="751"/>
      <c r="BO31" s="751"/>
      <c r="BP31" s="751"/>
      <c r="BQ31" s="751"/>
      <c r="BR31" s="751"/>
      <c r="BS31" s="751"/>
      <c r="BT31" s="751"/>
      <c r="BU31" s="751"/>
      <c r="BV31" s="751"/>
      <c r="BW31" s="751"/>
      <c r="BX31" s="751"/>
      <c r="BY31" s="751"/>
      <c r="BZ31" s="751"/>
      <c r="CA31" s="751"/>
      <c r="CB31" s="751"/>
      <c r="CC31" s="751"/>
      <c r="CD31" s="751"/>
      <c r="CE31" s="751"/>
      <c r="CF31" s="751"/>
      <c r="CG31" s="751"/>
    </row>
    <row r="32" spans="1:85" s="774" customFormat="1" ht="21.75" customHeight="1">
      <c r="A32" s="229" t="str">
        <f ca="1">IF(ROWS($1:19)&gt;COUNT(Dong13),"",OFFSET(TH!E$1,SMALL(Dong13,ROWS($1:19)),))</f>
        <v/>
      </c>
      <c r="B32" s="239" t="str">
        <f ca="1">IF(ROWS($1:19)&gt;COUNT(Dong13),"",OFFSET(TH!H$1,SMALL(Dong13,ROWS($1:19)),))</f>
        <v/>
      </c>
      <c r="C32" s="768" t="str">
        <f t="shared" ca="1" si="0"/>
        <v/>
      </c>
      <c r="D32" s="768" t="str">
        <f ca="1">IF(ROWS($1:19)&gt;COUNT(Dong13),"",OFFSET(TH!D$1,SMALL(Dong13,ROWS($1:19)),))</f>
        <v/>
      </c>
      <c r="E32" s="769" t="str">
        <f t="shared" ca="1" si="1"/>
        <v/>
      </c>
      <c r="F32" s="769" t="str">
        <f t="shared" ca="1" si="2"/>
        <v/>
      </c>
      <c r="G32" s="770" t="str">
        <f ca="1">IF(ROWS($1:19)&gt;COUNT(Dong13),"",OFFSET(TH!F$1,SMALL(Dong13,ROWS($1:19)),))</f>
        <v/>
      </c>
      <c r="H32" s="771" t="str">
        <f ca="1">IF(ROWS($1:19)&gt;COUNT(Dong13),"",OFFSET(TH!I$1,SMALL(Dong13,ROWS($1:19)),))</f>
        <v/>
      </c>
      <c r="I32" s="771" t="str">
        <f ca="1">IF(ROWS($1:19)&gt;COUNT(Dong13),"",OFFSET(TH!J$1,SMALL(Dong13,ROWS($1:19)),))</f>
        <v/>
      </c>
      <c r="J32" s="772">
        <f t="shared" ca="1" si="3"/>
        <v>0</v>
      </c>
      <c r="K32" s="775"/>
      <c r="L32" s="773"/>
      <c r="M32" s="751"/>
      <c r="N32" s="751"/>
      <c r="O32" s="751"/>
      <c r="P32" s="751"/>
      <c r="Q32" s="751"/>
      <c r="R32" s="751"/>
      <c r="S32" s="751"/>
      <c r="T32" s="751"/>
      <c r="U32" s="751"/>
      <c r="V32" s="751"/>
      <c r="W32" s="751"/>
      <c r="X32" s="751"/>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c r="BQ32" s="751"/>
      <c r="BR32" s="751"/>
      <c r="BS32" s="751"/>
      <c r="BT32" s="751"/>
      <c r="BU32" s="751"/>
      <c r="BV32" s="751"/>
      <c r="BW32" s="751"/>
      <c r="BX32" s="751"/>
      <c r="BY32" s="751"/>
      <c r="BZ32" s="751"/>
      <c r="CA32" s="751"/>
      <c r="CB32" s="751"/>
      <c r="CC32" s="751"/>
      <c r="CD32" s="751"/>
      <c r="CE32" s="751"/>
      <c r="CF32" s="751"/>
      <c r="CG32" s="751"/>
    </row>
    <row r="33" spans="1:85" s="774" customFormat="1" ht="21.75" customHeight="1">
      <c r="A33" s="229" t="str">
        <f ca="1">IF(ROWS($1:20)&gt;COUNT(Dong13),"",OFFSET(TH!E$1,SMALL(Dong13,ROWS($1:20)),))</f>
        <v/>
      </c>
      <c r="B33" s="239" t="str">
        <f ca="1">IF(ROWS($1:20)&gt;COUNT(Dong13),"",OFFSET(TH!H$1,SMALL(Dong13,ROWS($1:20)),))</f>
        <v/>
      </c>
      <c r="C33" s="768" t="str">
        <f t="shared" ca="1" si="0"/>
        <v/>
      </c>
      <c r="D33" s="768" t="str">
        <f ca="1">IF(ROWS($1:20)&gt;COUNT(Dong13),"",OFFSET(TH!D$1,SMALL(Dong13,ROWS($1:20)),))</f>
        <v/>
      </c>
      <c r="E33" s="769" t="str">
        <f t="shared" ca="1" si="1"/>
        <v/>
      </c>
      <c r="F33" s="769" t="str">
        <f t="shared" ca="1" si="2"/>
        <v/>
      </c>
      <c r="G33" s="770" t="str">
        <f ca="1">IF(ROWS($1:20)&gt;COUNT(Dong13),"",OFFSET(TH!F$1,SMALL(Dong13,ROWS($1:20)),))</f>
        <v/>
      </c>
      <c r="H33" s="771" t="str">
        <f ca="1">IF(ROWS($1:20)&gt;COUNT(Dong13),"",OFFSET(TH!I$1,SMALL(Dong13,ROWS($1:20)),))</f>
        <v/>
      </c>
      <c r="I33" s="771" t="str">
        <f ca="1">IF(ROWS($1:20)&gt;COUNT(Dong13),"",OFFSET(TH!J$1,SMALL(Dong13,ROWS($1:20)),))</f>
        <v/>
      </c>
      <c r="J33" s="772">
        <f t="shared" ca="1" si="3"/>
        <v>0</v>
      </c>
      <c r="K33" s="775"/>
      <c r="L33" s="773"/>
      <c r="M33" s="751"/>
      <c r="N33" s="751"/>
      <c r="O33" s="751"/>
      <c r="P33" s="751"/>
      <c r="Q33" s="751"/>
      <c r="R33" s="751"/>
      <c r="S33" s="751"/>
      <c r="T33" s="751"/>
      <c r="U33" s="751"/>
      <c r="V33" s="751"/>
      <c r="W33" s="751"/>
      <c r="X33" s="751"/>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c r="BQ33" s="751"/>
      <c r="BR33" s="751"/>
      <c r="BS33" s="751"/>
      <c r="BT33" s="751"/>
      <c r="BU33" s="751"/>
      <c r="BV33" s="751"/>
      <c r="BW33" s="751"/>
      <c r="BX33" s="751"/>
      <c r="BY33" s="751"/>
      <c r="BZ33" s="751"/>
      <c r="CA33" s="751"/>
      <c r="CB33" s="751"/>
      <c r="CC33" s="751"/>
      <c r="CD33" s="751"/>
      <c r="CE33" s="751"/>
      <c r="CF33" s="751"/>
      <c r="CG33" s="751"/>
    </row>
    <row r="34" spans="1:85" s="774" customFormat="1" ht="21.75" customHeight="1">
      <c r="A34" s="229" t="str">
        <f ca="1">IF(ROWS($1:21)&gt;COUNT(Dong13),"",OFFSET(TH!E$1,SMALL(Dong13,ROWS($1:21)),))</f>
        <v/>
      </c>
      <c r="B34" s="239" t="str">
        <f ca="1">IF(ROWS($1:21)&gt;COUNT(Dong13),"",OFFSET(TH!H$1,SMALL(Dong13,ROWS($1:21)),))</f>
        <v/>
      </c>
      <c r="C34" s="768" t="str">
        <f t="shared" ca="1" si="0"/>
        <v/>
      </c>
      <c r="D34" s="768" t="str">
        <f ca="1">IF(ROWS($1:21)&gt;COUNT(Dong13),"",OFFSET(TH!D$1,SMALL(Dong13,ROWS($1:21)),))</f>
        <v/>
      </c>
      <c r="E34" s="769" t="str">
        <f t="shared" ca="1" si="1"/>
        <v/>
      </c>
      <c r="F34" s="769" t="str">
        <f t="shared" ca="1" si="2"/>
        <v/>
      </c>
      <c r="G34" s="770" t="str">
        <f ca="1">IF(ROWS($1:21)&gt;COUNT(Dong13),"",OFFSET(TH!F$1,SMALL(Dong13,ROWS($1:21)),))</f>
        <v/>
      </c>
      <c r="H34" s="771" t="str">
        <f ca="1">IF(ROWS($1:21)&gt;COUNT(Dong13),"",OFFSET(TH!I$1,SMALL(Dong13,ROWS($1:21)),))</f>
        <v/>
      </c>
      <c r="I34" s="771" t="str">
        <f ca="1">IF(ROWS($1:21)&gt;COUNT(Dong13),"",OFFSET(TH!J$1,SMALL(Dong13,ROWS($1:21)),))</f>
        <v/>
      </c>
      <c r="J34" s="772">
        <f t="shared" ca="1" si="3"/>
        <v>0</v>
      </c>
      <c r="K34" s="775"/>
      <c r="L34" s="773"/>
      <c r="M34" s="751"/>
      <c r="N34" s="751"/>
      <c r="O34" s="751"/>
      <c r="P34" s="751"/>
      <c r="Q34" s="751"/>
      <c r="R34" s="751"/>
      <c r="S34" s="751"/>
      <c r="T34" s="751"/>
      <c r="U34" s="751"/>
      <c r="V34" s="751"/>
      <c r="W34" s="751"/>
      <c r="X34" s="751"/>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c r="BQ34" s="751"/>
      <c r="BR34" s="751"/>
      <c r="BS34" s="751"/>
      <c r="BT34" s="751"/>
      <c r="BU34" s="751"/>
      <c r="BV34" s="751"/>
      <c r="BW34" s="751"/>
      <c r="BX34" s="751"/>
      <c r="BY34" s="751"/>
      <c r="BZ34" s="751"/>
      <c r="CA34" s="751"/>
      <c r="CB34" s="751"/>
      <c r="CC34" s="751"/>
      <c r="CD34" s="751"/>
      <c r="CE34" s="751"/>
      <c r="CF34" s="751"/>
      <c r="CG34" s="751"/>
    </row>
    <row r="35" spans="1:85" s="774" customFormat="1" ht="21.75" customHeight="1">
      <c r="A35" s="229" t="str">
        <f ca="1">IF(ROWS($1:22)&gt;COUNT(Dong13),"",OFFSET(TH!E$1,SMALL(Dong13,ROWS($1:22)),))</f>
        <v/>
      </c>
      <c r="B35" s="239" t="str">
        <f ca="1">IF(ROWS($1:22)&gt;COUNT(Dong13),"",OFFSET(TH!H$1,SMALL(Dong13,ROWS($1:22)),))</f>
        <v/>
      </c>
      <c r="C35" s="768" t="str">
        <f t="shared" ca="1" si="0"/>
        <v/>
      </c>
      <c r="D35" s="768" t="str">
        <f ca="1">IF(ROWS($1:22)&gt;COUNT(Dong13),"",OFFSET(TH!D$1,SMALL(Dong13,ROWS($1:22)),))</f>
        <v/>
      </c>
      <c r="E35" s="769" t="str">
        <f t="shared" ca="1" si="1"/>
        <v/>
      </c>
      <c r="F35" s="769" t="str">
        <f t="shared" ca="1" si="2"/>
        <v/>
      </c>
      <c r="G35" s="770" t="str">
        <f ca="1">IF(ROWS($1:22)&gt;COUNT(Dong13),"",OFFSET(TH!F$1,SMALL(Dong13,ROWS($1:22)),))</f>
        <v/>
      </c>
      <c r="H35" s="771" t="str">
        <f ca="1">IF(ROWS($1:22)&gt;COUNT(Dong13),"",OFFSET(TH!I$1,SMALL(Dong13,ROWS($1:22)),))</f>
        <v/>
      </c>
      <c r="I35" s="771" t="str">
        <f ca="1">IF(ROWS($1:22)&gt;COUNT(Dong13),"",OFFSET(TH!J$1,SMALL(Dong13,ROWS($1:22)),))</f>
        <v/>
      </c>
      <c r="J35" s="772">
        <f t="shared" ca="1" si="3"/>
        <v>0</v>
      </c>
      <c r="K35" s="775"/>
      <c r="L35" s="773"/>
      <c r="M35" s="751"/>
      <c r="N35" s="751"/>
      <c r="O35" s="751"/>
      <c r="P35" s="751"/>
      <c r="Q35" s="751"/>
      <c r="R35" s="751"/>
      <c r="S35" s="751"/>
      <c r="T35" s="751"/>
      <c r="U35" s="751"/>
      <c r="V35" s="751"/>
      <c r="W35" s="751"/>
      <c r="X35" s="751"/>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c r="BQ35" s="751"/>
      <c r="BR35" s="751"/>
      <c r="BS35" s="751"/>
      <c r="BT35" s="751"/>
      <c r="BU35" s="751"/>
      <c r="BV35" s="751"/>
      <c r="BW35" s="751"/>
      <c r="BX35" s="751"/>
      <c r="BY35" s="751"/>
      <c r="BZ35" s="751"/>
      <c r="CA35" s="751"/>
      <c r="CB35" s="751"/>
      <c r="CC35" s="751"/>
      <c r="CD35" s="751"/>
      <c r="CE35" s="751"/>
      <c r="CF35" s="751"/>
      <c r="CG35" s="751"/>
    </row>
    <row r="36" spans="1:85" s="774" customFormat="1" ht="21.75" customHeight="1">
      <c r="A36" s="229" t="str">
        <f ca="1">IF(ROWS($1:23)&gt;COUNT(Dong13),"",OFFSET(TH!E$1,SMALL(Dong13,ROWS($1:23)),))</f>
        <v/>
      </c>
      <c r="B36" s="239" t="str">
        <f ca="1">IF(ROWS($1:23)&gt;COUNT(Dong13),"",OFFSET(TH!H$1,SMALL(Dong13,ROWS($1:23)),))</f>
        <v/>
      </c>
      <c r="C36" s="768" t="str">
        <f t="shared" ca="1" si="0"/>
        <v/>
      </c>
      <c r="D36" s="768" t="str">
        <f ca="1">IF(ROWS($1:23)&gt;COUNT(Dong13),"",OFFSET(TH!D$1,SMALL(Dong13,ROWS($1:23)),))</f>
        <v/>
      </c>
      <c r="E36" s="769" t="str">
        <f t="shared" ca="1" si="1"/>
        <v/>
      </c>
      <c r="F36" s="769" t="str">
        <f t="shared" ca="1" si="2"/>
        <v/>
      </c>
      <c r="G36" s="770" t="str">
        <f ca="1">IF(ROWS($1:23)&gt;COUNT(Dong13),"",OFFSET(TH!F$1,SMALL(Dong13,ROWS($1:23)),))</f>
        <v/>
      </c>
      <c r="H36" s="771" t="str">
        <f ca="1">IF(ROWS($1:23)&gt;COUNT(Dong13),"",OFFSET(TH!I$1,SMALL(Dong13,ROWS($1:23)),))</f>
        <v/>
      </c>
      <c r="I36" s="771" t="str">
        <f ca="1">IF(ROWS($1:23)&gt;COUNT(Dong13),"",OFFSET(TH!J$1,SMALL(Dong13,ROWS($1:23)),))</f>
        <v/>
      </c>
      <c r="J36" s="772">
        <f t="shared" ca="1" si="3"/>
        <v>0</v>
      </c>
      <c r="K36" s="775"/>
      <c r="L36" s="773"/>
      <c r="M36" s="751"/>
      <c r="N36" s="751"/>
      <c r="O36" s="751"/>
      <c r="P36" s="751"/>
      <c r="Q36" s="751"/>
      <c r="R36" s="751"/>
      <c r="S36" s="751"/>
      <c r="T36" s="751"/>
      <c r="U36" s="751"/>
      <c r="V36" s="751"/>
      <c r="W36" s="751"/>
      <c r="X36" s="751"/>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c r="BQ36" s="751"/>
      <c r="BR36" s="751"/>
      <c r="BS36" s="751"/>
      <c r="BT36" s="751"/>
      <c r="BU36" s="751"/>
      <c r="BV36" s="751"/>
      <c r="BW36" s="751"/>
      <c r="BX36" s="751"/>
      <c r="BY36" s="751"/>
      <c r="BZ36" s="751"/>
      <c r="CA36" s="751"/>
      <c r="CB36" s="751"/>
      <c r="CC36" s="751"/>
      <c r="CD36" s="751"/>
      <c r="CE36" s="751"/>
      <c r="CF36" s="751"/>
      <c r="CG36" s="751"/>
    </row>
    <row r="37" spans="1:85" s="774" customFormat="1" ht="21.75" customHeight="1">
      <c r="A37" s="229" t="str">
        <f ca="1">IF(ROWS($1:24)&gt;COUNT(Dong13),"",OFFSET(TH!E$1,SMALL(Dong13,ROWS($1:24)),))</f>
        <v/>
      </c>
      <c r="B37" s="239" t="str">
        <f ca="1">IF(ROWS($1:24)&gt;COUNT(Dong13),"",OFFSET(TH!H$1,SMALL(Dong13,ROWS($1:24)),))</f>
        <v/>
      </c>
      <c r="C37" s="768" t="str">
        <f t="shared" ca="1" si="0"/>
        <v/>
      </c>
      <c r="D37" s="768" t="str">
        <f ca="1">IF(ROWS($1:24)&gt;COUNT(Dong13),"",OFFSET(TH!D$1,SMALL(Dong13,ROWS($1:24)),))</f>
        <v/>
      </c>
      <c r="E37" s="769" t="str">
        <f t="shared" ca="1" si="1"/>
        <v/>
      </c>
      <c r="F37" s="769" t="str">
        <f t="shared" ca="1" si="2"/>
        <v/>
      </c>
      <c r="G37" s="770" t="str">
        <f ca="1">IF(ROWS($1:24)&gt;COUNT(Dong13),"",OFFSET(TH!F$1,SMALL(Dong13,ROWS($1:24)),))</f>
        <v/>
      </c>
      <c r="H37" s="771" t="str">
        <f ca="1">IF(ROWS($1:24)&gt;COUNT(Dong13),"",OFFSET(TH!I$1,SMALL(Dong13,ROWS($1:24)),))</f>
        <v/>
      </c>
      <c r="I37" s="771" t="str">
        <f ca="1">IF(ROWS($1:24)&gt;COUNT(Dong13),"",OFFSET(TH!J$1,SMALL(Dong13,ROWS($1:24)),))</f>
        <v/>
      </c>
      <c r="J37" s="772">
        <f t="shared" ca="1" si="3"/>
        <v>0</v>
      </c>
      <c r="K37" s="775"/>
      <c r="L37" s="773"/>
      <c r="M37" s="751"/>
      <c r="N37" s="751"/>
      <c r="O37" s="751"/>
      <c r="P37" s="751"/>
      <c r="Q37" s="751"/>
      <c r="R37" s="751"/>
      <c r="S37" s="751"/>
      <c r="T37" s="751"/>
      <c r="U37" s="751"/>
      <c r="V37" s="751"/>
      <c r="W37" s="751"/>
      <c r="X37" s="751"/>
      <c r="Y37" s="751"/>
      <c r="Z37" s="751"/>
      <c r="AA37" s="751"/>
      <c r="AB37" s="751"/>
      <c r="AC37" s="751"/>
      <c r="AD37" s="751"/>
      <c r="AE37" s="751"/>
      <c r="AF37" s="751"/>
      <c r="AG37" s="751"/>
      <c r="AH37" s="751"/>
      <c r="AI37" s="751"/>
      <c r="AJ37" s="751"/>
      <c r="AK37" s="751"/>
      <c r="AL37" s="751"/>
      <c r="AM37" s="751"/>
      <c r="AN37" s="751"/>
      <c r="AO37" s="751"/>
      <c r="AP37" s="751"/>
      <c r="AQ37" s="751"/>
      <c r="AR37" s="751"/>
      <c r="AS37" s="751"/>
      <c r="AT37" s="751"/>
      <c r="AU37" s="751"/>
      <c r="AV37" s="751"/>
      <c r="AW37" s="751"/>
      <c r="AX37" s="751"/>
      <c r="AY37" s="751"/>
      <c r="AZ37" s="751"/>
      <c r="BA37" s="751"/>
      <c r="BB37" s="751"/>
      <c r="BC37" s="751"/>
      <c r="BD37" s="751"/>
      <c r="BE37" s="751"/>
      <c r="BF37" s="751"/>
      <c r="BG37" s="751"/>
      <c r="BH37" s="751"/>
      <c r="BI37" s="751"/>
      <c r="BJ37" s="751"/>
      <c r="BK37" s="751"/>
      <c r="BL37" s="751"/>
      <c r="BM37" s="751"/>
      <c r="BN37" s="751"/>
      <c r="BO37" s="751"/>
      <c r="BP37" s="751"/>
      <c r="BQ37" s="751"/>
      <c r="BR37" s="751"/>
      <c r="BS37" s="751"/>
      <c r="BT37" s="751"/>
      <c r="BU37" s="751"/>
      <c r="BV37" s="751"/>
      <c r="BW37" s="751"/>
      <c r="BX37" s="751"/>
      <c r="BY37" s="751"/>
      <c r="BZ37" s="751"/>
      <c r="CA37" s="751"/>
      <c r="CB37" s="751"/>
      <c r="CC37" s="751"/>
      <c r="CD37" s="751"/>
      <c r="CE37" s="751"/>
      <c r="CF37" s="751"/>
      <c r="CG37" s="751"/>
    </row>
    <row r="38" spans="1:85" s="774" customFormat="1" ht="21.75" customHeight="1">
      <c r="A38" s="229" t="str">
        <f ca="1">IF(ROWS($1:25)&gt;COUNT(Dong13),"",OFFSET(TH!E$1,SMALL(Dong13,ROWS($1:25)),))</f>
        <v/>
      </c>
      <c r="B38" s="239" t="str">
        <f ca="1">IF(ROWS($1:25)&gt;COUNT(Dong13),"",OFFSET(TH!H$1,SMALL(Dong13,ROWS($1:25)),))</f>
        <v/>
      </c>
      <c r="C38" s="768" t="str">
        <f t="shared" ca="1" si="0"/>
        <v/>
      </c>
      <c r="D38" s="768" t="str">
        <f ca="1">IF(ROWS($1:25)&gt;COUNT(Dong13),"",OFFSET(TH!D$1,SMALL(Dong13,ROWS($1:25)),))</f>
        <v/>
      </c>
      <c r="E38" s="769" t="str">
        <f t="shared" ca="1" si="1"/>
        <v/>
      </c>
      <c r="F38" s="769" t="str">
        <f t="shared" ca="1" si="2"/>
        <v/>
      </c>
      <c r="G38" s="770" t="str">
        <f ca="1">IF(ROWS($1:25)&gt;COUNT(Dong13),"",OFFSET(TH!F$1,SMALL(Dong13,ROWS($1:25)),))</f>
        <v/>
      </c>
      <c r="H38" s="771" t="str">
        <f ca="1">IF(ROWS($1:25)&gt;COUNT(Dong13),"",OFFSET(TH!I$1,SMALL(Dong13,ROWS($1:25)),))</f>
        <v/>
      </c>
      <c r="I38" s="771" t="str">
        <f ca="1">IF(ROWS($1:25)&gt;COUNT(Dong13),"",OFFSET(TH!J$1,SMALL(Dong13,ROWS($1:25)),))</f>
        <v/>
      </c>
      <c r="J38" s="772">
        <f t="shared" ca="1" si="3"/>
        <v>0</v>
      </c>
      <c r="K38" s="775"/>
      <c r="L38" s="773"/>
      <c r="M38" s="751"/>
      <c r="N38" s="751"/>
      <c r="O38" s="751"/>
      <c r="P38" s="751"/>
      <c r="Q38" s="751"/>
      <c r="R38" s="751"/>
      <c r="S38" s="751"/>
      <c r="T38" s="751"/>
      <c r="U38" s="751"/>
      <c r="V38" s="751"/>
      <c r="W38" s="751"/>
      <c r="X38" s="751"/>
      <c r="Y38" s="751"/>
      <c r="Z38" s="751"/>
      <c r="AA38" s="751"/>
      <c r="AB38" s="751"/>
      <c r="AC38" s="751"/>
      <c r="AD38" s="751"/>
      <c r="AE38" s="751"/>
      <c r="AF38" s="751"/>
      <c r="AG38" s="751"/>
      <c r="AH38" s="751"/>
      <c r="AI38" s="751"/>
      <c r="AJ38" s="751"/>
      <c r="AK38" s="751"/>
      <c r="AL38" s="751"/>
      <c r="AM38" s="751"/>
      <c r="AN38" s="751"/>
      <c r="AO38" s="751"/>
      <c r="AP38" s="751"/>
      <c r="AQ38" s="751"/>
      <c r="AR38" s="751"/>
      <c r="AS38" s="751"/>
      <c r="AT38" s="751"/>
      <c r="AU38" s="751"/>
      <c r="AV38" s="751"/>
      <c r="AW38" s="751"/>
      <c r="AX38" s="751"/>
      <c r="AY38" s="751"/>
      <c r="AZ38" s="751"/>
      <c r="BA38" s="751"/>
      <c r="BB38" s="751"/>
      <c r="BC38" s="751"/>
      <c r="BD38" s="751"/>
      <c r="BE38" s="751"/>
      <c r="BF38" s="751"/>
      <c r="BG38" s="751"/>
      <c r="BH38" s="751"/>
      <c r="BI38" s="751"/>
      <c r="BJ38" s="751"/>
      <c r="BK38" s="751"/>
      <c r="BL38" s="751"/>
      <c r="BM38" s="751"/>
      <c r="BN38" s="751"/>
      <c r="BO38" s="751"/>
      <c r="BP38" s="751"/>
      <c r="BQ38" s="751"/>
      <c r="BR38" s="751"/>
      <c r="BS38" s="751"/>
      <c r="BT38" s="751"/>
      <c r="BU38" s="751"/>
      <c r="BV38" s="751"/>
      <c r="BW38" s="751"/>
      <c r="BX38" s="751"/>
      <c r="BY38" s="751"/>
      <c r="BZ38" s="751"/>
      <c r="CA38" s="751"/>
      <c r="CB38" s="751"/>
      <c r="CC38" s="751"/>
      <c r="CD38" s="751"/>
      <c r="CE38" s="751"/>
      <c r="CF38" s="751"/>
      <c r="CG38" s="751"/>
    </row>
    <row r="39" spans="1:85" s="774" customFormat="1" ht="21.75" customHeight="1">
      <c r="A39" s="229" t="str">
        <f ca="1">IF(ROWS($1:26)&gt;COUNT(Dong13),"",OFFSET(TH!E$1,SMALL(Dong13,ROWS($1:26)),))</f>
        <v/>
      </c>
      <c r="B39" s="239" t="str">
        <f ca="1">IF(ROWS($1:26)&gt;COUNT(Dong13),"",OFFSET(TH!H$1,SMALL(Dong13,ROWS($1:26)),))</f>
        <v/>
      </c>
      <c r="C39" s="768" t="str">
        <f t="shared" ca="1" si="0"/>
        <v/>
      </c>
      <c r="D39" s="768" t="str">
        <f ca="1">IF(ROWS($1:26)&gt;COUNT(Dong13),"",OFFSET(TH!D$1,SMALL(Dong13,ROWS($1:26)),))</f>
        <v/>
      </c>
      <c r="E39" s="769" t="str">
        <f t="shared" ca="1" si="1"/>
        <v/>
      </c>
      <c r="F39" s="769" t="str">
        <f t="shared" ca="1" si="2"/>
        <v/>
      </c>
      <c r="G39" s="770" t="str">
        <f ca="1">IF(ROWS($1:26)&gt;COUNT(Dong13),"",OFFSET(TH!F$1,SMALL(Dong13,ROWS($1:26)),))</f>
        <v/>
      </c>
      <c r="H39" s="771" t="str">
        <f ca="1">IF(ROWS($1:26)&gt;COUNT(Dong13),"",OFFSET(TH!I$1,SMALL(Dong13,ROWS($1:26)),))</f>
        <v/>
      </c>
      <c r="I39" s="771" t="str">
        <f ca="1">IF(ROWS($1:26)&gt;COUNT(Dong13),"",OFFSET(TH!J$1,SMALL(Dong13,ROWS($1:26)),))</f>
        <v/>
      </c>
      <c r="J39" s="772">
        <f t="shared" ca="1" si="3"/>
        <v>0</v>
      </c>
      <c r="K39" s="775"/>
      <c r="L39" s="773"/>
      <c r="M39" s="751"/>
      <c r="N39" s="751"/>
      <c r="O39" s="751"/>
      <c r="P39" s="751"/>
      <c r="Q39" s="751"/>
      <c r="R39" s="751"/>
      <c r="S39" s="751"/>
      <c r="T39" s="751"/>
      <c r="U39" s="751"/>
      <c r="V39" s="751"/>
      <c r="W39" s="751"/>
      <c r="X39" s="751"/>
      <c r="Y39" s="751"/>
      <c r="Z39" s="751"/>
      <c r="AA39" s="751"/>
      <c r="AB39" s="751"/>
      <c r="AC39" s="751"/>
      <c r="AD39" s="751"/>
      <c r="AE39" s="751"/>
      <c r="AF39" s="751"/>
      <c r="AG39" s="751"/>
      <c r="AH39" s="751"/>
      <c r="AI39" s="751"/>
      <c r="AJ39" s="751"/>
      <c r="AK39" s="751"/>
      <c r="AL39" s="751"/>
      <c r="AM39" s="751"/>
      <c r="AN39" s="751"/>
      <c r="AO39" s="751"/>
      <c r="AP39" s="751"/>
      <c r="AQ39" s="751"/>
      <c r="AR39" s="751"/>
      <c r="AS39" s="751"/>
      <c r="AT39" s="751"/>
      <c r="AU39" s="751"/>
      <c r="AV39" s="751"/>
      <c r="AW39" s="751"/>
      <c r="AX39" s="751"/>
      <c r="AY39" s="751"/>
      <c r="AZ39" s="751"/>
      <c r="BA39" s="751"/>
      <c r="BB39" s="751"/>
      <c r="BC39" s="751"/>
      <c r="BD39" s="751"/>
      <c r="BE39" s="751"/>
      <c r="BF39" s="751"/>
      <c r="BG39" s="751"/>
      <c r="BH39" s="751"/>
      <c r="BI39" s="751"/>
      <c r="BJ39" s="751"/>
      <c r="BK39" s="751"/>
      <c r="BL39" s="751"/>
      <c r="BM39" s="751"/>
      <c r="BN39" s="751"/>
      <c r="BO39" s="751"/>
      <c r="BP39" s="751"/>
      <c r="BQ39" s="751"/>
      <c r="BR39" s="751"/>
      <c r="BS39" s="751"/>
      <c r="BT39" s="751"/>
      <c r="BU39" s="751"/>
      <c r="BV39" s="751"/>
      <c r="BW39" s="751"/>
      <c r="BX39" s="751"/>
      <c r="BY39" s="751"/>
      <c r="BZ39" s="751"/>
      <c r="CA39" s="751"/>
      <c r="CB39" s="751"/>
      <c r="CC39" s="751"/>
      <c r="CD39" s="751"/>
      <c r="CE39" s="751"/>
      <c r="CF39" s="751"/>
      <c r="CG39" s="751"/>
    </row>
    <row r="40" spans="1:85" s="774" customFormat="1" ht="21.75" customHeight="1">
      <c r="A40" s="229" t="str">
        <f ca="1">IF(ROWS($1:27)&gt;COUNT(Dong13),"",OFFSET(TH!E$1,SMALL(Dong13,ROWS($1:27)),))</f>
        <v/>
      </c>
      <c r="B40" s="239" t="str">
        <f ca="1">IF(ROWS($1:27)&gt;COUNT(Dong13),"",OFFSET(TH!H$1,SMALL(Dong13,ROWS($1:27)),))</f>
        <v/>
      </c>
      <c r="C40" s="768" t="str">
        <f t="shared" ca="1" si="0"/>
        <v/>
      </c>
      <c r="D40" s="768" t="str">
        <f ca="1">IF(ROWS($1:27)&gt;COUNT(Dong13),"",OFFSET(TH!D$1,SMALL(Dong13,ROWS($1:27)),))</f>
        <v/>
      </c>
      <c r="E40" s="769" t="str">
        <f t="shared" ca="1" si="1"/>
        <v/>
      </c>
      <c r="F40" s="769" t="str">
        <f t="shared" ca="1" si="2"/>
        <v/>
      </c>
      <c r="G40" s="770" t="str">
        <f ca="1">IF(ROWS($1:27)&gt;COUNT(Dong13),"",OFFSET(TH!F$1,SMALL(Dong13,ROWS($1:27)),))</f>
        <v/>
      </c>
      <c r="H40" s="771" t="str">
        <f ca="1">IF(ROWS($1:27)&gt;COUNT(Dong13),"",OFFSET(TH!I$1,SMALL(Dong13,ROWS($1:27)),))</f>
        <v/>
      </c>
      <c r="I40" s="771" t="str">
        <f ca="1">IF(ROWS($1:27)&gt;COUNT(Dong13),"",OFFSET(TH!J$1,SMALL(Dong13,ROWS($1:27)),))</f>
        <v/>
      </c>
      <c r="J40" s="772">
        <f t="shared" ca="1" si="3"/>
        <v>0</v>
      </c>
      <c r="K40" s="775"/>
      <c r="L40" s="773"/>
      <c r="M40" s="751"/>
      <c r="N40" s="751"/>
      <c r="O40" s="751"/>
      <c r="P40" s="751"/>
      <c r="Q40" s="751"/>
      <c r="R40" s="751"/>
      <c r="S40" s="751"/>
      <c r="T40" s="751"/>
      <c r="U40" s="751"/>
      <c r="V40" s="751"/>
      <c r="W40" s="751"/>
      <c r="X40" s="751"/>
      <c r="Y40" s="751"/>
      <c r="Z40" s="751"/>
      <c r="AA40" s="751"/>
      <c r="AB40" s="751"/>
      <c r="AC40" s="751"/>
      <c r="AD40" s="751"/>
      <c r="AE40" s="751"/>
      <c r="AF40" s="751"/>
      <c r="AG40" s="751"/>
      <c r="AH40" s="751"/>
      <c r="AI40" s="751"/>
      <c r="AJ40" s="751"/>
      <c r="AK40" s="751"/>
      <c r="AL40" s="751"/>
      <c r="AM40" s="751"/>
      <c r="AN40" s="751"/>
      <c r="AO40" s="751"/>
      <c r="AP40" s="751"/>
      <c r="AQ40" s="751"/>
      <c r="AR40" s="751"/>
      <c r="AS40" s="751"/>
      <c r="AT40" s="751"/>
      <c r="AU40" s="751"/>
      <c r="AV40" s="751"/>
      <c r="AW40" s="751"/>
      <c r="AX40" s="751"/>
      <c r="AY40" s="751"/>
      <c r="AZ40" s="751"/>
      <c r="BA40" s="751"/>
      <c r="BB40" s="751"/>
      <c r="BC40" s="751"/>
      <c r="BD40" s="751"/>
      <c r="BE40" s="751"/>
      <c r="BF40" s="751"/>
      <c r="BG40" s="751"/>
      <c r="BH40" s="751"/>
      <c r="BI40" s="751"/>
      <c r="BJ40" s="751"/>
      <c r="BK40" s="751"/>
      <c r="BL40" s="751"/>
      <c r="BM40" s="751"/>
      <c r="BN40" s="751"/>
      <c r="BO40" s="751"/>
      <c r="BP40" s="751"/>
      <c r="BQ40" s="751"/>
      <c r="BR40" s="751"/>
      <c r="BS40" s="751"/>
      <c r="BT40" s="751"/>
      <c r="BU40" s="751"/>
      <c r="BV40" s="751"/>
      <c r="BW40" s="751"/>
      <c r="BX40" s="751"/>
      <c r="BY40" s="751"/>
      <c r="BZ40" s="751"/>
      <c r="CA40" s="751"/>
      <c r="CB40" s="751"/>
      <c r="CC40" s="751"/>
      <c r="CD40" s="751"/>
      <c r="CE40" s="751"/>
      <c r="CF40" s="751"/>
      <c r="CG40" s="751"/>
    </row>
    <row r="41" spans="1:85" ht="24" customHeight="1">
      <c r="A41" s="752" t="s">
        <v>688</v>
      </c>
      <c r="E41" s="776">
        <f ca="1">SUM(J14:J40)</f>
        <v>0</v>
      </c>
      <c r="F41" s="776"/>
      <c r="J41" s="777"/>
      <c r="N41" s="778">
        <f ca="1">SUBTOTAL(9,J14:J40)</f>
        <v>0</v>
      </c>
    </row>
    <row r="42" spans="1:85">
      <c r="E42" s="779"/>
      <c r="F42" s="754"/>
      <c r="J42" s="780" t="str">
        <f xml:space="preserve"> IF(OR($M$11=1,$M$11=4,$M$11=6,$M$11=9,$M$11=11),"Ngày  30  tháng  "&amp;$M$11&amp;"  năm 2016",IF(OR($M$11=3,$M$11=5,$M$11=7,$M$11=8,$M$11=10,$M$11=12),"Ngày  31  tháng  "&amp;$M$11&amp;"  năm 2016","Ngày  29  tháng  "&amp;$M$11&amp;"  năm 2016"))</f>
        <v>Ngày  30  tháng  1  năm 2016</v>
      </c>
      <c r="K42" s="781"/>
    </row>
    <row r="43" spans="1:85">
      <c r="B43" s="782" t="s">
        <v>689</v>
      </c>
      <c r="C43" s="782"/>
      <c r="D43" s="782"/>
      <c r="J43" s="783" t="s">
        <v>690</v>
      </c>
    </row>
    <row r="44" spans="1:85">
      <c r="B44" s="784" t="s">
        <v>691</v>
      </c>
      <c r="C44" s="784"/>
      <c r="D44" s="784"/>
      <c r="F44" s="785"/>
      <c r="J44" s="786" t="s">
        <v>692</v>
      </c>
    </row>
    <row r="45" spans="1:85">
      <c r="B45" s="784"/>
      <c r="C45" s="784"/>
      <c r="D45" s="784"/>
      <c r="F45" s="785"/>
      <c r="I45" s="786"/>
    </row>
    <row r="46" spans="1:85">
      <c r="B46" s="784"/>
      <c r="C46" s="784"/>
      <c r="D46" s="784"/>
      <c r="F46" s="785"/>
      <c r="I46" s="786"/>
    </row>
    <row r="47" spans="1:85">
      <c r="B47" s="779"/>
      <c r="F47" s="779"/>
      <c r="J47" s="540">
        <f ca="1">SUBTOTAL(9,J14:J46)</f>
        <v>0</v>
      </c>
    </row>
    <row r="48" spans="1:85" ht="36.75" customHeight="1">
      <c r="B48" s="787"/>
      <c r="C48" s="787"/>
      <c r="D48" s="787"/>
      <c r="E48" s="788"/>
      <c r="H48" s="1355"/>
      <c r="I48" s="1355"/>
      <c r="J48" s="1355"/>
    </row>
    <row r="50" spans="1:11">
      <c r="A50" s="789" t="s">
        <v>693</v>
      </c>
    </row>
    <row r="51" spans="1:11" ht="33.75" customHeight="1">
      <c r="A51" s="1356" t="s">
        <v>694</v>
      </c>
      <c r="B51" s="1357"/>
      <c r="C51" s="1357"/>
      <c r="D51" s="1357"/>
      <c r="E51" s="1357"/>
      <c r="F51" s="1357"/>
      <c r="G51" s="1357"/>
      <c r="H51" s="1357"/>
      <c r="I51" s="1357"/>
      <c r="J51" s="1357"/>
      <c r="K51" s="1357"/>
    </row>
    <row r="52" spans="1:11" ht="33.75" customHeight="1">
      <c r="A52" s="1356" t="s">
        <v>695</v>
      </c>
      <c r="B52" s="1356"/>
      <c r="C52" s="1356"/>
      <c r="D52" s="1356"/>
      <c r="E52" s="1356"/>
      <c r="F52" s="1356"/>
      <c r="G52" s="1356"/>
      <c r="H52" s="1356"/>
      <c r="I52" s="1356"/>
      <c r="J52" s="1356"/>
      <c r="K52" s="1356"/>
    </row>
  </sheetData>
  <autoFilter ref="A13:CH44"/>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rintOptions horizontalCentered="1"/>
  <pageMargins left="0.5" right="0.25" top="0.25" bottom="0.25" header="0" footer="0.25"/>
  <pageSetup paperSize="9" scale="80" orientation="portrait" r:id="rId1"/>
  <headerFooter alignWithMargins="0">
    <oddFooter>&amp;RTrang &amp;P/&amp;N</oddFooter>
  </headerFooter>
</worksheet>
</file>

<file path=xl/worksheets/sheet26.xml><?xml version="1.0" encoding="utf-8"?>
<worksheet xmlns="http://schemas.openxmlformats.org/spreadsheetml/2006/main" xmlns:r="http://schemas.openxmlformats.org/officeDocument/2006/relationships">
  <sheetPr>
    <tabColor indexed="50"/>
  </sheetPr>
  <dimension ref="A1:Y288"/>
  <sheetViews>
    <sheetView workbookViewId="0">
      <pane xSplit="3" ySplit="1" topLeftCell="D92" activePane="bottomRight" state="frozen"/>
      <selection activeCell="C33" sqref="C33"/>
      <selection pane="topRight" activeCell="C33" sqref="C33"/>
      <selection pane="bottomLeft" activeCell="C33" sqref="C33"/>
      <selection pane="bottomRight" activeCell="R46" sqref="R46:R53"/>
    </sheetView>
  </sheetViews>
  <sheetFormatPr defaultColWidth="10.28515625" defaultRowHeight="12.75"/>
  <cols>
    <col min="1" max="1" width="4.7109375" style="790" customWidth="1"/>
    <col min="2" max="2" width="23" style="790" customWidth="1"/>
    <col min="3" max="3" width="6.7109375" style="790" customWidth="1"/>
    <col min="4" max="5" width="8.85546875" style="790" customWidth="1"/>
    <col min="6" max="6" width="9.140625" style="790" customWidth="1"/>
    <col min="7" max="7" width="14.28515625" style="790" customWidth="1"/>
    <col min="8" max="11" width="13.7109375" style="790" customWidth="1"/>
    <col min="12" max="12" width="11.85546875" style="790" customWidth="1"/>
    <col min="13" max="13" width="13.7109375" style="790" hidden="1" customWidth="1"/>
    <col min="14" max="14" width="14.5703125" style="790" customWidth="1"/>
    <col min="15" max="15" width="7.28515625" style="790" customWidth="1"/>
    <col min="16" max="16" width="7.7109375" style="790" customWidth="1"/>
    <col min="17" max="17" width="3.42578125" style="791" customWidth="1"/>
    <col min="18" max="18" width="23" style="790" customWidth="1"/>
    <col min="19" max="19" width="10.140625" style="792" customWidth="1"/>
    <col min="20" max="21" width="7.5703125" style="793" customWidth="1"/>
    <col min="22" max="22" width="12.140625" style="790" customWidth="1"/>
    <col min="23" max="23" width="7.7109375" style="790" customWidth="1"/>
    <col min="24" max="16384" width="10.28515625" style="790"/>
  </cols>
  <sheetData>
    <row r="1" spans="1:25">
      <c r="B1" s="790">
        <v>1</v>
      </c>
      <c r="C1" s="790">
        <v>2</v>
      </c>
      <c r="D1" s="790">
        <v>3</v>
      </c>
      <c r="E1" s="790">
        <v>4</v>
      </c>
      <c r="F1" s="790">
        <v>5</v>
      </c>
      <c r="G1" s="790">
        <v>6</v>
      </c>
      <c r="H1" s="790">
        <v>8</v>
      </c>
      <c r="I1" s="790">
        <v>7</v>
      </c>
      <c r="J1" s="790">
        <v>9</v>
      </c>
      <c r="K1" s="790">
        <v>10</v>
      </c>
      <c r="L1" s="790">
        <v>11</v>
      </c>
      <c r="M1" s="790">
        <v>12</v>
      </c>
      <c r="N1" s="790">
        <v>13</v>
      </c>
      <c r="O1" s="790">
        <v>14</v>
      </c>
      <c r="P1" s="790">
        <v>15</v>
      </c>
    </row>
    <row r="2" spans="1:25" ht="18" customHeight="1">
      <c r="A2" s="794" t="s">
        <v>696</v>
      </c>
      <c r="B2" s="794"/>
      <c r="C2" s="795"/>
      <c r="D2" s="796"/>
      <c r="E2" s="796"/>
      <c r="F2" s="796"/>
      <c r="G2" s="793"/>
      <c r="H2" s="793"/>
      <c r="I2" s="793"/>
      <c r="J2" s="793"/>
      <c r="K2" s="793"/>
      <c r="L2" s="797"/>
      <c r="M2" s="793"/>
      <c r="N2" s="793"/>
      <c r="O2" s="798"/>
      <c r="P2" s="793"/>
      <c r="Q2" s="799"/>
      <c r="R2" s="793"/>
      <c r="S2" s="800"/>
    </row>
    <row r="3" spans="1:25" ht="18.75" customHeight="1">
      <c r="A3" s="801" t="s">
        <v>697</v>
      </c>
      <c r="B3" s="801"/>
      <c r="C3" s="801"/>
      <c r="D3" s="801"/>
      <c r="E3" s="801"/>
      <c r="F3" s="801"/>
      <c r="G3" s="801"/>
      <c r="H3" s="801"/>
      <c r="I3" s="801"/>
      <c r="J3" s="801"/>
      <c r="K3" s="801"/>
      <c r="L3" s="801"/>
      <c r="M3" s="801"/>
      <c r="N3" s="801"/>
      <c r="O3" s="801"/>
      <c r="P3" s="801"/>
      <c r="Q3" s="799"/>
      <c r="R3" s="793"/>
      <c r="S3" s="800"/>
    </row>
    <row r="4" spans="1:25" ht="18.75" customHeight="1">
      <c r="A4" s="802"/>
      <c r="B4" s="802"/>
      <c r="C4" s="803"/>
      <c r="D4" s="802"/>
      <c r="E4" s="802"/>
      <c r="F4" s="802"/>
      <c r="G4" s="802"/>
      <c r="H4" s="802"/>
      <c r="I4" s="802"/>
      <c r="J4" s="802"/>
      <c r="K4" s="802"/>
      <c r="L4" s="801"/>
      <c r="M4" s="802"/>
      <c r="N4" s="802"/>
      <c r="O4" s="804"/>
      <c r="P4" s="802"/>
      <c r="Q4" s="799"/>
      <c r="R4" s="793"/>
      <c r="S4" s="800"/>
    </row>
    <row r="5" spans="1:25" ht="12.75" customHeight="1">
      <c r="A5" s="805"/>
      <c r="B5" s="805"/>
      <c r="C5" s="806"/>
      <c r="D5" s="805"/>
      <c r="E5" s="805"/>
      <c r="F5" s="805"/>
      <c r="G5" s="805"/>
      <c r="H5" s="805"/>
      <c r="I5" s="805"/>
      <c r="J5" s="805"/>
      <c r="K5" s="805"/>
      <c r="L5" s="805"/>
      <c r="M5" s="805"/>
      <c r="N5" s="805"/>
      <c r="O5" s="807"/>
      <c r="P5" s="805"/>
      <c r="Q5" s="799"/>
      <c r="R5" s="808"/>
      <c r="S5" s="1374"/>
      <c r="T5" s="1374"/>
      <c r="U5" s="809"/>
      <c r="V5" s="1374"/>
      <c r="W5" s="1374"/>
      <c r="X5" s="808"/>
      <c r="Y5" s="808"/>
    </row>
    <row r="6" spans="1:25" s="816" customFormat="1" ht="30.75" customHeight="1">
      <c r="A6" s="810" t="s">
        <v>45</v>
      </c>
      <c r="B6" s="810" t="s">
        <v>698</v>
      </c>
      <c r="C6" s="811" t="s">
        <v>699</v>
      </c>
      <c r="D6" s="812" t="s">
        <v>700</v>
      </c>
      <c r="E6" s="812" t="s">
        <v>701</v>
      </c>
      <c r="F6" s="812" t="s">
        <v>702</v>
      </c>
      <c r="G6" s="812" t="s">
        <v>703</v>
      </c>
      <c r="H6" s="812" t="s">
        <v>704</v>
      </c>
      <c r="I6" s="812" t="s">
        <v>705</v>
      </c>
      <c r="J6" s="812" t="s">
        <v>706</v>
      </c>
      <c r="K6" s="813" t="s">
        <v>707</v>
      </c>
      <c r="L6" s="812" t="s">
        <v>708</v>
      </c>
      <c r="M6" s="813" t="s">
        <v>709</v>
      </c>
      <c r="N6" s="812" t="s">
        <v>710</v>
      </c>
      <c r="O6" s="814" t="s">
        <v>701</v>
      </c>
      <c r="P6" s="812" t="s">
        <v>711</v>
      </c>
      <c r="Q6" s="815"/>
      <c r="R6" s="810" t="s">
        <v>698</v>
      </c>
      <c r="S6" s="812" t="s">
        <v>665</v>
      </c>
      <c r="T6" s="812" t="s">
        <v>523</v>
      </c>
      <c r="U6" s="812" t="s">
        <v>702</v>
      </c>
      <c r="V6" s="812" t="s">
        <v>712</v>
      </c>
      <c r="W6" s="810" t="s">
        <v>712</v>
      </c>
    </row>
    <row r="7" spans="1:25">
      <c r="A7" s="817" t="str">
        <f>IF(B7&lt;&gt;"",ROW()-(ROW()-1),"")</f>
        <v/>
      </c>
      <c r="B7" s="547"/>
      <c r="C7" s="818"/>
      <c r="D7" s="667">
        <f>ROUND(C7*O7,0)</f>
        <v>0</v>
      </c>
      <c r="E7" s="667"/>
      <c r="F7" s="667"/>
      <c r="G7" s="819">
        <f>(D7+E7)*F7</f>
        <v>0</v>
      </c>
      <c r="H7" s="667">
        <f>IF($D$11&lt;&gt;0,H$11/($D$11+$E$11/5)*($D7+$E7/5),0)</f>
        <v>0</v>
      </c>
      <c r="I7" s="667">
        <f>IF($D$11&lt;&gt;0,I$11/$D$11*$D7,0)</f>
        <v>0</v>
      </c>
      <c r="J7" s="667">
        <f t="shared" ref="J7:K9" si="0">IF($D$11&lt;&gt;0,J$11/$D$11*$D7,0)</f>
        <v>0</v>
      </c>
      <c r="K7" s="667">
        <f t="shared" si="0"/>
        <v>0</v>
      </c>
      <c r="L7" s="667">
        <f>V18+V19</f>
        <v>0</v>
      </c>
      <c r="M7" s="667"/>
      <c r="N7" s="819">
        <f>G7+I7+H7+J7+L7+K7+M7</f>
        <v>0</v>
      </c>
      <c r="O7" s="667"/>
      <c r="P7" s="667" t="str">
        <f>IF(O7&lt;&gt;"",N7/O7,"")</f>
        <v/>
      </c>
      <c r="Q7" s="820"/>
      <c r="R7" s="821"/>
      <c r="S7" s="822"/>
      <c r="T7" s="246"/>
      <c r="U7" s="823"/>
      <c r="V7" s="819">
        <f>ROUND(T7*U7,0)</f>
        <v>0</v>
      </c>
      <c r="W7" s="824"/>
    </row>
    <row r="8" spans="1:25">
      <c r="A8" s="817" t="str">
        <f>IF(B8&lt;&gt;"",A7+1,"")</f>
        <v/>
      </c>
      <c r="B8" s="547"/>
      <c r="C8" s="818"/>
      <c r="D8" s="667">
        <f>ROUND(C8*O8,0)</f>
        <v>0</v>
      </c>
      <c r="E8" s="667"/>
      <c r="F8" s="667"/>
      <c r="G8" s="819">
        <f>(D8+E8)*F8</f>
        <v>0</v>
      </c>
      <c r="H8" s="667">
        <f>IF($D$11&lt;&gt;0,H$11/($D$11+$E$11/5)*($D8+$E8/5),0)</f>
        <v>0</v>
      </c>
      <c r="I8" s="667">
        <f>IF($D$11&lt;&gt;0,I$11/$D$11*$D8,0)</f>
        <v>0</v>
      </c>
      <c r="J8" s="667">
        <f t="shared" si="0"/>
        <v>0</v>
      </c>
      <c r="K8" s="667">
        <f t="shared" si="0"/>
        <v>0</v>
      </c>
      <c r="L8" s="667">
        <f>V20</f>
        <v>0</v>
      </c>
      <c r="M8" s="667"/>
      <c r="N8" s="819">
        <f>G8+I8+H8+J8+L8+K8+M8</f>
        <v>0</v>
      </c>
      <c r="O8" s="825"/>
      <c r="P8" s="667" t="str">
        <f>IF(O8&lt;&gt;"",N8/O8,"")</f>
        <v/>
      </c>
      <c r="Q8" s="820"/>
      <c r="R8" s="826"/>
      <c r="S8" s="822"/>
      <c r="T8" s="246"/>
      <c r="U8" s="827"/>
      <c r="V8" s="819">
        <f t="shared" ref="V8:V15" si="1">ROUND(T8*U8,0)</f>
        <v>0</v>
      </c>
      <c r="W8" s="828"/>
    </row>
    <row r="9" spans="1:25">
      <c r="A9" s="817" t="str">
        <f>IF(B9&lt;&gt;"",A8+1,"")</f>
        <v/>
      </c>
      <c r="B9" s="829"/>
      <c r="C9" s="818"/>
      <c r="D9" s="667">
        <f>ROUND(C9*O9,0)</f>
        <v>0</v>
      </c>
      <c r="E9" s="667"/>
      <c r="F9" s="667"/>
      <c r="G9" s="819">
        <f>(D9+E9)*F9</f>
        <v>0</v>
      </c>
      <c r="H9" s="667">
        <f>IF($D$11&lt;&gt;0,H$11/($D$11+$E$11/5)*($D9+$E9/5),0)</f>
        <v>0</v>
      </c>
      <c r="I9" s="667">
        <f>IF($D$11&lt;&gt;0,I$11/$D$11*$D9,0)</f>
        <v>0</v>
      </c>
      <c r="J9" s="667">
        <f t="shared" si="0"/>
        <v>0</v>
      </c>
      <c r="K9" s="667">
        <f t="shared" si="0"/>
        <v>0</v>
      </c>
      <c r="L9" s="667">
        <f>V21+V22</f>
        <v>0</v>
      </c>
      <c r="M9" s="667"/>
      <c r="N9" s="819">
        <f>G9+I9+H9+J9+L9+K9+M9</f>
        <v>0</v>
      </c>
      <c r="O9" s="825"/>
      <c r="P9" s="667" t="str">
        <f>IF(O9&lt;&gt;"",N9/O9,"")</f>
        <v/>
      </c>
      <c r="Q9" s="820"/>
      <c r="R9" s="826"/>
      <c r="S9" s="822"/>
      <c r="T9" s="246"/>
      <c r="U9" s="827"/>
      <c r="V9" s="819">
        <f t="shared" si="1"/>
        <v>0</v>
      </c>
      <c r="W9" s="828"/>
    </row>
    <row r="10" spans="1:25" s="839" customFormat="1">
      <c r="A10" s="817" t="str">
        <f>IF(B10&lt;&gt;"",#REF!+1,"")</f>
        <v/>
      </c>
      <c r="B10" s="830"/>
      <c r="C10" s="831"/>
      <c r="D10" s="667"/>
      <c r="E10" s="832"/>
      <c r="F10" s="833"/>
      <c r="G10" s="834"/>
      <c r="H10" s="667"/>
      <c r="I10" s="833"/>
      <c r="J10" s="835"/>
      <c r="K10" s="833"/>
      <c r="L10" s="836"/>
      <c r="M10" s="833"/>
      <c r="N10" s="819"/>
      <c r="O10" s="837"/>
      <c r="P10" s="667" t="str">
        <f>IF(B10&lt;&gt;"",N10/O10,"")</f>
        <v/>
      </c>
      <c r="Q10" s="838"/>
      <c r="R10" s="826"/>
      <c r="S10" s="822"/>
      <c r="T10" s="246"/>
      <c r="U10" s="827"/>
      <c r="V10" s="819">
        <f t="shared" si="1"/>
        <v>0</v>
      </c>
      <c r="W10" s="828"/>
    </row>
    <row r="11" spans="1:25" s="794" customFormat="1">
      <c r="A11" s="840"/>
      <c r="B11" s="841" t="s">
        <v>713</v>
      </c>
      <c r="C11" s="842"/>
      <c r="D11" s="843">
        <f>SUM(D7:D10)</f>
        <v>0</v>
      </c>
      <c r="E11" s="843"/>
      <c r="F11" s="843"/>
      <c r="G11" s="843">
        <f>SUM(G7:G10)</f>
        <v>0</v>
      </c>
      <c r="H11" s="844"/>
      <c r="I11" s="844">
        <f>V17</f>
        <v>0</v>
      </c>
      <c r="J11" s="844"/>
      <c r="K11" s="844"/>
      <c r="L11" s="843">
        <f>ROUND(SUM(L7:L10),0)</f>
        <v>0</v>
      </c>
      <c r="M11" s="843">
        <f>ROUND(SUM(M7:M10),0)</f>
        <v>0</v>
      </c>
      <c r="N11" s="843">
        <f>ROUND(SUM(N7:N10),0)</f>
        <v>0</v>
      </c>
      <c r="O11" s="843">
        <f>ROUND(SUM(O7:O10),0)</f>
        <v>0</v>
      </c>
      <c r="P11" s="843"/>
      <c r="Q11" s="799"/>
      <c r="R11" s="826"/>
      <c r="S11" s="822"/>
      <c r="T11" s="246"/>
      <c r="U11" s="827"/>
      <c r="V11" s="819">
        <f t="shared" si="1"/>
        <v>0</v>
      </c>
      <c r="W11" s="828"/>
    </row>
    <row r="12" spans="1:25" s="794" customFormat="1">
      <c r="A12" s="845"/>
      <c r="B12" s="846"/>
      <c r="C12" s="803"/>
      <c r="D12" s="847"/>
      <c r="E12" s="847"/>
      <c r="F12" s="847"/>
      <c r="G12" s="847"/>
      <c r="H12" s="847"/>
      <c r="I12" s="801"/>
      <c r="J12" s="847"/>
      <c r="K12" s="847"/>
      <c r="L12" s="847"/>
      <c r="M12" s="847"/>
      <c r="N12" s="847"/>
      <c r="O12" s="847"/>
      <c r="P12" s="847"/>
      <c r="Q12" s="799"/>
      <c r="R12" s="826"/>
      <c r="S12" s="822"/>
      <c r="T12" s="246"/>
      <c r="U12" s="827"/>
      <c r="V12" s="819">
        <f t="shared" si="1"/>
        <v>0</v>
      </c>
      <c r="W12" s="828"/>
    </row>
    <row r="13" spans="1:25" s="794" customFormat="1">
      <c r="A13" s="845"/>
      <c r="B13" s="846"/>
      <c r="C13" s="803"/>
      <c r="D13" s="847"/>
      <c r="E13" s="847"/>
      <c r="F13" s="847"/>
      <c r="G13" s="848"/>
      <c r="H13" s="847"/>
      <c r="I13" s="801"/>
      <c r="J13" s="847"/>
      <c r="K13" s="847"/>
      <c r="L13" s="847"/>
      <c r="M13" s="847"/>
      <c r="N13" s="847"/>
      <c r="O13" s="847"/>
      <c r="P13" s="847"/>
      <c r="Q13" s="799"/>
      <c r="R13" s="550"/>
      <c r="S13" s="822"/>
      <c r="T13" s="550"/>
      <c r="U13" s="477"/>
      <c r="V13" s="819">
        <f t="shared" si="1"/>
        <v>0</v>
      </c>
      <c r="W13" s="828"/>
    </row>
    <row r="14" spans="1:25" s="794" customFormat="1">
      <c r="A14" s="845"/>
      <c r="B14" s="846"/>
      <c r="C14" s="803"/>
      <c r="D14" s="847"/>
      <c r="E14" s="847"/>
      <c r="F14" s="847"/>
      <c r="G14" s="848"/>
      <c r="H14" s="847"/>
      <c r="I14" s="801"/>
      <c r="J14" s="847"/>
      <c r="K14" s="847"/>
      <c r="L14" s="847"/>
      <c r="M14" s="847"/>
      <c r="N14" s="847"/>
      <c r="O14" s="847"/>
      <c r="P14" s="847"/>
      <c r="Q14" s="799"/>
      <c r="R14" s="826"/>
      <c r="S14" s="822"/>
      <c r="T14" s="246"/>
      <c r="U14" s="827"/>
      <c r="V14" s="819">
        <f t="shared" si="1"/>
        <v>0</v>
      </c>
      <c r="W14" s="828"/>
    </row>
    <row r="15" spans="1:25" s="794" customFormat="1">
      <c r="A15" s="845"/>
      <c r="B15" s="846"/>
      <c r="C15" s="803"/>
      <c r="D15" s="847"/>
      <c r="E15" s="847"/>
      <c r="F15" s="847"/>
      <c r="G15" s="848"/>
      <c r="H15" s="847"/>
      <c r="I15" s="801"/>
      <c r="J15" s="847"/>
      <c r="K15" s="847"/>
      <c r="L15" s="847"/>
      <c r="M15" s="847"/>
      <c r="N15" s="847"/>
      <c r="O15" s="847"/>
      <c r="P15" s="847"/>
      <c r="Q15" s="790"/>
      <c r="R15" s="826"/>
      <c r="S15" s="822"/>
      <c r="T15" s="849"/>
      <c r="U15" s="849"/>
      <c r="V15" s="819">
        <f t="shared" si="1"/>
        <v>0</v>
      </c>
      <c r="W15" s="828"/>
    </row>
    <row r="16" spans="1:25" s="794" customFormat="1">
      <c r="A16" s="845"/>
      <c r="B16" s="846"/>
      <c r="C16" s="803"/>
      <c r="D16" s="847"/>
      <c r="E16" s="847"/>
      <c r="F16" s="847"/>
      <c r="G16" s="848"/>
      <c r="H16" s="847"/>
      <c r="I16" s="801"/>
      <c r="J16" s="847"/>
      <c r="K16" s="847"/>
      <c r="L16" s="847"/>
      <c r="M16" s="847"/>
      <c r="N16" s="847"/>
      <c r="O16" s="847"/>
      <c r="P16" s="847"/>
      <c r="Q16" s="790"/>
      <c r="R16" s="850"/>
      <c r="S16" s="822"/>
      <c r="T16" s="851"/>
      <c r="U16" s="851"/>
      <c r="V16" s="851"/>
      <c r="W16" s="828"/>
    </row>
    <row r="17" spans="1:24" s="794" customFormat="1">
      <c r="A17" s="845"/>
      <c r="B17" s="846"/>
      <c r="C17" s="803"/>
      <c r="D17" s="847"/>
      <c r="E17" s="847"/>
      <c r="F17" s="847"/>
      <c r="G17" s="847"/>
      <c r="H17" s="847"/>
      <c r="I17" s="801"/>
      <c r="J17" s="847"/>
      <c r="K17" s="847"/>
      <c r="L17" s="847"/>
      <c r="M17" s="847"/>
      <c r="N17" s="847"/>
      <c r="O17" s="847"/>
      <c r="P17" s="847"/>
      <c r="Q17" s="790"/>
      <c r="R17" s="1375"/>
      <c r="S17" s="1375"/>
      <c r="T17" s="1375"/>
      <c r="U17" s="852"/>
      <c r="V17" s="853">
        <f>SUM(V7:V16)</f>
        <v>0</v>
      </c>
      <c r="W17" s="853">
        <f>SUM(W7:W16)</f>
        <v>0</v>
      </c>
    </row>
    <row r="18" spans="1:24">
      <c r="G18" s="808"/>
      <c r="H18" s="808"/>
      <c r="I18" s="854"/>
      <c r="N18" s="855"/>
      <c r="O18" s="847"/>
      <c r="R18" s="849"/>
      <c r="S18" s="822"/>
      <c r="T18" s="246"/>
      <c r="U18" s="246"/>
      <c r="V18" s="819">
        <f>ROUND(T18*U18,0)</f>
        <v>0</v>
      </c>
      <c r="W18" s="835"/>
    </row>
    <row r="19" spans="1:24">
      <c r="G19" s="808"/>
      <c r="H19" s="808"/>
      <c r="I19" s="854"/>
      <c r="N19" s="855"/>
      <c r="O19" s="847"/>
      <c r="R19" s="849"/>
      <c r="S19" s="822"/>
      <c r="T19" s="246"/>
      <c r="U19" s="827"/>
      <c r="V19" s="819">
        <f>ROUND(T19*U19,0)</f>
        <v>0</v>
      </c>
      <c r="W19" s="835"/>
    </row>
    <row r="20" spans="1:24">
      <c r="G20" s="808"/>
      <c r="H20" s="808"/>
      <c r="I20" s="854"/>
      <c r="N20" s="855"/>
      <c r="O20" s="847"/>
      <c r="R20" s="849"/>
      <c r="S20" s="822"/>
      <c r="T20" s="827"/>
      <c r="U20" s="827"/>
      <c r="V20" s="819">
        <f>ROUND(T20*U20,0)</f>
        <v>0</v>
      </c>
      <c r="W20" s="835"/>
    </row>
    <row r="21" spans="1:24">
      <c r="G21" s="808"/>
      <c r="H21" s="808"/>
      <c r="I21" s="854"/>
      <c r="N21" s="855"/>
      <c r="O21" s="847"/>
      <c r="R21" s="826"/>
      <c r="S21" s="822"/>
      <c r="T21" s="827"/>
      <c r="U21" s="827"/>
      <c r="V21" s="819">
        <f>ROUND(T21*U21,0)</f>
        <v>0</v>
      </c>
      <c r="W21" s="835"/>
    </row>
    <row r="22" spans="1:24">
      <c r="G22" s="808"/>
      <c r="H22" s="808"/>
      <c r="I22" s="854"/>
      <c r="N22" s="855"/>
      <c r="O22" s="847"/>
      <c r="R22" s="849"/>
      <c r="S22" s="822"/>
      <c r="T22" s="827"/>
      <c r="U22" s="827"/>
      <c r="V22" s="819">
        <f>ROUND(T22*U22,0)</f>
        <v>0</v>
      </c>
      <c r="W22" s="835"/>
    </row>
    <row r="23" spans="1:24" ht="18" customHeight="1">
      <c r="A23" s="794" t="s">
        <v>696</v>
      </c>
      <c r="B23" s="794"/>
      <c r="C23" s="795"/>
      <c r="D23" s="796"/>
      <c r="E23" s="796"/>
      <c r="F23" s="796"/>
      <c r="G23" s="793"/>
      <c r="H23" s="793"/>
      <c r="I23" s="793"/>
      <c r="J23" s="793"/>
      <c r="K23" s="793"/>
      <c r="L23" s="797"/>
      <c r="M23" s="793"/>
      <c r="N23" s="793"/>
      <c r="O23" s="798"/>
      <c r="P23" s="793"/>
      <c r="Q23" s="799"/>
      <c r="R23" s="856"/>
      <c r="S23" s="857"/>
      <c r="T23" s="858"/>
      <c r="U23" s="858"/>
      <c r="V23" s="858"/>
      <c r="W23" s="859"/>
      <c r="X23" s="808"/>
    </row>
    <row r="24" spans="1:24" ht="18.75" customHeight="1">
      <c r="A24" s="801" t="s">
        <v>714</v>
      </c>
      <c r="B24" s="801"/>
      <c r="C24" s="801"/>
      <c r="D24" s="801"/>
      <c r="E24" s="801"/>
      <c r="F24" s="801"/>
      <c r="G24" s="801"/>
      <c r="H24" s="801"/>
      <c r="I24" s="801"/>
      <c r="J24" s="801"/>
      <c r="K24" s="801"/>
      <c r="L24" s="801"/>
      <c r="M24" s="801"/>
      <c r="N24" s="801"/>
      <c r="O24" s="801"/>
      <c r="P24" s="801"/>
      <c r="Q24" s="799"/>
      <c r="R24" s="860"/>
      <c r="S24" s="861"/>
      <c r="T24" s="809"/>
      <c r="U24" s="809"/>
      <c r="V24" s="862"/>
    </row>
    <row r="25" spans="1:24" ht="18.75" customHeight="1">
      <c r="A25" s="802"/>
      <c r="B25" s="802"/>
      <c r="C25" s="803"/>
      <c r="D25" s="802"/>
      <c r="E25" s="802"/>
      <c r="F25" s="802"/>
      <c r="G25" s="802"/>
      <c r="H25" s="802"/>
      <c r="I25" s="802"/>
      <c r="J25" s="802"/>
      <c r="K25" s="802"/>
      <c r="L25" s="801"/>
      <c r="M25" s="802"/>
      <c r="N25" s="802"/>
      <c r="O25" s="804"/>
      <c r="P25" s="802"/>
      <c r="Q25" s="799"/>
      <c r="R25" s="793"/>
      <c r="S25" s="800"/>
    </row>
    <row r="26" spans="1:24" ht="12.75" customHeight="1">
      <c r="A26" s="805"/>
      <c r="B26" s="805"/>
      <c r="C26" s="806"/>
      <c r="D26" s="805"/>
      <c r="E26" s="805"/>
      <c r="F26" s="805"/>
      <c r="G26" s="805"/>
      <c r="H26" s="805"/>
      <c r="I26" s="805"/>
      <c r="J26" s="805"/>
      <c r="K26" s="805"/>
      <c r="L26" s="805"/>
      <c r="M26" s="805"/>
      <c r="N26" s="805"/>
      <c r="O26" s="807"/>
      <c r="P26" s="805"/>
      <c r="Q26" s="799"/>
      <c r="R26" s="793"/>
      <c r="S26" s="800"/>
    </row>
    <row r="27" spans="1:24" s="816" customFormat="1" ht="30.75" customHeight="1">
      <c r="A27" s="810" t="s">
        <v>45</v>
      </c>
      <c r="B27" s="810" t="s">
        <v>698</v>
      </c>
      <c r="C27" s="811" t="s">
        <v>699</v>
      </c>
      <c r="D27" s="812" t="s">
        <v>700</v>
      </c>
      <c r="E27" s="812" t="s">
        <v>701</v>
      </c>
      <c r="F27" s="812" t="s">
        <v>702</v>
      </c>
      <c r="G27" s="812" t="s">
        <v>703</v>
      </c>
      <c r="H27" s="812" t="s">
        <v>704</v>
      </c>
      <c r="I27" s="812" t="s">
        <v>705</v>
      </c>
      <c r="J27" s="812" t="s">
        <v>706</v>
      </c>
      <c r="K27" s="813" t="s">
        <v>707</v>
      </c>
      <c r="L27" s="812" t="s">
        <v>708</v>
      </c>
      <c r="M27" s="813" t="s">
        <v>709</v>
      </c>
      <c r="N27" s="812" t="s">
        <v>710</v>
      </c>
      <c r="O27" s="814" t="s">
        <v>701</v>
      </c>
      <c r="P27" s="812" t="s">
        <v>711</v>
      </c>
      <c r="Q27" s="815"/>
      <c r="R27" s="810" t="s">
        <v>698</v>
      </c>
      <c r="S27" s="812" t="s">
        <v>665</v>
      </c>
      <c r="T27" s="812" t="s">
        <v>523</v>
      </c>
      <c r="U27" s="812" t="s">
        <v>702</v>
      </c>
      <c r="V27" s="812" t="s">
        <v>712</v>
      </c>
      <c r="W27" s="810" t="s">
        <v>712</v>
      </c>
    </row>
    <row r="28" spans="1:24">
      <c r="A28" s="817" t="str">
        <f>IF(B28&lt;&gt;"",ROW()-(ROW()-1),"")</f>
        <v/>
      </c>
      <c r="B28" s="829"/>
      <c r="C28" s="818"/>
      <c r="D28" s="667">
        <f>ROUND(C28*O28,0)</f>
        <v>0</v>
      </c>
      <c r="E28" s="667"/>
      <c r="F28" s="667">
        <v>13500</v>
      </c>
      <c r="G28" s="819">
        <f>(D28+E28)*F28</f>
        <v>0</v>
      </c>
      <c r="H28" s="667">
        <f>IF($D$31&lt;&gt;0,H$31/($D$31+$E$31/5)*($D28+$E28/5),0)</f>
        <v>0</v>
      </c>
      <c r="I28" s="667">
        <f t="shared" ref="I28:K29" si="2">IF($D$31&lt;&gt;0,I$31/$D$31*$D28,0)</f>
        <v>0</v>
      </c>
      <c r="J28" s="667">
        <f t="shared" si="2"/>
        <v>0</v>
      </c>
      <c r="K28" s="667">
        <f t="shared" si="2"/>
        <v>0</v>
      </c>
      <c r="L28" s="667">
        <f>V38</f>
        <v>0</v>
      </c>
      <c r="M28" s="667"/>
      <c r="N28" s="819">
        <f>SUM(G28:L28)</f>
        <v>0</v>
      </c>
      <c r="O28" s="667"/>
      <c r="P28" s="667" t="str">
        <f>IF(O28&lt;&gt;"",N28/O28,"")</f>
        <v/>
      </c>
      <c r="Q28" s="838"/>
      <c r="R28" s="821"/>
      <c r="S28" s="822"/>
      <c r="T28" s="246"/>
      <c r="U28" s="823"/>
      <c r="V28" s="819">
        <f t="shared" ref="V28:V35" si="3">ROUND(T28*U28,0)</f>
        <v>0</v>
      </c>
      <c r="W28" s="824"/>
    </row>
    <row r="29" spans="1:24">
      <c r="A29" s="817" t="str">
        <f>IF(B29&lt;&gt;"",A28+1,"")</f>
        <v/>
      </c>
      <c r="B29" s="826"/>
      <c r="C29" s="818">
        <f>IF(ISNA(VLOOKUP(B29,NXT!$Q$61:$S$81,2,0)),0,VLOOKUP(B29,NXT!$Q$61:$S$81,2,0))</f>
        <v>0</v>
      </c>
      <c r="D29" s="667">
        <f>ROUND(C29*O29,0)</f>
        <v>0</v>
      </c>
      <c r="E29" s="667"/>
      <c r="F29" s="667"/>
      <c r="G29" s="819">
        <f>(D29+E29)*F29</f>
        <v>0</v>
      </c>
      <c r="H29" s="667">
        <f>IF($D$31&lt;&gt;0,H$31/($D$31+$E$31/5)*($D29+$E29/5),0)</f>
        <v>0</v>
      </c>
      <c r="I29" s="667">
        <f t="shared" si="2"/>
        <v>0</v>
      </c>
      <c r="J29" s="667">
        <f t="shared" si="2"/>
        <v>0</v>
      </c>
      <c r="K29" s="667">
        <f t="shared" si="2"/>
        <v>0</v>
      </c>
      <c r="L29" s="667"/>
      <c r="M29" s="667"/>
      <c r="N29" s="819">
        <f>SUM(G29:L29)</f>
        <v>0</v>
      </c>
      <c r="O29" s="825"/>
      <c r="P29" s="667" t="str">
        <f>IF(O29&lt;&gt;"",N29/O29,"")</f>
        <v/>
      </c>
      <c r="Q29" s="838"/>
      <c r="R29" s="826"/>
      <c r="S29" s="822"/>
      <c r="T29" s="246"/>
      <c r="U29" s="246"/>
      <c r="V29" s="819">
        <f t="shared" si="3"/>
        <v>0</v>
      </c>
      <c r="W29" s="828"/>
    </row>
    <row r="30" spans="1:24" s="839" customFormat="1">
      <c r="A30" s="817" t="str">
        <f>IF(B30&lt;&gt;"",#REF!+1,"")</f>
        <v/>
      </c>
      <c r="B30" s="863"/>
      <c r="C30" s="864"/>
      <c r="D30" s="865"/>
      <c r="E30" s="865"/>
      <c r="F30" s="865"/>
      <c r="G30" s="866"/>
      <c r="H30" s="867"/>
      <c r="I30" s="865"/>
      <c r="J30" s="868"/>
      <c r="K30" s="865"/>
      <c r="L30" s="869"/>
      <c r="M30" s="865"/>
      <c r="N30" s="867"/>
      <c r="O30" s="870"/>
      <c r="P30" s="865"/>
      <c r="Q30" s="838"/>
      <c r="R30" s="826"/>
      <c r="S30" s="822"/>
      <c r="T30" s="246"/>
      <c r="U30" s="827"/>
      <c r="V30" s="819">
        <f t="shared" si="3"/>
        <v>0</v>
      </c>
      <c r="W30" s="828"/>
    </row>
    <row r="31" spans="1:24" s="794" customFormat="1">
      <c r="A31" s="840"/>
      <c r="B31" s="841" t="s">
        <v>713</v>
      </c>
      <c r="C31" s="842"/>
      <c r="D31" s="843">
        <f>SUM(D28:D30)</f>
        <v>0</v>
      </c>
      <c r="E31" s="843">
        <f>SUM(E28:E30)</f>
        <v>0</v>
      </c>
      <c r="F31" s="843"/>
      <c r="G31" s="843">
        <f>SUM(G28:G30)</f>
        <v>0</v>
      </c>
      <c r="H31" s="844"/>
      <c r="I31" s="844">
        <f>$V$37</f>
        <v>0</v>
      </c>
      <c r="J31" s="844"/>
      <c r="K31" s="844"/>
      <c r="L31" s="843">
        <f>ROUND(SUM(L28:L30),0)</f>
        <v>0</v>
      </c>
      <c r="M31" s="843">
        <f>ROUND(SUM(M28:M30),0)</f>
        <v>0</v>
      </c>
      <c r="N31" s="843">
        <f>ROUND(SUM(N28:N30),0)</f>
        <v>0</v>
      </c>
      <c r="O31" s="843">
        <f>ROUND(SUM(O28:O30),0)</f>
        <v>0</v>
      </c>
      <c r="P31" s="843"/>
      <c r="Q31" s="799"/>
      <c r="R31" s="826"/>
      <c r="S31" s="822"/>
      <c r="T31" s="246"/>
      <c r="U31" s="827"/>
      <c r="V31" s="819">
        <f t="shared" si="3"/>
        <v>0</v>
      </c>
      <c r="W31" s="828"/>
    </row>
    <row r="32" spans="1:24" s="794" customFormat="1">
      <c r="A32" s="845"/>
      <c r="B32" s="846"/>
      <c r="C32" s="803"/>
      <c r="D32" s="847"/>
      <c r="E32" s="847"/>
      <c r="F32" s="847"/>
      <c r="G32" s="847"/>
      <c r="H32" s="847"/>
      <c r="I32" s="801"/>
      <c r="J32" s="847"/>
      <c r="K32" s="847"/>
      <c r="L32" s="847"/>
      <c r="M32" s="847"/>
      <c r="N32" s="847"/>
      <c r="O32" s="847"/>
      <c r="P32" s="847"/>
      <c r="Q32" s="799"/>
      <c r="R32" s="826"/>
      <c r="S32" s="822"/>
      <c r="T32" s="246"/>
      <c r="U32" s="246"/>
      <c r="V32" s="819">
        <f t="shared" si="3"/>
        <v>0</v>
      </c>
      <c r="W32" s="871"/>
    </row>
    <row r="33" spans="1:23" s="794" customFormat="1">
      <c r="A33" s="845"/>
      <c r="B33" s="846"/>
      <c r="C33" s="803"/>
      <c r="D33" s="847"/>
      <c r="E33" s="847"/>
      <c r="F33" s="847"/>
      <c r="G33" s="847"/>
      <c r="H33" s="847"/>
      <c r="I33" s="801"/>
      <c r="J33" s="847"/>
      <c r="K33" s="847"/>
      <c r="L33" s="847"/>
      <c r="M33" s="847"/>
      <c r="N33" s="847"/>
      <c r="O33" s="847"/>
      <c r="P33" s="847"/>
      <c r="Q33" s="799"/>
      <c r="R33" s="826"/>
      <c r="S33" s="822"/>
      <c r="T33" s="246"/>
      <c r="U33" s="246"/>
      <c r="V33" s="819">
        <f t="shared" si="3"/>
        <v>0</v>
      </c>
      <c r="W33" s="871"/>
    </row>
    <row r="34" spans="1:23" s="794" customFormat="1">
      <c r="A34" s="845"/>
      <c r="B34" s="846"/>
      <c r="C34" s="803"/>
      <c r="D34" s="847"/>
      <c r="E34" s="847"/>
      <c r="F34" s="847"/>
      <c r="G34" s="847"/>
      <c r="H34" s="847"/>
      <c r="I34" s="801"/>
      <c r="J34" s="847"/>
      <c r="K34" s="847"/>
      <c r="L34" s="847"/>
      <c r="M34" s="847"/>
      <c r="N34" s="847"/>
      <c r="O34" s="847"/>
      <c r="P34" s="847"/>
      <c r="Q34" s="799"/>
      <c r="R34" s="826"/>
      <c r="S34" s="822"/>
      <c r="T34" s="246"/>
      <c r="U34" s="246"/>
      <c r="V34" s="819">
        <f t="shared" si="3"/>
        <v>0</v>
      </c>
      <c r="W34" s="871"/>
    </row>
    <row r="35" spans="1:23" s="794" customFormat="1">
      <c r="A35" s="845"/>
      <c r="B35" s="846"/>
      <c r="C35" s="803"/>
      <c r="D35" s="847"/>
      <c r="E35" s="847"/>
      <c r="F35" s="847"/>
      <c r="G35" s="847"/>
      <c r="H35" s="847"/>
      <c r="I35" s="801"/>
      <c r="J35" s="847"/>
      <c r="K35" s="847"/>
      <c r="L35" s="847"/>
      <c r="M35" s="847"/>
      <c r="N35" s="847"/>
      <c r="O35" s="847"/>
      <c r="P35" s="847"/>
      <c r="Q35" s="799"/>
      <c r="R35" s="826"/>
      <c r="S35" s="822"/>
      <c r="T35" s="246"/>
      <c r="U35" s="849"/>
      <c r="V35" s="819">
        <f t="shared" si="3"/>
        <v>0</v>
      </c>
      <c r="W35" s="871"/>
    </row>
    <row r="36" spans="1:23">
      <c r="R36" s="850"/>
      <c r="S36" s="822"/>
      <c r="T36" s="851"/>
      <c r="U36" s="246"/>
      <c r="V36" s="851"/>
      <c r="W36" s="871"/>
    </row>
    <row r="37" spans="1:23">
      <c r="R37" s="872"/>
      <c r="S37" s="873"/>
      <c r="T37" s="874"/>
      <c r="U37" s="852"/>
      <c r="V37" s="853">
        <f>SUM(V28:V36)</f>
        <v>0</v>
      </c>
      <c r="W37" s="853">
        <f>SUM(W28:W36)</f>
        <v>0</v>
      </c>
    </row>
    <row r="38" spans="1:23">
      <c r="R38" s="875"/>
      <c r="S38" s="822"/>
      <c r="T38" s="246"/>
      <c r="U38" s="246"/>
      <c r="V38" s="819">
        <f>ROUND(T38*U38,0)</f>
        <v>0</v>
      </c>
      <c r="W38" s="824"/>
    </row>
    <row r="39" spans="1:23">
      <c r="R39" s="875"/>
      <c r="S39" s="822"/>
      <c r="T39" s="246"/>
      <c r="U39" s="246"/>
      <c r="V39" s="819">
        <f>ROUND(T39*U39,0)</f>
        <v>0</v>
      </c>
      <c r="W39" s="824"/>
    </row>
    <row r="40" spans="1:23">
      <c r="R40" s="875"/>
      <c r="S40" s="822"/>
      <c r="T40" s="246"/>
      <c r="U40" s="246"/>
      <c r="V40" s="819">
        <f>ROUND(T40*U40,0)</f>
        <v>0</v>
      </c>
      <c r="W40" s="824"/>
    </row>
    <row r="41" spans="1:23" ht="18" customHeight="1">
      <c r="A41" s="794" t="s">
        <v>696</v>
      </c>
      <c r="B41" s="794"/>
      <c r="C41" s="795"/>
      <c r="D41" s="796"/>
      <c r="E41" s="796"/>
      <c r="F41" s="796"/>
      <c r="G41" s="793"/>
      <c r="H41" s="793"/>
      <c r="I41" s="793"/>
      <c r="J41" s="793"/>
      <c r="K41" s="793"/>
      <c r="L41" s="797"/>
      <c r="M41" s="793"/>
      <c r="N41" s="793"/>
      <c r="O41" s="798"/>
      <c r="P41" s="793"/>
      <c r="Q41" s="799"/>
      <c r="R41" s="799"/>
      <c r="S41" s="876"/>
      <c r="T41" s="809"/>
      <c r="U41" s="809"/>
      <c r="V41" s="809"/>
      <c r="W41" s="877"/>
    </row>
    <row r="42" spans="1:23" ht="18.75" customHeight="1">
      <c r="A42" s="801" t="s">
        <v>715</v>
      </c>
      <c r="B42" s="801"/>
      <c r="C42" s="801"/>
      <c r="D42" s="801"/>
      <c r="E42" s="801"/>
      <c r="F42" s="801"/>
      <c r="G42" s="801"/>
      <c r="H42" s="801"/>
      <c r="I42" s="801"/>
      <c r="J42" s="801"/>
      <c r="K42" s="801"/>
      <c r="L42" s="801"/>
      <c r="M42" s="801"/>
      <c r="N42" s="801"/>
      <c r="O42" s="801"/>
      <c r="P42" s="801"/>
      <c r="Q42" s="799"/>
      <c r="R42" s="860"/>
      <c r="S42" s="861"/>
      <c r="T42" s="809"/>
      <c r="U42" s="809"/>
      <c r="V42" s="862"/>
      <c r="W42" s="877"/>
    </row>
    <row r="43" spans="1:23" ht="18.75" customHeight="1">
      <c r="A43" s="802"/>
      <c r="B43" s="802"/>
      <c r="C43" s="803"/>
      <c r="D43" s="802"/>
      <c r="E43" s="802"/>
      <c r="F43" s="802"/>
      <c r="G43" s="802"/>
      <c r="H43" s="802"/>
      <c r="I43" s="802"/>
      <c r="J43" s="802"/>
      <c r="K43" s="802"/>
      <c r="L43" s="801"/>
      <c r="M43" s="802"/>
      <c r="N43" s="802"/>
      <c r="O43" s="804"/>
      <c r="P43" s="802"/>
      <c r="Q43" s="799"/>
      <c r="R43" s="860"/>
      <c r="S43" s="861"/>
      <c r="T43" s="809"/>
      <c r="U43" s="809"/>
      <c r="V43" s="862"/>
      <c r="W43" s="877"/>
    </row>
    <row r="44" spans="1:23" ht="12.75" customHeight="1">
      <c r="A44" s="805"/>
      <c r="B44" s="805"/>
      <c r="C44" s="806"/>
      <c r="D44" s="805"/>
      <c r="E44" s="805"/>
      <c r="F44" s="805"/>
      <c r="G44" s="805"/>
      <c r="H44" s="805"/>
      <c r="I44" s="805"/>
      <c r="J44" s="805"/>
      <c r="K44" s="805"/>
      <c r="L44" s="805"/>
      <c r="M44" s="805"/>
      <c r="N44" s="805"/>
      <c r="O44" s="807"/>
      <c r="P44" s="805"/>
      <c r="Q44" s="799"/>
      <c r="R44" s="860"/>
      <c r="S44" s="861"/>
      <c r="T44" s="809"/>
      <c r="U44" s="809"/>
      <c r="V44" s="862"/>
      <c r="W44" s="808"/>
    </row>
    <row r="45" spans="1:23" s="816" customFormat="1" ht="30.75" customHeight="1">
      <c r="A45" s="810" t="s">
        <v>45</v>
      </c>
      <c r="B45" s="810" t="s">
        <v>698</v>
      </c>
      <c r="C45" s="811" t="s">
        <v>699</v>
      </c>
      <c r="D45" s="812" t="s">
        <v>700</v>
      </c>
      <c r="E45" s="812" t="s">
        <v>701</v>
      </c>
      <c r="F45" s="812" t="s">
        <v>702</v>
      </c>
      <c r="G45" s="812" t="s">
        <v>703</v>
      </c>
      <c r="H45" s="812" t="s">
        <v>704</v>
      </c>
      <c r="I45" s="812" t="s">
        <v>705</v>
      </c>
      <c r="J45" s="812" t="s">
        <v>706</v>
      </c>
      <c r="K45" s="813" t="s">
        <v>707</v>
      </c>
      <c r="L45" s="812" t="s">
        <v>708</v>
      </c>
      <c r="M45" s="813" t="s">
        <v>709</v>
      </c>
      <c r="N45" s="812" t="s">
        <v>710</v>
      </c>
      <c r="O45" s="814" t="s">
        <v>701</v>
      </c>
      <c r="P45" s="812" t="s">
        <v>711</v>
      </c>
      <c r="Q45" s="815"/>
      <c r="R45" s="810" t="s">
        <v>698</v>
      </c>
      <c r="S45" s="812" t="s">
        <v>665</v>
      </c>
      <c r="T45" s="812" t="s">
        <v>523</v>
      </c>
      <c r="U45" s="812" t="s">
        <v>702</v>
      </c>
      <c r="V45" s="812" t="s">
        <v>712</v>
      </c>
      <c r="W45" s="810" t="s">
        <v>712</v>
      </c>
    </row>
    <row r="46" spans="1:23">
      <c r="A46" s="817" t="str">
        <f>IF(B46&lt;&gt;"",#REF!+1,"")</f>
        <v/>
      </c>
      <c r="B46" s="878"/>
      <c r="C46" s="818"/>
      <c r="D46" s="667">
        <f>ROUND(C46*O46,0)</f>
        <v>0</v>
      </c>
      <c r="E46" s="667"/>
      <c r="F46" s="667"/>
      <c r="G46" s="819">
        <f t="shared" ref="G46:G47" si="4">(D46+E46)*F46</f>
        <v>0</v>
      </c>
      <c r="H46" s="667">
        <f>IF($D$50&lt;&gt;0,H$50/($D$50+$E$50/5)*($D46+$E46/5),0)</f>
        <v>0</v>
      </c>
      <c r="I46" s="667">
        <f t="shared" ref="I46:K48" si="5">IF($D$50&lt;&gt;0,I$50/$D$50*$D46,0)</f>
        <v>0</v>
      </c>
      <c r="J46" s="667">
        <f t="shared" si="5"/>
        <v>0</v>
      </c>
      <c r="K46" s="667">
        <f t="shared" si="5"/>
        <v>0</v>
      </c>
      <c r="L46" s="667"/>
      <c r="M46" s="667"/>
      <c r="N46" s="819">
        <f>ROUND(SUM(G46:L46),0)</f>
        <v>0</v>
      </c>
      <c r="O46" s="825"/>
      <c r="P46" s="667" t="str">
        <f>IF(O46&lt;&gt;"",N46/O46,"")</f>
        <v/>
      </c>
      <c r="Q46" s="838"/>
      <c r="R46" s="826"/>
      <c r="S46" s="822"/>
      <c r="T46" s="246"/>
      <c r="U46" s="827"/>
      <c r="V46" s="819">
        <f t="shared" ref="V46:V53" si="6">ROUND(T46*U46,0)</f>
        <v>0</v>
      </c>
      <c r="W46" s="828"/>
    </row>
    <row r="47" spans="1:23">
      <c r="A47" s="817" t="str">
        <f>IF(B47&lt;&gt;"",A46+1,"")</f>
        <v/>
      </c>
      <c r="B47" s="829"/>
      <c r="C47" s="818">
        <f>IF(ISNA(VLOOKUP(B47,NXT!$Q$61:$S$81,2,0)),0,VLOOKUP(B47,NXT!$Q$61:$S$81,2,0))</f>
        <v>0</v>
      </c>
      <c r="D47" s="667">
        <f>ROUND(C47*O47,0)</f>
        <v>0</v>
      </c>
      <c r="E47" s="667"/>
      <c r="F47" s="667"/>
      <c r="G47" s="819">
        <f t="shared" si="4"/>
        <v>0</v>
      </c>
      <c r="H47" s="667">
        <f>IF($D$50&lt;&gt;0,H$50/($D$50+$E$50/5)*($D47+$E47/5),0)</f>
        <v>0</v>
      </c>
      <c r="I47" s="667">
        <f t="shared" si="5"/>
        <v>0</v>
      </c>
      <c r="J47" s="667">
        <f t="shared" si="5"/>
        <v>0</v>
      </c>
      <c r="K47" s="667">
        <f t="shared" si="5"/>
        <v>0</v>
      </c>
      <c r="L47" s="667"/>
      <c r="M47" s="667"/>
      <c r="N47" s="819">
        <f>ROUND(SUM(G47:L47),0)</f>
        <v>0</v>
      </c>
      <c r="O47" s="825"/>
      <c r="P47" s="667" t="str">
        <f>IF(O47&lt;&gt;"",N47/O47,"")</f>
        <v/>
      </c>
      <c r="Q47" s="838"/>
      <c r="R47" s="826"/>
      <c r="S47" s="822"/>
      <c r="T47" s="246"/>
      <c r="U47" s="827"/>
      <c r="V47" s="819">
        <f t="shared" si="6"/>
        <v>0</v>
      </c>
      <c r="W47" s="828"/>
    </row>
    <row r="48" spans="1:23">
      <c r="A48" s="817" t="str">
        <f>IF(B48&lt;&gt;"",A47+1,"")</f>
        <v/>
      </c>
      <c r="B48" s="829"/>
      <c r="C48" s="818">
        <f>IF(ISNA(VLOOKUP(B48,NXT!$Q$61:$S$81,2,0)),0,VLOOKUP(B48,NXT!$Q$61:$S$81,2,0))</f>
        <v>0</v>
      </c>
      <c r="D48" s="667">
        <f>ROUND(C48*O48,0)</f>
        <v>0</v>
      </c>
      <c r="E48" s="667"/>
      <c r="F48" s="667"/>
      <c r="G48" s="819">
        <f>(D48+E48)*F48</f>
        <v>0</v>
      </c>
      <c r="H48" s="667">
        <f>IF($D$50&lt;&gt;0,H$50/($D$50+$E$50/5)*($D48+$E48/5),0)</f>
        <v>0</v>
      </c>
      <c r="I48" s="667">
        <f t="shared" si="5"/>
        <v>0</v>
      </c>
      <c r="J48" s="667">
        <f t="shared" si="5"/>
        <v>0</v>
      </c>
      <c r="K48" s="667">
        <f t="shared" si="5"/>
        <v>0</v>
      </c>
      <c r="L48" s="667"/>
      <c r="M48" s="667"/>
      <c r="N48" s="819">
        <f>ROUND(SUM(G48:L48),0)</f>
        <v>0</v>
      </c>
      <c r="O48" s="825"/>
      <c r="P48" s="667" t="str">
        <f>IF(O48&lt;&gt;"",N48/O48,"")</f>
        <v/>
      </c>
      <c r="Q48" s="838"/>
      <c r="R48" s="826"/>
      <c r="S48" s="822"/>
      <c r="T48" s="849"/>
      <c r="U48" s="827"/>
      <c r="V48" s="819">
        <f t="shared" si="6"/>
        <v>0</v>
      </c>
      <c r="W48" s="828"/>
    </row>
    <row r="49" spans="1:23">
      <c r="A49" s="817" t="str">
        <f>IF(B49&lt;&gt;"",#REF!+1,"")</f>
        <v/>
      </c>
      <c r="B49" s="830"/>
      <c r="C49" s="831"/>
      <c r="D49" s="833"/>
      <c r="E49" s="833"/>
      <c r="F49" s="833"/>
      <c r="G49" s="834"/>
      <c r="H49" s="879"/>
      <c r="I49" s="833"/>
      <c r="J49" s="835"/>
      <c r="K49" s="833"/>
      <c r="L49" s="836"/>
      <c r="M49" s="833"/>
      <c r="N49" s="879"/>
      <c r="O49" s="837"/>
      <c r="P49" s="833"/>
      <c r="Q49" s="838"/>
      <c r="R49" s="826"/>
      <c r="S49" s="822"/>
      <c r="T49" s="849"/>
      <c r="U49" s="849"/>
      <c r="V49" s="819">
        <f t="shared" si="6"/>
        <v>0</v>
      </c>
      <c r="W49" s="828"/>
    </row>
    <row r="50" spans="1:23" s="839" customFormat="1">
      <c r="A50" s="840"/>
      <c r="B50" s="841" t="s">
        <v>713</v>
      </c>
      <c r="C50" s="842"/>
      <c r="D50" s="843">
        <f>SUM(D46:D49)</f>
        <v>0</v>
      </c>
      <c r="E50" s="843">
        <f>SUM(E46:E49)</f>
        <v>0</v>
      </c>
      <c r="F50" s="843"/>
      <c r="G50" s="843">
        <f>SUM(G46:G49)</f>
        <v>0</v>
      </c>
      <c r="H50" s="844"/>
      <c r="I50" s="844">
        <f>V55</f>
        <v>0</v>
      </c>
      <c r="J50" s="844"/>
      <c r="K50" s="844"/>
      <c r="L50" s="843">
        <f>ROUND(SUM(L46:L49),0)</f>
        <v>0</v>
      </c>
      <c r="M50" s="843">
        <f>ROUND(SUM(M46:M49),0)</f>
        <v>0</v>
      </c>
      <c r="N50" s="843">
        <f>ROUND(SUM(N46:N49),0)</f>
        <v>0</v>
      </c>
      <c r="O50" s="843">
        <f>ROUND(SUM(O46:O49),0)</f>
        <v>0</v>
      </c>
      <c r="P50" s="843"/>
      <c r="Q50" s="838"/>
      <c r="R50" s="826"/>
      <c r="S50" s="822"/>
      <c r="T50" s="849"/>
      <c r="U50" s="827"/>
      <c r="V50" s="819">
        <f t="shared" si="6"/>
        <v>0</v>
      </c>
      <c r="W50" s="828"/>
    </row>
    <row r="51" spans="1:23" s="794" customFormat="1">
      <c r="A51" s="845"/>
      <c r="B51" s="846"/>
      <c r="C51" s="803"/>
      <c r="D51" s="847"/>
      <c r="E51" s="847"/>
      <c r="F51" s="847"/>
      <c r="G51" s="847"/>
      <c r="H51" s="801"/>
      <c r="I51" s="801"/>
      <c r="J51" s="801"/>
      <c r="K51" s="801"/>
      <c r="L51" s="801"/>
      <c r="M51" s="847"/>
      <c r="N51" s="847"/>
      <c r="O51" s="847"/>
      <c r="P51" s="847"/>
      <c r="Q51" s="799"/>
      <c r="R51" s="550"/>
      <c r="S51" s="880"/>
      <c r="T51" s="849"/>
      <c r="U51" s="827"/>
      <c r="V51" s="819">
        <f t="shared" si="6"/>
        <v>0</v>
      </c>
      <c r="W51" s="828"/>
    </row>
    <row r="52" spans="1:23" s="794" customFormat="1">
      <c r="A52" s="845"/>
      <c r="B52" s="846"/>
      <c r="C52" s="803"/>
      <c r="D52" s="847"/>
      <c r="E52" s="847"/>
      <c r="F52" s="847"/>
      <c r="G52" s="847"/>
      <c r="H52" s="801"/>
      <c r="I52" s="801"/>
      <c r="J52" s="801"/>
      <c r="K52" s="801"/>
      <c r="L52" s="801"/>
      <c r="M52" s="847"/>
      <c r="N52" s="847"/>
      <c r="O52" s="847"/>
      <c r="P52" s="847"/>
      <c r="Q52" s="799"/>
      <c r="R52" s="826"/>
      <c r="S52" s="822"/>
      <c r="T52" s="849"/>
      <c r="U52" s="827"/>
      <c r="V52" s="819">
        <f t="shared" si="6"/>
        <v>0</v>
      </c>
      <c r="W52" s="828"/>
    </row>
    <row r="53" spans="1:23" s="794" customFormat="1">
      <c r="A53" s="845"/>
      <c r="B53" s="846"/>
      <c r="C53" s="803"/>
      <c r="D53" s="847"/>
      <c r="E53" s="847"/>
      <c r="F53" s="847"/>
      <c r="G53" s="847"/>
      <c r="H53" s="801"/>
      <c r="I53" s="801"/>
      <c r="J53" s="801"/>
      <c r="K53" s="801"/>
      <c r="L53" s="801"/>
      <c r="M53" s="847"/>
      <c r="N53" s="847"/>
      <c r="O53" s="847"/>
      <c r="P53" s="847"/>
      <c r="Q53" s="799"/>
      <c r="R53" s="826"/>
      <c r="S53" s="822"/>
      <c r="T53" s="849"/>
      <c r="U53" s="827"/>
      <c r="V53" s="819">
        <f t="shared" si="6"/>
        <v>0</v>
      </c>
      <c r="W53" s="828"/>
    </row>
    <row r="54" spans="1:23" s="794" customFormat="1">
      <c r="A54" s="845"/>
      <c r="B54" s="846"/>
      <c r="C54" s="803"/>
      <c r="D54" s="847"/>
      <c r="E54" s="847"/>
      <c r="F54" s="847"/>
      <c r="G54" s="847"/>
      <c r="H54" s="847"/>
      <c r="I54" s="801"/>
      <c r="J54" s="847"/>
      <c r="K54" s="847"/>
      <c r="L54" s="847"/>
      <c r="M54" s="847"/>
      <c r="N54" s="847"/>
      <c r="O54" s="847"/>
      <c r="P54" s="847"/>
      <c r="Q54" s="799"/>
      <c r="R54" s="881"/>
      <c r="S54" s="882"/>
      <c r="T54" s="883"/>
      <c r="U54" s="883"/>
      <c r="V54" s="883"/>
      <c r="W54" s="884"/>
    </row>
    <row r="55" spans="1:23" s="794" customFormat="1">
      <c r="A55" s="845"/>
      <c r="B55" s="846"/>
      <c r="C55" s="803"/>
      <c r="D55" s="847"/>
      <c r="E55" s="847"/>
      <c r="F55" s="847"/>
      <c r="G55" s="847"/>
      <c r="H55" s="847"/>
      <c r="I55" s="801"/>
      <c r="J55" s="847"/>
      <c r="K55" s="847"/>
      <c r="L55" s="847"/>
      <c r="M55" s="847"/>
      <c r="N55" s="847"/>
      <c r="O55" s="847"/>
      <c r="P55" s="847"/>
      <c r="Q55" s="799"/>
      <c r="R55" s="872"/>
      <c r="S55" s="873"/>
      <c r="T55" s="874"/>
      <c r="U55" s="852"/>
      <c r="V55" s="853">
        <f>SUM(V46:V54)</f>
        <v>0</v>
      </c>
      <c r="W55" s="853">
        <f>SUM(W46:W51)</f>
        <v>0</v>
      </c>
    </row>
    <row r="56" spans="1:23" s="794" customFormat="1">
      <c r="A56" s="845"/>
      <c r="B56" s="846"/>
      <c r="C56" s="803"/>
      <c r="D56" s="847"/>
      <c r="E56" s="847"/>
      <c r="F56" s="847"/>
      <c r="G56" s="848"/>
      <c r="H56" s="847"/>
      <c r="I56" s="801"/>
      <c r="J56" s="847"/>
      <c r="K56" s="847"/>
      <c r="L56" s="847"/>
      <c r="M56" s="847"/>
      <c r="N56" s="885"/>
      <c r="O56" s="847"/>
      <c r="P56" s="847"/>
      <c r="Q56" s="799"/>
      <c r="R56" s="875"/>
      <c r="S56" s="822"/>
      <c r="T56" s="246"/>
      <c r="U56" s="246"/>
      <c r="V56" s="819">
        <f t="shared" ref="V56:V61" si="7">ROUND(T56*U56,0)</f>
        <v>0</v>
      </c>
      <c r="W56" s="819"/>
    </row>
    <row r="57" spans="1:23" s="794" customFormat="1">
      <c r="A57" s="845"/>
      <c r="B57" s="846"/>
      <c r="C57" s="803"/>
      <c r="D57" s="847"/>
      <c r="E57" s="847"/>
      <c r="F57" s="847"/>
      <c r="G57" s="847"/>
      <c r="H57" s="847"/>
      <c r="I57" s="801"/>
      <c r="J57" s="847"/>
      <c r="K57" s="847"/>
      <c r="L57" s="847"/>
      <c r="M57" s="847"/>
      <c r="N57" s="847"/>
      <c r="O57" s="847"/>
      <c r="P57" s="847"/>
      <c r="Q57" s="799"/>
      <c r="R57" s="875"/>
      <c r="S57" s="822"/>
      <c r="T57" s="827"/>
      <c r="U57" s="827"/>
      <c r="V57" s="819">
        <f t="shared" si="7"/>
        <v>0</v>
      </c>
      <c r="W57" s="835"/>
    </row>
    <row r="58" spans="1:23" s="794" customFormat="1">
      <c r="A58" s="845"/>
      <c r="B58" s="846"/>
      <c r="C58" s="803"/>
      <c r="D58" s="847"/>
      <c r="E58" s="847"/>
      <c r="F58" s="847"/>
      <c r="G58" s="847"/>
      <c r="H58" s="847"/>
      <c r="I58" s="801"/>
      <c r="J58" s="847"/>
      <c r="K58" s="847"/>
      <c r="L58" s="847"/>
      <c r="M58" s="847"/>
      <c r="N58" s="847"/>
      <c r="O58" s="847"/>
      <c r="P58" s="847"/>
      <c r="Q58" s="799"/>
      <c r="R58" s="875"/>
      <c r="S58" s="822"/>
      <c r="T58" s="827"/>
      <c r="U58" s="827"/>
      <c r="V58" s="819">
        <f t="shared" si="7"/>
        <v>0</v>
      </c>
      <c r="W58" s="835"/>
    </row>
    <row r="59" spans="1:23" s="794" customFormat="1">
      <c r="A59" s="790"/>
      <c r="B59" s="790"/>
      <c r="C59" s="790"/>
      <c r="D59" s="790"/>
      <c r="E59" s="790"/>
      <c r="F59" s="790"/>
      <c r="G59" s="790"/>
      <c r="H59" s="790"/>
      <c r="I59" s="790"/>
      <c r="J59" s="790"/>
      <c r="K59" s="790"/>
      <c r="L59" s="790"/>
      <c r="M59" s="790"/>
      <c r="N59" s="790"/>
      <c r="O59" s="790"/>
      <c r="P59" s="790"/>
      <c r="Q59" s="799"/>
      <c r="R59" s="875"/>
      <c r="S59" s="822"/>
      <c r="T59" s="827"/>
      <c r="U59" s="827"/>
      <c r="V59" s="819">
        <f t="shared" si="7"/>
        <v>0</v>
      </c>
      <c r="W59" s="835"/>
    </row>
    <row r="60" spans="1:23">
      <c r="R60" s="875"/>
      <c r="S60" s="822"/>
      <c r="T60" s="827"/>
      <c r="U60" s="827"/>
      <c r="V60" s="819">
        <f t="shared" si="7"/>
        <v>0</v>
      </c>
      <c r="W60" s="835"/>
    </row>
    <row r="61" spans="1:23">
      <c r="R61" s="875"/>
      <c r="S61" s="822"/>
      <c r="T61" s="246"/>
      <c r="U61" s="246"/>
      <c r="V61" s="819">
        <f t="shared" si="7"/>
        <v>0</v>
      </c>
      <c r="W61" s="835"/>
    </row>
    <row r="62" spans="1:23" ht="18" customHeight="1">
      <c r="A62" s="794" t="s">
        <v>696</v>
      </c>
      <c r="B62" s="794"/>
      <c r="C62" s="795"/>
      <c r="D62" s="796"/>
      <c r="E62" s="796"/>
      <c r="F62" s="796"/>
      <c r="G62" s="793"/>
      <c r="H62" s="793"/>
      <c r="I62" s="793"/>
      <c r="J62" s="793"/>
      <c r="K62" s="793"/>
      <c r="L62" s="797"/>
      <c r="M62" s="793"/>
      <c r="N62" s="793"/>
      <c r="O62" s="798"/>
      <c r="P62" s="793"/>
      <c r="Q62" s="799"/>
      <c r="R62" s="793"/>
      <c r="S62" s="800"/>
    </row>
    <row r="63" spans="1:23" ht="18.75" customHeight="1">
      <c r="A63" s="801" t="s">
        <v>716</v>
      </c>
      <c r="B63" s="801"/>
      <c r="C63" s="801"/>
      <c r="D63" s="801"/>
      <c r="E63" s="801"/>
      <c r="F63" s="801"/>
      <c r="G63" s="801"/>
      <c r="H63" s="801"/>
      <c r="I63" s="801"/>
      <c r="J63" s="801"/>
      <c r="K63" s="801"/>
      <c r="L63" s="801"/>
      <c r="M63" s="801"/>
      <c r="N63" s="801"/>
      <c r="O63" s="801"/>
      <c r="P63" s="801"/>
      <c r="Q63" s="799"/>
      <c r="R63" s="793"/>
      <c r="S63" s="800"/>
    </row>
    <row r="64" spans="1:23" ht="18.75" customHeight="1">
      <c r="A64" s="802"/>
      <c r="B64" s="802"/>
      <c r="C64" s="803"/>
      <c r="D64" s="802"/>
      <c r="E64" s="802"/>
      <c r="F64" s="802"/>
      <c r="G64" s="802"/>
      <c r="H64" s="802"/>
      <c r="I64" s="802"/>
      <c r="J64" s="802"/>
      <c r="K64" s="802"/>
      <c r="L64" s="801"/>
      <c r="M64" s="802"/>
      <c r="N64" s="802"/>
      <c r="O64" s="804"/>
      <c r="P64" s="802"/>
      <c r="Q64" s="799"/>
      <c r="R64" s="793"/>
      <c r="S64" s="800"/>
    </row>
    <row r="65" spans="1:23" ht="12.75" customHeight="1">
      <c r="A65" s="805"/>
      <c r="B65" s="805"/>
      <c r="C65" s="806"/>
      <c r="D65" s="805"/>
      <c r="E65" s="805"/>
      <c r="F65" s="805"/>
      <c r="G65" s="805"/>
      <c r="H65" s="805"/>
      <c r="I65" s="805"/>
      <c r="J65" s="805"/>
      <c r="K65" s="805"/>
      <c r="L65" s="805"/>
      <c r="M65" s="805"/>
      <c r="N65" s="805"/>
      <c r="O65" s="807"/>
      <c r="P65" s="805"/>
      <c r="Q65" s="799"/>
      <c r="R65" s="793"/>
      <c r="S65" s="800"/>
    </row>
    <row r="66" spans="1:23" s="816" customFormat="1" ht="30.75" customHeight="1">
      <c r="A66" s="810" t="s">
        <v>45</v>
      </c>
      <c r="B66" s="810" t="s">
        <v>698</v>
      </c>
      <c r="C66" s="811" t="s">
        <v>699</v>
      </c>
      <c r="D66" s="812" t="s">
        <v>700</v>
      </c>
      <c r="E66" s="812" t="s">
        <v>701</v>
      </c>
      <c r="F66" s="812" t="s">
        <v>702</v>
      </c>
      <c r="G66" s="812" t="s">
        <v>703</v>
      </c>
      <c r="H66" s="812" t="s">
        <v>704</v>
      </c>
      <c r="I66" s="812" t="s">
        <v>705</v>
      </c>
      <c r="J66" s="812" t="s">
        <v>706</v>
      </c>
      <c r="K66" s="813" t="s">
        <v>707</v>
      </c>
      <c r="L66" s="812" t="s">
        <v>708</v>
      </c>
      <c r="M66" s="813" t="s">
        <v>709</v>
      </c>
      <c r="N66" s="812" t="s">
        <v>710</v>
      </c>
      <c r="O66" s="814" t="s">
        <v>701</v>
      </c>
      <c r="P66" s="812" t="s">
        <v>711</v>
      </c>
      <c r="Q66" s="815"/>
      <c r="R66" s="810" t="s">
        <v>698</v>
      </c>
      <c r="S66" s="812" t="s">
        <v>665</v>
      </c>
      <c r="T66" s="812" t="s">
        <v>523</v>
      </c>
      <c r="U66" s="812" t="s">
        <v>702</v>
      </c>
      <c r="V66" s="812" t="s">
        <v>712</v>
      </c>
      <c r="W66" s="810" t="s">
        <v>712</v>
      </c>
    </row>
    <row r="67" spans="1:23">
      <c r="A67" s="886" t="str">
        <f>IF(B67&lt;&gt;"",ROW()-(ROW()-1),"")</f>
        <v/>
      </c>
      <c r="B67" s="887"/>
      <c r="C67" s="818">
        <f>IF(ISNA(VLOOKUP(B67,NXT!$Q$61:$S$81,2,0)),0,VLOOKUP(B67,NXT!$Q$61:$S$81,2,0))</f>
        <v>0</v>
      </c>
      <c r="D67" s="667">
        <f>ROUND(C67*O67,0)</f>
        <v>0</v>
      </c>
      <c r="E67" s="667"/>
      <c r="F67" s="667"/>
      <c r="G67" s="819">
        <f>(D67+E67)*F67</f>
        <v>0</v>
      </c>
      <c r="H67" s="667">
        <f>IF($D$70&lt;&gt;0,H$70/($D$70+$E$70/5)*($D67+$E67/5),0)</f>
        <v>0</v>
      </c>
      <c r="I67" s="667">
        <f t="shared" ref="I67:K68" si="8">IF($D$70&lt;&gt;0,I$70/$D$70*$D67,0)</f>
        <v>0</v>
      </c>
      <c r="J67" s="667">
        <f t="shared" si="8"/>
        <v>0</v>
      </c>
      <c r="K67" s="667">
        <f t="shared" si="8"/>
        <v>0</v>
      </c>
      <c r="L67" s="819"/>
      <c r="M67" s="667" t="e">
        <f>34560000/($O$67+#REF!+#REF!)*O67</f>
        <v>#REF!</v>
      </c>
      <c r="N67" s="819">
        <f>ROUND(SUM(G67:L67),0)</f>
        <v>0</v>
      </c>
      <c r="O67" s="667"/>
      <c r="P67" s="667">
        <f>IF(N67&lt;&gt;0,N67/O67,0)</f>
        <v>0</v>
      </c>
      <c r="Q67" s="838"/>
      <c r="R67" s="821"/>
      <c r="S67" s="888"/>
      <c r="T67" s="246"/>
      <c r="U67" s="823"/>
      <c r="V67" s="819">
        <f t="shared" ref="V67:V77" si="9">ROUND(T67*U67,0)</f>
        <v>0</v>
      </c>
      <c r="W67" s="819"/>
    </row>
    <row r="68" spans="1:23">
      <c r="A68" s="889" t="str">
        <f>IF(B68&lt;&gt;"",A67+1,"")</f>
        <v/>
      </c>
      <c r="B68" s="547"/>
      <c r="C68" s="818">
        <f>IF(ISNA(VLOOKUP(B68,NXT!$Q$61:$S$81,2,0)),0,VLOOKUP(B68,NXT!$Q$61:$S$81,2,0))</f>
        <v>0</v>
      </c>
      <c r="D68" s="667">
        <f>ROUND(C68*O68,0)</f>
        <v>0</v>
      </c>
      <c r="E68" s="667"/>
      <c r="F68" s="667"/>
      <c r="G68" s="819">
        <f>(D68+E68)*F68</f>
        <v>0</v>
      </c>
      <c r="H68" s="667">
        <f>IF($D$70&lt;&gt;0,H$70/($D$70+$E$70/5)*($D68+$E68/5),0)</f>
        <v>0</v>
      </c>
      <c r="I68" s="667">
        <f t="shared" si="8"/>
        <v>0</v>
      </c>
      <c r="J68" s="667">
        <f t="shared" si="8"/>
        <v>0</v>
      </c>
      <c r="K68" s="667">
        <f t="shared" si="8"/>
        <v>0</v>
      </c>
      <c r="L68" s="819"/>
      <c r="M68" s="667"/>
      <c r="N68" s="819">
        <f>ROUND(SUM(G68:L68),0)</f>
        <v>0</v>
      </c>
      <c r="O68" s="825"/>
      <c r="P68" s="667">
        <f>IF(N68&lt;&gt;0,N68/O68,0)</f>
        <v>0</v>
      </c>
      <c r="Q68" s="838"/>
      <c r="R68" s="826"/>
      <c r="S68" s="888"/>
      <c r="T68" s="246"/>
      <c r="U68" s="827"/>
      <c r="V68" s="819">
        <f t="shared" si="9"/>
        <v>0</v>
      </c>
      <c r="W68" s="835"/>
    </row>
    <row r="69" spans="1:23">
      <c r="A69" s="817" t="str">
        <f>IF(B69&lt;&gt;"",#REF!+1,"")</f>
        <v/>
      </c>
      <c r="B69" s="830"/>
      <c r="C69" s="831"/>
      <c r="D69" s="833"/>
      <c r="E69" s="833"/>
      <c r="F69" s="833"/>
      <c r="G69" s="834"/>
      <c r="H69" s="879"/>
      <c r="I69" s="833"/>
      <c r="J69" s="835"/>
      <c r="K69" s="833"/>
      <c r="L69" s="836"/>
      <c r="M69" s="833"/>
      <c r="N69" s="867"/>
      <c r="O69" s="837"/>
      <c r="P69" s="833"/>
      <c r="Q69" s="838"/>
      <c r="R69" s="826"/>
      <c r="S69" s="888"/>
      <c r="T69" s="246"/>
      <c r="U69" s="827"/>
      <c r="V69" s="819">
        <f t="shared" si="9"/>
        <v>0</v>
      </c>
      <c r="W69" s="835"/>
    </row>
    <row r="70" spans="1:23" s="839" customFormat="1">
      <c r="A70" s="840"/>
      <c r="B70" s="841" t="s">
        <v>713</v>
      </c>
      <c r="C70" s="842"/>
      <c r="D70" s="843">
        <f>SUM(D67:D68)</f>
        <v>0</v>
      </c>
      <c r="E70" s="843"/>
      <c r="F70" s="843"/>
      <c r="G70" s="843">
        <f>SUM(G67:G68)</f>
        <v>0</v>
      </c>
      <c r="H70" s="844"/>
      <c r="I70" s="844">
        <f>V79</f>
        <v>0</v>
      </c>
      <c r="J70" s="844"/>
      <c r="K70" s="844"/>
      <c r="L70" s="843">
        <f>ROUND(SUM(L67:L69),0)</f>
        <v>0</v>
      </c>
      <c r="M70" s="843" t="e">
        <f>ROUND(SUM(M67:M69),0)</f>
        <v>#REF!</v>
      </c>
      <c r="N70" s="843">
        <f>ROUND(SUM(N67:N69),0)</f>
        <v>0</v>
      </c>
      <c r="O70" s="843">
        <f>ROUND(SUM(O67:O69),0)</f>
        <v>0</v>
      </c>
      <c r="P70" s="843"/>
      <c r="Q70" s="838"/>
      <c r="R70" s="826"/>
      <c r="S70" s="888"/>
      <c r="T70" s="849"/>
      <c r="U70" s="827"/>
      <c r="V70" s="819">
        <f t="shared" si="9"/>
        <v>0</v>
      </c>
      <c r="W70" s="835"/>
    </row>
    <row r="71" spans="1:23" s="794" customFormat="1">
      <c r="A71" s="790"/>
      <c r="B71" s="790"/>
      <c r="C71" s="790"/>
      <c r="D71" s="790"/>
      <c r="E71" s="790"/>
      <c r="F71" s="790"/>
      <c r="G71" s="790"/>
      <c r="H71" s="790"/>
      <c r="I71" s="790"/>
      <c r="J71" s="790"/>
      <c r="K71" s="790"/>
      <c r="L71" s="790"/>
      <c r="M71" s="790"/>
      <c r="N71" s="790"/>
      <c r="O71" s="790"/>
      <c r="P71" s="790"/>
      <c r="Q71" s="838"/>
      <c r="R71" s="826"/>
      <c r="S71" s="888"/>
      <c r="T71" s="246"/>
      <c r="U71" s="827"/>
      <c r="V71" s="819">
        <f t="shared" si="9"/>
        <v>0</v>
      </c>
      <c r="W71" s="835"/>
    </row>
    <row r="72" spans="1:23">
      <c r="Q72" s="838"/>
      <c r="R72" s="826"/>
      <c r="S72" s="888"/>
      <c r="T72" s="246"/>
      <c r="U72" s="827"/>
      <c r="V72" s="819">
        <f t="shared" si="9"/>
        <v>0</v>
      </c>
      <c r="W72" s="835"/>
    </row>
    <row r="73" spans="1:23">
      <c r="Q73" s="838"/>
      <c r="R73" s="826"/>
      <c r="S73" s="888"/>
      <c r="T73" s="246"/>
      <c r="U73" s="827"/>
      <c r="V73" s="819">
        <f t="shared" si="9"/>
        <v>0</v>
      </c>
      <c r="W73" s="835"/>
    </row>
    <row r="74" spans="1:23">
      <c r="Q74" s="838"/>
      <c r="R74" s="826"/>
      <c r="S74" s="888"/>
      <c r="T74" s="849"/>
      <c r="U74" s="849"/>
      <c r="V74" s="819">
        <f t="shared" si="9"/>
        <v>0</v>
      </c>
      <c r="W74" s="835"/>
    </row>
    <row r="75" spans="1:23">
      <c r="Q75" s="838"/>
      <c r="R75" s="826"/>
      <c r="S75" s="890"/>
      <c r="T75" s="849"/>
      <c r="U75" s="827"/>
      <c r="V75" s="819">
        <f t="shared" si="9"/>
        <v>0</v>
      </c>
      <c r="W75" s="835"/>
    </row>
    <row r="76" spans="1:23">
      <c r="Q76" s="838"/>
      <c r="R76" s="891"/>
      <c r="S76" s="890"/>
      <c r="T76" s="849"/>
      <c r="U76" s="827"/>
      <c r="V76" s="819">
        <f t="shared" si="9"/>
        <v>0</v>
      </c>
      <c r="W76" s="835"/>
    </row>
    <row r="77" spans="1:23">
      <c r="Q77" s="838"/>
      <c r="R77" s="826"/>
      <c r="S77" s="890"/>
      <c r="T77" s="849"/>
      <c r="U77" s="827"/>
      <c r="V77" s="819">
        <f t="shared" si="9"/>
        <v>0</v>
      </c>
      <c r="W77" s="835"/>
    </row>
    <row r="78" spans="1:23">
      <c r="Q78" s="838"/>
      <c r="R78" s="892"/>
      <c r="S78" s="822"/>
      <c r="T78" s="246"/>
      <c r="U78" s="246"/>
      <c r="V78" s="835"/>
      <c r="W78" s="835"/>
    </row>
    <row r="79" spans="1:23">
      <c r="R79" s="872"/>
      <c r="S79" s="873"/>
      <c r="T79" s="874"/>
      <c r="U79" s="893"/>
      <c r="V79" s="853">
        <f>SUM(V67:V78)</f>
        <v>0</v>
      </c>
      <c r="W79" s="853">
        <f>SUM(W67:W78)</f>
        <v>0</v>
      </c>
    </row>
    <row r="80" spans="1:23">
      <c r="R80" s="875"/>
      <c r="S80" s="888"/>
      <c r="T80" s="246"/>
      <c r="U80" s="246"/>
      <c r="V80" s="819">
        <f>ROUND(T80*U80,0)</f>
        <v>0</v>
      </c>
      <c r="W80" s="819"/>
    </row>
    <row r="81" spans="1:23">
      <c r="R81" s="826"/>
      <c r="S81" s="888"/>
      <c r="T81" s="827"/>
      <c r="U81" s="827"/>
      <c r="V81" s="819">
        <f>ROUND(T81*U81,0)</f>
        <v>0</v>
      </c>
      <c r="W81" s="835"/>
    </row>
    <row r="82" spans="1:23">
      <c r="R82" s="849"/>
      <c r="S82" s="822"/>
      <c r="T82" s="827"/>
      <c r="U82" s="827"/>
      <c r="V82" s="819">
        <f>ROUND(T82*U82,0)</f>
        <v>0</v>
      </c>
      <c r="W82" s="835"/>
    </row>
    <row r="83" spans="1:23">
      <c r="R83" s="849"/>
      <c r="S83" s="822"/>
      <c r="T83" s="827"/>
      <c r="U83" s="827"/>
      <c r="V83" s="819">
        <f>ROUND(T83*U83,0)</f>
        <v>0</v>
      </c>
      <c r="W83" s="835"/>
    </row>
    <row r="84" spans="1:23" ht="18" customHeight="1">
      <c r="A84" s="794" t="s">
        <v>696</v>
      </c>
      <c r="B84" s="794"/>
      <c r="C84" s="795"/>
      <c r="D84" s="796"/>
      <c r="E84" s="796"/>
      <c r="F84" s="796"/>
      <c r="G84" s="793"/>
      <c r="H84" s="793"/>
      <c r="I84" s="793"/>
      <c r="J84" s="793"/>
      <c r="K84" s="793"/>
      <c r="L84" s="797"/>
      <c r="M84" s="793"/>
      <c r="N84" s="793"/>
      <c r="O84" s="798"/>
      <c r="P84" s="793"/>
      <c r="Q84" s="799"/>
      <c r="R84" s="793"/>
      <c r="S84" s="800"/>
    </row>
    <row r="85" spans="1:23" ht="18.75" customHeight="1">
      <c r="A85" s="801" t="s">
        <v>717</v>
      </c>
      <c r="B85" s="801"/>
      <c r="C85" s="801"/>
      <c r="D85" s="801"/>
      <c r="E85" s="801"/>
      <c r="F85" s="801"/>
      <c r="G85" s="801"/>
      <c r="H85" s="801"/>
      <c r="I85" s="801"/>
      <c r="J85" s="801"/>
      <c r="K85" s="801"/>
      <c r="L85" s="801"/>
      <c r="M85" s="801"/>
      <c r="N85" s="801"/>
      <c r="O85" s="801"/>
      <c r="P85" s="801"/>
      <c r="Q85" s="799"/>
      <c r="R85" s="793"/>
      <c r="S85" s="800"/>
    </row>
    <row r="86" spans="1:23" ht="18.75" customHeight="1">
      <c r="A86" s="802"/>
      <c r="B86" s="802"/>
      <c r="C86" s="803"/>
      <c r="D86" s="802"/>
      <c r="E86" s="802"/>
      <c r="F86" s="802"/>
      <c r="G86" s="802"/>
      <c r="H86" s="802"/>
      <c r="I86" s="802"/>
      <c r="J86" s="802"/>
      <c r="K86" s="802"/>
      <c r="L86" s="801"/>
      <c r="M86" s="802"/>
      <c r="N86" s="802"/>
      <c r="O86" s="804"/>
      <c r="P86" s="802"/>
      <c r="Q86" s="799"/>
      <c r="R86" s="793"/>
      <c r="S86" s="800"/>
    </row>
    <row r="87" spans="1:23" ht="12.75" customHeight="1">
      <c r="A87" s="805"/>
      <c r="B87" s="805"/>
      <c r="C87" s="806"/>
      <c r="D87" s="805"/>
      <c r="E87" s="805"/>
      <c r="F87" s="805"/>
      <c r="G87" s="805"/>
      <c r="H87" s="805"/>
      <c r="I87" s="805"/>
      <c r="J87" s="805"/>
      <c r="K87" s="805"/>
      <c r="L87" s="805"/>
      <c r="M87" s="805"/>
      <c r="N87" s="805"/>
      <c r="O87" s="807"/>
      <c r="P87" s="805"/>
      <c r="Q87" s="799"/>
      <c r="R87" s="793"/>
      <c r="S87" s="800"/>
    </row>
    <row r="88" spans="1:23" s="816" customFormat="1" ht="30.75" customHeight="1">
      <c r="A88" s="810" t="s">
        <v>45</v>
      </c>
      <c r="B88" s="810" t="s">
        <v>698</v>
      </c>
      <c r="C88" s="811" t="s">
        <v>699</v>
      </c>
      <c r="D88" s="812" t="s">
        <v>700</v>
      </c>
      <c r="E88" s="812" t="s">
        <v>701</v>
      </c>
      <c r="F88" s="812" t="s">
        <v>702</v>
      </c>
      <c r="G88" s="812" t="s">
        <v>703</v>
      </c>
      <c r="H88" s="812" t="s">
        <v>704</v>
      </c>
      <c r="I88" s="812" t="s">
        <v>705</v>
      </c>
      <c r="J88" s="812" t="s">
        <v>706</v>
      </c>
      <c r="K88" s="813" t="s">
        <v>707</v>
      </c>
      <c r="L88" s="812" t="s">
        <v>708</v>
      </c>
      <c r="M88" s="813" t="s">
        <v>709</v>
      </c>
      <c r="N88" s="812" t="s">
        <v>710</v>
      </c>
      <c r="O88" s="814" t="s">
        <v>701</v>
      </c>
      <c r="P88" s="812" t="s">
        <v>711</v>
      </c>
      <c r="Q88" s="815"/>
      <c r="R88" s="810" t="s">
        <v>698</v>
      </c>
      <c r="S88" s="812" t="s">
        <v>665</v>
      </c>
      <c r="T88" s="812" t="s">
        <v>523</v>
      </c>
      <c r="U88" s="812" t="s">
        <v>702</v>
      </c>
      <c r="V88" s="812" t="s">
        <v>712</v>
      </c>
      <c r="W88" s="810" t="s">
        <v>712</v>
      </c>
    </row>
    <row r="89" spans="1:23">
      <c r="A89" s="817" t="str">
        <f>IF(B89&lt;&gt;"",ROW()-(ROW()-1),"")</f>
        <v/>
      </c>
      <c r="B89" s="547"/>
      <c r="C89" s="818">
        <f>IF(ISNA(VLOOKUP(B89,NXT!$Q$61:$S$81,2,0)),0,VLOOKUP(B89,NXT!$Q$61:$S$81,2,0))</f>
        <v>0</v>
      </c>
      <c r="D89" s="667">
        <f>ROUND(C89*O89,0)</f>
        <v>0</v>
      </c>
      <c r="E89" s="667"/>
      <c r="F89" s="667"/>
      <c r="G89" s="819">
        <f>(D89+E89)*F89</f>
        <v>0</v>
      </c>
      <c r="H89" s="667">
        <f>IF($D$92&lt;&gt;0,H$92/($D$92+$E$92/5)*($D89+$E89/5),0)</f>
        <v>0</v>
      </c>
      <c r="I89" s="667">
        <f t="shared" ref="I89:K90" si="10">IF($D$92&lt;&gt;0,I$92/$D$92*$D89,0)</f>
        <v>0</v>
      </c>
      <c r="J89" s="667">
        <f t="shared" si="10"/>
        <v>0</v>
      </c>
      <c r="K89" s="667">
        <f t="shared" si="10"/>
        <v>0</v>
      </c>
      <c r="L89" s="819"/>
      <c r="M89" s="667" t="e">
        <f>34560000/($O$67+#REF!+#REF!)*O89</f>
        <v>#REF!</v>
      </c>
      <c r="N89" s="819">
        <f>ROUND(SUM(G89:L89),0)</f>
        <v>0</v>
      </c>
      <c r="O89" s="667"/>
      <c r="P89" s="667">
        <f>IF(N89&lt;&gt;0,N89/O89,0)</f>
        <v>0</v>
      </c>
      <c r="Q89" s="838"/>
      <c r="R89" s="826"/>
      <c r="S89" s="888"/>
      <c r="T89" s="246"/>
      <c r="U89" s="827"/>
      <c r="V89" s="819">
        <f t="shared" ref="V89:V95" si="11">ROUND(T89*U89,0)</f>
        <v>0</v>
      </c>
      <c r="W89" s="835"/>
    </row>
    <row r="90" spans="1:23">
      <c r="A90" s="817" t="str">
        <f>IF(B90&lt;&gt;"",A89+1,"")</f>
        <v/>
      </c>
      <c r="B90" s="542"/>
      <c r="C90" s="818">
        <f>IF(ISNA(VLOOKUP(B90,NXT!$Q$61:$S$81,2,0)),0,VLOOKUP(B90,NXT!$Q$61:$S$81,2,0))</f>
        <v>0</v>
      </c>
      <c r="D90" s="667">
        <f>ROUND(C90*O90,0)</f>
        <v>0</v>
      </c>
      <c r="E90" s="667"/>
      <c r="F90" s="667"/>
      <c r="G90" s="819">
        <f>(D90+E90)*F90</f>
        <v>0</v>
      </c>
      <c r="H90" s="667">
        <f>IF($D$92&lt;&gt;0,H$92/($D$92+$E$92/5)*($D90+$E90/5),0)</f>
        <v>0</v>
      </c>
      <c r="I90" s="667">
        <f t="shared" si="10"/>
        <v>0</v>
      </c>
      <c r="J90" s="667">
        <f t="shared" si="10"/>
        <v>0</v>
      </c>
      <c r="K90" s="667">
        <f t="shared" si="10"/>
        <v>0</v>
      </c>
      <c r="L90" s="667"/>
      <c r="M90" s="667"/>
      <c r="N90" s="819">
        <f>ROUND(SUM(G90:L90),0)</f>
        <v>0</v>
      </c>
      <c r="O90" s="825"/>
      <c r="P90" s="667">
        <f>IF(N90&lt;&gt;0,N90/O90,0)</f>
        <v>0</v>
      </c>
      <c r="Q90" s="838"/>
      <c r="R90" s="826"/>
      <c r="S90" s="888"/>
      <c r="T90" s="246"/>
      <c r="U90" s="827"/>
      <c r="V90" s="819">
        <f t="shared" si="11"/>
        <v>0</v>
      </c>
      <c r="W90" s="835"/>
    </row>
    <row r="91" spans="1:23" s="839" customFormat="1">
      <c r="A91" s="817" t="str">
        <f>IF(B91&lt;&gt;"",#REF!+1,"")</f>
        <v/>
      </c>
      <c r="B91" s="830"/>
      <c r="C91" s="831"/>
      <c r="D91" s="833"/>
      <c r="E91" s="833"/>
      <c r="F91" s="833"/>
      <c r="G91" s="834"/>
      <c r="H91" s="879"/>
      <c r="I91" s="833"/>
      <c r="J91" s="835"/>
      <c r="K91" s="833"/>
      <c r="L91" s="836"/>
      <c r="M91" s="833"/>
      <c r="N91" s="867"/>
      <c r="O91" s="837"/>
      <c r="P91" s="833"/>
      <c r="Q91" s="838"/>
      <c r="R91" s="826"/>
      <c r="S91" s="888"/>
      <c r="T91" s="246"/>
      <c r="U91" s="827"/>
      <c r="V91" s="819">
        <f t="shared" si="11"/>
        <v>0</v>
      </c>
      <c r="W91" s="835"/>
    </row>
    <row r="92" spans="1:23" s="794" customFormat="1">
      <c r="A92" s="840"/>
      <c r="B92" s="841" t="s">
        <v>713</v>
      </c>
      <c r="C92" s="842"/>
      <c r="D92" s="843">
        <f>SUM(D89:D90)</f>
        <v>0</v>
      </c>
      <c r="E92" s="843">
        <f>SUM(E89:E90)</f>
        <v>0</v>
      </c>
      <c r="F92" s="843"/>
      <c r="G92" s="843">
        <f>SUM(G89:G90)</f>
        <v>0</v>
      </c>
      <c r="H92" s="844"/>
      <c r="I92" s="844">
        <f>V97</f>
        <v>0</v>
      </c>
      <c r="J92" s="844"/>
      <c r="K92" s="844"/>
      <c r="L92" s="843">
        <f>ROUND(SUM(L89:L91),0)</f>
        <v>0</v>
      </c>
      <c r="M92" s="843" t="e">
        <f>ROUND(SUM(M89:M91),0)</f>
        <v>#REF!</v>
      </c>
      <c r="N92" s="843">
        <f>ROUND(SUM(N89:N91),0)</f>
        <v>0</v>
      </c>
      <c r="O92" s="843">
        <f>ROUND(SUM(O89:O91),0)</f>
        <v>0</v>
      </c>
      <c r="P92" s="843"/>
      <c r="Q92" s="838"/>
      <c r="R92" s="826"/>
      <c r="S92" s="888"/>
      <c r="T92" s="849"/>
      <c r="U92" s="849"/>
      <c r="V92" s="819">
        <f t="shared" si="11"/>
        <v>0</v>
      </c>
      <c r="W92" s="835"/>
    </row>
    <row r="93" spans="1:23">
      <c r="Q93" s="838"/>
      <c r="R93" s="826"/>
      <c r="S93" s="890"/>
      <c r="T93" s="849"/>
      <c r="U93" s="827"/>
      <c r="V93" s="819">
        <f t="shared" si="11"/>
        <v>0</v>
      </c>
      <c r="W93" s="835"/>
    </row>
    <row r="94" spans="1:23">
      <c r="Q94" s="838"/>
      <c r="R94" s="891"/>
      <c r="S94" s="890"/>
      <c r="T94" s="849"/>
      <c r="U94" s="827"/>
      <c r="V94" s="819">
        <f t="shared" si="11"/>
        <v>0</v>
      </c>
      <c r="W94" s="835"/>
    </row>
    <row r="95" spans="1:23">
      <c r="Q95" s="838"/>
      <c r="R95" s="826"/>
      <c r="S95" s="890"/>
      <c r="T95" s="849"/>
      <c r="U95" s="827"/>
      <c r="V95" s="819">
        <f t="shared" si="11"/>
        <v>0</v>
      </c>
      <c r="W95" s="835"/>
    </row>
    <row r="96" spans="1:23">
      <c r="Q96" s="838"/>
      <c r="R96" s="892"/>
      <c r="S96" s="822"/>
      <c r="T96" s="246"/>
      <c r="U96" s="246"/>
      <c r="V96" s="835"/>
      <c r="W96" s="835"/>
    </row>
    <row r="97" spans="1:23">
      <c r="R97" s="872"/>
      <c r="S97" s="873"/>
      <c r="T97" s="874"/>
      <c r="U97" s="893"/>
      <c r="V97" s="843">
        <f>SUM(V89:V96)</f>
        <v>0</v>
      </c>
      <c r="W97" s="853">
        <f>SUM(W89:W96)</f>
        <v>0</v>
      </c>
    </row>
    <row r="98" spans="1:23">
      <c r="R98" s="875"/>
      <c r="S98" s="888"/>
      <c r="T98" s="246"/>
      <c r="U98" s="246"/>
      <c r="V98" s="819">
        <f>ROUND(T98*U98,0)</f>
        <v>0</v>
      </c>
      <c r="W98" s="819"/>
    </row>
    <row r="99" spans="1:23">
      <c r="R99" s="894"/>
      <c r="S99" s="888"/>
      <c r="T99" s="827"/>
      <c r="U99" s="827"/>
      <c r="V99" s="819">
        <f>ROUND(T99*U99,0)</f>
        <v>0</v>
      </c>
      <c r="W99" s="835"/>
    </row>
    <row r="100" spans="1:23">
      <c r="R100" s="826"/>
      <c r="S100" s="888"/>
      <c r="T100" s="827"/>
      <c r="U100" s="827"/>
      <c r="V100" s="819">
        <f>ROUND(T100*U100,0)</f>
        <v>0</v>
      </c>
      <c r="W100" s="835"/>
    </row>
    <row r="101" spans="1:23">
      <c r="R101" s="849"/>
      <c r="S101" s="822"/>
      <c r="T101" s="827"/>
      <c r="U101" s="827"/>
      <c r="V101" s="819">
        <f>ROUND(T101*U101,0)</f>
        <v>0</v>
      </c>
      <c r="W101" s="835"/>
    </row>
    <row r="102" spans="1:23">
      <c r="R102" s="849"/>
      <c r="S102" s="822"/>
      <c r="T102" s="827"/>
      <c r="U102" s="827"/>
      <c r="V102" s="819">
        <f>ROUND(T102*U102,0)</f>
        <v>0</v>
      </c>
      <c r="W102" s="835"/>
    </row>
    <row r="103" spans="1:23">
      <c r="R103" s="799"/>
      <c r="S103" s="876"/>
      <c r="T103" s="809"/>
      <c r="U103" s="809"/>
      <c r="V103" s="847"/>
      <c r="W103" s="877"/>
    </row>
    <row r="104" spans="1:23" ht="18" customHeight="1">
      <c r="A104" s="794" t="s">
        <v>696</v>
      </c>
      <c r="B104" s="794"/>
      <c r="C104" s="795"/>
      <c r="D104" s="796"/>
      <c r="E104" s="796"/>
      <c r="F104" s="796"/>
      <c r="G104" s="793"/>
      <c r="H104" s="793"/>
      <c r="I104" s="793"/>
      <c r="J104" s="793"/>
      <c r="K104" s="793"/>
      <c r="L104" s="797"/>
      <c r="M104" s="793"/>
      <c r="N104" s="793"/>
      <c r="O104" s="798"/>
      <c r="P104" s="793"/>
      <c r="Q104" s="799"/>
      <c r="R104" s="793"/>
      <c r="S104" s="800"/>
    </row>
    <row r="105" spans="1:23" ht="18.75" customHeight="1">
      <c r="A105" s="801" t="s">
        <v>718</v>
      </c>
      <c r="B105" s="801"/>
      <c r="C105" s="801"/>
      <c r="D105" s="801"/>
      <c r="E105" s="801"/>
      <c r="F105" s="801"/>
      <c r="G105" s="801"/>
      <c r="H105" s="801"/>
      <c r="I105" s="801"/>
      <c r="J105" s="801"/>
      <c r="K105" s="801"/>
      <c r="L105" s="801"/>
      <c r="M105" s="801"/>
      <c r="N105" s="801"/>
      <c r="O105" s="801"/>
      <c r="P105" s="801"/>
      <c r="Q105" s="799"/>
      <c r="R105" s="793"/>
      <c r="S105" s="800"/>
    </row>
    <row r="106" spans="1:23" ht="18.75" customHeight="1">
      <c r="A106" s="802"/>
      <c r="B106" s="802"/>
      <c r="C106" s="803"/>
      <c r="D106" s="802"/>
      <c r="E106" s="802"/>
      <c r="F106" s="802"/>
      <c r="G106" s="802"/>
      <c r="H106" s="802"/>
      <c r="I106" s="802"/>
      <c r="J106" s="802"/>
      <c r="K106" s="802"/>
      <c r="L106" s="801"/>
      <c r="M106" s="802"/>
      <c r="N106" s="802"/>
      <c r="O106" s="804"/>
      <c r="P106" s="802"/>
      <c r="Q106" s="799"/>
      <c r="R106" s="793"/>
      <c r="S106" s="800"/>
    </row>
    <row r="107" spans="1:23" ht="12.75" customHeight="1">
      <c r="A107" s="805"/>
      <c r="B107" s="805"/>
      <c r="C107" s="806"/>
      <c r="D107" s="805"/>
      <c r="E107" s="805"/>
      <c r="F107" s="805"/>
      <c r="G107" s="805"/>
      <c r="H107" s="805"/>
      <c r="I107" s="805"/>
      <c r="J107" s="805"/>
      <c r="K107" s="805"/>
      <c r="L107" s="805"/>
      <c r="M107" s="805"/>
      <c r="N107" s="805"/>
      <c r="O107" s="807"/>
      <c r="P107" s="805"/>
      <c r="Q107" s="799"/>
      <c r="R107" s="793"/>
      <c r="S107" s="800"/>
    </row>
    <row r="108" spans="1:23" s="816" customFormat="1" ht="30.75" customHeight="1">
      <c r="A108" s="810" t="s">
        <v>45</v>
      </c>
      <c r="B108" s="810" t="s">
        <v>698</v>
      </c>
      <c r="C108" s="811" t="s">
        <v>699</v>
      </c>
      <c r="D108" s="812" t="s">
        <v>700</v>
      </c>
      <c r="E108" s="812" t="s">
        <v>701</v>
      </c>
      <c r="F108" s="812" t="s">
        <v>702</v>
      </c>
      <c r="G108" s="812" t="s">
        <v>703</v>
      </c>
      <c r="H108" s="812" t="s">
        <v>704</v>
      </c>
      <c r="I108" s="812" t="s">
        <v>705</v>
      </c>
      <c r="J108" s="812" t="s">
        <v>706</v>
      </c>
      <c r="K108" s="813" t="s">
        <v>707</v>
      </c>
      <c r="L108" s="812" t="s">
        <v>708</v>
      </c>
      <c r="M108" s="813" t="s">
        <v>709</v>
      </c>
      <c r="N108" s="812" t="s">
        <v>710</v>
      </c>
      <c r="O108" s="814" t="s">
        <v>701</v>
      </c>
      <c r="P108" s="812" t="s">
        <v>711</v>
      </c>
      <c r="Q108" s="815"/>
      <c r="R108" s="810" t="s">
        <v>698</v>
      </c>
      <c r="S108" s="812" t="s">
        <v>665</v>
      </c>
      <c r="T108" s="812" t="s">
        <v>523</v>
      </c>
      <c r="U108" s="812" t="s">
        <v>702</v>
      </c>
      <c r="V108" s="812" t="s">
        <v>712</v>
      </c>
      <c r="W108" s="810" t="s">
        <v>712</v>
      </c>
    </row>
    <row r="109" spans="1:23">
      <c r="A109" s="817" t="str">
        <f>IF(B109&lt;&gt;"",ROW()-(ROW()-1),"")</f>
        <v/>
      </c>
      <c r="B109" s="895"/>
      <c r="C109" s="818">
        <f>IF(ISNA(VLOOKUP(B109,NXT!$Q$61:$S$81,2,0)),0,VLOOKUP(B109,NXT!$Q$61:$S$81,2,0))</f>
        <v>0</v>
      </c>
      <c r="D109" s="667">
        <f>ROUND(C109*O109,0)</f>
        <v>0</v>
      </c>
      <c r="E109" s="667"/>
      <c r="F109" s="667"/>
      <c r="G109" s="819">
        <f>D109*F109</f>
        <v>0</v>
      </c>
      <c r="H109" s="667">
        <f>IF($D$114&lt;&gt;0,H$114/($D$114+$E$114/5)*($D109+$E109/5),0)</f>
        <v>0</v>
      </c>
      <c r="I109" s="667">
        <f>IF($D$114&lt;&gt;0,I$114/$D$114*$D109,0)</f>
        <v>0</v>
      </c>
      <c r="J109" s="667">
        <f t="shared" ref="J109:K112" si="12">IF($D$114&lt;&gt;0,J$114/$D$114*$D109,0)</f>
        <v>0</v>
      </c>
      <c r="K109" s="667">
        <f t="shared" si="12"/>
        <v>0</v>
      </c>
      <c r="L109" s="819"/>
      <c r="M109" s="667" t="e">
        <f>34560000/($O$67+#REF!+#REF!)*O109</f>
        <v>#REF!</v>
      </c>
      <c r="N109" s="819">
        <f>ROUND(SUM(G109:L109),0)</f>
        <v>0</v>
      </c>
      <c r="O109" s="667"/>
      <c r="P109" s="667">
        <f>IF(N109&lt;&gt;0,N109/O109,0)</f>
        <v>0</v>
      </c>
      <c r="Q109" s="838"/>
      <c r="R109" s="821"/>
      <c r="S109" s="888"/>
      <c r="T109" s="246"/>
      <c r="U109" s="823"/>
      <c r="V109" s="819">
        <f t="shared" ref="V109:V121" si="13">ROUND(T109*U109,0)</f>
        <v>0</v>
      </c>
      <c r="W109" s="819"/>
    </row>
    <row r="110" spans="1:23">
      <c r="A110" s="817" t="str">
        <f>IF(B110&lt;&gt;"",A109+1,"")</f>
        <v/>
      </c>
      <c r="B110" s="829"/>
      <c r="C110" s="818">
        <f>IF(ISNA(VLOOKUP(B110,NXT!$Q$61:$S$81,2,0)),0,VLOOKUP(B110,NXT!$Q$61:$S$81,2,0))</f>
        <v>0</v>
      </c>
      <c r="D110" s="667">
        <f>ROUND(C110*O110,0)</f>
        <v>0</v>
      </c>
      <c r="E110" s="667"/>
      <c r="F110" s="667"/>
      <c r="G110" s="819">
        <f>D110*F110</f>
        <v>0</v>
      </c>
      <c r="H110" s="667">
        <f>IF($D$114&lt;&gt;0,H$114/($D$114+$E$114/5)*($D110+$E110/5),0)</f>
        <v>0</v>
      </c>
      <c r="I110" s="667">
        <f>IF($D$114&lt;&gt;0,I$114/$D$114*$D110,0)</f>
        <v>0</v>
      </c>
      <c r="J110" s="667">
        <f t="shared" si="12"/>
        <v>0</v>
      </c>
      <c r="K110" s="667">
        <f t="shared" si="12"/>
        <v>0</v>
      </c>
      <c r="L110" s="667"/>
      <c r="M110" s="667"/>
      <c r="N110" s="819">
        <f>ROUND(SUM(G110:L110),0)</f>
        <v>0</v>
      </c>
      <c r="O110" s="825"/>
      <c r="P110" s="667">
        <f>IF(N110&lt;&gt;0,N110/O110,0)</f>
        <v>0</v>
      </c>
      <c r="Q110" s="838"/>
      <c r="R110" s="826"/>
      <c r="S110" s="888"/>
      <c r="T110" s="246"/>
      <c r="U110" s="827"/>
      <c r="V110" s="819">
        <f t="shared" si="13"/>
        <v>0</v>
      </c>
      <c r="W110" s="835"/>
    </row>
    <row r="111" spans="1:23">
      <c r="A111" s="817" t="str">
        <f>IF(B111&lt;&gt;"",A110+1,"")</f>
        <v/>
      </c>
      <c r="B111" s="829"/>
      <c r="C111" s="818">
        <f>IF(ISNA(VLOOKUP(B111,NXT!$Q$61:$S$81,2,0)),0,VLOOKUP(B111,NXT!$Q$61:$S$81,2,0))</f>
        <v>0</v>
      </c>
      <c r="D111" s="667">
        <f>ROUND(C111*O111,0)</f>
        <v>0</v>
      </c>
      <c r="E111" s="667"/>
      <c r="F111" s="667"/>
      <c r="G111" s="819">
        <f>D111*F111</f>
        <v>0</v>
      </c>
      <c r="H111" s="667">
        <f>IF($D$114&lt;&gt;0,H$114/($D$114+$E$114/5)*($D111+$E111/5),0)</f>
        <v>0</v>
      </c>
      <c r="I111" s="667">
        <f>IF($D$114&lt;&gt;0,I$114/$D$114*$D111,0)</f>
        <v>0</v>
      </c>
      <c r="J111" s="667">
        <f t="shared" si="12"/>
        <v>0</v>
      </c>
      <c r="K111" s="667">
        <f t="shared" si="12"/>
        <v>0</v>
      </c>
      <c r="L111" s="667"/>
      <c r="M111" s="667">
        <v>25840000</v>
      </c>
      <c r="N111" s="819">
        <f>ROUND(SUM(G111:L111),0)</f>
        <v>0</v>
      </c>
      <c r="O111" s="825"/>
      <c r="P111" s="667">
        <f>IF(N111&lt;&gt;0,N111/O111,0)</f>
        <v>0</v>
      </c>
      <c r="Q111" s="838"/>
      <c r="R111" s="826"/>
      <c r="S111" s="888"/>
      <c r="T111" s="246"/>
      <c r="U111" s="827"/>
      <c r="V111" s="819">
        <f t="shared" si="13"/>
        <v>0</v>
      </c>
      <c r="W111" s="835"/>
    </row>
    <row r="112" spans="1:23">
      <c r="A112" s="817" t="str">
        <f>IF(B112&lt;&gt;"",A111+1,"")</f>
        <v/>
      </c>
      <c r="B112" s="542"/>
      <c r="C112" s="818">
        <f>IF(ISNA(VLOOKUP(B112,NXT!$Q$61:$S$81,2,0)),0,VLOOKUP(B112,NXT!$Q$61:$S$81,2,0))</f>
        <v>0</v>
      </c>
      <c r="D112" s="667">
        <f>ROUND(C112*O112,0)</f>
        <v>0</v>
      </c>
      <c r="E112" s="667"/>
      <c r="F112" s="667"/>
      <c r="G112" s="819">
        <f>D112*F112</f>
        <v>0</v>
      </c>
      <c r="H112" s="667">
        <f>IF($D$114&lt;&gt;0,H$114/($D$114+$E$114/5)*($D112+$E112/5),0)</f>
        <v>0</v>
      </c>
      <c r="I112" s="667">
        <f>IF($D$114&lt;&gt;0,I$114/$D$114*$D112,0)</f>
        <v>0</v>
      </c>
      <c r="J112" s="667">
        <f t="shared" si="12"/>
        <v>0</v>
      </c>
      <c r="K112" s="667">
        <f t="shared" si="12"/>
        <v>0</v>
      </c>
      <c r="L112" s="667"/>
      <c r="M112" s="667" t="e">
        <f>34560000/($O$67+#REF!+#REF!)*O112</f>
        <v>#REF!</v>
      </c>
      <c r="N112" s="819">
        <f>ROUND(SUM(G112:L112),0)</f>
        <v>0</v>
      </c>
      <c r="O112" s="825"/>
      <c r="P112" s="667">
        <f>IF(N112&lt;&gt;0,N112/O112,0)</f>
        <v>0</v>
      </c>
      <c r="Q112" s="838"/>
      <c r="R112" s="826"/>
      <c r="S112" s="888"/>
      <c r="T112" s="849"/>
      <c r="U112" s="827"/>
      <c r="V112" s="819">
        <f t="shared" si="13"/>
        <v>0</v>
      </c>
      <c r="W112" s="835"/>
    </row>
    <row r="113" spans="1:23">
      <c r="A113" s="817" t="str">
        <f>IF(B113&lt;&gt;"",#REF!+1,"")</f>
        <v/>
      </c>
      <c r="B113" s="830"/>
      <c r="C113" s="831"/>
      <c r="D113" s="833"/>
      <c r="E113" s="833"/>
      <c r="F113" s="833"/>
      <c r="G113" s="834"/>
      <c r="H113" s="879"/>
      <c r="I113" s="833"/>
      <c r="J113" s="835"/>
      <c r="K113" s="833"/>
      <c r="L113" s="836"/>
      <c r="M113" s="833"/>
      <c r="N113" s="819"/>
      <c r="O113" s="837"/>
      <c r="P113" s="833"/>
      <c r="Q113" s="838"/>
      <c r="R113" s="826"/>
      <c r="S113" s="888"/>
      <c r="T113" s="246"/>
      <c r="U113" s="827"/>
      <c r="V113" s="819">
        <f t="shared" si="13"/>
        <v>0</v>
      </c>
      <c r="W113" s="835"/>
    </row>
    <row r="114" spans="1:23">
      <c r="A114" s="840"/>
      <c r="B114" s="841" t="s">
        <v>713</v>
      </c>
      <c r="C114" s="842"/>
      <c r="D114" s="843">
        <f>SUM(D109:D112)</f>
        <v>0</v>
      </c>
      <c r="E114" s="843"/>
      <c r="F114" s="843"/>
      <c r="G114" s="843">
        <f>SUM(G109:G112)</f>
        <v>0</v>
      </c>
      <c r="H114" s="844"/>
      <c r="I114" s="844">
        <f>V123</f>
        <v>0</v>
      </c>
      <c r="J114" s="844"/>
      <c r="K114" s="844"/>
      <c r="L114" s="843">
        <f>ROUND(SUM(L109:L113),0)</f>
        <v>0</v>
      </c>
      <c r="M114" s="843" t="e">
        <f>ROUND(SUM(M109:M113),0)</f>
        <v>#REF!</v>
      </c>
      <c r="N114" s="843">
        <f>ROUND(SUM(N109:N113),0)</f>
        <v>0</v>
      </c>
      <c r="O114" s="843">
        <f>ROUND(SUM(O109:O113),0)</f>
        <v>0</v>
      </c>
      <c r="P114" s="843"/>
      <c r="Q114" s="838"/>
      <c r="R114" s="826"/>
      <c r="S114" s="888"/>
      <c r="T114" s="246"/>
      <c r="U114" s="827"/>
      <c r="V114" s="819">
        <f t="shared" si="13"/>
        <v>0</v>
      </c>
      <c r="W114" s="835"/>
    </row>
    <row r="115" spans="1:23" s="839" customFormat="1">
      <c r="A115" s="790"/>
      <c r="B115" s="790"/>
      <c r="C115" s="790"/>
      <c r="D115" s="790"/>
      <c r="E115" s="790"/>
      <c r="F115" s="790"/>
      <c r="G115" s="790"/>
      <c r="H115" s="790"/>
      <c r="I115" s="790"/>
      <c r="J115" s="790"/>
      <c r="K115" s="790"/>
      <c r="L115" s="790"/>
      <c r="M115" s="790"/>
      <c r="N115" s="790"/>
      <c r="O115" s="790"/>
      <c r="P115" s="790"/>
      <c r="Q115" s="838"/>
      <c r="R115" s="826"/>
      <c r="S115" s="888"/>
      <c r="T115" s="246"/>
      <c r="U115" s="827"/>
      <c r="V115" s="819">
        <f t="shared" si="13"/>
        <v>0</v>
      </c>
      <c r="W115" s="835"/>
    </row>
    <row r="116" spans="1:23" s="794" customFormat="1">
      <c r="A116" s="790"/>
      <c r="B116" s="790"/>
      <c r="C116" s="790"/>
      <c r="D116" s="790"/>
      <c r="E116" s="790"/>
      <c r="F116" s="790"/>
      <c r="G116" s="790"/>
      <c r="H116" s="790"/>
      <c r="I116" s="790"/>
      <c r="J116" s="790"/>
      <c r="K116" s="790"/>
      <c r="L116" s="790"/>
      <c r="M116" s="790"/>
      <c r="N116" s="790"/>
      <c r="O116" s="790"/>
      <c r="P116" s="790"/>
      <c r="Q116" s="838"/>
      <c r="R116" s="826"/>
      <c r="S116" s="888"/>
      <c r="T116" s="849"/>
      <c r="U116" s="849"/>
      <c r="V116" s="819">
        <f t="shared" si="13"/>
        <v>0</v>
      </c>
      <c r="W116" s="835"/>
    </row>
    <row r="117" spans="1:23">
      <c r="Q117" s="838"/>
      <c r="R117" s="826"/>
      <c r="S117" s="890"/>
      <c r="T117" s="849"/>
      <c r="U117" s="827"/>
      <c r="V117" s="819">
        <f t="shared" si="13"/>
        <v>0</v>
      </c>
      <c r="W117" s="835"/>
    </row>
    <row r="118" spans="1:23">
      <c r="Q118" s="838"/>
      <c r="R118" s="547"/>
      <c r="S118" s="890"/>
      <c r="T118" s="246"/>
      <c r="U118" s="246"/>
      <c r="V118" s="819">
        <f t="shared" si="13"/>
        <v>0</v>
      </c>
      <c r="W118" s="835"/>
    </row>
    <row r="119" spans="1:23">
      <c r="Q119" s="838"/>
      <c r="R119" s="826"/>
      <c r="S119" s="890"/>
      <c r="T119" s="246"/>
      <c r="U119" s="246"/>
      <c r="V119" s="819">
        <f t="shared" si="13"/>
        <v>0</v>
      </c>
      <c r="W119" s="835"/>
    </row>
    <row r="120" spans="1:23">
      <c r="Q120" s="838"/>
      <c r="R120" s="891"/>
      <c r="S120" s="890"/>
      <c r="T120" s="849"/>
      <c r="U120" s="827"/>
      <c r="V120" s="819">
        <f t="shared" si="13"/>
        <v>0</v>
      </c>
      <c r="W120" s="835"/>
    </row>
    <row r="121" spans="1:23">
      <c r="Q121" s="838"/>
      <c r="R121" s="826"/>
      <c r="S121" s="888"/>
      <c r="T121" s="849"/>
      <c r="U121" s="827"/>
      <c r="V121" s="819">
        <f t="shared" si="13"/>
        <v>0</v>
      </c>
      <c r="W121" s="835"/>
    </row>
    <row r="122" spans="1:23">
      <c r="Q122" s="838"/>
      <c r="R122" s="547"/>
      <c r="S122" s="822"/>
      <c r="T122" s="246"/>
      <c r="U122" s="246"/>
      <c r="V122" s="819"/>
      <c r="W122" s="835"/>
    </row>
    <row r="123" spans="1:23">
      <c r="R123" s="872"/>
      <c r="S123" s="873"/>
      <c r="T123" s="874"/>
      <c r="U123" s="893"/>
      <c r="V123" s="843">
        <f>SUM(V109:V122)</f>
        <v>0</v>
      </c>
      <c r="W123" s="853">
        <f>SUM(W109:W122)</f>
        <v>0</v>
      </c>
    </row>
    <row r="124" spans="1:23">
      <c r="R124" s="875"/>
      <c r="S124" s="888"/>
      <c r="T124" s="246"/>
      <c r="U124" s="246"/>
      <c r="V124" s="819">
        <f t="shared" ref="V124:V130" si="14">ROUND(T124*U124,0)</f>
        <v>0</v>
      </c>
      <c r="W124" s="819"/>
    </row>
    <row r="125" spans="1:23">
      <c r="R125" s="826"/>
      <c r="S125" s="888"/>
      <c r="T125" s="827"/>
      <c r="U125" s="827"/>
      <c r="V125" s="819">
        <f t="shared" si="14"/>
        <v>0</v>
      </c>
      <c r="W125" s="835"/>
    </row>
    <row r="126" spans="1:23">
      <c r="R126" s="826"/>
      <c r="S126" s="888"/>
      <c r="T126" s="827"/>
      <c r="U126" s="827"/>
      <c r="V126" s="819">
        <f t="shared" si="14"/>
        <v>0</v>
      </c>
      <c r="W126" s="835"/>
    </row>
    <row r="127" spans="1:23">
      <c r="R127" s="826"/>
      <c r="S127" s="888"/>
      <c r="T127" s="827"/>
      <c r="U127" s="827"/>
      <c r="V127" s="819">
        <f t="shared" si="14"/>
        <v>0</v>
      </c>
      <c r="W127" s="835"/>
    </row>
    <row r="128" spans="1:23">
      <c r="R128" s="875"/>
      <c r="S128" s="888"/>
      <c r="T128" s="246"/>
      <c r="U128" s="246"/>
      <c r="V128" s="819">
        <f t="shared" si="14"/>
        <v>0</v>
      </c>
      <c r="W128" s="835"/>
    </row>
    <row r="129" spans="1:23">
      <c r="R129" s="849"/>
      <c r="S129" s="822"/>
      <c r="T129" s="827"/>
      <c r="U129" s="827"/>
      <c r="V129" s="819">
        <f t="shared" si="14"/>
        <v>0</v>
      </c>
      <c r="W129" s="835"/>
    </row>
    <row r="130" spans="1:23">
      <c r="R130" s="849"/>
      <c r="S130" s="822"/>
      <c r="T130" s="827"/>
      <c r="U130" s="827"/>
      <c r="V130" s="819">
        <f t="shared" si="14"/>
        <v>0</v>
      </c>
      <c r="W130" s="835"/>
    </row>
    <row r="131" spans="1:23" ht="12.75" customHeight="1">
      <c r="A131" s="809"/>
      <c r="B131" s="809"/>
      <c r="C131" s="896"/>
      <c r="D131" s="809"/>
      <c r="E131" s="809"/>
      <c r="F131" s="809"/>
      <c r="G131" s="809"/>
      <c r="H131" s="809"/>
      <c r="I131" s="809"/>
      <c r="J131" s="809"/>
      <c r="K131" s="809"/>
      <c r="L131" s="809"/>
      <c r="M131" s="809"/>
      <c r="N131" s="809"/>
      <c r="O131" s="861"/>
      <c r="P131" s="809"/>
      <c r="Q131" s="799"/>
      <c r="R131" s="793"/>
      <c r="S131" s="800"/>
    </row>
    <row r="132" spans="1:23" ht="18" customHeight="1">
      <c r="A132" s="794" t="s">
        <v>696</v>
      </c>
      <c r="B132" s="794"/>
      <c r="C132" s="897"/>
      <c r="D132" s="796"/>
      <c r="E132" s="796"/>
      <c r="F132" s="796"/>
      <c r="G132" s="793"/>
      <c r="H132" s="793"/>
      <c r="I132" s="793"/>
      <c r="J132" s="793"/>
      <c r="K132" s="793"/>
      <c r="L132" s="797"/>
      <c r="M132" s="793"/>
      <c r="N132" s="793"/>
      <c r="O132" s="798"/>
      <c r="P132" s="793"/>
      <c r="Q132" s="799"/>
      <c r="R132" s="793"/>
      <c r="S132" s="800"/>
    </row>
    <row r="133" spans="1:23" ht="18.75" customHeight="1">
      <c r="A133" s="801" t="s">
        <v>719</v>
      </c>
      <c r="B133" s="801"/>
      <c r="C133" s="801"/>
      <c r="D133" s="801"/>
      <c r="E133" s="801"/>
      <c r="F133" s="801"/>
      <c r="G133" s="801"/>
      <c r="H133" s="801"/>
      <c r="I133" s="801"/>
      <c r="J133" s="801"/>
      <c r="K133" s="801"/>
      <c r="L133" s="801"/>
      <c r="M133" s="801"/>
      <c r="N133" s="801"/>
      <c r="O133" s="801"/>
      <c r="P133" s="801"/>
      <c r="Q133" s="799"/>
      <c r="R133" s="793"/>
      <c r="S133" s="800"/>
    </row>
    <row r="134" spans="1:23" ht="18.75" customHeight="1">
      <c r="A134" s="802"/>
      <c r="B134" s="802"/>
      <c r="C134" s="803"/>
      <c r="D134" s="802"/>
      <c r="E134" s="802"/>
      <c r="F134" s="802"/>
      <c r="G134" s="802"/>
      <c r="H134" s="802"/>
      <c r="I134" s="802"/>
      <c r="J134" s="802"/>
      <c r="K134" s="802"/>
      <c r="L134" s="801"/>
      <c r="M134" s="802"/>
      <c r="N134" s="802"/>
      <c r="O134" s="804"/>
      <c r="P134" s="802"/>
      <c r="Q134" s="799"/>
      <c r="R134" s="793"/>
      <c r="S134" s="800"/>
    </row>
    <row r="135" spans="1:23" ht="12.75" customHeight="1">
      <c r="A135" s="805"/>
      <c r="B135" s="805"/>
      <c r="C135" s="806"/>
      <c r="D135" s="805"/>
      <c r="E135" s="805"/>
      <c r="F135" s="805"/>
      <c r="G135" s="805"/>
      <c r="H135" s="805"/>
      <c r="I135" s="805"/>
      <c r="J135" s="805"/>
      <c r="K135" s="805"/>
      <c r="L135" s="805"/>
      <c r="M135" s="805"/>
      <c r="N135" s="805"/>
      <c r="O135" s="807"/>
      <c r="P135" s="805"/>
      <c r="Q135" s="799"/>
      <c r="R135" s="793"/>
      <c r="S135" s="800"/>
    </row>
    <row r="136" spans="1:23" s="816" customFormat="1" ht="30.75" customHeight="1">
      <c r="A136" s="810" t="s">
        <v>45</v>
      </c>
      <c r="B136" s="810" t="s">
        <v>698</v>
      </c>
      <c r="C136" s="811" t="s">
        <v>699</v>
      </c>
      <c r="D136" s="812" t="s">
        <v>700</v>
      </c>
      <c r="E136" s="812" t="s">
        <v>701</v>
      </c>
      <c r="F136" s="812" t="s">
        <v>702</v>
      </c>
      <c r="G136" s="812" t="s">
        <v>703</v>
      </c>
      <c r="H136" s="812" t="s">
        <v>704</v>
      </c>
      <c r="I136" s="812" t="s">
        <v>705</v>
      </c>
      <c r="J136" s="812" t="s">
        <v>706</v>
      </c>
      <c r="K136" s="813" t="s">
        <v>707</v>
      </c>
      <c r="L136" s="812" t="s">
        <v>708</v>
      </c>
      <c r="M136" s="813" t="s">
        <v>709</v>
      </c>
      <c r="N136" s="812" t="s">
        <v>710</v>
      </c>
      <c r="O136" s="814" t="s">
        <v>701</v>
      </c>
      <c r="P136" s="812" t="s">
        <v>711</v>
      </c>
      <c r="Q136" s="815"/>
      <c r="R136" s="810" t="s">
        <v>698</v>
      </c>
      <c r="S136" s="812" t="s">
        <v>665</v>
      </c>
      <c r="T136" s="812" t="s">
        <v>523</v>
      </c>
      <c r="U136" s="812" t="s">
        <v>702</v>
      </c>
      <c r="V136" s="812" t="s">
        <v>712</v>
      </c>
      <c r="W136" s="810" t="s">
        <v>712</v>
      </c>
    </row>
    <row r="137" spans="1:23">
      <c r="A137" s="817" t="str">
        <f>IF(B137&lt;&gt;"",ROW()-(ROW()-1),"")</f>
        <v/>
      </c>
      <c r="B137" s="829"/>
      <c r="C137" s="818">
        <f>IF(ISNA(VLOOKUP(B137,NXT!$Q$61:$S$81,2,0)),0,VLOOKUP(B137,NXT!$Q$61:$S$81,2,0))</f>
        <v>0</v>
      </c>
      <c r="D137" s="667">
        <f>ROUND(C137*O137,0)</f>
        <v>0</v>
      </c>
      <c r="E137" s="667"/>
      <c r="F137" s="667"/>
      <c r="G137" s="819">
        <f>D137*F137</f>
        <v>0</v>
      </c>
      <c r="H137" s="667">
        <f>IF($D$141&lt;&gt;0,H$141/($D$141+$E$141/5)*($D137+$E137/5),0)</f>
        <v>0</v>
      </c>
      <c r="I137" s="667">
        <f>IF($D$141&lt;&gt;0,I$141/$D$141*$D137,0)</f>
        <v>0</v>
      </c>
      <c r="J137" s="667">
        <f t="shared" ref="J137:K140" si="15">IF($D$141&lt;&gt;0,J$141/$D$141*$D137,0)</f>
        <v>0</v>
      </c>
      <c r="K137" s="667">
        <f t="shared" si="15"/>
        <v>0</v>
      </c>
      <c r="L137" s="819"/>
      <c r="M137" s="667" t="e">
        <f>34560000/($O$67+#REF!+#REF!)*O137</f>
        <v>#REF!</v>
      </c>
      <c r="N137" s="819">
        <f>ROUND(SUM(G137:L137),0)</f>
        <v>0</v>
      </c>
      <c r="O137" s="667"/>
      <c r="P137" s="667">
        <f>IF(N137&lt;&gt;0,N137/O137,0)</f>
        <v>0</v>
      </c>
      <c r="Q137" s="838"/>
      <c r="R137" s="821"/>
      <c r="S137" s="888"/>
      <c r="T137" s="246"/>
      <c r="U137" s="823"/>
      <c r="V137" s="819">
        <f t="shared" ref="V137:V146" si="16">ROUND(T137*U137,0)</f>
        <v>0</v>
      </c>
      <c r="W137" s="819"/>
    </row>
    <row r="138" spans="1:23">
      <c r="A138" s="817" t="str">
        <f>IF(B138&lt;&gt;"",A137+1,"")</f>
        <v/>
      </c>
      <c r="B138" s="547"/>
      <c r="C138" s="818">
        <f>IF(ISNA(VLOOKUP(B138,NXT!$Q$61:$S$81,2,0)),0,VLOOKUP(B138,NXT!$Q$61:$S$81,2,0))</f>
        <v>0</v>
      </c>
      <c r="D138" s="667">
        <f>ROUND(C138*O138,0)</f>
        <v>0</v>
      </c>
      <c r="E138" s="667"/>
      <c r="F138" s="667"/>
      <c r="G138" s="819">
        <f>D138*F138</f>
        <v>0</v>
      </c>
      <c r="H138" s="667">
        <f>IF($D$141&lt;&gt;0,H$141/($D$141+$E$141/5)*($D138+$E138/5),0)</f>
        <v>0</v>
      </c>
      <c r="I138" s="667">
        <f>IF($D$141&lt;&gt;0,I$141/$D$141*$D138,0)</f>
        <v>0</v>
      </c>
      <c r="J138" s="667">
        <f t="shared" si="15"/>
        <v>0</v>
      </c>
      <c r="K138" s="667">
        <f t="shared" si="15"/>
        <v>0</v>
      </c>
      <c r="L138" s="667"/>
      <c r="M138" s="667"/>
      <c r="N138" s="819">
        <f>ROUND(SUM(G138:L138),0)</f>
        <v>0</v>
      </c>
      <c r="O138" s="825"/>
      <c r="P138" s="667">
        <f>IF(N138&lt;&gt;0,N138/O138,0)</f>
        <v>0</v>
      </c>
      <c r="Q138" s="838"/>
      <c r="R138" s="826"/>
      <c r="S138" s="888"/>
      <c r="T138" s="246"/>
      <c r="U138" s="827"/>
      <c r="V138" s="819">
        <f t="shared" si="16"/>
        <v>0</v>
      </c>
      <c r="W138" s="835"/>
    </row>
    <row r="139" spans="1:23">
      <c r="A139" s="817" t="str">
        <f>IF(B139&lt;&gt;"",A138+1,"")</f>
        <v/>
      </c>
      <c r="B139" s="829"/>
      <c r="C139" s="818">
        <f>IF(ISNA(VLOOKUP(B139,NXT!$Q$61:$S$81,2,0)),0,VLOOKUP(B139,NXT!$Q$61:$S$81,2,0))</f>
        <v>0</v>
      </c>
      <c r="D139" s="667">
        <f>ROUND(C139*O139,0)</f>
        <v>0</v>
      </c>
      <c r="E139" s="667"/>
      <c r="F139" s="667"/>
      <c r="G139" s="819">
        <f>D139*F139</f>
        <v>0</v>
      </c>
      <c r="H139" s="667">
        <f>IF($D$141&lt;&gt;0,H$141/($D$141+$E$141/5)*($D139+$E139/5),0)</f>
        <v>0</v>
      </c>
      <c r="I139" s="667">
        <f>IF($D$141&lt;&gt;0,I$141/$D$141*$D139,0)</f>
        <v>0</v>
      </c>
      <c r="J139" s="667">
        <f t="shared" si="15"/>
        <v>0</v>
      </c>
      <c r="K139" s="667">
        <f t="shared" si="15"/>
        <v>0</v>
      </c>
      <c r="L139" s="667"/>
      <c r="M139" s="667">
        <v>25840000</v>
      </c>
      <c r="N139" s="819">
        <f>ROUND(SUM(G139:L139),0)</f>
        <v>0</v>
      </c>
      <c r="O139" s="825"/>
      <c r="P139" s="667">
        <f>IF(N139&lt;&gt;0,N139/O139,0)</f>
        <v>0</v>
      </c>
      <c r="Q139" s="838"/>
      <c r="R139" s="826"/>
      <c r="S139" s="888"/>
      <c r="T139" s="246"/>
      <c r="U139" s="827"/>
      <c r="V139" s="819">
        <f t="shared" si="16"/>
        <v>0</v>
      </c>
      <c r="W139" s="835"/>
    </row>
    <row r="140" spans="1:23">
      <c r="A140" s="817" t="str">
        <f>IF(B140&lt;&gt;"",#REF!+1,"")</f>
        <v/>
      </c>
      <c r="B140" s="829"/>
      <c r="C140" s="818"/>
      <c r="D140" s="667">
        <f>ROUND(C140*O140,0)</f>
        <v>0</v>
      </c>
      <c r="E140" s="667"/>
      <c r="F140" s="667"/>
      <c r="G140" s="819">
        <f>D140*F140</f>
        <v>0</v>
      </c>
      <c r="H140" s="667">
        <f>IF($D$141&lt;&gt;0,H$141/($D$141+$E$141/5)*($D140+$E140/5),0)</f>
        <v>0</v>
      </c>
      <c r="I140" s="667">
        <f>IF($D$141&lt;&gt;0,I$141/$D$141*$D140,0)</f>
        <v>0</v>
      </c>
      <c r="J140" s="667">
        <f t="shared" si="15"/>
        <v>0</v>
      </c>
      <c r="K140" s="667">
        <f t="shared" si="15"/>
        <v>0</v>
      </c>
      <c r="L140" s="667"/>
      <c r="M140" s="667" t="e">
        <f>34560000/($O$67+#REF!+#REF!)*O140</f>
        <v>#REF!</v>
      </c>
      <c r="N140" s="819">
        <f>ROUND(SUM(G140:L140),0)</f>
        <v>0</v>
      </c>
      <c r="O140" s="825"/>
      <c r="P140" s="667">
        <f>IF(N140&lt;&gt;0,N140/O140,0)</f>
        <v>0</v>
      </c>
      <c r="Q140" s="838"/>
      <c r="R140" s="826"/>
      <c r="S140" s="888"/>
      <c r="T140" s="849"/>
      <c r="U140" s="827"/>
      <c r="V140" s="819">
        <f t="shared" si="16"/>
        <v>0</v>
      </c>
      <c r="W140" s="835"/>
    </row>
    <row r="141" spans="1:23">
      <c r="A141" s="840"/>
      <c r="B141" s="841" t="s">
        <v>713</v>
      </c>
      <c r="C141" s="842"/>
      <c r="D141" s="843">
        <f>SUM(D137:D140)</f>
        <v>0</v>
      </c>
      <c r="E141" s="843"/>
      <c r="F141" s="843"/>
      <c r="G141" s="843">
        <f>SUM(G137:G140)</f>
        <v>0</v>
      </c>
      <c r="H141" s="844"/>
      <c r="I141" s="844">
        <f>V148</f>
        <v>0</v>
      </c>
      <c r="J141" s="844"/>
      <c r="K141" s="844"/>
      <c r="L141" s="843">
        <f>ROUND(SUM(L137:L140),0)</f>
        <v>0</v>
      </c>
      <c r="M141" s="843" t="e">
        <f>ROUND(SUM(M137:M140),0)</f>
        <v>#REF!</v>
      </c>
      <c r="N141" s="843">
        <f>ROUND(SUM(N137:N140),0)</f>
        <v>0</v>
      </c>
      <c r="O141" s="843">
        <f>ROUND(SUM(O137:O140),0)</f>
        <v>0</v>
      </c>
      <c r="P141" s="843"/>
      <c r="Q141" s="838"/>
      <c r="R141" s="826"/>
      <c r="S141" s="888"/>
      <c r="T141" s="246"/>
      <c r="U141" s="827"/>
      <c r="V141" s="819">
        <f t="shared" si="16"/>
        <v>0</v>
      </c>
      <c r="W141" s="835"/>
    </row>
    <row r="142" spans="1:23">
      <c r="Q142" s="838"/>
      <c r="R142" s="826"/>
      <c r="S142" s="888"/>
      <c r="T142" s="246"/>
      <c r="U142" s="827"/>
      <c r="V142" s="819">
        <f t="shared" si="16"/>
        <v>0</v>
      </c>
      <c r="W142" s="835"/>
    </row>
    <row r="143" spans="1:23" s="794" customFormat="1">
      <c r="A143" s="790"/>
      <c r="B143" s="790"/>
      <c r="C143" s="790"/>
      <c r="D143" s="790"/>
      <c r="E143" s="790"/>
      <c r="F143" s="790"/>
      <c r="G143" s="790"/>
      <c r="H143" s="790"/>
      <c r="I143" s="790"/>
      <c r="J143" s="790"/>
      <c r="K143" s="790"/>
      <c r="L143" s="790"/>
      <c r="M143" s="790"/>
      <c r="N143" s="790"/>
      <c r="O143" s="790"/>
      <c r="P143" s="790"/>
      <c r="Q143" s="838"/>
      <c r="R143" s="826"/>
      <c r="S143" s="888"/>
      <c r="T143" s="849"/>
      <c r="U143" s="849"/>
      <c r="V143" s="819">
        <f t="shared" si="16"/>
        <v>0</v>
      </c>
      <c r="W143" s="835"/>
    </row>
    <row r="144" spans="1:23">
      <c r="Q144" s="838"/>
      <c r="R144" s="826"/>
      <c r="S144" s="890"/>
      <c r="T144" s="849"/>
      <c r="U144" s="827"/>
      <c r="V144" s="819">
        <f t="shared" si="16"/>
        <v>0</v>
      </c>
      <c r="W144" s="835"/>
    </row>
    <row r="145" spans="1:23">
      <c r="Q145" s="838"/>
      <c r="R145" s="547"/>
      <c r="S145" s="888"/>
      <c r="T145" s="246"/>
      <c r="U145" s="246"/>
      <c r="V145" s="819">
        <f t="shared" si="16"/>
        <v>0</v>
      </c>
      <c r="W145" s="835"/>
    </row>
    <row r="146" spans="1:23">
      <c r="Q146" s="838"/>
      <c r="R146" s="891"/>
      <c r="S146" s="890"/>
      <c r="T146" s="849"/>
      <c r="U146" s="827"/>
      <c r="V146" s="819">
        <f t="shared" si="16"/>
        <v>0</v>
      </c>
      <c r="W146" s="835"/>
    </row>
    <row r="147" spans="1:23">
      <c r="Q147" s="838"/>
      <c r="R147" s="547"/>
      <c r="S147" s="822"/>
      <c r="T147" s="246"/>
      <c r="U147" s="246"/>
      <c r="V147" s="835"/>
      <c r="W147" s="835"/>
    </row>
    <row r="148" spans="1:23">
      <c r="R148" s="872"/>
      <c r="S148" s="873"/>
      <c r="T148" s="874"/>
      <c r="U148" s="893"/>
      <c r="V148" s="843">
        <f>SUM(V137:V147)</f>
        <v>0</v>
      </c>
      <c r="W148" s="853">
        <f>SUM(W137:W147)</f>
        <v>0</v>
      </c>
    </row>
    <row r="149" spans="1:23">
      <c r="R149" s="875"/>
      <c r="S149" s="888"/>
      <c r="T149" s="246"/>
      <c r="U149" s="246"/>
      <c r="V149" s="819">
        <f t="shared" ref="V149:V154" si="17">ROUND(T149*U149,0)</f>
        <v>0</v>
      </c>
      <c r="W149" s="819"/>
    </row>
    <row r="150" spans="1:23">
      <c r="R150" s="826"/>
      <c r="S150" s="888"/>
      <c r="T150" s="827"/>
      <c r="U150" s="827"/>
      <c r="V150" s="819">
        <f t="shared" si="17"/>
        <v>0</v>
      </c>
      <c r="W150" s="835"/>
    </row>
    <row r="151" spans="1:23">
      <c r="R151" s="826"/>
      <c r="S151" s="888"/>
      <c r="T151" s="827"/>
      <c r="U151" s="827"/>
      <c r="V151" s="819">
        <f t="shared" si="17"/>
        <v>0</v>
      </c>
      <c r="W151" s="835"/>
    </row>
    <row r="152" spans="1:23">
      <c r="R152" s="826"/>
      <c r="S152" s="888"/>
      <c r="T152" s="827"/>
      <c r="U152" s="827"/>
      <c r="V152" s="819">
        <f t="shared" si="17"/>
        <v>0</v>
      </c>
      <c r="W152" s="835"/>
    </row>
    <row r="153" spans="1:23">
      <c r="R153" s="826"/>
      <c r="S153" s="888"/>
      <c r="T153" s="827"/>
      <c r="U153" s="827"/>
      <c r="V153" s="819">
        <f t="shared" si="17"/>
        <v>0</v>
      </c>
      <c r="W153" s="835"/>
    </row>
    <row r="154" spans="1:23">
      <c r="R154" s="849"/>
      <c r="S154" s="822"/>
      <c r="T154" s="827"/>
      <c r="U154" s="827"/>
      <c r="V154" s="819">
        <f t="shared" si="17"/>
        <v>0</v>
      </c>
      <c r="W154" s="835"/>
    </row>
    <row r="155" spans="1:23" ht="16.5" customHeight="1">
      <c r="A155" s="794" t="s">
        <v>696</v>
      </c>
      <c r="B155" s="794"/>
      <c r="C155" s="795"/>
      <c r="D155" s="796"/>
      <c r="E155" s="796"/>
      <c r="F155" s="796"/>
      <c r="G155" s="793"/>
      <c r="H155" s="793"/>
      <c r="I155" s="793"/>
      <c r="J155" s="793"/>
      <c r="K155" s="793"/>
      <c r="L155" s="797"/>
      <c r="M155" s="793"/>
      <c r="N155" s="793"/>
      <c r="O155" s="798"/>
      <c r="P155" s="793"/>
      <c r="R155" s="793"/>
      <c r="S155" s="800"/>
    </row>
    <row r="156" spans="1:23" ht="16.5" customHeight="1">
      <c r="A156" s="801" t="s">
        <v>720</v>
      </c>
      <c r="B156" s="801"/>
      <c r="C156" s="801"/>
      <c r="D156" s="801"/>
      <c r="E156" s="801"/>
      <c r="F156" s="801"/>
      <c r="G156" s="801"/>
      <c r="H156" s="801"/>
      <c r="I156" s="801"/>
      <c r="J156" s="801"/>
      <c r="K156" s="801"/>
      <c r="L156" s="801"/>
      <c r="M156" s="801"/>
      <c r="N156" s="801"/>
      <c r="O156" s="801"/>
      <c r="P156" s="801"/>
      <c r="Q156" s="799"/>
      <c r="R156" s="793"/>
      <c r="S156" s="800"/>
    </row>
    <row r="157" spans="1:23" ht="11.25" customHeight="1">
      <c r="A157" s="802"/>
      <c r="B157" s="802"/>
      <c r="C157" s="803"/>
      <c r="D157" s="802"/>
      <c r="E157" s="802"/>
      <c r="F157" s="802"/>
      <c r="G157" s="802"/>
      <c r="H157" s="802"/>
      <c r="I157" s="802"/>
      <c r="J157" s="802"/>
      <c r="K157" s="802"/>
      <c r="L157" s="801"/>
      <c r="M157" s="802"/>
      <c r="N157" s="802"/>
      <c r="O157" s="804"/>
      <c r="P157" s="802"/>
      <c r="Q157" s="799"/>
      <c r="R157" s="793"/>
      <c r="S157" s="800"/>
    </row>
    <row r="158" spans="1:23" ht="11.25" customHeight="1">
      <c r="A158" s="805"/>
      <c r="B158" s="805"/>
      <c r="C158" s="806"/>
      <c r="D158" s="805"/>
      <c r="E158" s="805"/>
      <c r="F158" s="805"/>
      <c r="G158" s="805"/>
      <c r="H158" s="805"/>
      <c r="I158" s="805"/>
      <c r="J158" s="805"/>
      <c r="K158" s="805"/>
      <c r="L158" s="805"/>
      <c r="M158" s="805"/>
      <c r="N158" s="805"/>
      <c r="O158" s="807"/>
      <c r="P158" s="805"/>
      <c r="Q158" s="799"/>
      <c r="R158" s="793"/>
      <c r="S158" s="800"/>
    </row>
    <row r="159" spans="1:23" ht="28.5" customHeight="1">
      <c r="A159" s="810" t="s">
        <v>45</v>
      </c>
      <c r="B159" s="810" t="s">
        <v>698</v>
      </c>
      <c r="C159" s="811" t="s">
        <v>699</v>
      </c>
      <c r="D159" s="812" t="s">
        <v>700</v>
      </c>
      <c r="E159" s="812" t="s">
        <v>701</v>
      </c>
      <c r="F159" s="812" t="s">
        <v>702</v>
      </c>
      <c r="G159" s="812" t="s">
        <v>703</v>
      </c>
      <c r="H159" s="812" t="s">
        <v>704</v>
      </c>
      <c r="I159" s="812" t="s">
        <v>705</v>
      </c>
      <c r="J159" s="812" t="s">
        <v>706</v>
      </c>
      <c r="K159" s="813" t="s">
        <v>707</v>
      </c>
      <c r="L159" s="812" t="s">
        <v>708</v>
      </c>
      <c r="M159" s="813" t="s">
        <v>709</v>
      </c>
      <c r="N159" s="812" t="s">
        <v>710</v>
      </c>
      <c r="O159" s="814" t="s">
        <v>701</v>
      </c>
      <c r="P159" s="812" t="s">
        <v>711</v>
      </c>
      <c r="Q159" s="799"/>
      <c r="R159" s="810" t="s">
        <v>698</v>
      </c>
      <c r="S159" s="812" t="s">
        <v>665</v>
      </c>
      <c r="T159" s="812" t="s">
        <v>523</v>
      </c>
      <c r="U159" s="812" t="s">
        <v>702</v>
      </c>
      <c r="V159" s="812" t="s">
        <v>712</v>
      </c>
      <c r="W159" s="810" t="s">
        <v>712</v>
      </c>
    </row>
    <row r="160" spans="1:23" s="816" customFormat="1" ht="12" customHeight="1">
      <c r="A160" s="817" t="str">
        <f>IF(B160&lt;&gt;"",ROW()-(ROW()-1),"")</f>
        <v/>
      </c>
      <c r="B160" s="829"/>
      <c r="C160" s="818">
        <f>IF(ISNA(VLOOKUP(B160,NXT!$Q$61:$S$81,2,0)),0,VLOOKUP(B160,NXT!$Q$61:$S$81,2,0))</f>
        <v>0</v>
      </c>
      <c r="D160" s="667">
        <f>ROUND(C160*O160,0)</f>
        <v>0</v>
      </c>
      <c r="E160" s="667"/>
      <c r="F160" s="667"/>
      <c r="G160" s="819">
        <f>(D160+E160)*F160</f>
        <v>0</v>
      </c>
      <c r="H160" s="667">
        <f>IF($D$165&lt;&gt;0,H$165/($D$165+$E$165/5)*($D160+$E160/5),0)</f>
        <v>0</v>
      </c>
      <c r="I160" s="667">
        <f>IF($D$165&lt;&gt;0,I$165/$D$165*$D160,0)</f>
        <v>0</v>
      </c>
      <c r="J160" s="667">
        <f>IF($D$165&lt;&gt;0,J$165/$D$165*$D160,0)</f>
        <v>0</v>
      </c>
      <c r="K160" s="667">
        <f t="shared" ref="J160:K163" si="18">IF($D$165&lt;&gt;0,K$165/$D$165*$D160,0)</f>
        <v>0</v>
      </c>
      <c r="L160" s="819"/>
      <c r="M160" s="667" t="e">
        <f>34560000/($O$67+#REF!+#REF!)*O160</f>
        <v>#REF!</v>
      </c>
      <c r="N160" s="819">
        <f>ROUND(SUM(G160:L160),0)</f>
        <v>0</v>
      </c>
      <c r="O160" s="667"/>
      <c r="P160" s="667">
        <f>IF(N160&lt;&gt;0,N160/O160,0)</f>
        <v>0</v>
      </c>
      <c r="Q160" s="815"/>
      <c r="R160" s="821"/>
      <c r="S160" s="888"/>
      <c r="T160" s="246"/>
      <c r="U160" s="823"/>
      <c r="V160" s="819">
        <f t="shared" ref="V160:V170" si="19">ROUND(T160*U160,0)</f>
        <v>0</v>
      </c>
      <c r="W160" s="819"/>
    </row>
    <row r="161" spans="1:23" ht="12" customHeight="1">
      <c r="A161" s="817" t="str">
        <f>IF(B161&lt;&gt;"",A160+1,"")</f>
        <v/>
      </c>
      <c r="B161" s="829"/>
      <c r="C161" s="818">
        <f>IF(ISNA(VLOOKUP(B161,NXT!$Q$61:$S$81,2,0)),0,VLOOKUP(B161,NXT!$Q$61:$S$81,2,0))</f>
        <v>0</v>
      </c>
      <c r="D161" s="667">
        <f>ROUND(C161*O161,0)</f>
        <v>0</v>
      </c>
      <c r="E161" s="667"/>
      <c r="F161" s="667"/>
      <c r="G161" s="819">
        <f>(D161+E161)*F161</f>
        <v>0</v>
      </c>
      <c r="H161" s="667">
        <f>IF($D$165&lt;&gt;0,H$165/($D$165+$E$165/5)*($D161+$E161/5),0)</f>
        <v>0</v>
      </c>
      <c r="I161" s="667">
        <f>IF($D$165&lt;&gt;0,I$165/$D$165*$D161,0)</f>
        <v>0</v>
      </c>
      <c r="J161" s="667">
        <f t="shared" si="18"/>
        <v>0</v>
      </c>
      <c r="K161" s="667">
        <f t="shared" si="18"/>
        <v>0</v>
      </c>
      <c r="L161" s="667"/>
      <c r="M161" s="667">
        <v>25840000</v>
      </c>
      <c r="N161" s="819">
        <f>ROUND(SUM(G161:L161),0)</f>
        <v>0</v>
      </c>
      <c r="O161" s="825"/>
      <c r="P161" s="667">
        <f>IF(N161&lt;&gt;0,N161/O161,0)</f>
        <v>0</v>
      </c>
      <c r="Q161" s="838"/>
      <c r="R161" s="826"/>
      <c r="S161" s="888"/>
      <c r="T161" s="246"/>
      <c r="U161" s="827"/>
      <c r="V161" s="819">
        <f t="shared" si="19"/>
        <v>0</v>
      </c>
      <c r="W161" s="835"/>
    </row>
    <row r="162" spans="1:23" ht="12" customHeight="1">
      <c r="A162" s="817" t="str">
        <f>IF(B162&lt;&gt;"",A161+1,"")</f>
        <v/>
      </c>
      <c r="B162" s="829"/>
      <c r="C162" s="818">
        <f>IF(ISNA(VLOOKUP(B162,NXT!$Q$61:$S$81,2,0)),0,VLOOKUP(B162,NXT!$Q$61:$S$81,2,0))</f>
        <v>0</v>
      </c>
      <c r="D162" s="667">
        <f>ROUND(C162*O162,0)</f>
        <v>0</v>
      </c>
      <c r="E162" s="667"/>
      <c r="F162" s="667"/>
      <c r="G162" s="819">
        <f>(D162+E162)*F162</f>
        <v>0</v>
      </c>
      <c r="H162" s="667">
        <f>IF($D$165&lt;&gt;0,H$165/($D$165+$E$165/5)*($D162+$E162/5),0)</f>
        <v>0</v>
      </c>
      <c r="I162" s="667">
        <f>IF($D$165&lt;&gt;0,I$165/$D$165*$D162,0)</f>
        <v>0</v>
      </c>
      <c r="J162" s="667">
        <f t="shared" si="18"/>
        <v>0</v>
      </c>
      <c r="K162" s="667">
        <f t="shared" si="18"/>
        <v>0</v>
      </c>
      <c r="L162" s="667"/>
      <c r="M162" s="667" t="e">
        <f>34560000/($O$67+#REF!+#REF!)*O162</f>
        <v>#REF!</v>
      </c>
      <c r="N162" s="819">
        <f>ROUND(SUM(G162:L162),0)</f>
        <v>0</v>
      </c>
      <c r="O162" s="825"/>
      <c r="P162" s="667">
        <f>IF(N162&lt;&gt;0,N162/O162,0)</f>
        <v>0</v>
      </c>
      <c r="Q162" s="838"/>
      <c r="R162" s="826"/>
      <c r="S162" s="888"/>
      <c r="T162" s="246"/>
      <c r="U162" s="827"/>
      <c r="V162" s="819">
        <f t="shared" si="19"/>
        <v>0</v>
      </c>
      <c r="W162" s="835"/>
    </row>
    <row r="163" spans="1:23" ht="12" customHeight="1">
      <c r="A163" s="817" t="str">
        <f>IF(B163&lt;&gt;"",A162+1,"")</f>
        <v/>
      </c>
      <c r="B163" s="829"/>
      <c r="C163" s="818">
        <f>IF(ISNA(VLOOKUP(B163,NXT!$Q$61:$S$81,2,0)),0,VLOOKUP(B163,NXT!$Q$61:$S$81,2,0))</f>
        <v>0</v>
      </c>
      <c r="D163" s="667">
        <f>ROUND(C163*O163,0)</f>
        <v>0</v>
      </c>
      <c r="E163" s="667"/>
      <c r="F163" s="667"/>
      <c r="G163" s="819">
        <f>(D163+E163)*F163</f>
        <v>0</v>
      </c>
      <c r="H163" s="667">
        <f>IF($D$165&lt;&gt;0,H$165/($D$165+$E$165/5)*($D163+$E163/5),0)</f>
        <v>0</v>
      </c>
      <c r="I163" s="667">
        <f>IF($D$165&lt;&gt;0,I$165/$D$165*$D163,0)</f>
        <v>0</v>
      </c>
      <c r="J163" s="667">
        <f t="shared" si="18"/>
        <v>0</v>
      </c>
      <c r="K163" s="667">
        <f t="shared" si="18"/>
        <v>0</v>
      </c>
      <c r="L163" s="667"/>
      <c r="M163" s="667" t="e">
        <f>34560000/($O$67+#REF!+#REF!)*O163</f>
        <v>#REF!</v>
      </c>
      <c r="N163" s="819">
        <f>ROUND(SUM(G163:L163),0)</f>
        <v>0</v>
      </c>
      <c r="O163" s="825"/>
      <c r="P163" s="667">
        <f>IF(N163&lt;&gt;0,N163/O163,0)</f>
        <v>0</v>
      </c>
      <c r="Q163" s="838"/>
      <c r="R163" s="826"/>
      <c r="S163" s="888"/>
      <c r="T163" s="246"/>
      <c r="U163" s="827"/>
      <c r="V163" s="819">
        <f t="shared" si="19"/>
        <v>0</v>
      </c>
      <c r="W163" s="835"/>
    </row>
    <row r="164" spans="1:23" ht="12" customHeight="1">
      <c r="A164" s="817" t="str">
        <f>IF(B164&lt;&gt;"",#REF!+1,"")</f>
        <v/>
      </c>
      <c r="B164" s="830"/>
      <c r="C164" s="818">
        <f>IF(ISNA(VLOOKUP(B164,NXT!$Q$61:$S$81,2,0)),0,VLOOKUP(B164,NXT!$Q$61:$S$81,2,0))</f>
        <v>0</v>
      </c>
      <c r="D164" s="833"/>
      <c r="E164" s="833"/>
      <c r="F164" s="833"/>
      <c r="G164" s="834"/>
      <c r="H164" s="879"/>
      <c r="I164" s="833"/>
      <c r="J164" s="835"/>
      <c r="K164" s="833"/>
      <c r="L164" s="836"/>
      <c r="M164" s="833"/>
      <c r="N164" s="867"/>
      <c r="O164" s="837"/>
      <c r="P164" s="833"/>
      <c r="Q164" s="838"/>
      <c r="R164" s="826"/>
      <c r="S164" s="888"/>
      <c r="T164" s="246"/>
      <c r="U164" s="246"/>
      <c r="V164" s="819">
        <f t="shared" si="19"/>
        <v>0</v>
      </c>
      <c r="W164" s="835"/>
    </row>
    <row r="165" spans="1:23" ht="12" customHeight="1">
      <c r="A165" s="840"/>
      <c r="B165" s="841" t="s">
        <v>713</v>
      </c>
      <c r="C165" s="842"/>
      <c r="D165" s="843">
        <f>SUM(D160:D163)</f>
        <v>0</v>
      </c>
      <c r="E165" s="843">
        <f>SUM(E160:E163)</f>
        <v>0</v>
      </c>
      <c r="F165" s="843"/>
      <c r="G165" s="843">
        <f>SUM(G160:G163)</f>
        <v>0</v>
      </c>
      <c r="H165" s="844"/>
      <c r="I165" s="844">
        <f>V172</f>
        <v>0</v>
      </c>
      <c r="J165" s="844"/>
      <c r="K165" s="844"/>
      <c r="L165" s="843">
        <f>ROUND(SUM(L160:L164),0)</f>
        <v>0</v>
      </c>
      <c r="M165" s="843" t="e">
        <f>ROUND(SUM(M160:M164),0)</f>
        <v>#REF!</v>
      </c>
      <c r="N165" s="843">
        <f>ROUND(SUM(N160:N164),0)</f>
        <v>0</v>
      </c>
      <c r="O165" s="843">
        <f>ROUND(SUM(O160:O164),0)</f>
        <v>0</v>
      </c>
      <c r="P165" s="843"/>
      <c r="Q165" s="838"/>
      <c r="R165" s="826"/>
      <c r="S165" s="888"/>
      <c r="T165" s="246"/>
      <c r="U165" s="827"/>
      <c r="V165" s="819">
        <f t="shared" si="19"/>
        <v>0</v>
      </c>
      <c r="W165" s="835"/>
    </row>
    <row r="166" spans="1:23" ht="12" customHeight="1">
      <c r="Q166" s="838"/>
      <c r="R166" s="826"/>
      <c r="S166" s="888"/>
      <c r="T166" s="246"/>
      <c r="U166" s="849"/>
      <c r="V166" s="819">
        <f t="shared" si="19"/>
        <v>0</v>
      </c>
      <c r="W166" s="835"/>
    </row>
    <row r="167" spans="1:23" ht="12" customHeight="1">
      <c r="Q167" s="838"/>
      <c r="R167" s="826"/>
      <c r="S167" s="822"/>
      <c r="T167" s="849"/>
      <c r="U167" s="827"/>
      <c r="V167" s="819">
        <f t="shared" si="19"/>
        <v>0</v>
      </c>
      <c r="W167" s="835"/>
    </row>
    <row r="168" spans="1:23" ht="12" customHeight="1">
      <c r="Q168" s="838"/>
      <c r="R168" s="891"/>
      <c r="S168" s="822"/>
      <c r="T168" s="849"/>
      <c r="U168" s="827"/>
      <c r="V168" s="819">
        <f t="shared" si="19"/>
        <v>0</v>
      </c>
      <c r="W168" s="835"/>
    </row>
    <row r="169" spans="1:23" ht="12" customHeight="1">
      <c r="Q169" s="838"/>
      <c r="R169" s="826"/>
      <c r="S169" s="822"/>
      <c r="T169" s="246"/>
      <c r="U169" s="246"/>
      <c r="V169" s="819">
        <f t="shared" si="19"/>
        <v>0</v>
      </c>
      <c r="W169" s="835"/>
    </row>
    <row r="170" spans="1:23" ht="12" customHeight="1">
      <c r="Q170" s="838"/>
      <c r="R170" s="547"/>
      <c r="S170" s="822"/>
      <c r="T170" s="246"/>
      <c r="U170" s="246"/>
      <c r="V170" s="819">
        <f t="shared" si="19"/>
        <v>0</v>
      </c>
      <c r="W170" s="835"/>
    </row>
    <row r="171" spans="1:23" s="839" customFormat="1" ht="12" customHeight="1">
      <c r="A171" s="790"/>
      <c r="B171" s="790"/>
      <c r="C171" s="790"/>
      <c r="D171" s="790"/>
      <c r="E171" s="790"/>
      <c r="F171" s="790"/>
      <c r="G171" s="790"/>
      <c r="H171" s="790"/>
      <c r="I171" s="790"/>
      <c r="J171" s="790"/>
      <c r="K171" s="790"/>
      <c r="L171" s="790"/>
      <c r="M171" s="790"/>
      <c r="N171" s="790"/>
      <c r="O171" s="790"/>
      <c r="P171" s="790"/>
      <c r="Q171" s="838"/>
      <c r="R171" s="826"/>
      <c r="S171" s="822"/>
      <c r="T171" s="246"/>
      <c r="U171" s="246"/>
      <c r="V171" s="819"/>
      <c r="W171" s="835"/>
    </row>
    <row r="172" spans="1:23" s="794" customFormat="1" ht="12" customHeight="1">
      <c r="A172" s="790"/>
      <c r="B172" s="790"/>
      <c r="C172" s="790"/>
      <c r="D172" s="790"/>
      <c r="E172" s="790"/>
      <c r="F172" s="790"/>
      <c r="G172" s="790"/>
      <c r="H172" s="790"/>
      <c r="I172" s="790"/>
      <c r="J172" s="790"/>
      <c r="K172" s="790"/>
      <c r="L172" s="790"/>
      <c r="M172" s="790"/>
      <c r="N172" s="790"/>
      <c r="O172" s="790"/>
      <c r="P172" s="790"/>
      <c r="Q172" s="838"/>
      <c r="R172" s="872"/>
      <c r="S172" s="873"/>
      <c r="T172" s="874"/>
      <c r="U172" s="893"/>
      <c r="V172" s="853">
        <f>SUM(V160:V171)</f>
        <v>0</v>
      </c>
      <c r="W172" s="853">
        <f>SUM(W160:W171)</f>
        <v>0</v>
      </c>
    </row>
    <row r="173" spans="1:23" ht="12" customHeight="1">
      <c r="R173" s="826"/>
      <c r="S173" s="888"/>
      <c r="T173" s="827"/>
      <c r="U173" s="827"/>
      <c r="V173" s="819">
        <f t="shared" ref="V173:V180" si="20">ROUND(T173*U173,0)</f>
        <v>0</v>
      </c>
      <c r="W173" s="835"/>
    </row>
    <row r="174" spans="1:23" ht="12" customHeight="1">
      <c r="R174" s="875"/>
      <c r="S174" s="888"/>
      <c r="T174" s="246"/>
      <c r="U174" s="246"/>
      <c r="V174" s="819">
        <f t="shared" si="20"/>
        <v>0</v>
      </c>
      <c r="W174" s="819"/>
    </row>
    <row r="175" spans="1:23" ht="12" customHeight="1">
      <c r="R175" s="826"/>
      <c r="S175" s="822"/>
      <c r="T175" s="827"/>
      <c r="U175" s="827"/>
      <c r="V175" s="819">
        <f t="shared" si="20"/>
        <v>0</v>
      </c>
      <c r="W175" s="835"/>
    </row>
    <row r="176" spans="1:23" ht="12" customHeight="1">
      <c r="R176" s="826"/>
      <c r="S176" s="822"/>
      <c r="T176" s="827"/>
      <c r="U176" s="827"/>
      <c r="V176" s="819">
        <f t="shared" si="20"/>
        <v>0</v>
      </c>
      <c r="W176" s="835"/>
    </row>
    <row r="177" spans="1:23" ht="12" customHeight="1">
      <c r="R177" s="849"/>
      <c r="S177" s="822"/>
      <c r="T177" s="827"/>
      <c r="U177" s="827"/>
      <c r="V177" s="819">
        <f t="shared" si="20"/>
        <v>0</v>
      </c>
      <c r="W177" s="835"/>
    </row>
    <row r="178" spans="1:23" ht="12" customHeight="1">
      <c r="R178" s="849"/>
      <c r="S178" s="822"/>
      <c r="T178" s="827"/>
      <c r="U178" s="827"/>
      <c r="V178" s="819">
        <f t="shared" si="20"/>
        <v>0</v>
      </c>
      <c r="W178" s="835"/>
    </row>
    <row r="179" spans="1:23" ht="12" customHeight="1">
      <c r="R179" s="849"/>
      <c r="S179" s="822"/>
      <c r="T179" s="827"/>
      <c r="U179" s="827"/>
      <c r="V179" s="819">
        <f t="shared" si="20"/>
        <v>0</v>
      </c>
      <c r="W179" s="835"/>
    </row>
    <row r="180" spans="1:23" ht="12" customHeight="1">
      <c r="R180" s="849"/>
      <c r="S180" s="822"/>
      <c r="T180" s="827"/>
      <c r="U180" s="827"/>
      <c r="V180" s="819">
        <f t="shared" si="20"/>
        <v>0</v>
      </c>
      <c r="W180" s="835"/>
    </row>
    <row r="181" spans="1:23">
      <c r="R181" s="793"/>
      <c r="S181" s="800"/>
    </row>
    <row r="182" spans="1:23" ht="20.25" customHeight="1">
      <c r="A182" s="794" t="s">
        <v>696</v>
      </c>
      <c r="B182" s="794"/>
      <c r="C182" s="795"/>
      <c r="D182" s="796"/>
      <c r="E182" s="796"/>
      <c r="F182" s="796"/>
      <c r="G182" s="793"/>
      <c r="H182" s="793"/>
      <c r="I182" s="793"/>
      <c r="J182" s="793"/>
      <c r="K182" s="793"/>
      <c r="L182" s="797"/>
      <c r="M182" s="793"/>
      <c r="N182" s="793"/>
      <c r="O182" s="798"/>
      <c r="P182" s="793"/>
      <c r="R182" s="793"/>
      <c r="S182" s="800"/>
    </row>
    <row r="183" spans="1:23" ht="20.25" customHeight="1">
      <c r="A183" s="801" t="s">
        <v>721</v>
      </c>
      <c r="B183" s="801"/>
      <c r="C183" s="801"/>
      <c r="D183" s="801"/>
      <c r="E183" s="801"/>
      <c r="F183" s="801"/>
      <c r="G183" s="801"/>
      <c r="H183" s="801"/>
      <c r="I183" s="801"/>
      <c r="J183" s="801"/>
      <c r="K183" s="801"/>
      <c r="L183" s="801"/>
      <c r="M183" s="801"/>
      <c r="N183" s="801"/>
      <c r="O183" s="801"/>
      <c r="P183" s="801"/>
      <c r="Q183" s="799"/>
      <c r="R183" s="793"/>
      <c r="S183" s="800"/>
    </row>
    <row r="184" spans="1:23" ht="12" customHeight="1">
      <c r="A184" s="802"/>
      <c r="B184" s="802"/>
      <c r="C184" s="803"/>
      <c r="D184" s="802"/>
      <c r="E184" s="802"/>
      <c r="F184" s="802"/>
      <c r="G184" s="802"/>
      <c r="H184" s="802"/>
      <c r="I184" s="802"/>
      <c r="J184" s="802"/>
      <c r="K184" s="802"/>
      <c r="L184" s="801"/>
      <c r="M184" s="802"/>
      <c r="N184" s="802"/>
      <c r="O184" s="804"/>
      <c r="P184" s="802"/>
      <c r="Q184" s="799"/>
      <c r="R184" s="793"/>
      <c r="S184" s="800"/>
    </row>
    <row r="185" spans="1:23" ht="12" customHeight="1">
      <c r="A185" s="805"/>
      <c r="B185" s="805"/>
      <c r="C185" s="806"/>
      <c r="D185" s="805"/>
      <c r="E185" s="805"/>
      <c r="F185" s="805"/>
      <c r="G185" s="805"/>
      <c r="H185" s="805"/>
      <c r="I185" s="805"/>
      <c r="J185" s="805"/>
      <c r="K185" s="805"/>
      <c r="L185" s="805"/>
      <c r="M185" s="805"/>
      <c r="N185" s="805"/>
      <c r="O185" s="807"/>
      <c r="P185" s="805"/>
      <c r="Q185" s="799"/>
      <c r="R185" s="793"/>
      <c r="S185" s="800"/>
    </row>
    <row r="186" spans="1:23" ht="36.75" customHeight="1">
      <c r="A186" s="810" t="s">
        <v>45</v>
      </c>
      <c r="B186" s="810" t="s">
        <v>698</v>
      </c>
      <c r="C186" s="811" t="s">
        <v>699</v>
      </c>
      <c r="D186" s="812" t="s">
        <v>700</v>
      </c>
      <c r="E186" s="812" t="s">
        <v>701</v>
      </c>
      <c r="F186" s="812" t="s">
        <v>702</v>
      </c>
      <c r="G186" s="812" t="s">
        <v>703</v>
      </c>
      <c r="H186" s="812" t="s">
        <v>704</v>
      </c>
      <c r="I186" s="812" t="s">
        <v>705</v>
      </c>
      <c r="J186" s="812" t="s">
        <v>706</v>
      </c>
      <c r="K186" s="813" t="s">
        <v>707</v>
      </c>
      <c r="L186" s="812" t="s">
        <v>708</v>
      </c>
      <c r="M186" s="813" t="s">
        <v>709</v>
      </c>
      <c r="N186" s="812" t="s">
        <v>710</v>
      </c>
      <c r="O186" s="814" t="s">
        <v>701</v>
      </c>
      <c r="P186" s="812" t="s">
        <v>711</v>
      </c>
      <c r="Q186" s="799"/>
      <c r="R186" s="810" t="s">
        <v>698</v>
      </c>
      <c r="S186" s="812" t="s">
        <v>665</v>
      </c>
      <c r="T186" s="812" t="s">
        <v>523</v>
      </c>
      <c r="U186" s="812" t="s">
        <v>702</v>
      </c>
      <c r="V186" s="812" t="s">
        <v>712</v>
      </c>
      <c r="W186" s="810" t="s">
        <v>712</v>
      </c>
    </row>
    <row r="187" spans="1:23" s="816" customFormat="1" ht="13.5" customHeight="1">
      <c r="A187" s="817" t="str">
        <f>IF(B187&lt;&gt;"",ROW()-(ROW()-1),"")</f>
        <v/>
      </c>
      <c r="B187" s="829"/>
      <c r="C187" s="818">
        <f>IF(ISNA(VLOOKUP(B187,NXT!$Q$61:$S$81,2,0)),0,VLOOKUP(B187,NXT!$Q$61:$S$81,2,0))</f>
        <v>0</v>
      </c>
      <c r="D187" s="667">
        <f>ROUND(C187*O187,0)</f>
        <v>0</v>
      </c>
      <c r="E187" s="667"/>
      <c r="F187" s="667"/>
      <c r="G187" s="819">
        <f>(D187+E187)*F187</f>
        <v>0</v>
      </c>
      <c r="H187" s="667">
        <f>IF($E$193&lt;&gt;0,H$193/($D$193+$E$193/5)*($D187+$E187/5),0)</f>
        <v>0</v>
      </c>
      <c r="I187" s="667">
        <f>IF($D$193&lt;&gt;0,I$193/$D$193*$D187,0)</f>
        <v>0</v>
      </c>
      <c r="J187" s="667">
        <f t="shared" ref="J187:K191" si="21">IF($D$193&lt;&gt;0,J$193/$D$193*$D187,0)</f>
        <v>0</v>
      </c>
      <c r="K187" s="667">
        <f t="shared" si="21"/>
        <v>0</v>
      </c>
      <c r="L187" s="819"/>
      <c r="M187" s="667" t="e">
        <f>34560000/($O$67+#REF!+#REF!)*O187</f>
        <v>#REF!</v>
      </c>
      <c r="N187" s="819">
        <f>ROUND(SUM(G187:L187),0)</f>
        <v>0</v>
      </c>
      <c r="O187" s="667"/>
      <c r="P187" s="667">
        <f>IF(N187&lt;&gt;0,N187/O187,0)</f>
        <v>0</v>
      </c>
      <c r="Q187" s="815"/>
      <c r="R187" s="821"/>
      <c r="S187" s="888"/>
      <c r="T187" s="246"/>
      <c r="U187" s="246"/>
      <c r="V187" s="819">
        <f t="shared" ref="V187:V196" si="22">ROUND(T187*U187,0)</f>
        <v>0</v>
      </c>
      <c r="W187" s="819"/>
    </row>
    <row r="188" spans="1:23" ht="13.5" customHeight="1">
      <c r="A188" s="817" t="str">
        <f>IF(B188&lt;&gt;"",A187+1,"")</f>
        <v/>
      </c>
      <c r="B188" s="829"/>
      <c r="C188" s="818">
        <f>IF(ISNA(VLOOKUP(B188,NXT!$Q$61:$S$81,2,0)),0,VLOOKUP(B188,NXT!$Q$61:$S$81,2,0))</f>
        <v>0</v>
      </c>
      <c r="D188" s="667">
        <f>ROUND(C188*O188,0)</f>
        <v>0</v>
      </c>
      <c r="E188" s="667"/>
      <c r="F188" s="667"/>
      <c r="G188" s="819">
        <f>(D188+E188)*F188</f>
        <v>0</v>
      </c>
      <c r="H188" s="667">
        <f>IF($E$193&lt;&gt;0,H$193/($D$193+$E$193/5)*($D188+$E188/5),0)</f>
        <v>0</v>
      </c>
      <c r="I188" s="667">
        <f>IF($D$193&lt;&gt;0,I$193/$D$193*$D188,0)</f>
        <v>0</v>
      </c>
      <c r="J188" s="667">
        <f t="shared" si="21"/>
        <v>0</v>
      </c>
      <c r="K188" s="667">
        <f t="shared" si="21"/>
        <v>0</v>
      </c>
      <c r="L188" s="819"/>
      <c r="M188" s="667"/>
      <c r="N188" s="819">
        <f>ROUND(SUM(G188:L188),0)</f>
        <v>0</v>
      </c>
      <c r="O188" s="667"/>
      <c r="P188" s="667">
        <f>IF(N188&lt;&gt;0,N188/O188,0)</f>
        <v>0</v>
      </c>
      <c r="Q188" s="838"/>
      <c r="R188" s="826"/>
      <c r="S188" s="888"/>
      <c r="T188" s="246"/>
      <c r="U188" s="246"/>
      <c r="V188" s="819">
        <f t="shared" si="22"/>
        <v>0</v>
      </c>
      <c r="W188" s="835"/>
    </row>
    <row r="189" spans="1:23" ht="13.5" customHeight="1">
      <c r="A189" s="817" t="str">
        <f>IF(B189&lt;&gt;"",A188+1,"")</f>
        <v/>
      </c>
      <c r="B189" s="829"/>
      <c r="C189" s="818">
        <f>IF(ISNA(VLOOKUP(B189,NXT!$Q$61:$S$81,2,0)),0,VLOOKUP(B189,NXT!$Q$61:$S$81,2,0))</f>
        <v>0</v>
      </c>
      <c r="D189" s="667">
        <f>ROUND(C189*O189,0)</f>
        <v>0</v>
      </c>
      <c r="E189" s="667"/>
      <c r="F189" s="667"/>
      <c r="G189" s="819">
        <f>(D189+E189)*F189</f>
        <v>0</v>
      </c>
      <c r="H189" s="667">
        <f>IF($E$193&lt;&gt;0,H$193/($D$193+$E$193/5)*($D189+$E189/5),0)</f>
        <v>0</v>
      </c>
      <c r="I189" s="667">
        <f>IF($D$193&lt;&gt;0,I$193/$D$193*$D189,0)</f>
        <v>0</v>
      </c>
      <c r="J189" s="667">
        <f t="shared" si="21"/>
        <v>0</v>
      </c>
      <c r="K189" s="667">
        <f t="shared" si="21"/>
        <v>0</v>
      </c>
      <c r="L189" s="819"/>
      <c r="M189" s="667"/>
      <c r="N189" s="819">
        <f>ROUND(SUM(G189:L189),0)</f>
        <v>0</v>
      </c>
      <c r="O189" s="825"/>
      <c r="P189" s="667">
        <f>IF(N189&lt;&gt;0,N189/O189,0)</f>
        <v>0</v>
      </c>
      <c r="Q189" s="838"/>
      <c r="R189" s="826"/>
      <c r="S189" s="888"/>
      <c r="T189" s="246"/>
      <c r="U189" s="246"/>
      <c r="V189" s="819">
        <f t="shared" si="22"/>
        <v>0</v>
      </c>
      <c r="W189" s="835"/>
    </row>
    <row r="190" spans="1:23">
      <c r="A190" s="817" t="str">
        <f>IF(B190&lt;&gt;"",A189+1,"")</f>
        <v/>
      </c>
      <c r="B190" s="829"/>
      <c r="C190" s="818">
        <f>IF(ISNA(VLOOKUP(B190,NXT!$Q$61:$S$81,2,0)),0,VLOOKUP(B190,NXT!$Q$61:$S$81,2,0))</f>
        <v>0</v>
      </c>
      <c r="D190" s="667">
        <f>ROUND(C190*O190,0)</f>
        <v>0</v>
      </c>
      <c r="E190" s="667"/>
      <c r="F190" s="667"/>
      <c r="G190" s="819">
        <f>(D190+E190)*F190</f>
        <v>0</v>
      </c>
      <c r="H190" s="667">
        <f>IF($E$193&lt;&gt;0,H$193/($D$193+$E$193/5)*($D190+$E190/5),0)</f>
        <v>0</v>
      </c>
      <c r="I190" s="667">
        <f>IF($D$193&lt;&gt;0,I$193/$D$193*$D190,0)</f>
        <v>0</v>
      </c>
      <c r="J190" s="667">
        <f t="shared" si="21"/>
        <v>0</v>
      </c>
      <c r="K190" s="667">
        <f t="shared" si="21"/>
        <v>0</v>
      </c>
      <c r="L190" s="819"/>
      <c r="M190" s="667"/>
      <c r="N190" s="819">
        <f>ROUND(SUM(G190:L190),0)</f>
        <v>0</v>
      </c>
      <c r="O190" s="825"/>
      <c r="P190" s="667">
        <f>IF(N190&lt;&gt;0,N190/O190,0)</f>
        <v>0</v>
      </c>
      <c r="Q190" s="838"/>
      <c r="R190" s="826"/>
      <c r="S190" s="888"/>
      <c r="T190" s="246"/>
      <c r="U190" s="246"/>
      <c r="V190" s="819">
        <f t="shared" si="22"/>
        <v>0</v>
      </c>
      <c r="W190" s="835"/>
    </row>
    <row r="191" spans="1:23">
      <c r="A191" s="817" t="str">
        <f>IF(B191&lt;&gt;"",A190+1,"")</f>
        <v/>
      </c>
      <c r="B191" s="829"/>
      <c r="C191" s="818">
        <f>IF(ISNA(VLOOKUP(B191,NXT!$Q$61:$S$81,2,0)),0,VLOOKUP(B191,NXT!$Q$61:$S$81,2,0))</f>
        <v>0</v>
      </c>
      <c r="D191" s="667">
        <f>ROUND(C191*O191,0)</f>
        <v>0</v>
      </c>
      <c r="E191" s="667"/>
      <c r="F191" s="667"/>
      <c r="G191" s="819">
        <f>(D191+E191)*F191</f>
        <v>0</v>
      </c>
      <c r="H191" s="667">
        <f>IF($E$193&lt;&gt;0,H$193/($D$193+$E$193/5)*($D191+$E191/5),0)</f>
        <v>0</v>
      </c>
      <c r="I191" s="667">
        <f>IF($D$193&lt;&gt;0,I$193/$D$193*$D191,0)</f>
        <v>0</v>
      </c>
      <c r="J191" s="667">
        <f t="shared" si="21"/>
        <v>0</v>
      </c>
      <c r="K191" s="667">
        <f t="shared" si="21"/>
        <v>0</v>
      </c>
      <c r="L191" s="667"/>
      <c r="M191" s="667"/>
      <c r="N191" s="819">
        <f>ROUND(SUM(G191:L191),0)</f>
        <v>0</v>
      </c>
      <c r="O191" s="825"/>
      <c r="P191" s="667">
        <f>IF(N191&lt;&gt;0,N191/O191,0)</f>
        <v>0</v>
      </c>
      <c r="Q191" s="838"/>
      <c r="R191" s="826"/>
      <c r="S191" s="888"/>
      <c r="T191" s="246"/>
      <c r="U191" s="246"/>
      <c r="V191" s="819">
        <f t="shared" si="22"/>
        <v>0</v>
      </c>
      <c r="W191" s="835"/>
    </row>
    <row r="192" spans="1:23">
      <c r="A192" s="817" t="str">
        <f>IF(B192&lt;&gt;"",#REF!+1,"")</f>
        <v/>
      </c>
      <c r="B192" s="830"/>
      <c r="C192" s="831"/>
      <c r="D192" s="833"/>
      <c r="E192" s="833"/>
      <c r="F192" s="833"/>
      <c r="G192" s="834"/>
      <c r="H192" s="879"/>
      <c r="I192" s="833"/>
      <c r="J192" s="835"/>
      <c r="K192" s="833"/>
      <c r="L192" s="836"/>
      <c r="M192" s="833"/>
      <c r="N192" s="867"/>
      <c r="O192" s="837"/>
      <c r="P192" s="833"/>
      <c r="Q192" s="838"/>
      <c r="R192" s="826"/>
      <c r="S192" s="888"/>
      <c r="T192" s="246"/>
      <c r="U192" s="246"/>
      <c r="V192" s="819">
        <f t="shared" si="22"/>
        <v>0</v>
      </c>
      <c r="W192" s="835"/>
    </row>
    <row r="193" spans="1:23">
      <c r="A193" s="840"/>
      <c r="B193" s="841" t="s">
        <v>713</v>
      </c>
      <c r="C193" s="842"/>
      <c r="D193" s="843">
        <f>SUM(D187:D191)</f>
        <v>0</v>
      </c>
      <c r="E193" s="843">
        <f>SUM(E187:E191)</f>
        <v>0</v>
      </c>
      <c r="F193" s="843"/>
      <c r="G193" s="843">
        <f>SUM(G187:G191)</f>
        <v>0</v>
      </c>
      <c r="H193" s="844"/>
      <c r="I193" s="844">
        <f>V198</f>
        <v>0</v>
      </c>
      <c r="J193" s="844"/>
      <c r="K193" s="844"/>
      <c r="L193" s="843">
        <f>ROUND(SUM(L187:L192),0)</f>
        <v>0</v>
      </c>
      <c r="M193" s="843" t="e">
        <f>ROUND(SUM(M187:M192),0)</f>
        <v>#REF!</v>
      </c>
      <c r="N193" s="843">
        <f>ROUND(SUM(N187:N192),0)</f>
        <v>0</v>
      </c>
      <c r="O193" s="843">
        <f>ROUND(SUM(O187:O192),0)</f>
        <v>0</v>
      </c>
      <c r="P193" s="843"/>
      <c r="Q193" s="838"/>
      <c r="R193" s="826"/>
      <c r="S193" s="888"/>
      <c r="T193" s="246"/>
      <c r="U193" s="246"/>
      <c r="V193" s="819">
        <f t="shared" si="22"/>
        <v>0</v>
      </c>
      <c r="W193" s="835"/>
    </row>
    <row r="194" spans="1:23">
      <c r="Q194" s="838"/>
      <c r="R194" s="826"/>
      <c r="S194" s="888"/>
      <c r="T194" s="849"/>
      <c r="U194" s="827"/>
      <c r="V194" s="819">
        <f t="shared" si="22"/>
        <v>0</v>
      </c>
      <c r="W194" s="835"/>
    </row>
    <row r="195" spans="1:23">
      <c r="Q195" s="838"/>
      <c r="R195" s="891"/>
      <c r="S195" s="888"/>
      <c r="T195" s="849"/>
      <c r="U195" s="827"/>
      <c r="V195" s="819">
        <f t="shared" si="22"/>
        <v>0</v>
      </c>
      <c r="W195" s="835"/>
    </row>
    <row r="196" spans="1:23">
      <c r="Q196" s="838"/>
      <c r="R196" s="547"/>
      <c r="S196" s="888"/>
      <c r="T196" s="246"/>
      <c r="U196" s="246"/>
      <c r="V196" s="819">
        <f t="shared" si="22"/>
        <v>0</v>
      </c>
      <c r="W196" s="835"/>
    </row>
    <row r="197" spans="1:23" s="839" customFormat="1">
      <c r="A197" s="790"/>
      <c r="B197" s="790"/>
      <c r="C197" s="790"/>
      <c r="D197" s="790"/>
      <c r="E197" s="790"/>
      <c r="F197" s="790"/>
      <c r="G197" s="790"/>
      <c r="H197" s="790"/>
      <c r="I197" s="790"/>
      <c r="J197" s="790"/>
      <c r="K197" s="790"/>
      <c r="L197" s="790"/>
      <c r="M197" s="790"/>
      <c r="N197" s="790"/>
      <c r="O197" s="790"/>
      <c r="P197" s="790"/>
      <c r="Q197" s="838"/>
      <c r="R197" s="826"/>
      <c r="S197" s="822"/>
      <c r="T197" s="246"/>
      <c r="U197" s="246"/>
      <c r="V197" s="819"/>
      <c r="W197" s="835"/>
    </row>
    <row r="198" spans="1:23" s="794" customFormat="1">
      <c r="A198" s="790"/>
      <c r="B198" s="790"/>
      <c r="C198" s="790"/>
      <c r="D198" s="790"/>
      <c r="E198" s="790"/>
      <c r="F198" s="790"/>
      <c r="G198" s="790"/>
      <c r="H198" s="790"/>
      <c r="I198" s="790"/>
      <c r="J198" s="790"/>
      <c r="K198" s="790"/>
      <c r="L198" s="790"/>
      <c r="M198" s="790"/>
      <c r="N198" s="790"/>
      <c r="O198" s="790"/>
      <c r="P198" s="790"/>
      <c r="Q198" s="838"/>
      <c r="R198" s="872"/>
      <c r="S198" s="873"/>
      <c r="T198" s="874"/>
      <c r="U198" s="893"/>
      <c r="V198" s="853">
        <f>SUM(V187:V197)</f>
        <v>0</v>
      </c>
      <c r="W198" s="853">
        <f>SUM(W187:W197)</f>
        <v>0</v>
      </c>
    </row>
    <row r="199" spans="1:23">
      <c r="R199" s="875"/>
      <c r="S199" s="888"/>
      <c r="T199" s="246"/>
      <c r="U199" s="246"/>
      <c r="V199" s="819">
        <f t="shared" ref="V199:V206" si="23">ROUND(T199*U199,0)</f>
        <v>0</v>
      </c>
      <c r="W199" s="819"/>
    </row>
    <row r="200" spans="1:23">
      <c r="R200" s="875"/>
      <c r="S200" s="888"/>
      <c r="T200" s="827"/>
      <c r="U200" s="827"/>
      <c r="V200" s="819">
        <f t="shared" si="23"/>
        <v>0</v>
      </c>
      <c r="W200" s="835"/>
    </row>
    <row r="201" spans="1:23">
      <c r="R201" s="826"/>
      <c r="S201" s="888"/>
      <c r="T201" s="827"/>
      <c r="U201" s="827"/>
      <c r="V201" s="819">
        <f t="shared" si="23"/>
        <v>0</v>
      </c>
      <c r="W201" s="835"/>
    </row>
    <row r="202" spans="1:23">
      <c r="R202" s="849"/>
      <c r="S202" s="888"/>
      <c r="T202" s="827"/>
      <c r="U202" s="827"/>
      <c r="V202" s="819">
        <f t="shared" si="23"/>
        <v>0</v>
      </c>
      <c r="W202" s="835"/>
    </row>
    <row r="203" spans="1:23">
      <c r="R203" s="826"/>
      <c r="S203" s="822"/>
      <c r="T203" s="827"/>
      <c r="U203" s="827"/>
      <c r="V203" s="819">
        <f t="shared" si="23"/>
        <v>0</v>
      </c>
      <c r="W203" s="835"/>
    </row>
    <row r="204" spans="1:23">
      <c r="R204" s="826"/>
      <c r="S204" s="822"/>
      <c r="T204" s="827"/>
      <c r="U204" s="827"/>
      <c r="V204" s="819">
        <f t="shared" si="23"/>
        <v>0</v>
      </c>
      <c r="W204" s="835"/>
    </row>
    <row r="205" spans="1:23">
      <c r="R205" s="849"/>
      <c r="S205" s="822"/>
      <c r="T205" s="827"/>
      <c r="U205" s="827"/>
      <c r="V205" s="819">
        <f t="shared" si="23"/>
        <v>0</v>
      </c>
      <c r="W205" s="835"/>
    </row>
    <row r="206" spans="1:23">
      <c r="R206" s="849"/>
      <c r="S206" s="822"/>
      <c r="T206" s="827"/>
      <c r="U206" s="827"/>
      <c r="V206" s="819">
        <f t="shared" si="23"/>
        <v>0</v>
      </c>
      <c r="W206" s="835"/>
    </row>
    <row r="207" spans="1:23">
      <c r="A207" s="802"/>
      <c r="B207" s="802"/>
      <c r="C207" s="803"/>
      <c r="D207" s="802"/>
      <c r="E207" s="802"/>
      <c r="F207" s="802"/>
      <c r="G207" s="802"/>
      <c r="H207" s="802"/>
      <c r="I207" s="802"/>
      <c r="J207" s="802"/>
      <c r="K207" s="802"/>
      <c r="L207" s="801"/>
      <c r="M207" s="802"/>
      <c r="N207" s="802"/>
      <c r="O207" s="804"/>
      <c r="P207" s="802"/>
      <c r="R207" s="793"/>
      <c r="S207" s="800"/>
    </row>
    <row r="208" spans="1:23" ht="18.75" customHeight="1">
      <c r="A208" s="809"/>
      <c r="B208" s="809"/>
      <c r="C208" s="896"/>
      <c r="D208" s="809"/>
      <c r="E208" s="809"/>
      <c r="F208" s="809"/>
      <c r="G208" s="809"/>
      <c r="H208" s="809"/>
      <c r="I208" s="809"/>
      <c r="J208" s="809"/>
      <c r="K208" s="809"/>
      <c r="L208" s="809"/>
      <c r="M208" s="809"/>
      <c r="N208" s="809"/>
      <c r="O208" s="861"/>
      <c r="P208" s="809"/>
      <c r="Q208" s="799"/>
      <c r="R208" s="793"/>
      <c r="S208" s="800"/>
    </row>
    <row r="209" spans="1:23" ht="20.25" customHeight="1">
      <c r="A209" s="794" t="s">
        <v>696</v>
      </c>
      <c r="B209" s="794"/>
      <c r="C209" s="795"/>
      <c r="D209" s="796"/>
      <c r="E209" s="796"/>
      <c r="F209" s="796"/>
      <c r="G209" s="793"/>
      <c r="H209" s="793"/>
      <c r="I209" s="793"/>
      <c r="J209" s="793"/>
      <c r="K209" s="793"/>
      <c r="L209" s="797"/>
      <c r="M209" s="793"/>
      <c r="N209" s="793"/>
      <c r="O209" s="798"/>
      <c r="P209" s="793"/>
      <c r="Q209" s="799"/>
      <c r="R209" s="793"/>
      <c r="S209" s="800"/>
    </row>
    <row r="210" spans="1:23" ht="20.25" customHeight="1">
      <c r="A210" s="801" t="s">
        <v>722</v>
      </c>
      <c r="B210" s="801"/>
      <c r="C210" s="801"/>
      <c r="D210" s="801"/>
      <c r="E210" s="801"/>
      <c r="F210" s="801"/>
      <c r="G210" s="801"/>
      <c r="H210" s="801"/>
      <c r="I210" s="801"/>
      <c r="J210" s="801"/>
      <c r="K210" s="801"/>
      <c r="L210" s="801"/>
      <c r="M210" s="801"/>
      <c r="N210" s="801"/>
      <c r="O210" s="801"/>
      <c r="P210" s="801"/>
      <c r="Q210" s="799"/>
      <c r="R210" s="793"/>
      <c r="S210" s="800"/>
    </row>
    <row r="211" spans="1:23" ht="12" customHeight="1">
      <c r="A211" s="802"/>
      <c r="B211" s="802"/>
      <c r="C211" s="803"/>
      <c r="D211" s="802"/>
      <c r="E211" s="802"/>
      <c r="F211" s="802"/>
      <c r="G211" s="802"/>
      <c r="H211" s="802"/>
      <c r="I211" s="802"/>
      <c r="J211" s="802"/>
      <c r="K211" s="802"/>
      <c r="L211" s="801"/>
      <c r="M211" s="802"/>
      <c r="N211" s="802"/>
      <c r="O211" s="804"/>
      <c r="P211" s="802"/>
      <c r="Q211" s="799"/>
      <c r="R211" s="793"/>
      <c r="S211" s="800"/>
    </row>
    <row r="212" spans="1:23" ht="12" customHeight="1">
      <c r="A212" s="805"/>
      <c r="B212" s="805"/>
      <c r="C212" s="806"/>
      <c r="D212" s="805"/>
      <c r="E212" s="805"/>
      <c r="F212" s="805"/>
      <c r="G212" s="805"/>
      <c r="H212" s="805"/>
      <c r="I212" s="805"/>
      <c r="J212" s="805"/>
      <c r="K212" s="805"/>
      <c r="L212" s="805"/>
      <c r="M212" s="805"/>
      <c r="N212" s="805"/>
      <c r="O212" s="807"/>
      <c r="P212" s="805"/>
      <c r="Q212" s="799"/>
      <c r="R212" s="793"/>
      <c r="S212" s="800"/>
    </row>
    <row r="213" spans="1:23" ht="36.75" customHeight="1">
      <c r="A213" s="810" t="s">
        <v>45</v>
      </c>
      <c r="B213" s="810" t="s">
        <v>698</v>
      </c>
      <c r="C213" s="811" t="s">
        <v>699</v>
      </c>
      <c r="D213" s="812" t="s">
        <v>700</v>
      </c>
      <c r="E213" s="812" t="s">
        <v>701</v>
      </c>
      <c r="F213" s="812" t="s">
        <v>702</v>
      </c>
      <c r="G213" s="812" t="s">
        <v>703</v>
      </c>
      <c r="H213" s="812" t="s">
        <v>704</v>
      </c>
      <c r="I213" s="812" t="s">
        <v>705</v>
      </c>
      <c r="J213" s="812" t="s">
        <v>706</v>
      </c>
      <c r="K213" s="813" t="s">
        <v>707</v>
      </c>
      <c r="L213" s="812" t="s">
        <v>708</v>
      </c>
      <c r="M213" s="813" t="s">
        <v>709</v>
      </c>
      <c r="N213" s="812" t="s">
        <v>710</v>
      </c>
      <c r="O213" s="814" t="s">
        <v>701</v>
      </c>
      <c r="P213" s="812" t="s">
        <v>711</v>
      </c>
      <c r="Q213" s="799"/>
      <c r="R213" s="810" t="s">
        <v>698</v>
      </c>
      <c r="S213" s="812" t="s">
        <v>665</v>
      </c>
      <c r="T213" s="812" t="s">
        <v>523</v>
      </c>
      <c r="U213" s="812" t="s">
        <v>702</v>
      </c>
      <c r="V213" s="812" t="s">
        <v>712</v>
      </c>
      <c r="W213" s="810" t="s">
        <v>712</v>
      </c>
    </row>
    <row r="214" spans="1:23" s="816" customFormat="1" ht="13.5" customHeight="1">
      <c r="A214" s="817" t="str">
        <f>IF(B214&lt;&gt;"",ROW()-(ROW()-1),"")</f>
        <v/>
      </c>
      <c r="B214" s="829"/>
      <c r="C214" s="818">
        <f>IF(ISNA(VLOOKUP(B214,NXT!$Q$61:$S$81,2,0)),0,VLOOKUP(B214,NXT!$Q$61:$S$81,2,0))</f>
        <v>0</v>
      </c>
      <c r="D214" s="667">
        <f t="shared" ref="D214:D219" si="24">ROUND(C214*O214,0)</f>
        <v>0</v>
      </c>
      <c r="E214" s="667"/>
      <c r="F214" s="667"/>
      <c r="G214" s="819">
        <f t="shared" ref="G214:G219" si="25">(D214+E214)*F214</f>
        <v>0</v>
      </c>
      <c r="H214" s="667">
        <f t="shared" ref="H214:H219" si="26">IF($D$221&lt;&gt;0,H$221/($D$221+$E$221/4)*($D214+$E214/4),0)</f>
        <v>0</v>
      </c>
      <c r="I214" s="667">
        <f t="shared" ref="I214:K219" si="27">IF($D$221&lt;&gt;0,I$221/$D$221*$D214,0)</f>
        <v>0</v>
      </c>
      <c r="J214" s="667">
        <f t="shared" si="27"/>
        <v>0</v>
      </c>
      <c r="K214" s="667">
        <f t="shared" si="27"/>
        <v>0</v>
      </c>
      <c r="L214" s="667"/>
      <c r="M214" s="667"/>
      <c r="N214" s="819">
        <f t="shared" ref="N214:N219" si="28">ROUND(SUM(G214:L214),0)</f>
        <v>0</v>
      </c>
      <c r="O214" s="825"/>
      <c r="P214" s="667">
        <f t="shared" ref="P214:P219" si="29">IF(N214&lt;&gt;0,N214/O214,0)</f>
        <v>0</v>
      </c>
      <c r="Q214" s="815"/>
      <c r="R214" s="821"/>
      <c r="S214" s="888"/>
      <c r="T214" s="246"/>
      <c r="U214" s="246"/>
      <c r="V214" s="819">
        <f t="shared" ref="V214:V223" si="30">ROUND(T214*U214,0)</f>
        <v>0</v>
      </c>
      <c r="W214" s="819"/>
    </row>
    <row r="215" spans="1:23" ht="13.5" customHeight="1">
      <c r="A215" s="817" t="str">
        <f t="shared" ref="A215:A220" si="31">IF(B215&lt;&gt;"",A214+1,"")</f>
        <v/>
      </c>
      <c r="B215" s="829"/>
      <c r="C215" s="818">
        <f>IF(ISNA(VLOOKUP(B215,NXT!$Q$61:$S$81,2,0)),0,VLOOKUP(B215,NXT!$Q$61:$S$81,2,0))</f>
        <v>0</v>
      </c>
      <c r="D215" s="667">
        <f t="shared" si="24"/>
        <v>0</v>
      </c>
      <c r="E215" s="667"/>
      <c r="F215" s="667"/>
      <c r="G215" s="819">
        <f t="shared" si="25"/>
        <v>0</v>
      </c>
      <c r="H215" s="667">
        <f t="shared" si="26"/>
        <v>0</v>
      </c>
      <c r="I215" s="667">
        <f>IF($D$221&lt;&gt;0,I$221/$D$221*$D215,0)</f>
        <v>0</v>
      </c>
      <c r="J215" s="667">
        <f t="shared" si="27"/>
        <v>0</v>
      </c>
      <c r="K215" s="667">
        <f t="shared" si="27"/>
        <v>0</v>
      </c>
      <c r="L215" s="819"/>
      <c r="M215" s="667" t="e">
        <f>34560000/($O$67+#REF!+#REF!)*O215</f>
        <v>#REF!</v>
      </c>
      <c r="N215" s="819">
        <f t="shared" si="28"/>
        <v>0</v>
      </c>
      <c r="O215" s="667"/>
      <c r="P215" s="667">
        <f t="shared" si="29"/>
        <v>0</v>
      </c>
      <c r="Q215" s="838"/>
      <c r="R215" s="826"/>
      <c r="S215" s="888"/>
      <c r="T215" s="246"/>
      <c r="U215" s="246"/>
      <c r="V215" s="819">
        <f t="shared" si="30"/>
        <v>0</v>
      </c>
      <c r="W215" s="835"/>
    </row>
    <row r="216" spans="1:23" ht="13.5" customHeight="1">
      <c r="A216" s="817" t="str">
        <f t="shared" si="31"/>
        <v/>
      </c>
      <c r="B216" s="542"/>
      <c r="C216" s="818">
        <f>IF(ISNA(VLOOKUP(B216,NXT!$Q$61:$S$81,2,0)),0,VLOOKUP(B216,NXT!$Q$61:$S$81,2,0))</f>
        <v>0</v>
      </c>
      <c r="D216" s="667">
        <f t="shared" si="24"/>
        <v>0</v>
      </c>
      <c r="E216" s="667"/>
      <c r="F216" s="667"/>
      <c r="G216" s="819">
        <f t="shared" si="25"/>
        <v>0</v>
      </c>
      <c r="H216" s="667">
        <f t="shared" si="26"/>
        <v>0</v>
      </c>
      <c r="I216" s="667">
        <f t="shared" si="27"/>
        <v>0</v>
      </c>
      <c r="J216" s="667">
        <f t="shared" si="27"/>
        <v>0</v>
      </c>
      <c r="K216" s="667">
        <f t="shared" si="27"/>
        <v>0</v>
      </c>
      <c r="L216" s="667"/>
      <c r="M216" s="667"/>
      <c r="N216" s="819">
        <f t="shared" si="28"/>
        <v>0</v>
      </c>
      <c r="O216" s="825"/>
      <c r="P216" s="667">
        <f t="shared" si="29"/>
        <v>0</v>
      </c>
      <c r="Q216" s="838"/>
      <c r="R216" s="826"/>
      <c r="S216" s="888"/>
      <c r="T216" s="246"/>
      <c r="U216" s="246"/>
      <c r="V216" s="819">
        <f t="shared" si="30"/>
        <v>0</v>
      </c>
      <c r="W216" s="835"/>
    </row>
    <row r="217" spans="1:23" ht="13.5" customHeight="1">
      <c r="A217" s="817" t="str">
        <f t="shared" si="31"/>
        <v/>
      </c>
      <c r="B217" s="829"/>
      <c r="C217" s="818">
        <f>IF(ISNA(VLOOKUP(B217,NXT!$Q$61:$S$81,2,0)),0,VLOOKUP(B217,NXT!$Q$61:$S$81,2,0))</f>
        <v>0</v>
      </c>
      <c r="D217" s="667">
        <f t="shared" si="24"/>
        <v>0</v>
      </c>
      <c r="E217" s="667"/>
      <c r="F217" s="667"/>
      <c r="G217" s="819">
        <f t="shared" si="25"/>
        <v>0</v>
      </c>
      <c r="H217" s="667">
        <f t="shared" si="26"/>
        <v>0</v>
      </c>
      <c r="I217" s="667">
        <f t="shared" si="27"/>
        <v>0</v>
      </c>
      <c r="J217" s="667">
        <f t="shared" si="27"/>
        <v>0</v>
      </c>
      <c r="K217" s="667">
        <f t="shared" si="27"/>
        <v>0</v>
      </c>
      <c r="L217" s="667"/>
      <c r="M217" s="667"/>
      <c r="N217" s="819">
        <f t="shared" si="28"/>
        <v>0</v>
      </c>
      <c r="O217" s="825"/>
      <c r="P217" s="667">
        <f t="shared" si="29"/>
        <v>0</v>
      </c>
      <c r="Q217" s="838"/>
      <c r="R217" s="826"/>
      <c r="S217" s="888"/>
      <c r="T217" s="246"/>
      <c r="U217" s="246"/>
      <c r="V217" s="819">
        <f t="shared" si="30"/>
        <v>0</v>
      </c>
      <c r="W217" s="835"/>
    </row>
    <row r="218" spans="1:23" ht="13.5" customHeight="1">
      <c r="A218" s="817" t="str">
        <f t="shared" si="31"/>
        <v/>
      </c>
      <c r="B218" s="829"/>
      <c r="C218" s="818">
        <f>IF(ISNA(VLOOKUP(B218,NXT!$Q$61:$S$81,2,0)),0,VLOOKUP(B218,NXT!$Q$61:$S$81,2,0))</f>
        <v>0</v>
      </c>
      <c r="D218" s="667">
        <f t="shared" si="24"/>
        <v>0</v>
      </c>
      <c r="E218" s="667"/>
      <c r="F218" s="667"/>
      <c r="G218" s="819">
        <f t="shared" si="25"/>
        <v>0</v>
      </c>
      <c r="H218" s="667">
        <f t="shared" si="26"/>
        <v>0</v>
      </c>
      <c r="I218" s="667">
        <f t="shared" si="27"/>
        <v>0</v>
      </c>
      <c r="J218" s="667">
        <f t="shared" si="27"/>
        <v>0</v>
      </c>
      <c r="K218" s="667">
        <f t="shared" si="27"/>
        <v>0</v>
      </c>
      <c r="L218" s="667"/>
      <c r="M218" s="667"/>
      <c r="N218" s="819">
        <f t="shared" si="28"/>
        <v>0</v>
      </c>
      <c r="O218" s="825"/>
      <c r="P218" s="667">
        <f t="shared" si="29"/>
        <v>0</v>
      </c>
      <c r="Q218" s="838"/>
      <c r="R218" s="826"/>
      <c r="S218" s="888"/>
      <c r="T218" s="246"/>
      <c r="U218" s="246"/>
      <c r="V218" s="819">
        <f t="shared" si="30"/>
        <v>0</v>
      </c>
      <c r="W218" s="835"/>
    </row>
    <row r="219" spans="1:23">
      <c r="A219" s="817" t="str">
        <f t="shared" si="31"/>
        <v/>
      </c>
      <c r="B219" s="829"/>
      <c r="C219" s="818">
        <f>IF(ISNA(VLOOKUP(B219,NXT!$Q$61:$S$81,2,0)),0,VLOOKUP(B219,NXT!$Q$61:$S$81,2,0))</f>
        <v>0</v>
      </c>
      <c r="D219" s="667">
        <f t="shared" si="24"/>
        <v>0</v>
      </c>
      <c r="E219" s="667"/>
      <c r="F219" s="667"/>
      <c r="G219" s="819">
        <f t="shared" si="25"/>
        <v>0</v>
      </c>
      <c r="H219" s="667">
        <f t="shared" si="26"/>
        <v>0</v>
      </c>
      <c r="I219" s="667">
        <f t="shared" si="27"/>
        <v>0</v>
      </c>
      <c r="J219" s="667">
        <f t="shared" si="27"/>
        <v>0</v>
      </c>
      <c r="K219" s="667">
        <f t="shared" si="27"/>
        <v>0</v>
      </c>
      <c r="L219" s="667"/>
      <c r="M219" s="667"/>
      <c r="N219" s="819">
        <f t="shared" si="28"/>
        <v>0</v>
      </c>
      <c r="O219" s="825"/>
      <c r="P219" s="667">
        <f t="shared" si="29"/>
        <v>0</v>
      </c>
      <c r="Q219" s="838"/>
      <c r="R219" s="826"/>
      <c r="S219" s="888"/>
      <c r="T219" s="246"/>
      <c r="U219" s="827"/>
      <c r="V219" s="819">
        <f t="shared" si="30"/>
        <v>0</v>
      </c>
      <c r="W219" s="835"/>
    </row>
    <row r="220" spans="1:23">
      <c r="A220" s="817" t="str">
        <f t="shared" si="31"/>
        <v/>
      </c>
      <c r="B220" s="830"/>
      <c r="C220" s="831"/>
      <c r="D220" s="833"/>
      <c r="E220" s="833"/>
      <c r="F220" s="833"/>
      <c r="G220" s="834"/>
      <c r="H220" s="879"/>
      <c r="I220" s="833"/>
      <c r="J220" s="835"/>
      <c r="K220" s="833"/>
      <c r="L220" s="836"/>
      <c r="M220" s="833"/>
      <c r="N220" s="867"/>
      <c r="O220" s="837"/>
      <c r="P220" s="833"/>
      <c r="Q220" s="838"/>
      <c r="R220" s="826"/>
      <c r="S220" s="890"/>
      <c r="T220" s="246"/>
      <c r="U220" s="246"/>
      <c r="V220" s="819">
        <f t="shared" si="30"/>
        <v>0</v>
      </c>
      <c r="W220" s="835"/>
    </row>
    <row r="221" spans="1:23" s="839" customFormat="1">
      <c r="A221" s="840"/>
      <c r="B221" s="841" t="s">
        <v>713</v>
      </c>
      <c r="C221" s="842"/>
      <c r="D221" s="843">
        <f>SUM(D214:D219)</f>
        <v>0</v>
      </c>
      <c r="E221" s="843">
        <f>SUM(E214:E219)</f>
        <v>0</v>
      </c>
      <c r="F221" s="843"/>
      <c r="G221" s="843">
        <f>SUM(G214:G220)</f>
        <v>0</v>
      </c>
      <c r="H221" s="844"/>
      <c r="I221" s="844">
        <f>V225</f>
        <v>0</v>
      </c>
      <c r="J221" s="844"/>
      <c r="K221" s="844"/>
      <c r="L221" s="843">
        <f>ROUND(SUM(L214:L220),0)</f>
        <v>0</v>
      </c>
      <c r="M221" s="843" t="e">
        <f>ROUND(SUM(M214:M220),0)</f>
        <v>#REF!</v>
      </c>
      <c r="N221" s="843">
        <f>ROUND(SUM(N214:N220),0)</f>
        <v>0</v>
      </c>
      <c r="O221" s="843">
        <f>ROUND(SUM(O214:O220),0)</f>
        <v>0</v>
      </c>
      <c r="P221" s="843"/>
      <c r="Q221" s="838"/>
      <c r="R221" s="826"/>
      <c r="S221" s="890"/>
      <c r="T221" s="849"/>
      <c r="U221" s="827"/>
      <c r="V221" s="819">
        <f t="shared" si="30"/>
        <v>0</v>
      </c>
      <c r="W221" s="835"/>
    </row>
    <row r="222" spans="1:23" s="794" customFormat="1">
      <c r="A222" s="790"/>
      <c r="B222" s="790"/>
      <c r="C222" s="790"/>
      <c r="D222" s="790"/>
      <c r="E222" s="790"/>
      <c r="F222" s="790"/>
      <c r="G222" s="790"/>
      <c r="H222" s="790"/>
      <c r="I222" s="790"/>
      <c r="J222" s="790"/>
      <c r="K222" s="790"/>
      <c r="L222" s="790"/>
      <c r="M222" s="790"/>
      <c r="N222" s="790"/>
      <c r="O222" s="790"/>
      <c r="P222" s="790"/>
      <c r="Q222" s="838"/>
      <c r="R222" s="891"/>
      <c r="S222" s="890"/>
      <c r="T222" s="849"/>
      <c r="U222" s="827"/>
      <c r="V222" s="819">
        <f t="shared" si="30"/>
        <v>0</v>
      </c>
      <c r="W222" s="835"/>
    </row>
    <row r="223" spans="1:23">
      <c r="Q223" s="838"/>
      <c r="R223" s="547"/>
      <c r="S223" s="890"/>
      <c r="T223" s="246"/>
      <c r="U223" s="246"/>
      <c r="V223" s="819">
        <f t="shared" si="30"/>
        <v>0</v>
      </c>
      <c r="W223" s="835"/>
    </row>
    <row r="224" spans="1:23">
      <c r="Q224" s="838"/>
      <c r="R224" s="892"/>
      <c r="S224" s="822"/>
      <c r="T224" s="246"/>
      <c r="U224" s="246"/>
      <c r="V224" s="835"/>
      <c r="W224" s="835"/>
    </row>
    <row r="225" spans="1:23">
      <c r="Q225" s="838"/>
      <c r="R225" s="872"/>
      <c r="S225" s="873"/>
      <c r="T225" s="874"/>
      <c r="U225" s="893"/>
      <c r="V225" s="853">
        <f>SUM(V214:V224)</f>
        <v>0</v>
      </c>
      <c r="W225" s="853">
        <f>SUM(W214:W224)</f>
        <v>0</v>
      </c>
    </row>
    <row r="226" spans="1:23">
      <c r="R226" s="826"/>
      <c r="S226" s="888"/>
      <c r="T226" s="246"/>
      <c r="U226" s="827"/>
      <c r="V226" s="819">
        <f t="shared" ref="V226:V233" si="32">ROUND(T226*U226,0)</f>
        <v>0</v>
      </c>
      <c r="W226" s="819"/>
    </row>
    <row r="227" spans="1:23">
      <c r="R227" s="826"/>
      <c r="S227" s="888"/>
      <c r="T227" s="827"/>
      <c r="U227" s="827"/>
      <c r="V227" s="819">
        <f t="shared" si="32"/>
        <v>0</v>
      </c>
      <c r="W227" s="835"/>
    </row>
    <row r="228" spans="1:23">
      <c r="R228" s="559"/>
      <c r="S228" s="888"/>
      <c r="T228" s="827"/>
      <c r="U228" s="827"/>
      <c r="V228" s="819">
        <f t="shared" si="32"/>
        <v>0</v>
      </c>
      <c r="W228" s="835"/>
    </row>
    <row r="229" spans="1:23">
      <c r="R229" s="849"/>
      <c r="S229" s="888"/>
      <c r="T229" s="827"/>
      <c r="U229" s="827"/>
      <c r="V229" s="819">
        <f t="shared" si="32"/>
        <v>0</v>
      </c>
      <c r="W229" s="835"/>
    </row>
    <row r="230" spans="1:23">
      <c r="R230" s="826"/>
      <c r="S230" s="888"/>
      <c r="T230" s="827"/>
      <c r="U230" s="827"/>
      <c r="V230" s="819">
        <f t="shared" si="32"/>
        <v>0</v>
      </c>
      <c r="W230" s="835"/>
    </row>
    <row r="231" spans="1:23">
      <c r="R231" s="826"/>
      <c r="S231" s="822"/>
      <c r="T231" s="827"/>
      <c r="U231" s="827"/>
      <c r="V231" s="819">
        <f t="shared" si="32"/>
        <v>0</v>
      </c>
      <c r="W231" s="835"/>
    </row>
    <row r="232" spans="1:23">
      <c r="R232" s="849"/>
      <c r="S232" s="822"/>
      <c r="T232" s="827"/>
      <c r="U232" s="827"/>
      <c r="V232" s="819">
        <f t="shared" si="32"/>
        <v>0</v>
      </c>
      <c r="W232" s="835"/>
    </row>
    <row r="233" spans="1:23">
      <c r="R233" s="849"/>
      <c r="S233" s="822"/>
      <c r="T233" s="827"/>
      <c r="U233" s="827"/>
      <c r="V233" s="819">
        <f t="shared" si="32"/>
        <v>0</v>
      </c>
      <c r="W233" s="835"/>
    </row>
    <row r="234" spans="1:23">
      <c r="R234" s="799"/>
      <c r="S234" s="876"/>
      <c r="T234" s="809"/>
      <c r="U234" s="809"/>
      <c r="V234" s="847"/>
      <c r="W234" s="877"/>
    </row>
    <row r="235" spans="1:23" ht="20.25" customHeight="1">
      <c r="A235" s="794" t="s">
        <v>696</v>
      </c>
      <c r="B235" s="794"/>
      <c r="C235" s="795"/>
      <c r="D235" s="796"/>
      <c r="E235" s="796"/>
      <c r="F235" s="796"/>
      <c r="G235" s="793"/>
      <c r="H235" s="793"/>
      <c r="I235" s="793"/>
      <c r="J235" s="793"/>
      <c r="K235" s="793"/>
      <c r="L235" s="797"/>
      <c r="M235" s="793"/>
      <c r="N235" s="793"/>
      <c r="O235" s="798"/>
      <c r="P235" s="793"/>
      <c r="R235" s="793"/>
      <c r="S235" s="800"/>
    </row>
    <row r="236" spans="1:23" ht="20.25" customHeight="1">
      <c r="A236" s="801" t="s">
        <v>723</v>
      </c>
      <c r="B236" s="801"/>
      <c r="C236" s="801"/>
      <c r="D236" s="801"/>
      <c r="E236" s="801"/>
      <c r="F236" s="801"/>
      <c r="G236" s="801"/>
      <c r="H236" s="801"/>
      <c r="I236" s="801"/>
      <c r="J236" s="801"/>
      <c r="K236" s="801"/>
      <c r="L236" s="801"/>
      <c r="M236" s="801"/>
      <c r="N236" s="801"/>
      <c r="O236" s="801"/>
      <c r="P236" s="801"/>
      <c r="Q236" s="799"/>
      <c r="R236" s="793"/>
      <c r="S236" s="800"/>
    </row>
    <row r="237" spans="1:23" ht="12" customHeight="1">
      <c r="A237" s="802"/>
      <c r="B237" s="802"/>
      <c r="C237" s="803"/>
      <c r="D237" s="802"/>
      <c r="E237" s="802"/>
      <c r="F237" s="802"/>
      <c r="G237" s="802"/>
      <c r="H237" s="802"/>
      <c r="I237" s="802"/>
      <c r="J237" s="802"/>
      <c r="K237" s="802"/>
      <c r="L237" s="801"/>
      <c r="M237" s="802"/>
      <c r="N237" s="802"/>
      <c r="O237" s="804"/>
      <c r="P237" s="802"/>
      <c r="Q237" s="799"/>
      <c r="R237" s="793"/>
      <c r="S237" s="800"/>
    </row>
    <row r="238" spans="1:23" ht="12" customHeight="1">
      <c r="A238" s="805"/>
      <c r="B238" s="805"/>
      <c r="C238" s="806"/>
      <c r="D238" s="805"/>
      <c r="E238" s="805"/>
      <c r="F238" s="805"/>
      <c r="G238" s="805"/>
      <c r="H238" s="805"/>
      <c r="I238" s="805"/>
      <c r="J238" s="805"/>
      <c r="K238" s="805"/>
      <c r="L238" s="805"/>
      <c r="M238" s="805"/>
      <c r="N238" s="805"/>
      <c r="O238" s="807"/>
      <c r="P238" s="805"/>
      <c r="Q238" s="799"/>
      <c r="R238" s="793"/>
      <c r="S238" s="800"/>
    </row>
    <row r="239" spans="1:23" ht="36.75" customHeight="1">
      <c r="A239" s="810" t="s">
        <v>45</v>
      </c>
      <c r="B239" s="810" t="s">
        <v>698</v>
      </c>
      <c r="C239" s="811" t="s">
        <v>699</v>
      </c>
      <c r="D239" s="812" t="s">
        <v>700</v>
      </c>
      <c r="E239" s="812" t="s">
        <v>701</v>
      </c>
      <c r="F239" s="812" t="s">
        <v>702</v>
      </c>
      <c r="G239" s="812" t="s">
        <v>703</v>
      </c>
      <c r="H239" s="812" t="s">
        <v>704</v>
      </c>
      <c r="I239" s="812" t="s">
        <v>705</v>
      </c>
      <c r="J239" s="812" t="s">
        <v>706</v>
      </c>
      <c r="K239" s="813" t="s">
        <v>707</v>
      </c>
      <c r="L239" s="812" t="s">
        <v>708</v>
      </c>
      <c r="M239" s="813" t="s">
        <v>709</v>
      </c>
      <c r="N239" s="812" t="s">
        <v>710</v>
      </c>
      <c r="O239" s="814" t="s">
        <v>701</v>
      </c>
      <c r="P239" s="812" t="s">
        <v>711</v>
      </c>
      <c r="Q239" s="799"/>
      <c r="R239" s="810" t="s">
        <v>698</v>
      </c>
      <c r="S239" s="812" t="s">
        <v>665</v>
      </c>
      <c r="T239" s="812" t="s">
        <v>523</v>
      </c>
      <c r="U239" s="812" t="s">
        <v>702</v>
      </c>
      <c r="V239" s="812" t="s">
        <v>712</v>
      </c>
      <c r="W239" s="810" t="s">
        <v>712</v>
      </c>
    </row>
    <row r="240" spans="1:23" s="816" customFormat="1" ht="13.5" customHeight="1">
      <c r="A240" s="817" t="str">
        <f>IF(B240&lt;&gt;"",ROW()-(ROW()-1),"")</f>
        <v/>
      </c>
      <c r="B240" s="829"/>
      <c r="C240" s="818">
        <f>IF(ISNA(VLOOKUP(B240,NXT!$Q$61:$S$81,2,0)),0,VLOOKUP(B240,NXT!$Q$61:$S$81,2,0))</f>
        <v>0</v>
      </c>
      <c r="D240" s="667">
        <f t="shared" ref="D240:D245" si="33">ROUND(C240*O240,0)</f>
        <v>0</v>
      </c>
      <c r="E240" s="667"/>
      <c r="F240" s="667"/>
      <c r="G240" s="819">
        <f t="shared" ref="G240:G245" si="34">(D240+E240)*F240</f>
        <v>0</v>
      </c>
      <c r="H240" s="667">
        <f t="shared" ref="H240:H245" si="35">IF($D$247&lt;&gt;0,H$247/($D$247+$E$247/4)*($D240+$E240/4),0)</f>
        <v>0</v>
      </c>
      <c r="I240" s="667">
        <f t="shared" ref="I240:I245" si="36">IF($D$247&lt;&gt;0,I$247/$D$247*$D240,0)</f>
        <v>0</v>
      </c>
      <c r="J240" s="667">
        <f t="shared" ref="J240:K245" si="37">IF($D$247&lt;&gt;0,J$247/$D$247*$D240,0)</f>
        <v>0</v>
      </c>
      <c r="K240" s="667">
        <f t="shared" si="37"/>
        <v>0</v>
      </c>
      <c r="L240" s="819">
        <f t="shared" ref="L240:L245" si="38">V252</f>
        <v>0</v>
      </c>
      <c r="M240" s="667" t="e">
        <f>34560000/($O$67+#REF!+#REF!)*O240</f>
        <v>#REF!</v>
      </c>
      <c r="N240" s="819"/>
      <c r="O240" s="825"/>
      <c r="P240" s="667">
        <f t="shared" ref="P240:P245" si="39">IF(N240&lt;&gt;0,N240/O240,0)</f>
        <v>0</v>
      </c>
      <c r="Q240" s="815"/>
      <c r="R240" s="821"/>
      <c r="S240" s="888"/>
      <c r="T240" s="246"/>
      <c r="U240" s="246"/>
      <c r="V240" s="819">
        <f t="shared" ref="V240:V249" si="40">ROUND(T240*U240,0)</f>
        <v>0</v>
      </c>
      <c r="W240" s="819"/>
    </row>
    <row r="241" spans="1:23" ht="13.5" customHeight="1">
      <c r="A241" s="817" t="str">
        <f t="shared" ref="A241:A246" si="41">IF(B241&lt;&gt;"",A240+1,"")</f>
        <v/>
      </c>
      <c r="B241" s="829"/>
      <c r="C241" s="818">
        <f>IF(ISNA(VLOOKUP(B241,NXT!$Q$61:$S$81,2,0)),0,VLOOKUP(B241,NXT!$Q$61:$S$81,2,0))</f>
        <v>0</v>
      </c>
      <c r="D241" s="667">
        <f t="shared" si="33"/>
        <v>0</v>
      </c>
      <c r="E241" s="667"/>
      <c r="F241" s="667"/>
      <c r="G241" s="819">
        <f t="shared" si="34"/>
        <v>0</v>
      </c>
      <c r="H241" s="667">
        <f t="shared" si="35"/>
        <v>0</v>
      </c>
      <c r="I241" s="667">
        <f t="shared" si="36"/>
        <v>0</v>
      </c>
      <c r="J241" s="667">
        <f t="shared" si="37"/>
        <v>0</v>
      </c>
      <c r="K241" s="667">
        <f t="shared" si="37"/>
        <v>0</v>
      </c>
      <c r="L241" s="667">
        <f t="shared" si="38"/>
        <v>0</v>
      </c>
      <c r="M241" s="667"/>
      <c r="N241" s="819"/>
      <c r="O241" s="825"/>
      <c r="P241" s="667">
        <f t="shared" si="39"/>
        <v>0</v>
      </c>
      <c r="Q241" s="838"/>
      <c r="R241" s="826"/>
      <c r="S241" s="888"/>
      <c r="T241" s="246"/>
      <c r="U241" s="246"/>
      <c r="V241" s="819">
        <f t="shared" si="40"/>
        <v>0</v>
      </c>
      <c r="W241" s="835"/>
    </row>
    <row r="242" spans="1:23" ht="13.5" customHeight="1">
      <c r="A242" s="817" t="str">
        <f t="shared" si="41"/>
        <v/>
      </c>
      <c r="B242" s="829"/>
      <c r="C242" s="818">
        <f>IF(ISNA(VLOOKUP(B242,NXT!$Q$61:$S$81,2,0)),0,VLOOKUP(B242,NXT!$Q$61:$S$81,2,0))</f>
        <v>0</v>
      </c>
      <c r="D242" s="667">
        <f t="shared" si="33"/>
        <v>0</v>
      </c>
      <c r="E242" s="667"/>
      <c r="F242" s="667"/>
      <c r="G242" s="819">
        <f t="shared" si="34"/>
        <v>0</v>
      </c>
      <c r="H242" s="667">
        <f t="shared" si="35"/>
        <v>0</v>
      </c>
      <c r="I242" s="667">
        <f t="shared" si="36"/>
        <v>0</v>
      </c>
      <c r="J242" s="667">
        <f t="shared" si="37"/>
        <v>0</v>
      </c>
      <c r="K242" s="667">
        <f t="shared" si="37"/>
        <v>0</v>
      </c>
      <c r="L242" s="667">
        <f t="shared" si="38"/>
        <v>0</v>
      </c>
      <c r="M242" s="667">
        <v>25840000</v>
      </c>
      <c r="N242" s="819"/>
      <c r="O242" s="825"/>
      <c r="P242" s="667">
        <f t="shared" si="39"/>
        <v>0</v>
      </c>
      <c r="Q242" s="838"/>
      <c r="R242" s="826"/>
      <c r="S242" s="888"/>
      <c r="T242" s="246"/>
      <c r="U242" s="246"/>
      <c r="V242" s="819">
        <f t="shared" si="40"/>
        <v>0</v>
      </c>
      <c r="W242" s="835"/>
    </row>
    <row r="243" spans="1:23" ht="13.5" customHeight="1">
      <c r="A243" s="817" t="str">
        <f t="shared" si="41"/>
        <v/>
      </c>
      <c r="B243" s="829"/>
      <c r="C243" s="818">
        <f>IF(ISNA(VLOOKUP(B243,NXT!$Q$61:$S$81,2,0)),0,VLOOKUP(B243,NXT!$Q$61:$S$81,2,0))</f>
        <v>0</v>
      </c>
      <c r="D243" s="667">
        <f t="shared" si="33"/>
        <v>0</v>
      </c>
      <c r="E243" s="667"/>
      <c r="F243" s="667"/>
      <c r="G243" s="819">
        <f t="shared" si="34"/>
        <v>0</v>
      </c>
      <c r="H243" s="667">
        <f t="shared" si="35"/>
        <v>0</v>
      </c>
      <c r="I243" s="667">
        <f t="shared" si="36"/>
        <v>0</v>
      </c>
      <c r="J243" s="667">
        <f t="shared" si="37"/>
        <v>0</v>
      </c>
      <c r="K243" s="667">
        <f t="shared" si="37"/>
        <v>0</v>
      </c>
      <c r="L243" s="667">
        <f t="shared" si="38"/>
        <v>0</v>
      </c>
      <c r="M243" s="667" t="e">
        <f>34560000/($O$67+#REF!+#REF!)*O243</f>
        <v>#REF!</v>
      </c>
      <c r="N243" s="819"/>
      <c r="O243" s="825"/>
      <c r="P243" s="667">
        <f t="shared" si="39"/>
        <v>0</v>
      </c>
      <c r="Q243" s="838"/>
      <c r="R243" s="826"/>
      <c r="S243" s="888"/>
      <c r="T243" s="246"/>
      <c r="U243" s="246"/>
      <c r="V243" s="819">
        <f t="shared" si="40"/>
        <v>0</v>
      </c>
      <c r="W243" s="835"/>
    </row>
    <row r="244" spans="1:23" ht="13.5" customHeight="1">
      <c r="A244" s="817" t="str">
        <f t="shared" si="41"/>
        <v/>
      </c>
      <c r="B244" s="829"/>
      <c r="C244" s="818">
        <f>IF(ISNA(VLOOKUP(B244,NXT!$Q$61:$S$81,2,0)),0,VLOOKUP(B244,NXT!$Q$61:$S$81,2,0))</f>
        <v>0</v>
      </c>
      <c r="D244" s="667">
        <f t="shared" si="33"/>
        <v>0</v>
      </c>
      <c r="E244" s="667"/>
      <c r="F244" s="667"/>
      <c r="G244" s="819">
        <f t="shared" si="34"/>
        <v>0</v>
      </c>
      <c r="H244" s="667">
        <f t="shared" si="35"/>
        <v>0</v>
      </c>
      <c r="I244" s="667">
        <f t="shared" si="36"/>
        <v>0</v>
      </c>
      <c r="J244" s="667">
        <f t="shared" si="37"/>
        <v>0</v>
      </c>
      <c r="K244" s="667">
        <f t="shared" si="37"/>
        <v>0</v>
      </c>
      <c r="L244" s="667">
        <f t="shared" si="38"/>
        <v>0</v>
      </c>
      <c r="M244" s="667"/>
      <c r="N244" s="819"/>
      <c r="O244" s="825"/>
      <c r="P244" s="667">
        <f t="shared" si="39"/>
        <v>0</v>
      </c>
      <c r="Q244" s="838"/>
      <c r="R244" s="826"/>
      <c r="S244" s="888"/>
      <c r="T244" s="246"/>
      <c r="U244" s="246"/>
      <c r="V244" s="819">
        <f t="shared" si="40"/>
        <v>0</v>
      </c>
      <c r="W244" s="835"/>
    </row>
    <row r="245" spans="1:23">
      <c r="A245" s="817" t="str">
        <f t="shared" si="41"/>
        <v/>
      </c>
      <c r="B245" s="829"/>
      <c r="C245" s="818"/>
      <c r="D245" s="667">
        <f t="shared" si="33"/>
        <v>0</v>
      </c>
      <c r="E245" s="667"/>
      <c r="F245" s="667"/>
      <c r="G245" s="819">
        <f t="shared" si="34"/>
        <v>0</v>
      </c>
      <c r="H245" s="667">
        <f t="shared" si="35"/>
        <v>0</v>
      </c>
      <c r="I245" s="667">
        <f t="shared" si="36"/>
        <v>0</v>
      </c>
      <c r="J245" s="667">
        <f t="shared" si="37"/>
        <v>0</v>
      </c>
      <c r="K245" s="667">
        <f t="shared" si="37"/>
        <v>0</v>
      </c>
      <c r="L245" s="667">
        <f t="shared" si="38"/>
        <v>0</v>
      </c>
      <c r="M245" s="667" t="e">
        <f>34560000/($O$67+#REF!+#REF!)*O245</f>
        <v>#REF!</v>
      </c>
      <c r="N245" s="819"/>
      <c r="O245" s="825"/>
      <c r="P245" s="667">
        <f t="shared" si="39"/>
        <v>0</v>
      </c>
      <c r="Q245" s="838"/>
      <c r="R245" s="826"/>
      <c r="S245" s="888"/>
      <c r="T245" s="246"/>
      <c r="U245" s="827"/>
      <c r="V245" s="819">
        <f t="shared" si="40"/>
        <v>0</v>
      </c>
      <c r="W245" s="835"/>
    </row>
    <row r="246" spans="1:23">
      <c r="A246" s="817" t="str">
        <f t="shared" si="41"/>
        <v/>
      </c>
      <c r="B246" s="830"/>
      <c r="C246" s="831"/>
      <c r="D246" s="833"/>
      <c r="E246" s="833"/>
      <c r="F246" s="833"/>
      <c r="G246" s="834"/>
      <c r="H246" s="879"/>
      <c r="I246" s="833"/>
      <c r="J246" s="835"/>
      <c r="K246" s="833"/>
      <c r="L246" s="836"/>
      <c r="M246" s="833"/>
      <c r="N246" s="867"/>
      <c r="O246" s="837"/>
      <c r="P246" s="833"/>
      <c r="Q246" s="838"/>
      <c r="R246" s="826"/>
      <c r="S246" s="890"/>
      <c r="T246" s="246"/>
      <c r="U246" s="246"/>
      <c r="V246" s="819">
        <f t="shared" si="40"/>
        <v>0</v>
      </c>
      <c r="W246" s="835"/>
    </row>
    <row r="247" spans="1:23" s="839" customFormat="1">
      <c r="A247" s="840"/>
      <c r="B247" s="841" t="s">
        <v>713</v>
      </c>
      <c r="C247" s="842"/>
      <c r="D247" s="843">
        <f>SUM(D240:D245)</f>
        <v>0</v>
      </c>
      <c r="E247" s="843">
        <f>SUM(E240:E245)</f>
        <v>0</v>
      </c>
      <c r="F247" s="843"/>
      <c r="G247" s="843">
        <f>SUM(G240:G245)</f>
        <v>0</v>
      </c>
      <c r="H247" s="844"/>
      <c r="I247" s="844">
        <f>V251</f>
        <v>0</v>
      </c>
      <c r="J247" s="844"/>
      <c r="K247" s="844"/>
      <c r="L247" s="843">
        <f>ROUND(SUM(L240:L246),0)</f>
        <v>0</v>
      </c>
      <c r="M247" s="843" t="e">
        <f>ROUND(SUM(M240:M246),0)</f>
        <v>#REF!</v>
      </c>
      <c r="N247" s="843">
        <f>ROUND(SUM(N240:N246),0)</f>
        <v>0</v>
      </c>
      <c r="O247" s="843">
        <f>ROUND(SUM(O240:O246),0)</f>
        <v>0</v>
      </c>
      <c r="P247" s="843"/>
      <c r="Q247" s="838"/>
      <c r="R247" s="826"/>
      <c r="S247" s="890"/>
      <c r="T247" s="849"/>
      <c r="U247" s="827"/>
      <c r="V247" s="819">
        <f t="shared" si="40"/>
        <v>0</v>
      </c>
      <c r="W247" s="835"/>
    </row>
    <row r="248" spans="1:23" s="794" customFormat="1">
      <c r="A248" s="790"/>
      <c r="B248" s="790"/>
      <c r="C248" s="790"/>
      <c r="D248" s="790"/>
      <c r="E248" s="790"/>
      <c r="F248" s="790"/>
      <c r="G248" s="790"/>
      <c r="H248" s="790"/>
      <c r="I248" s="790"/>
      <c r="J248" s="790"/>
      <c r="K248" s="790"/>
      <c r="L248" s="790"/>
      <c r="M248" s="790"/>
      <c r="N248" s="790"/>
      <c r="O248" s="790"/>
      <c r="P248" s="790"/>
      <c r="Q248" s="838"/>
      <c r="R248" s="891"/>
      <c r="S248" s="890"/>
      <c r="T248" s="849"/>
      <c r="U248" s="827"/>
      <c r="V248" s="819">
        <f t="shared" si="40"/>
        <v>0</v>
      </c>
      <c r="W248" s="835"/>
    </row>
    <row r="249" spans="1:23">
      <c r="Q249" s="838"/>
      <c r="R249" s="547"/>
      <c r="S249" s="890"/>
      <c r="T249" s="246"/>
      <c r="U249" s="246"/>
      <c r="V249" s="819">
        <f t="shared" si="40"/>
        <v>0</v>
      </c>
      <c r="W249" s="835"/>
    </row>
    <row r="250" spans="1:23">
      <c r="Q250" s="838"/>
      <c r="R250" s="892"/>
      <c r="S250" s="822"/>
      <c r="T250" s="246"/>
      <c r="U250" s="246"/>
      <c r="V250" s="835"/>
      <c r="W250" s="835"/>
    </row>
    <row r="251" spans="1:23">
      <c r="Q251" s="838"/>
      <c r="R251" s="872"/>
      <c r="S251" s="873"/>
      <c r="T251" s="874"/>
      <c r="U251" s="893"/>
      <c r="V251" s="853">
        <f>SUM(V240:V250)</f>
        <v>0</v>
      </c>
      <c r="W251" s="853">
        <f>SUM(W240:W250)</f>
        <v>0</v>
      </c>
    </row>
    <row r="252" spans="1:23">
      <c r="R252" s="849"/>
      <c r="S252" s="888"/>
      <c r="T252" s="246"/>
      <c r="U252" s="246"/>
      <c r="V252" s="819">
        <f t="shared" ref="V252:V257" si="42">ROUND(T252*U252,0)</f>
        <v>0</v>
      </c>
      <c r="W252" s="819"/>
    </row>
    <row r="253" spans="1:23">
      <c r="R253" s="826"/>
      <c r="S253" s="888"/>
      <c r="T253" s="827"/>
      <c r="U253" s="827"/>
      <c r="V253" s="819">
        <f t="shared" si="42"/>
        <v>0</v>
      </c>
      <c r="W253" s="835"/>
    </row>
    <row r="254" spans="1:23">
      <c r="R254" s="849"/>
      <c r="S254" s="888"/>
      <c r="T254" s="827"/>
      <c r="U254" s="827"/>
      <c r="V254" s="819">
        <f t="shared" si="42"/>
        <v>0</v>
      </c>
      <c r="W254" s="835"/>
    </row>
    <row r="255" spans="1:23">
      <c r="R255" s="826"/>
      <c r="S255" s="822"/>
      <c r="T255" s="827"/>
      <c r="U255" s="827"/>
      <c r="V255" s="819">
        <f t="shared" si="42"/>
        <v>0</v>
      </c>
      <c r="W255" s="835"/>
    </row>
    <row r="256" spans="1:23">
      <c r="R256" s="826"/>
      <c r="S256" s="822"/>
      <c r="T256" s="827"/>
      <c r="U256" s="827"/>
      <c r="V256" s="819">
        <f t="shared" si="42"/>
        <v>0</v>
      </c>
      <c r="W256" s="835"/>
    </row>
    <row r="257" spans="1:23">
      <c r="R257" s="849"/>
      <c r="S257" s="822"/>
      <c r="T257" s="827"/>
      <c r="U257" s="827"/>
      <c r="V257" s="819">
        <f t="shared" si="42"/>
        <v>0</v>
      </c>
      <c r="W257" s="835"/>
    </row>
    <row r="258" spans="1:23">
      <c r="R258" s="849"/>
      <c r="S258" s="822"/>
      <c r="T258" s="827"/>
      <c r="U258" s="827"/>
      <c r="V258" s="898">
        <f>SUM(V252:V257)</f>
        <v>0</v>
      </c>
      <c r="W258" s="835"/>
    </row>
    <row r="259" spans="1:23">
      <c r="A259" s="801"/>
      <c r="B259" s="801"/>
      <c r="C259" s="801"/>
      <c r="D259" s="801"/>
      <c r="E259" s="801"/>
      <c r="F259" s="801"/>
      <c r="G259" s="801"/>
      <c r="H259" s="801"/>
      <c r="I259" s="801"/>
      <c r="J259" s="801"/>
      <c r="K259" s="801"/>
      <c r="L259" s="801"/>
      <c r="M259" s="801"/>
      <c r="N259" s="801"/>
      <c r="O259" s="801"/>
      <c r="P259" s="801"/>
      <c r="R259" s="793"/>
      <c r="S259" s="800"/>
    </row>
    <row r="260" spans="1:23" ht="20.25" customHeight="1">
      <c r="A260" s="794" t="s">
        <v>696</v>
      </c>
      <c r="B260" s="794"/>
      <c r="C260" s="795"/>
      <c r="D260" s="796"/>
      <c r="E260" s="796"/>
      <c r="F260" s="796"/>
      <c r="G260" s="793"/>
      <c r="H260" s="793"/>
      <c r="I260" s="793"/>
      <c r="J260" s="793"/>
      <c r="K260" s="793"/>
      <c r="L260" s="797"/>
      <c r="M260" s="793"/>
      <c r="N260" s="793"/>
      <c r="O260" s="798"/>
      <c r="P260" s="793"/>
      <c r="Q260" s="799"/>
      <c r="R260" s="793"/>
      <c r="S260" s="800"/>
    </row>
    <row r="261" spans="1:23" ht="20.25" customHeight="1">
      <c r="A261" s="801" t="s">
        <v>724</v>
      </c>
      <c r="B261" s="801"/>
      <c r="C261" s="801"/>
      <c r="D261" s="801"/>
      <c r="E261" s="801"/>
      <c r="F261" s="801"/>
      <c r="G261" s="801"/>
      <c r="H261" s="801"/>
      <c r="I261" s="801"/>
      <c r="J261" s="801"/>
      <c r="K261" s="801"/>
      <c r="L261" s="801"/>
      <c r="M261" s="801"/>
      <c r="N261" s="801"/>
      <c r="O261" s="801"/>
      <c r="P261" s="801"/>
      <c r="Q261" s="799"/>
      <c r="R261" s="793"/>
      <c r="S261" s="800"/>
    </row>
    <row r="262" spans="1:23" ht="12" customHeight="1">
      <c r="A262" s="802"/>
      <c r="B262" s="802"/>
      <c r="C262" s="803"/>
      <c r="D262" s="802"/>
      <c r="E262" s="802"/>
      <c r="F262" s="802"/>
      <c r="G262" s="802"/>
      <c r="H262" s="802"/>
      <c r="I262" s="802"/>
      <c r="J262" s="802"/>
      <c r="K262" s="802"/>
      <c r="L262" s="801"/>
      <c r="M262" s="802"/>
      <c r="N262" s="802"/>
      <c r="O262" s="804"/>
      <c r="P262" s="802"/>
      <c r="Q262" s="799"/>
      <c r="R262" s="793"/>
      <c r="S262" s="800"/>
    </row>
    <row r="263" spans="1:23" ht="12" customHeight="1">
      <c r="A263" s="805"/>
      <c r="B263" s="805"/>
      <c r="C263" s="806"/>
      <c r="D263" s="805"/>
      <c r="E263" s="805"/>
      <c r="F263" s="805"/>
      <c r="G263" s="805"/>
      <c r="H263" s="805"/>
      <c r="I263" s="805"/>
      <c r="J263" s="805"/>
      <c r="K263" s="805"/>
      <c r="L263" s="805"/>
      <c r="M263" s="805"/>
      <c r="N263" s="805"/>
      <c r="O263" s="807"/>
      <c r="P263" s="805"/>
      <c r="Q263" s="799"/>
      <c r="R263" s="793"/>
      <c r="S263" s="800"/>
    </row>
    <row r="264" spans="1:23" ht="36.75" customHeight="1">
      <c r="A264" s="810" t="s">
        <v>45</v>
      </c>
      <c r="B264" s="810" t="s">
        <v>698</v>
      </c>
      <c r="C264" s="811" t="s">
        <v>699</v>
      </c>
      <c r="D264" s="812" t="s">
        <v>700</v>
      </c>
      <c r="E264" s="812" t="s">
        <v>701</v>
      </c>
      <c r="F264" s="812" t="s">
        <v>702</v>
      </c>
      <c r="G264" s="812" t="s">
        <v>703</v>
      </c>
      <c r="H264" s="812" t="s">
        <v>704</v>
      </c>
      <c r="I264" s="812" t="s">
        <v>705</v>
      </c>
      <c r="J264" s="812" t="s">
        <v>706</v>
      </c>
      <c r="K264" s="813" t="s">
        <v>707</v>
      </c>
      <c r="L264" s="812" t="s">
        <v>708</v>
      </c>
      <c r="M264" s="813" t="s">
        <v>709</v>
      </c>
      <c r="N264" s="812" t="s">
        <v>710</v>
      </c>
      <c r="O264" s="814" t="s">
        <v>701</v>
      </c>
      <c r="P264" s="812" t="s">
        <v>711</v>
      </c>
      <c r="Q264" s="799"/>
      <c r="R264" s="810" t="s">
        <v>698</v>
      </c>
      <c r="S264" s="812" t="s">
        <v>665</v>
      </c>
      <c r="T264" s="812" t="s">
        <v>523</v>
      </c>
      <c r="U264" s="812" t="s">
        <v>702</v>
      </c>
      <c r="V264" s="812" t="s">
        <v>712</v>
      </c>
      <c r="W264" s="810" t="s">
        <v>712</v>
      </c>
    </row>
    <row r="265" spans="1:23" s="816" customFormat="1" ht="13.5" customHeight="1">
      <c r="A265" s="817" t="str">
        <f>IF(B265&lt;&gt;"",ROW()-(ROW()-1),"")</f>
        <v/>
      </c>
      <c r="B265" s="895"/>
      <c r="C265" s="818">
        <f>IF(ISNA(VLOOKUP(B265,NXT!$Q$61:$S$81,2,0)),0,VLOOKUP(B265,NXT!$Q$61:$S$81,2,0))</f>
        <v>0</v>
      </c>
      <c r="D265" s="667">
        <f t="shared" ref="D265:D270" si="43">ROUND(C265*O265,0)</f>
        <v>0</v>
      </c>
      <c r="E265" s="667"/>
      <c r="F265" s="667"/>
      <c r="G265" s="819">
        <f t="shared" ref="G265:G270" si="44">(D265+E265)*F265</f>
        <v>0</v>
      </c>
      <c r="H265" s="667">
        <f t="shared" ref="H265:H270" si="45">IF($D$272&lt;&gt;0,H$272/($D$272+$E$272/4)*($D265+$E265/4),0)</f>
        <v>0</v>
      </c>
      <c r="I265" s="667">
        <f t="shared" ref="I265:I270" si="46">IF($D$272&lt;&gt;0,I$272/$D$272*$D265,0)</f>
        <v>0</v>
      </c>
      <c r="J265" s="667">
        <f t="shared" ref="J265:K270" si="47">IF($D$272&lt;&gt;0,J$272/$D$272*$D265,0)</f>
        <v>0</v>
      </c>
      <c r="K265" s="667">
        <f t="shared" si="47"/>
        <v>0</v>
      </c>
      <c r="L265" s="899"/>
      <c r="M265" s="667" t="e">
        <f>34560000/($O$67+#REF!+#REF!)*O265</f>
        <v>#REF!</v>
      </c>
      <c r="N265" s="819">
        <f t="shared" ref="N265:N270" si="48">ROUND(SUM(G265:L265),0)</f>
        <v>0</v>
      </c>
      <c r="O265" s="667"/>
      <c r="P265" s="667">
        <f t="shared" ref="P265:P270" si="49">IF(N265&lt;&gt;0,N265/O265,0)</f>
        <v>0</v>
      </c>
      <c r="Q265" s="815"/>
      <c r="R265" s="821"/>
      <c r="S265" s="888"/>
      <c r="T265" s="246"/>
      <c r="U265" s="246"/>
      <c r="V265" s="819">
        <f t="shared" ref="V265:V274" si="50">ROUND(T265*U265,0)</f>
        <v>0</v>
      </c>
      <c r="W265" s="819"/>
    </row>
    <row r="266" spans="1:23" ht="13.5" customHeight="1">
      <c r="A266" s="817" t="str">
        <f t="shared" ref="A266:A271" si="51">IF(B266&lt;&gt;"",A265+1,"")</f>
        <v/>
      </c>
      <c r="B266" s="829"/>
      <c r="C266" s="818">
        <f>IF(ISNA(VLOOKUP(B266,NXT!$Q$61:$S$81,2,0)),0,VLOOKUP(B266,NXT!$Q$61:$S$81,2,0))</f>
        <v>0</v>
      </c>
      <c r="D266" s="667">
        <f t="shared" si="43"/>
        <v>0</v>
      </c>
      <c r="E266" s="667"/>
      <c r="F266" s="667"/>
      <c r="G266" s="819">
        <f t="shared" si="44"/>
        <v>0</v>
      </c>
      <c r="H266" s="667">
        <f t="shared" si="45"/>
        <v>0</v>
      </c>
      <c r="I266" s="667">
        <f t="shared" si="46"/>
        <v>0</v>
      </c>
      <c r="J266" s="667">
        <f t="shared" si="47"/>
        <v>0</v>
      </c>
      <c r="K266" s="667">
        <f t="shared" si="47"/>
        <v>0</v>
      </c>
      <c r="L266" s="899"/>
      <c r="M266" s="667"/>
      <c r="N266" s="819">
        <f t="shared" si="48"/>
        <v>0</v>
      </c>
      <c r="O266" s="825"/>
      <c r="P266" s="667">
        <f t="shared" si="49"/>
        <v>0</v>
      </c>
      <c r="Q266" s="838"/>
      <c r="R266" s="826"/>
      <c r="S266" s="888"/>
      <c r="T266" s="246"/>
      <c r="U266" s="246"/>
      <c r="V266" s="819">
        <f t="shared" si="50"/>
        <v>0</v>
      </c>
      <c r="W266" s="835"/>
    </row>
    <row r="267" spans="1:23" ht="13.5" customHeight="1">
      <c r="A267" s="817" t="str">
        <f t="shared" si="51"/>
        <v/>
      </c>
      <c r="B267" s="829"/>
      <c r="C267" s="818">
        <f>IF(ISNA(VLOOKUP(B267,NXT!$Q$61:$S$81,2,0)),0,VLOOKUP(B267,NXT!$Q$61:$S$81,2,0))</f>
        <v>0</v>
      </c>
      <c r="D267" s="667">
        <f t="shared" si="43"/>
        <v>0</v>
      </c>
      <c r="E267" s="667"/>
      <c r="F267" s="667"/>
      <c r="G267" s="819">
        <f t="shared" si="44"/>
        <v>0</v>
      </c>
      <c r="H267" s="667">
        <f t="shared" si="45"/>
        <v>0</v>
      </c>
      <c r="I267" s="667">
        <f t="shared" si="46"/>
        <v>0</v>
      </c>
      <c r="J267" s="667">
        <f t="shared" si="47"/>
        <v>0</v>
      </c>
      <c r="K267" s="667">
        <f t="shared" si="47"/>
        <v>0</v>
      </c>
      <c r="L267" s="899"/>
      <c r="M267" s="667">
        <v>25840000</v>
      </c>
      <c r="N267" s="819">
        <f t="shared" si="48"/>
        <v>0</v>
      </c>
      <c r="O267" s="825"/>
      <c r="P267" s="667">
        <f t="shared" si="49"/>
        <v>0</v>
      </c>
      <c r="Q267" s="838"/>
      <c r="R267" s="826"/>
      <c r="S267" s="888"/>
      <c r="T267" s="246"/>
      <c r="U267" s="246"/>
      <c r="V267" s="819">
        <f t="shared" si="50"/>
        <v>0</v>
      </c>
      <c r="W267" s="835"/>
    </row>
    <row r="268" spans="1:23" ht="13.5" customHeight="1">
      <c r="A268" s="817" t="str">
        <f t="shared" si="51"/>
        <v/>
      </c>
      <c r="B268" s="829"/>
      <c r="C268" s="818">
        <f>IF(ISNA(VLOOKUP(B268,NXT!$Q$61:$S$81,2,0)),0,VLOOKUP(B268,NXT!$Q$61:$S$81,2,0))</f>
        <v>0</v>
      </c>
      <c r="D268" s="667">
        <f t="shared" si="43"/>
        <v>0</v>
      </c>
      <c r="E268" s="667"/>
      <c r="F268" s="667"/>
      <c r="G268" s="819">
        <f t="shared" si="44"/>
        <v>0</v>
      </c>
      <c r="H268" s="667">
        <f t="shared" si="45"/>
        <v>0</v>
      </c>
      <c r="I268" s="667">
        <f t="shared" si="46"/>
        <v>0</v>
      </c>
      <c r="J268" s="667">
        <f t="shared" si="47"/>
        <v>0</v>
      </c>
      <c r="K268" s="667">
        <f t="shared" si="47"/>
        <v>0</v>
      </c>
      <c r="L268" s="667"/>
      <c r="M268" s="667" t="e">
        <f>34560000/($O$67+#REF!+#REF!)*O268</f>
        <v>#REF!</v>
      </c>
      <c r="N268" s="819">
        <f t="shared" si="48"/>
        <v>0</v>
      </c>
      <c r="O268" s="825"/>
      <c r="P268" s="667">
        <f t="shared" si="49"/>
        <v>0</v>
      </c>
      <c r="Q268" s="838"/>
      <c r="R268" s="826"/>
      <c r="S268" s="888"/>
      <c r="T268" s="246"/>
      <c r="U268" s="246"/>
      <c r="V268" s="819">
        <f t="shared" si="50"/>
        <v>0</v>
      </c>
      <c r="W268" s="835"/>
    </row>
    <row r="269" spans="1:23" ht="13.5" customHeight="1">
      <c r="A269" s="817" t="str">
        <f t="shared" si="51"/>
        <v/>
      </c>
      <c r="B269" s="829"/>
      <c r="C269" s="818">
        <f>IF(ISNA(VLOOKUP(B269,NXT!$Q$61:$S$81,2,0)),0,VLOOKUP(B269,NXT!$Q$61:$S$81,2,0))</f>
        <v>0</v>
      </c>
      <c r="D269" s="667">
        <f t="shared" si="43"/>
        <v>0</v>
      </c>
      <c r="E269" s="667"/>
      <c r="F269" s="667"/>
      <c r="G269" s="819">
        <f t="shared" si="44"/>
        <v>0</v>
      </c>
      <c r="H269" s="667">
        <f t="shared" si="45"/>
        <v>0</v>
      </c>
      <c r="I269" s="667">
        <f t="shared" si="46"/>
        <v>0</v>
      </c>
      <c r="J269" s="667">
        <f t="shared" si="47"/>
        <v>0</v>
      </c>
      <c r="K269" s="667">
        <f t="shared" si="47"/>
        <v>0</v>
      </c>
      <c r="L269" s="667"/>
      <c r="M269" s="667"/>
      <c r="N269" s="819">
        <f t="shared" si="48"/>
        <v>0</v>
      </c>
      <c r="O269" s="825"/>
      <c r="P269" s="667">
        <f t="shared" si="49"/>
        <v>0</v>
      </c>
      <c r="Q269" s="838"/>
      <c r="R269" s="826"/>
      <c r="S269" s="888"/>
      <c r="T269" s="246"/>
      <c r="U269" s="246"/>
      <c r="V269" s="819">
        <f t="shared" si="50"/>
        <v>0</v>
      </c>
      <c r="W269" s="835"/>
    </row>
    <row r="270" spans="1:23">
      <c r="A270" s="817" t="str">
        <f t="shared" si="51"/>
        <v/>
      </c>
      <c r="B270" s="829"/>
      <c r="C270" s="818">
        <f>IF(ISNA(VLOOKUP(B270,NXT!$Q$61:$S$81,2,0)),0,VLOOKUP(B270,NXT!$Q$61:$S$81,2,0))</f>
        <v>0</v>
      </c>
      <c r="D270" s="667">
        <f t="shared" si="43"/>
        <v>0</v>
      </c>
      <c r="E270" s="667"/>
      <c r="F270" s="667"/>
      <c r="G270" s="819">
        <f t="shared" si="44"/>
        <v>0</v>
      </c>
      <c r="H270" s="667">
        <f t="shared" si="45"/>
        <v>0</v>
      </c>
      <c r="I270" s="667">
        <f t="shared" si="46"/>
        <v>0</v>
      </c>
      <c r="J270" s="667">
        <f t="shared" si="47"/>
        <v>0</v>
      </c>
      <c r="K270" s="667">
        <f t="shared" si="47"/>
        <v>0</v>
      </c>
      <c r="L270" s="667"/>
      <c r="M270" s="667" t="e">
        <f>34560000/($O$67+#REF!+#REF!)*O270</f>
        <v>#REF!</v>
      </c>
      <c r="N270" s="819">
        <f t="shared" si="48"/>
        <v>0</v>
      </c>
      <c r="O270" s="825"/>
      <c r="P270" s="667">
        <f t="shared" si="49"/>
        <v>0</v>
      </c>
      <c r="Q270" s="838"/>
      <c r="R270" s="826"/>
      <c r="S270" s="888"/>
      <c r="T270" s="246"/>
      <c r="U270" s="827"/>
      <c r="V270" s="819">
        <f t="shared" si="50"/>
        <v>0</v>
      </c>
      <c r="W270" s="835"/>
    </row>
    <row r="271" spans="1:23">
      <c r="A271" s="817" t="str">
        <f t="shared" si="51"/>
        <v/>
      </c>
      <c r="B271" s="830"/>
      <c r="C271" s="831"/>
      <c r="D271" s="833"/>
      <c r="E271" s="833"/>
      <c r="F271" s="833"/>
      <c r="G271" s="834"/>
      <c r="H271" s="879"/>
      <c r="I271" s="833"/>
      <c r="J271" s="835"/>
      <c r="K271" s="833"/>
      <c r="L271" s="836"/>
      <c r="M271" s="833"/>
      <c r="N271" s="867"/>
      <c r="O271" s="837"/>
      <c r="P271" s="833"/>
      <c r="Q271" s="838"/>
      <c r="R271" s="826"/>
      <c r="S271" s="888"/>
      <c r="T271" s="246"/>
      <c r="U271" s="246"/>
      <c r="V271" s="819">
        <f t="shared" si="50"/>
        <v>0</v>
      </c>
      <c r="W271" s="835"/>
    </row>
    <row r="272" spans="1:23" s="839" customFormat="1">
      <c r="A272" s="840"/>
      <c r="B272" s="841" t="s">
        <v>713</v>
      </c>
      <c r="C272" s="842"/>
      <c r="D272" s="843">
        <f>SUM(D265:D270)</f>
        <v>0</v>
      </c>
      <c r="E272" s="843">
        <f>SUM(E265:E270)</f>
        <v>0</v>
      </c>
      <c r="F272" s="843"/>
      <c r="G272" s="843">
        <f>SUM(G265:G270)</f>
        <v>0</v>
      </c>
      <c r="H272" s="844"/>
      <c r="I272" s="844">
        <f>V276</f>
        <v>0</v>
      </c>
      <c r="J272" s="844"/>
      <c r="K272" s="844"/>
      <c r="L272" s="843">
        <f>ROUND(SUM(L265:L271),0)</f>
        <v>0</v>
      </c>
      <c r="M272" s="843" t="e">
        <f>ROUND(SUM(M265:M271),0)</f>
        <v>#REF!</v>
      </c>
      <c r="N272" s="843">
        <f>ROUND(SUM(N265:N271),0)</f>
        <v>0</v>
      </c>
      <c r="O272" s="843">
        <f>ROUND(SUM(O265:O271),0)</f>
        <v>0</v>
      </c>
      <c r="P272" s="843"/>
      <c r="Q272" s="838"/>
      <c r="R272" s="826"/>
      <c r="S272" s="822"/>
      <c r="T272" s="849"/>
      <c r="U272" s="827"/>
      <c r="V272" s="819">
        <f t="shared" si="50"/>
        <v>0</v>
      </c>
      <c r="W272" s="835"/>
    </row>
    <row r="273" spans="1:23" s="794" customFormat="1">
      <c r="A273" s="790"/>
      <c r="B273" s="790"/>
      <c r="C273" s="790"/>
      <c r="D273" s="790"/>
      <c r="E273" s="790"/>
      <c r="F273" s="790"/>
      <c r="G273" s="790"/>
      <c r="H273" s="790"/>
      <c r="I273" s="790"/>
      <c r="J273" s="790"/>
      <c r="K273" s="790"/>
      <c r="L273" s="790"/>
      <c r="M273" s="790"/>
      <c r="N273" s="790"/>
      <c r="O273" s="790"/>
      <c r="P273" s="790"/>
      <c r="Q273" s="838"/>
      <c r="R273" s="891"/>
      <c r="S273" s="822"/>
      <c r="T273" s="849"/>
      <c r="U273" s="827"/>
      <c r="V273" s="819">
        <f t="shared" si="50"/>
        <v>0</v>
      </c>
      <c r="W273" s="835"/>
    </row>
    <row r="274" spans="1:23">
      <c r="L274" s="798">
        <f>L272-V284</f>
        <v>0</v>
      </c>
      <c r="Q274" s="838"/>
      <c r="R274" s="547"/>
      <c r="S274" s="822"/>
      <c r="T274" s="246"/>
      <c r="U274" s="246"/>
      <c r="V274" s="819">
        <f t="shared" si="50"/>
        <v>0</v>
      </c>
      <c r="W274" s="835"/>
    </row>
    <row r="275" spans="1:23">
      <c r="Q275" s="838"/>
      <c r="R275" s="892"/>
      <c r="S275" s="822"/>
      <c r="T275" s="246"/>
      <c r="U275" s="246"/>
      <c r="V275" s="835"/>
      <c r="W275" s="835"/>
    </row>
    <row r="276" spans="1:23">
      <c r="Q276" s="838"/>
      <c r="R276" s="872"/>
      <c r="S276" s="873"/>
      <c r="T276" s="874"/>
      <c r="U276" s="893"/>
      <c r="V276" s="853">
        <f>SUM(V265:V275)</f>
        <v>0</v>
      </c>
      <c r="W276" s="853">
        <f>SUM(W265:W275)</f>
        <v>0</v>
      </c>
    </row>
    <row r="277" spans="1:23">
      <c r="R277" s="875"/>
      <c r="S277" s="888"/>
      <c r="T277" s="246"/>
      <c r="U277" s="246"/>
      <c r="V277" s="819">
        <f t="shared" ref="V277:V283" si="52">ROUND(T277*U277,0)</f>
        <v>0</v>
      </c>
      <c r="W277" s="819"/>
    </row>
    <row r="278" spans="1:23">
      <c r="R278" s="826"/>
      <c r="S278" s="888"/>
      <c r="T278" s="827"/>
      <c r="U278" s="246"/>
      <c r="V278" s="819">
        <f t="shared" si="52"/>
        <v>0</v>
      </c>
      <c r="W278" s="835"/>
    </row>
    <row r="279" spans="1:23">
      <c r="R279" s="826"/>
      <c r="S279" s="888"/>
      <c r="T279" s="827"/>
      <c r="U279" s="246"/>
      <c r="V279" s="819">
        <f t="shared" si="52"/>
        <v>0</v>
      </c>
      <c r="W279" s="835"/>
    </row>
    <row r="280" spans="1:23">
      <c r="R280" s="826"/>
      <c r="S280" s="888"/>
      <c r="T280" s="827"/>
      <c r="U280" s="827"/>
      <c r="V280" s="819">
        <f t="shared" si="52"/>
        <v>0</v>
      </c>
      <c r="W280" s="835"/>
    </row>
    <row r="281" spans="1:23">
      <c r="R281" s="826"/>
      <c r="S281" s="822"/>
      <c r="T281" s="827"/>
      <c r="U281" s="827"/>
      <c r="V281" s="819">
        <f t="shared" si="52"/>
        <v>0</v>
      </c>
      <c r="W281" s="835"/>
    </row>
    <row r="282" spans="1:23">
      <c r="R282" s="826"/>
      <c r="S282" s="822"/>
      <c r="T282" s="827"/>
      <c r="U282" s="827"/>
      <c r="V282" s="819">
        <f t="shared" si="52"/>
        <v>0</v>
      </c>
      <c r="W282" s="835"/>
    </row>
    <row r="283" spans="1:23">
      <c r="R283" s="849"/>
      <c r="S283" s="822"/>
      <c r="T283" s="827"/>
      <c r="U283" s="827"/>
      <c r="V283" s="819">
        <f t="shared" si="52"/>
        <v>0</v>
      </c>
      <c r="W283" s="835"/>
    </row>
    <row r="284" spans="1:23">
      <c r="R284" s="849"/>
      <c r="S284" s="822"/>
      <c r="T284" s="827"/>
      <c r="U284" s="827"/>
      <c r="V284" s="898">
        <f>SUM(V277:V283)</f>
        <v>0</v>
      </c>
      <c r="W284" s="835"/>
    </row>
    <row r="286" spans="1:23">
      <c r="G286" s="793"/>
      <c r="N286" s="793"/>
    </row>
    <row r="287" spans="1:23">
      <c r="G287" s="793"/>
      <c r="H287" s="793"/>
      <c r="I287" s="793"/>
      <c r="J287" s="793"/>
      <c r="K287" s="793"/>
      <c r="L287" s="793"/>
      <c r="M287" s="793"/>
      <c r="N287" s="793"/>
    </row>
    <row r="288" spans="1:23">
      <c r="G288" s="855"/>
      <c r="N288" s="855"/>
    </row>
  </sheetData>
  <mergeCells count="3">
    <mergeCell ref="S5:T5"/>
    <mergeCell ref="V5:W5"/>
    <mergeCell ref="R17:T17"/>
  </mergeCells>
  <dataValidations count="2">
    <dataValidation type="list" allowBlank="1" showInputMessage="1" showErrorMessage="1" sqref="B138 B216 B89:B91 B112">
      <formula1>Loai3</formula1>
    </dataValidation>
    <dataValidation type="list" allowBlank="1" showInputMessage="1" showErrorMessage="1" sqref="R264 R159 R88 R66 R239 R45 R6 R136 R108 R213 R186 R27">
      <formula1>DSTP</formula1>
    </dataValidation>
  </dataValidations>
  <pageMargins left="0.6" right="0.16" top="0.55000000000000004" bottom="1" header="0.5" footer="0.5"/>
  <pageSetup scale="90" orientation="landscape" r:id="rId1"/>
  <headerFooter alignWithMargins="0"/>
</worksheet>
</file>

<file path=xl/worksheets/sheet27.xml><?xml version="1.0" encoding="utf-8"?>
<worksheet xmlns="http://schemas.openxmlformats.org/spreadsheetml/2006/main" xmlns:r="http://schemas.openxmlformats.org/officeDocument/2006/relationships">
  <sheetPr>
    <tabColor indexed="50"/>
  </sheetPr>
  <dimension ref="A1:J19"/>
  <sheetViews>
    <sheetView zoomScale="90" workbookViewId="0">
      <pane ySplit="10" topLeftCell="A11" activePane="bottomLeft" state="frozen"/>
      <selection activeCell="C33" sqref="C33"/>
      <selection pane="bottomLeft" activeCell="C12" sqref="C12"/>
    </sheetView>
  </sheetViews>
  <sheetFormatPr defaultColWidth="10.28515625" defaultRowHeight="12.75"/>
  <cols>
    <col min="1" max="1" width="40.42578125" style="929" customWidth="1"/>
    <col min="2" max="2" width="15.7109375" style="929" customWidth="1"/>
    <col min="3" max="3" width="16.85546875" style="929" customWidth="1"/>
    <col min="4" max="8" width="15.28515625" style="929" customWidth="1"/>
    <col min="9" max="9" width="10.140625" style="929" customWidth="1"/>
    <col min="10" max="10" width="5.85546875" style="929" customWidth="1"/>
    <col min="11" max="16384" width="10.28515625" style="929"/>
  </cols>
  <sheetData>
    <row r="1" spans="1:10" s="901" customFormat="1" ht="15" customHeight="1">
      <c r="A1" s="900" t="s">
        <v>502</v>
      </c>
      <c r="B1" s="900"/>
      <c r="D1" s="902"/>
      <c r="E1" s="902"/>
      <c r="F1" s="1377" t="s">
        <v>725</v>
      </c>
      <c r="G1" s="1377"/>
      <c r="H1" s="1377"/>
      <c r="I1" s="903"/>
      <c r="J1" s="904"/>
    </row>
    <row r="2" spans="1:10" s="901" customFormat="1" ht="29.25" customHeight="1">
      <c r="A2" s="900" t="s">
        <v>726</v>
      </c>
      <c r="B2" s="900"/>
      <c r="D2" s="905"/>
      <c r="E2" s="905"/>
      <c r="F2" s="1378" t="s">
        <v>223</v>
      </c>
      <c r="G2" s="1378"/>
      <c r="H2" s="1378"/>
      <c r="I2" s="903"/>
      <c r="J2" s="757">
        <v>1</v>
      </c>
    </row>
    <row r="3" spans="1:10" s="901" customFormat="1" ht="15">
      <c r="A3" s="906"/>
      <c r="B3" s="907"/>
      <c r="C3" s="905"/>
      <c r="D3" s="905"/>
      <c r="E3" s="905"/>
      <c r="F3" s="1378"/>
      <c r="G3" s="1378"/>
      <c r="H3" s="1378"/>
      <c r="I3" s="903"/>
    </row>
    <row r="4" spans="1:10" s="909" customFormat="1" ht="17.25" customHeight="1">
      <c r="A4" s="1379" t="s">
        <v>727</v>
      </c>
      <c r="B4" s="1379"/>
      <c r="C4" s="1379"/>
      <c r="D4" s="1379"/>
      <c r="E4" s="1379"/>
      <c r="F4" s="1379"/>
      <c r="G4" s="1379"/>
      <c r="H4" s="1379"/>
      <c r="I4" s="908"/>
    </row>
    <row r="5" spans="1:10" s="910" customFormat="1" ht="17.25" customHeight="1">
      <c r="B5" s="911"/>
      <c r="C5" s="912" t="s">
        <v>630</v>
      </c>
      <c r="D5" s="911" t="str">
        <f>IF($J$2&lt;10,"0"&amp;$J$2&amp;"  năm 2016",$J$2&amp;"  năm 2016")</f>
        <v>01  năm 2016</v>
      </c>
      <c r="E5" s="911"/>
      <c r="F5" s="911"/>
      <c r="G5" s="911"/>
      <c r="H5" s="911"/>
      <c r="I5" s="913"/>
    </row>
    <row r="6" spans="1:10" s="910" customFormat="1" ht="17.25" customHeight="1">
      <c r="B6" s="914"/>
      <c r="C6" s="1380" t="s">
        <v>728</v>
      </c>
      <c r="D6" s="1380"/>
      <c r="E6" s="1381" t="s">
        <v>615</v>
      </c>
      <c r="F6" s="1381"/>
      <c r="H6" s="914"/>
      <c r="I6" s="913"/>
    </row>
    <row r="7" spans="1:10" s="917" customFormat="1" ht="9.75" customHeight="1">
      <c r="A7" s="915"/>
      <c r="B7" s="915"/>
      <c r="C7" s="915"/>
      <c r="D7" s="915"/>
      <c r="E7" s="915"/>
      <c r="F7" s="915"/>
      <c r="G7" s="915"/>
      <c r="H7" s="915"/>
      <c r="I7" s="916"/>
    </row>
    <row r="8" spans="1:10" s="919" customFormat="1" ht="17.25" customHeight="1">
      <c r="A8" s="1382" t="s">
        <v>729</v>
      </c>
      <c r="B8" s="1383" t="s">
        <v>730</v>
      </c>
      <c r="C8" s="1383" t="s">
        <v>731</v>
      </c>
      <c r="D8" s="1383"/>
      <c r="E8" s="1383"/>
      <c r="F8" s="1383"/>
      <c r="G8" s="1383"/>
      <c r="H8" s="1383"/>
      <c r="I8" s="918"/>
    </row>
    <row r="9" spans="1:10" s="922" customFormat="1" ht="28.5">
      <c r="A9" s="1382"/>
      <c r="B9" s="1383"/>
      <c r="C9" s="920" t="s">
        <v>732</v>
      </c>
      <c r="D9" s="920" t="s">
        <v>733</v>
      </c>
      <c r="E9" s="920" t="s">
        <v>734</v>
      </c>
      <c r="F9" s="920" t="s">
        <v>735</v>
      </c>
      <c r="G9" s="920" t="s">
        <v>736</v>
      </c>
      <c r="H9" s="920" t="s">
        <v>737</v>
      </c>
      <c r="I9" s="921"/>
    </row>
    <row r="10" spans="1:10" s="925" customFormat="1" ht="15">
      <c r="A10" s="923" t="s">
        <v>2</v>
      </c>
      <c r="B10" s="924">
        <v>1</v>
      </c>
      <c r="C10" s="924">
        <v>2</v>
      </c>
      <c r="D10" s="924">
        <v>3</v>
      </c>
      <c r="E10" s="924">
        <v>4</v>
      </c>
      <c r="F10" s="924">
        <v>5</v>
      </c>
      <c r="G10" s="924">
        <v>6</v>
      </c>
      <c r="H10" s="924">
        <v>7</v>
      </c>
      <c r="I10" s="903"/>
    </row>
    <row r="11" spans="1:10" s="910" customFormat="1" ht="15">
      <c r="A11" s="926" t="s">
        <v>738</v>
      </c>
      <c r="B11" s="927">
        <f>ROUND(SUM(C11:H11),0)</f>
        <v>0</v>
      </c>
      <c r="C11" s="927">
        <v>0</v>
      </c>
      <c r="D11" s="927">
        <v>0</v>
      </c>
      <c r="E11" s="927">
        <v>0</v>
      </c>
      <c r="F11" s="927">
        <v>0</v>
      </c>
      <c r="G11" s="927">
        <v>0</v>
      </c>
      <c r="H11" s="927">
        <v>0</v>
      </c>
      <c r="I11" s="913"/>
    </row>
    <row r="12" spans="1:10" s="910" customFormat="1" ht="15">
      <c r="A12" s="926" t="s">
        <v>739</v>
      </c>
      <c r="B12" s="927">
        <f ca="1">ROUND(SUM(C12:H12),0)</f>
        <v>0</v>
      </c>
      <c r="C12" s="927">
        <f ca="1">IF(ISNA(VLOOKUP($E6,INDIRECT("DSSP"&amp;$J$2),6,0)),0,VLOOKUP($E6,INDIRECT("DSSP"&amp;$J$2),6,0))</f>
        <v>0</v>
      </c>
      <c r="D12" s="927">
        <f ca="1">IF(ISNA(VLOOKUP($E6,INDIRECT("DSSP"&amp;$J$2),7,0)),0,VLOOKUP($E6,INDIRECT("DSSP"&amp;$J$2),7,0))</f>
        <v>0</v>
      </c>
      <c r="E12" s="927">
        <f ca="1">IF(ISNA(VLOOKUP($E6,INDIRECT("DSSP"&amp;$J$2),8,0)),0,VLOOKUP($E6,INDIRECT("DSSP"&amp;$J$2),8,0))</f>
        <v>0</v>
      </c>
      <c r="F12" s="927">
        <f ca="1">IF(ISNA(VLOOKUP($E6,INDIRECT("DSSP"&amp;$J$2),9,0)),0,VLOOKUP($E6,INDIRECT("DSSP"&amp;$J$2),9,0))</f>
        <v>0</v>
      </c>
      <c r="G12" s="927">
        <f ca="1">IF(ISNA(VLOOKUP($E6,INDIRECT("DSSP"&amp;$J$2),10,0)),0,VLOOKUP($E6,INDIRECT("DSSP"&amp;$J$2),10,0))</f>
        <v>0</v>
      </c>
      <c r="H12" s="927">
        <f ca="1">IF(ISNA(VLOOKUP($E6,INDIRECT("DSSP"&amp;$J$2),11,0)),0,VLOOKUP($E6,INDIRECT("DSSP"&amp;$J$2),11,0))</f>
        <v>0</v>
      </c>
      <c r="I12" s="913"/>
    </row>
    <row r="13" spans="1:10" s="910" customFormat="1" ht="15">
      <c r="A13" s="926" t="s">
        <v>740</v>
      </c>
      <c r="B13" s="927">
        <f ca="1">ROUND(IF(ISNA(VLOOKUP($E6,INDIRECT("DSSP"&amp;$J$2),13,0)),0,VLOOKUP($E6,INDIRECT("DSSP"&amp;$J$2),13,0)),0)</f>
        <v>0</v>
      </c>
      <c r="C13" s="927">
        <f t="shared" ref="C13:H13" ca="1" si="0">C12</f>
        <v>0</v>
      </c>
      <c r="D13" s="927">
        <f t="shared" ca="1" si="0"/>
        <v>0</v>
      </c>
      <c r="E13" s="927">
        <f t="shared" ca="1" si="0"/>
        <v>0</v>
      </c>
      <c r="F13" s="927">
        <f t="shared" ca="1" si="0"/>
        <v>0</v>
      </c>
      <c r="G13" s="927">
        <f t="shared" ca="1" si="0"/>
        <v>0</v>
      </c>
      <c r="H13" s="927">
        <f t="shared" ca="1" si="0"/>
        <v>0</v>
      </c>
      <c r="I13" s="913"/>
    </row>
    <row r="14" spans="1:10" s="910" customFormat="1" ht="15">
      <c r="A14" s="926" t="s">
        <v>741</v>
      </c>
      <c r="B14" s="927">
        <f ca="1">B12-B13</f>
        <v>0</v>
      </c>
      <c r="C14" s="927">
        <f t="shared" ref="C14:H14" ca="1" si="1">C12-C13</f>
        <v>0</v>
      </c>
      <c r="D14" s="927">
        <f t="shared" ca="1" si="1"/>
        <v>0</v>
      </c>
      <c r="E14" s="927">
        <f t="shared" ca="1" si="1"/>
        <v>0</v>
      </c>
      <c r="F14" s="927">
        <f t="shared" ca="1" si="1"/>
        <v>0</v>
      </c>
      <c r="G14" s="927">
        <f t="shared" ca="1" si="1"/>
        <v>0</v>
      </c>
      <c r="H14" s="927">
        <f t="shared" ca="1" si="1"/>
        <v>0</v>
      </c>
      <c r="I14" s="913"/>
    </row>
    <row r="15" spans="1:10" s="910" customFormat="1" ht="15">
      <c r="B15" s="913"/>
      <c r="C15" s="913"/>
      <c r="D15" s="913"/>
      <c r="E15" s="913"/>
      <c r="F15" s="913"/>
      <c r="G15" s="913"/>
      <c r="H15" s="913"/>
      <c r="I15" s="913"/>
    </row>
    <row r="16" spans="1:10" s="910" customFormat="1" ht="15">
      <c r="B16" s="913"/>
      <c r="C16" s="913"/>
      <c r="D16" s="913"/>
      <c r="E16" s="1376" t="str">
        <f xml:space="preserve"> IF(OR($J$2=1,$J$2=4,$J$2=6,$J$2=9,$J$2=11),"Ngày  30  tháng  "&amp;$J$2&amp;"  năm 2016",IF(OR($J$2=3,$J$2=5,$J$2=7,$J$2=8,$J$2=10,$J$2=12),"Ngày  31  tháng  "&amp;$J$2&amp;"  năm 2016","Ngày  29  tháng  "&amp;$J$2&amp;"  năm 2016"))</f>
        <v>Ngày  30  tháng  1  năm 2016</v>
      </c>
      <c r="F16" s="1376"/>
      <c r="G16" s="1376"/>
      <c r="H16" s="1376"/>
      <c r="I16" s="913"/>
    </row>
    <row r="17" spans="1:9" s="910" customFormat="1" ht="15">
      <c r="A17" s="928" t="s">
        <v>742</v>
      </c>
      <c r="B17" s="913"/>
      <c r="C17" s="913"/>
      <c r="D17" s="913"/>
      <c r="E17" s="1376" t="s">
        <v>15</v>
      </c>
      <c r="F17" s="1376"/>
      <c r="G17" s="1376"/>
      <c r="H17" s="1376"/>
      <c r="I17" s="913"/>
    </row>
    <row r="19" spans="1:9" ht="15">
      <c r="E19" s="930"/>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8.xml><?xml version="1.0" encoding="utf-8"?>
<worksheet xmlns="http://schemas.openxmlformats.org/spreadsheetml/2006/main" xmlns:r="http://schemas.openxmlformats.org/officeDocument/2006/relationships">
  <dimension ref="A1:L18"/>
  <sheetViews>
    <sheetView workbookViewId="0">
      <selection activeCell="I13" sqref="I13"/>
    </sheetView>
  </sheetViews>
  <sheetFormatPr defaultRowHeight="12.75"/>
  <cols>
    <col min="1" max="1" width="15.42578125" style="457" customWidth="1"/>
    <col min="2" max="2" width="11" style="457" customWidth="1"/>
    <col min="3" max="3" width="22.140625" style="457" customWidth="1"/>
    <col min="4" max="4" width="6.7109375" style="457" customWidth="1"/>
    <col min="5" max="5" width="6.42578125" style="457" customWidth="1"/>
    <col min="6" max="6" width="8.85546875" style="457" customWidth="1"/>
    <col min="7" max="7" width="20.7109375" style="457" customWidth="1"/>
    <col min="8" max="11" width="9.140625" style="457"/>
    <col min="12" max="12" width="10.85546875" style="457" customWidth="1"/>
    <col min="13" max="16384" width="9.140625" style="457"/>
  </cols>
  <sheetData>
    <row r="1" spans="1:12">
      <c r="A1" s="122" t="s">
        <v>212</v>
      </c>
      <c r="D1" s="1386"/>
      <c r="E1" s="1386"/>
      <c r="F1" s="1386"/>
      <c r="G1" s="1386"/>
      <c r="I1" s="1386" t="s">
        <v>354</v>
      </c>
      <c r="J1" s="1386"/>
      <c r="K1" s="1386"/>
      <c r="L1" s="1386"/>
    </row>
    <row r="2" spans="1:12">
      <c r="A2" s="412" t="s">
        <v>213</v>
      </c>
      <c r="D2" s="1386"/>
      <c r="E2" s="1386"/>
      <c r="F2" s="1386"/>
      <c r="G2" s="1386"/>
      <c r="I2" s="1386" t="s">
        <v>336</v>
      </c>
      <c r="J2" s="1386"/>
      <c r="K2" s="1386"/>
      <c r="L2" s="1386"/>
    </row>
    <row r="3" spans="1:12">
      <c r="D3" s="1386"/>
      <c r="E3" s="1386"/>
      <c r="F3" s="1386"/>
      <c r="G3" s="1386"/>
      <c r="I3" s="1386" t="s">
        <v>355</v>
      </c>
      <c r="J3" s="1386"/>
      <c r="K3" s="1386"/>
      <c r="L3" s="1386"/>
    </row>
    <row r="8" spans="1:12" ht="40.5" customHeight="1">
      <c r="H8" s="458"/>
      <c r="I8" s="458"/>
      <c r="J8" s="458"/>
    </row>
    <row r="10" spans="1:12" ht="29.25" customHeight="1">
      <c r="A10" s="1384" t="s">
        <v>146</v>
      </c>
      <c r="B10" s="1384"/>
      <c r="C10" s="1384"/>
      <c r="D10" s="1384"/>
      <c r="E10" s="1384"/>
      <c r="F10" s="1384"/>
      <c r="G10" s="1384"/>
    </row>
    <row r="11" spans="1:12" ht="6" customHeight="1">
      <c r="H11" s="459"/>
      <c r="I11" s="459"/>
    </row>
    <row r="12" spans="1:12" ht="20.25">
      <c r="A12" s="1385" t="s">
        <v>356</v>
      </c>
      <c r="B12" s="1385"/>
      <c r="C12" s="1385"/>
      <c r="D12" s="1385"/>
      <c r="E12" s="1385"/>
      <c r="F12" s="1385"/>
      <c r="G12" s="1385"/>
    </row>
    <row r="13" spans="1:12" ht="64.5" customHeight="1"/>
    <row r="16" spans="1:12" ht="22.5" customHeight="1">
      <c r="B16" s="460" t="s">
        <v>357</v>
      </c>
    </row>
    <row r="17" spans="2:2" ht="22.5" customHeight="1">
      <c r="B17" s="460" t="s">
        <v>358</v>
      </c>
    </row>
    <row r="18" spans="2:2" ht="22.5" customHeight="1">
      <c r="B18" s="460" t="s">
        <v>359</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73</vt:i4>
      </vt:variant>
    </vt:vector>
  </HeadingPairs>
  <TitlesOfParts>
    <vt:vector size="101" baseType="lpstr">
      <vt:lpstr>CDPS</vt:lpstr>
      <vt:lpstr>TH</vt:lpstr>
      <vt:lpstr>Sheet1</vt:lpstr>
      <vt:lpstr>SC-I</vt:lpstr>
      <vt:lpstr>SC-II</vt:lpstr>
      <vt:lpstr>SC-III</vt:lpstr>
      <vt:lpstr>SC-IV</vt:lpstr>
      <vt:lpstr>CTTK</vt:lpstr>
      <vt:lpstr>IN-TC</vt:lpstr>
      <vt:lpstr>111</vt:lpstr>
      <vt:lpstr>112</vt:lpstr>
      <vt:lpstr>131</vt:lpstr>
      <vt:lpstr>131-CT</vt:lpstr>
      <vt:lpstr>1331</vt:lpstr>
      <vt:lpstr>1332</vt:lpstr>
      <vt:lpstr>331</vt:lpstr>
      <vt:lpstr>331-CT</vt:lpstr>
      <vt:lpstr>341</vt:lpstr>
      <vt:lpstr>341-CT</vt:lpstr>
      <vt:lpstr>411</vt:lpstr>
      <vt:lpstr>NXT</vt:lpstr>
      <vt:lpstr>IN-NX</vt:lpstr>
      <vt:lpstr>152-CT</vt:lpstr>
      <vt:lpstr>THE KHO</vt:lpstr>
      <vt:lpstr>BK NL</vt:lpstr>
      <vt:lpstr>BTGT</vt:lpstr>
      <vt:lpstr>THEGT</vt:lpstr>
      <vt:lpstr>Sheet2</vt:lpstr>
      <vt:lpstr>_C111</vt:lpstr>
      <vt:lpstr>_C112</vt:lpstr>
      <vt:lpstr>_C133</vt:lpstr>
      <vt:lpstr>_C1332</vt:lpstr>
      <vt:lpstr>_N111</vt:lpstr>
      <vt:lpstr>_N112</vt:lpstr>
      <vt:lpstr>_N133</vt:lpstr>
      <vt:lpstr>_N1332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KH</vt:lpstr>
      <vt:lpstr>KHC</vt:lpstr>
      <vt:lpstr>KHN</vt:lpstr>
      <vt:lpstr>MH</vt:lpstr>
      <vt:lpstr>NXT</vt:lpstr>
      <vt:lpstr>'111'!Print_Area</vt:lpstr>
      <vt:lpstr>'112'!Print_Area</vt:lpstr>
      <vt:lpstr>'1331'!Print_Area</vt:lpstr>
      <vt:lpstr>'1332'!Print_Area</vt:lpstr>
      <vt:lpstr>'152-CT'!Print_Area</vt:lpstr>
      <vt:lpstr>'331'!Print_Area</vt:lpstr>
      <vt:lpstr>'331-CT'!Print_Area</vt:lpstr>
      <vt:lpstr>'341'!Print_Area</vt:lpstr>
      <vt:lpstr>'341-CT'!Print_Area</vt:lpstr>
      <vt:lpstr>'BK NL'!Print_Area</vt:lpstr>
      <vt:lpstr>CTTK!Print_Area</vt:lpstr>
      <vt:lpstr>'IN-NX'!Print_Area</vt:lpstr>
      <vt:lpstr>'IN-TC'!Print_Area</vt:lpstr>
      <vt:lpstr>'SC-IV'!Print_Area</vt:lpstr>
      <vt:lpstr>Sheet2!Print_Area</vt:lpstr>
      <vt:lpstr>'THE KHO'!Print_Area</vt:lpstr>
      <vt:lpstr>'111'!Print_Titles</vt:lpstr>
      <vt:lpstr>'112'!Print_Titles</vt:lpstr>
      <vt:lpstr>'1331'!Print_Titles</vt:lpstr>
      <vt:lpstr>'331-CT'!Print_Titles</vt:lpstr>
      <vt:lpstr>'BK NL'!Print_Titles</vt:lpstr>
      <vt:lpstr>CTTK!Print_Titles</vt:lpstr>
      <vt:lpstr>'SC-I'!Print_Titles</vt:lpstr>
      <vt:lpstr>'SC-II'!Print_Titles</vt:lpstr>
      <vt:lpstr>'SC-III'!Print_Titles</vt:lpstr>
      <vt:lpstr>'SC-IV'!Print_Titles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2016-09-23T01:09:01Z</cp:lastPrinted>
  <dcterms:created xsi:type="dcterms:W3CDTF">1996-10-14T23:33:28Z</dcterms:created>
  <dcterms:modified xsi:type="dcterms:W3CDTF">2016-10-29T05:25:37Z</dcterms:modified>
</cp:coreProperties>
</file>